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Consent/Schoonmaak 2025/4. Leidraad/"/>
    </mc:Choice>
  </mc:AlternateContent>
  <xr:revisionPtr revIDLastSave="4495" documentId="8_{B720F3D8-E847-4F94-83F0-3CED317F4D25}" xr6:coauthVersionLast="47" xr6:coauthVersionMax="47" xr10:uidLastSave="{ED98A103-9792-48A3-92AA-684576E449AC}"/>
  <bookViews>
    <workbookView xWindow="28680" yWindow="-6690" windowWidth="29040" windowHeight="15720" tabRatio="848" firstSheet="2" activeTab="11" xr2:uid="{00000000-000D-0000-FFFF-FFFF00000000}"/>
  </bookViews>
  <sheets>
    <sheet name="Overnamegegevens" sheetId="28" r:id="rId1"/>
    <sheet name="Legenda Handelingen" sheetId="29" r:id="rId2"/>
    <sheet name="Werkprogramma dieptereiniging" sheetId="40" r:id="rId3"/>
    <sheet name="Programma" sheetId="39" r:id="rId4"/>
    <sheet name="Tariefsopbouw" sheetId="31" r:id="rId5"/>
    <sheet name="Prestatiefactoren" sheetId="11" r:id="rId6"/>
    <sheet name="Ruimtestaat" sheetId="13" r:id="rId7"/>
    <sheet name="Vloeronderhoud" sheetId="38" r:id="rId8"/>
    <sheet name="Glasbewassing" sheetId="22" r:id="rId9"/>
    <sheet name="Extra werkzaamheden" sheetId="32" r:id="rId10"/>
    <sheet name="Regie en afroep" sheetId="24" r:id="rId11"/>
    <sheet name="Totalisatie" sheetId="19" r:id="rId12"/>
  </sheets>
  <externalReferences>
    <externalReference r:id="rId13"/>
    <externalReference r:id="rId14"/>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Handelingen'!#REF!</definedName>
    <definedName name="_Toc534973933" localSheetId="1">'Legenda Handelingen'!$A$130</definedName>
    <definedName name="_Toc534973934" localSheetId="1">'Legenda Handelingen'!$A$132</definedName>
    <definedName name="AccessDatabase" hidden="1">"C:\data\excel\BASISWP.mdb"</definedName>
    <definedName name="_xlnm.Print_Area" localSheetId="9">'Extra werkzaamheden'!$A$1:$J$24</definedName>
    <definedName name="_xlnm.Print_Area" localSheetId="8">Glasbewassing!$A$1:$I$112</definedName>
    <definedName name="_xlnm.Print_Area" localSheetId="5">Prestatiefactoren!$A$1:$F$68</definedName>
    <definedName name="_xlnm.Print_Area" localSheetId="10">'Regie en afroep'!$A$1:$I$79</definedName>
    <definedName name="_xlnm.Print_Area" localSheetId="6">'Ruimtestaat'!$A$1:$BV$675</definedName>
    <definedName name="_xlnm.Print_Area" localSheetId="4">Tariefsopbouw!$A$1:$Q$42</definedName>
    <definedName name="_xlnm.Print_Area" localSheetId="11">Totalisatie!$A$1:$I$58</definedName>
    <definedName name="_xlnm.Print_Area" localSheetId="7">Vloeronderhoud!$A$1:$J$118</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 i="32" l="1"/>
  <c r="B23" i="32"/>
  <c r="G23" i="32"/>
  <c r="H23" i="32" s="1"/>
  <c r="G19" i="32"/>
  <c r="H19" i="32" s="1"/>
  <c r="G20" i="32"/>
  <c r="H20" i="32" s="1"/>
  <c r="G21" i="32"/>
  <c r="H21" i="32" s="1"/>
  <c r="G22" i="32"/>
  <c r="H22" i="32" s="1"/>
  <c r="D22" i="32"/>
  <c r="D21" i="32"/>
  <c r="D20" i="32"/>
  <c r="D19" i="32"/>
  <c r="D18" i="32"/>
  <c r="D17" i="32"/>
  <c r="D16" i="32"/>
  <c r="B22" i="32"/>
  <c r="B21" i="32"/>
  <c r="B20" i="32"/>
  <c r="B19" i="32"/>
  <c r="B18" i="32"/>
  <c r="B17" i="32"/>
  <c r="B16" i="32"/>
  <c r="C11" i="32"/>
  <c r="C10" i="32"/>
  <c r="G16" i="32" s="1"/>
  <c r="H16" i="32" s="1"/>
  <c r="C9" i="32"/>
  <c r="G17" i="32" s="1"/>
  <c r="H17" i="32" s="1"/>
  <c r="G18" i="32" l="1"/>
  <c r="H18" i="32" s="1"/>
  <c r="B271" i="13"/>
  <c r="B270" i="13"/>
  <c r="B269" i="13"/>
  <c r="B268" i="13"/>
  <c r="B267" i="13"/>
  <c r="B266" i="13"/>
  <c r="B265" i="13"/>
  <c r="B264" i="13"/>
  <c r="B263" i="13"/>
  <c r="B262" i="13"/>
  <c r="B261" i="13"/>
  <c r="B260" i="13"/>
  <c r="B259" i="13"/>
  <c r="B258" i="13"/>
  <c r="B257" i="13"/>
  <c r="B256" i="13"/>
  <c r="B255" i="13"/>
  <c r="B254" i="13"/>
  <c r="B253" i="13"/>
  <c r="B252" i="13"/>
  <c r="C252" i="13" l="1"/>
  <c r="D252" i="13"/>
  <c r="E252" i="13"/>
  <c r="K252" i="13"/>
  <c r="P252" i="13"/>
  <c r="S252" i="13"/>
  <c r="T252" i="13" s="1"/>
  <c r="V252" i="13" s="1"/>
  <c r="W252" i="13" s="1"/>
  <c r="Y252" i="13"/>
  <c r="AA252" i="13" s="1"/>
  <c r="AH252" i="13"/>
  <c r="AI252" i="13" s="1"/>
  <c r="BC252" i="13"/>
  <c r="BD252" i="13" s="1"/>
  <c r="BK252" i="13"/>
  <c r="C253" i="13"/>
  <c r="D253" i="13"/>
  <c r="E253" i="13"/>
  <c r="K253" i="13"/>
  <c r="P253" i="13"/>
  <c r="S253" i="13"/>
  <c r="T253" i="13" s="1"/>
  <c r="V253" i="13" s="1"/>
  <c r="W253" i="13" s="1"/>
  <c r="U253" i="13"/>
  <c r="Y253" i="13"/>
  <c r="Z253" i="13" s="1"/>
  <c r="AB253" i="13" s="1"/>
  <c r="AH253" i="13"/>
  <c r="AJ253" i="13" s="1"/>
  <c r="BC253" i="13"/>
  <c r="BD253" i="13" s="1"/>
  <c r="C254" i="13"/>
  <c r="D254" i="13"/>
  <c r="E254" i="13"/>
  <c r="K254" i="13"/>
  <c r="P254" i="13"/>
  <c r="S254" i="13"/>
  <c r="U254" i="13" s="1"/>
  <c r="T254" i="13"/>
  <c r="V254" i="13" s="1"/>
  <c r="W254" i="13" s="1"/>
  <c r="Y254" i="13"/>
  <c r="Z254" i="13" s="1"/>
  <c r="AB254" i="13" s="1"/>
  <c r="AH254" i="13"/>
  <c r="AR254" i="13" s="1"/>
  <c r="BC254" i="13"/>
  <c r="BH254" i="13" s="1"/>
  <c r="C255" i="13"/>
  <c r="D255" i="13"/>
  <c r="E255" i="13"/>
  <c r="K255" i="13"/>
  <c r="P255" i="13"/>
  <c r="S255" i="13"/>
  <c r="T255" i="13" s="1"/>
  <c r="V255" i="13" s="1"/>
  <c r="W255" i="13" s="1"/>
  <c r="Y255" i="13"/>
  <c r="AA255" i="13" s="1"/>
  <c r="Z255" i="13"/>
  <c r="AB255" i="13" s="1"/>
  <c r="AH255" i="13"/>
  <c r="AK255" i="13" s="1"/>
  <c r="BC255" i="13"/>
  <c r="BN255" i="13" s="1"/>
  <c r="C256" i="13"/>
  <c r="D256" i="13"/>
  <c r="E256" i="13"/>
  <c r="K256" i="13"/>
  <c r="P256" i="13"/>
  <c r="S256" i="13"/>
  <c r="T256" i="13" s="1"/>
  <c r="V256" i="13" s="1"/>
  <c r="W256" i="13" s="1"/>
  <c r="Y256" i="13"/>
  <c r="Z256" i="13" s="1"/>
  <c r="AB256" i="13" s="1"/>
  <c r="AH256" i="13"/>
  <c r="AM256" i="13" s="1"/>
  <c r="BC256" i="13"/>
  <c r="BD256" i="13" s="1"/>
  <c r="C257" i="13"/>
  <c r="D257" i="13"/>
  <c r="E257" i="13"/>
  <c r="K257" i="13"/>
  <c r="P257" i="13"/>
  <c r="S257" i="13"/>
  <c r="U257" i="13" s="1"/>
  <c r="Y257" i="13"/>
  <c r="AA257" i="13" s="1"/>
  <c r="AH257" i="13"/>
  <c r="AO257" i="13" s="1"/>
  <c r="BC257" i="13"/>
  <c r="BN257" i="13" s="1"/>
  <c r="C258" i="13"/>
  <c r="D258" i="13"/>
  <c r="E258" i="13"/>
  <c r="K258" i="13"/>
  <c r="P258" i="13"/>
  <c r="S258" i="13"/>
  <c r="U258" i="13" s="1"/>
  <c r="Y258" i="13"/>
  <c r="Z258" i="13"/>
  <c r="AB258" i="13" s="1"/>
  <c r="AC258" i="13" s="1"/>
  <c r="AA258" i="13"/>
  <c r="AH258" i="13"/>
  <c r="AQ258" i="13" s="1"/>
  <c r="BC258" i="13"/>
  <c r="BD258" i="13" s="1"/>
  <c r="C259" i="13"/>
  <c r="D259" i="13"/>
  <c r="E259" i="13"/>
  <c r="K259" i="13"/>
  <c r="P259" i="13"/>
  <c r="S259" i="13"/>
  <c r="U259" i="13" s="1"/>
  <c r="Y259" i="13"/>
  <c r="AA259" i="13" s="1"/>
  <c r="Z259" i="13"/>
  <c r="AB259" i="13" s="1"/>
  <c r="AH259" i="13"/>
  <c r="AS259" i="13" s="1"/>
  <c r="BC259" i="13"/>
  <c r="BE259" i="13" s="1"/>
  <c r="C260" i="13"/>
  <c r="D260" i="13"/>
  <c r="E260" i="13"/>
  <c r="K260" i="13"/>
  <c r="P260" i="13"/>
  <c r="S260" i="13"/>
  <c r="T260" i="13" s="1"/>
  <c r="V260" i="13" s="1"/>
  <c r="W260" i="13" s="1"/>
  <c r="Y260" i="13"/>
  <c r="Z260" i="13" s="1"/>
  <c r="AB260" i="13" s="1"/>
  <c r="AH260" i="13"/>
  <c r="AI260" i="13" s="1"/>
  <c r="BC260" i="13"/>
  <c r="BM260" i="13" s="1"/>
  <c r="BV260" i="13"/>
  <c r="C261" i="13"/>
  <c r="D261" i="13"/>
  <c r="E261" i="13"/>
  <c r="K261" i="13"/>
  <c r="P261" i="13"/>
  <c r="S261" i="13"/>
  <c r="U261" i="13" s="1"/>
  <c r="Y261" i="13"/>
  <c r="Z261" i="13" s="1"/>
  <c r="AB261" i="13" s="1"/>
  <c r="AH261" i="13"/>
  <c r="AJ261" i="13" s="1"/>
  <c r="AT261" i="13"/>
  <c r="BC261" i="13"/>
  <c r="BJ261" i="13" s="1"/>
  <c r="C262" i="13"/>
  <c r="D262" i="13"/>
  <c r="E262" i="13"/>
  <c r="K262" i="13"/>
  <c r="P262" i="13"/>
  <c r="S262" i="13"/>
  <c r="T262" i="13" s="1"/>
  <c r="V262" i="13" s="1"/>
  <c r="W262" i="13" s="1"/>
  <c r="Y262" i="13"/>
  <c r="AA262" i="13" s="1"/>
  <c r="AH262" i="13"/>
  <c r="AN262" i="13" s="1"/>
  <c r="BC262" i="13"/>
  <c r="BM262" i="13" s="1"/>
  <c r="C263" i="13"/>
  <c r="D263" i="13"/>
  <c r="E263" i="13"/>
  <c r="K263" i="13"/>
  <c r="P263" i="13"/>
  <c r="S263" i="13"/>
  <c r="U263" i="13" s="1"/>
  <c r="Y263" i="13"/>
  <c r="Z263" i="13" s="1"/>
  <c r="AB263" i="13" s="1"/>
  <c r="AH263" i="13"/>
  <c r="AP263" i="13" s="1"/>
  <c r="BC263" i="13"/>
  <c r="BL263" i="13" s="1"/>
  <c r="C264" i="13"/>
  <c r="D264" i="13"/>
  <c r="E264" i="13"/>
  <c r="K264" i="13"/>
  <c r="P264" i="13"/>
  <c r="S264" i="13"/>
  <c r="T264" i="13" s="1"/>
  <c r="V264" i="13" s="1"/>
  <c r="W264" i="13" s="1"/>
  <c r="Y264" i="13"/>
  <c r="Z264" i="13" s="1"/>
  <c r="AB264" i="13" s="1"/>
  <c r="AH264" i="13"/>
  <c r="AR264" i="13" s="1"/>
  <c r="BC264" i="13"/>
  <c r="BE264" i="13" s="1"/>
  <c r="C265" i="13"/>
  <c r="D265" i="13"/>
  <c r="E265" i="13"/>
  <c r="K265" i="13"/>
  <c r="P265" i="13"/>
  <c r="S265" i="13"/>
  <c r="T265" i="13" s="1"/>
  <c r="V265" i="13" s="1"/>
  <c r="W265" i="13" s="1"/>
  <c r="Y265" i="13"/>
  <c r="Z265" i="13" s="1"/>
  <c r="AB265" i="13" s="1"/>
  <c r="AH265" i="13"/>
  <c r="AQ265" i="13" s="1"/>
  <c r="BC265" i="13"/>
  <c r="BG265" i="13" s="1"/>
  <c r="C266" i="13"/>
  <c r="D266" i="13"/>
  <c r="E266" i="13"/>
  <c r="K266" i="13"/>
  <c r="P266" i="13"/>
  <c r="S266" i="13"/>
  <c r="T266" i="13" s="1"/>
  <c r="V266" i="13" s="1"/>
  <c r="W266" i="13" s="1"/>
  <c r="Y266" i="13"/>
  <c r="Z266" i="13" s="1"/>
  <c r="AB266" i="13" s="1"/>
  <c r="AH266" i="13"/>
  <c r="AJ266" i="13" s="1"/>
  <c r="BC266" i="13"/>
  <c r="BI266" i="13" s="1"/>
  <c r="C267" i="13"/>
  <c r="D267" i="13"/>
  <c r="E267" i="13"/>
  <c r="K267" i="13"/>
  <c r="P267" i="13"/>
  <c r="S267" i="13"/>
  <c r="T267" i="13" s="1"/>
  <c r="V267" i="13" s="1"/>
  <c r="W267" i="13" s="1"/>
  <c r="Y267" i="13"/>
  <c r="AA267" i="13" s="1"/>
  <c r="AH267" i="13"/>
  <c r="AN267" i="13" s="1"/>
  <c r="BC267" i="13"/>
  <c r="BM267" i="13" s="1"/>
  <c r="C268" i="13"/>
  <c r="D268" i="13"/>
  <c r="E268" i="13"/>
  <c r="K268" i="13"/>
  <c r="P268" i="13"/>
  <c r="S268" i="13"/>
  <c r="T268" i="13" s="1"/>
  <c r="V268" i="13" s="1"/>
  <c r="W268" i="13" s="1"/>
  <c r="Y268" i="13"/>
  <c r="AA268" i="13" s="1"/>
  <c r="AH268" i="13"/>
  <c r="AS268" i="13" s="1"/>
  <c r="BC268" i="13"/>
  <c r="BM268" i="13" s="1"/>
  <c r="C269" i="13"/>
  <c r="D269" i="13"/>
  <c r="E269" i="13"/>
  <c r="K269" i="13"/>
  <c r="P269" i="13"/>
  <c r="S269" i="13"/>
  <c r="T269" i="13" s="1"/>
  <c r="V269" i="13" s="1"/>
  <c r="W269" i="13" s="1"/>
  <c r="Y269" i="13"/>
  <c r="AA269" i="13" s="1"/>
  <c r="AH269" i="13"/>
  <c r="AN269" i="13" s="1"/>
  <c r="BC269" i="13"/>
  <c r="BM269" i="13" s="1"/>
  <c r="C270" i="13"/>
  <c r="D270" i="13"/>
  <c r="E270" i="13"/>
  <c r="K270" i="13"/>
  <c r="P270" i="13"/>
  <c r="S270" i="13"/>
  <c r="T270" i="13" s="1"/>
  <c r="V270" i="13" s="1"/>
  <c r="W270" i="13" s="1"/>
  <c r="Y270" i="13"/>
  <c r="Z270" i="13" s="1"/>
  <c r="AB270" i="13" s="1"/>
  <c r="AC270" i="13" s="1"/>
  <c r="AH270" i="13"/>
  <c r="AP270" i="13" s="1"/>
  <c r="BC270" i="13"/>
  <c r="BF270" i="13" s="1"/>
  <c r="C271" i="13"/>
  <c r="D271" i="13"/>
  <c r="E271" i="13"/>
  <c r="K271" i="13"/>
  <c r="P271" i="13"/>
  <c r="S271" i="13"/>
  <c r="U271" i="13" s="1"/>
  <c r="Y271" i="13"/>
  <c r="AA271" i="13" s="1"/>
  <c r="AH271" i="13"/>
  <c r="AR271" i="13" s="1"/>
  <c r="BC271" i="13"/>
  <c r="BE271" i="13" s="1"/>
  <c r="U256" i="13" l="1"/>
  <c r="Z257" i="13"/>
  <c r="AB257" i="13" s="1"/>
  <c r="AD258" i="13"/>
  <c r="T271" i="13"/>
  <c r="V271" i="13" s="1"/>
  <c r="W271" i="13" s="1"/>
  <c r="AI261" i="13"/>
  <c r="AD259" i="13"/>
  <c r="T259" i="13"/>
  <c r="V259" i="13" s="1"/>
  <c r="W259" i="13" s="1"/>
  <c r="T257" i="13"/>
  <c r="V257" i="13" s="1"/>
  <c r="W257" i="13" s="1"/>
  <c r="U266" i="13"/>
  <c r="Z267" i="13"/>
  <c r="AB267" i="13" s="1"/>
  <c r="Z262" i="13"/>
  <c r="AB262" i="13" s="1"/>
  <c r="AA261" i="13"/>
  <c r="AD261" i="13" s="1"/>
  <c r="T258" i="13"/>
  <c r="V258" i="13" s="1"/>
  <c r="W258" i="13" s="1"/>
  <c r="AF258" i="13" s="1"/>
  <c r="Z268" i="13"/>
  <c r="AB268" i="13" s="1"/>
  <c r="T261" i="13"/>
  <c r="V261" i="13" s="1"/>
  <c r="W261" i="13" s="1"/>
  <c r="AY269" i="13"/>
  <c r="AA253" i="13"/>
  <c r="AD253" i="13" s="1"/>
  <c r="Z252" i="13"/>
  <c r="AB252" i="13" s="1"/>
  <c r="AC252" i="13" s="1"/>
  <c r="AF252" i="13" s="1"/>
  <c r="AI268" i="13"/>
  <c r="AI267" i="13"/>
  <c r="AI266" i="13"/>
  <c r="AR266" i="13"/>
  <c r="BP266" i="13"/>
  <c r="AL266" i="13"/>
  <c r="BH266" i="13"/>
  <c r="AV265" i="13"/>
  <c r="BF264" i="13"/>
  <c r="BU263" i="13"/>
  <c r="BT263" i="13"/>
  <c r="BD262" i="13"/>
  <c r="BL262" i="13"/>
  <c r="AX256" i="13"/>
  <c r="AT254" i="13"/>
  <c r="BV256" i="13"/>
  <c r="BU255" i="13"/>
  <c r="BT255" i="13"/>
  <c r="BE255" i="13"/>
  <c r="AU253" i="13"/>
  <c r="AT253" i="13"/>
  <c r="AQ253" i="13"/>
  <c r="AI253" i="13"/>
  <c r="BA252" i="13"/>
  <c r="AX252" i="13"/>
  <c r="AT252" i="13"/>
  <c r="BS255" i="13"/>
  <c r="BQ255" i="13"/>
  <c r="AO265" i="13"/>
  <c r="BL255" i="13"/>
  <c r="AZ252" i="13"/>
  <c r="BI255" i="13"/>
  <c r="BK255" i="13"/>
  <c r="BH255" i="13"/>
  <c r="AO252" i="13"/>
  <c r="BO255" i="13"/>
  <c r="BM255" i="13"/>
  <c r="BG255" i="13"/>
  <c r="BV255" i="13"/>
  <c r="BF255" i="13"/>
  <c r="AZ253" i="13"/>
  <c r="BS256" i="13"/>
  <c r="AV256" i="13"/>
  <c r="BT256" i="13"/>
  <c r="AW256" i="13"/>
  <c r="AQ266" i="13"/>
  <c r="BO256" i="13"/>
  <c r="AJ256" i="13"/>
  <c r="AS253" i="13"/>
  <c r="AS252" i="13"/>
  <c r="BN256" i="13"/>
  <c r="AI256" i="13"/>
  <c r="AR253" i="13"/>
  <c r="AR252" i="13"/>
  <c r="BM256" i="13"/>
  <c r="AU265" i="13"/>
  <c r="BD264" i="13"/>
  <c r="BS263" i="13"/>
  <c r="BL260" i="13"/>
  <c r="BK256" i="13"/>
  <c r="AP253" i="13"/>
  <c r="AN252" i="13"/>
  <c r="AS265" i="13"/>
  <c r="BG260" i="13"/>
  <c r="BD259" i="13"/>
  <c r="BO258" i="13"/>
  <c r="BJ256" i="13"/>
  <c r="BR255" i="13"/>
  <c r="AV255" i="13"/>
  <c r="BP253" i="13"/>
  <c r="AO253" i="13"/>
  <c r="AM252" i="13"/>
  <c r="BN258" i="13"/>
  <c r="BI256" i="13"/>
  <c r="AU255" i="13"/>
  <c r="BO253" i="13"/>
  <c r="AN253" i="13"/>
  <c r="AL252" i="13"/>
  <c r="BU256" i="13"/>
  <c r="AR260" i="13"/>
  <c r="AT255" i="13"/>
  <c r="BN253" i="13"/>
  <c r="BM258" i="13"/>
  <c r="BH256" i="13"/>
  <c r="AO260" i="13"/>
  <c r="BJ258" i="13"/>
  <c r="BG256" i="13"/>
  <c r="AS255" i="13"/>
  <c r="BE253" i="13"/>
  <c r="BA266" i="13"/>
  <c r="BT260" i="13"/>
  <c r="AU256" i="13"/>
  <c r="BS254" i="13"/>
  <c r="BO252" i="13"/>
  <c r="BU261" i="13"/>
  <c r="BT261" i="13"/>
  <c r="AU264" i="13"/>
  <c r="BS261" i="13"/>
  <c r="BS260" i="13"/>
  <c r="AT256" i="13"/>
  <c r="AJ255" i="13"/>
  <c r="BR254" i="13"/>
  <c r="BN252" i="13"/>
  <c r="AQ252" i="13"/>
  <c r="AX266" i="13"/>
  <c r="BQ267" i="13"/>
  <c r="AW266" i="13"/>
  <c r="AJ264" i="13"/>
  <c r="BR261" i="13"/>
  <c r="BO260" i="13"/>
  <c r="BL256" i="13"/>
  <c r="AL256" i="13"/>
  <c r="BJ255" i="13"/>
  <c r="AI255" i="13"/>
  <c r="BQ254" i="13"/>
  <c r="BA253" i="13"/>
  <c r="BM252" i="13"/>
  <c r="AP252" i="13"/>
  <c r="BU260" i="13"/>
  <c r="AZ266" i="13"/>
  <c r="BP267" i="13"/>
  <c r="BT266" i="13"/>
  <c r="AU266" i="13"/>
  <c r="BP261" i="13"/>
  <c r="BN260" i="13"/>
  <c r="AK258" i="13"/>
  <c r="AK256" i="13"/>
  <c r="BP254" i="13"/>
  <c r="BL252" i="13"/>
  <c r="BG254" i="13"/>
  <c r="AP266" i="13"/>
  <c r="BK261" i="13"/>
  <c r="BJ260" i="13"/>
  <c r="AY257" i="13"/>
  <c r="BF254" i="13"/>
  <c r="BO261" i="13"/>
  <c r="AO266" i="13"/>
  <c r="BF261" i="13"/>
  <c r="BI260" i="13"/>
  <c r="AK257" i="13"/>
  <c r="BE254" i="13"/>
  <c r="BO254" i="13"/>
  <c r="BO266" i="13"/>
  <c r="BM261" i="13"/>
  <c r="BK260" i="13"/>
  <c r="AZ257" i="13"/>
  <c r="BN266" i="13"/>
  <c r="BM266" i="13"/>
  <c r="AO270" i="13"/>
  <c r="BL266" i="13"/>
  <c r="AM266" i="13"/>
  <c r="BD261" i="13"/>
  <c r="BH260" i="13"/>
  <c r="AI257" i="13"/>
  <c r="BD254" i="13"/>
  <c r="BQ253" i="13"/>
  <c r="AY252" i="13"/>
  <c r="AC253" i="13"/>
  <c r="AF253" i="13" s="1"/>
  <c r="AE253" i="13"/>
  <c r="AE254" i="13"/>
  <c r="AC254" i="13"/>
  <c r="AF254" i="13" s="1"/>
  <c r="AC255" i="13"/>
  <c r="AF255" i="13" s="1"/>
  <c r="AE255" i="13"/>
  <c r="AC256" i="13"/>
  <c r="AF256" i="13" s="1"/>
  <c r="AE256" i="13"/>
  <c r="BS257" i="13"/>
  <c r="AX257" i="13"/>
  <c r="AY267" i="13"/>
  <c r="AR255" i="13"/>
  <c r="AP254" i="13"/>
  <c r="BM253" i="13"/>
  <c r="AM265" i="13"/>
  <c r="BU264" i="13"/>
  <c r="BP263" i="13"/>
  <c r="BQ257" i="13"/>
  <c r="AW257" i="13"/>
  <c r="AD257" i="13"/>
  <c r="AP271" i="13"/>
  <c r="AN270" i="13"/>
  <c r="U268" i="13"/>
  <c r="AX267" i="13"/>
  <c r="BD266" i="13"/>
  <c r="BO265" i="13"/>
  <c r="AK265" i="13"/>
  <c r="BT264" i="13"/>
  <c r="BH263" i="13"/>
  <c r="BI261" i="13"/>
  <c r="BR260" i="13"/>
  <c r="BF260" i="13"/>
  <c r="AT259" i="13"/>
  <c r="BA258" i="13"/>
  <c r="BO257" i="13"/>
  <c r="AU257" i="13"/>
  <c r="BR256" i="13"/>
  <c r="BF256" i="13"/>
  <c r="AS256" i="13"/>
  <c r="BP255" i="13"/>
  <c r="BD255" i="13"/>
  <c r="AQ255" i="13"/>
  <c r="BN254" i="13"/>
  <c r="BA254" i="13"/>
  <c r="AO254" i="13"/>
  <c r="BL253" i="13"/>
  <c r="AY253" i="13"/>
  <c r="AM253" i="13"/>
  <c r="BV252" i="13"/>
  <c r="BJ252" i="13"/>
  <c r="AW252" i="13"/>
  <c r="AK252" i="13"/>
  <c r="BA259" i="13"/>
  <c r="BN265" i="13"/>
  <c r="AJ265" i="13"/>
  <c r="BS264" i="13"/>
  <c r="BG263" i="13"/>
  <c r="BQ262" i="13"/>
  <c r="BH261" i="13"/>
  <c r="BQ260" i="13"/>
  <c r="BE260" i="13"/>
  <c r="AR259" i="13"/>
  <c r="AZ258" i="13"/>
  <c r="BM257" i="13"/>
  <c r="AT257" i="13"/>
  <c r="BQ256" i="13"/>
  <c r="BE256" i="13"/>
  <c r="AR256" i="13"/>
  <c r="AP255" i="13"/>
  <c r="BM254" i="13"/>
  <c r="AZ254" i="13"/>
  <c r="AN254" i="13"/>
  <c r="AA254" i="13"/>
  <c r="AD254" i="13" s="1"/>
  <c r="BK253" i="13"/>
  <c r="AX253" i="13"/>
  <c r="AL253" i="13"/>
  <c r="BU252" i="13"/>
  <c r="BI252" i="13"/>
  <c r="AV252" i="13"/>
  <c r="AJ252" i="13"/>
  <c r="AV259" i="13"/>
  <c r="AW267" i="13"/>
  <c r="AV267" i="13"/>
  <c r="BM265" i="13"/>
  <c r="AI265" i="13"/>
  <c r="BR264" i="13"/>
  <c r="BF263" i="13"/>
  <c r="BO262" i="13"/>
  <c r="BG261" i="13"/>
  <c r="BP260" i="13"/>
  <c r="BD260" i="13"/>
  <c r="AQ259" i="13"/>
  <c r="AW258" i="13"/>
  <c r="BL257" i="13"/>
  <c r="AR257" i="13"/>
  <c r="BP256" i="13"/>
  <c r="AQ256" i="13"/>
  <c r="BA255" i="13"/>
  <c r="AO255" i="13"/>
  <c r="BL254" i="13"/>
  <c r="AY254" i="13"/>
  <c r="AM254" i="13"/>
  <c r="BV253" i="13"/>
  <c r="BJ253" i="13"/>
  <c r="AW253" i="13"/>
  <c r="AK253" i="13"/>
  <c r="BT252" i="13"/>
  <c r="BH252" i="13"/>
  <c r="AU252" i="13"/>
  <c r="U252" i="13"/>
  <c r="AD252" i="13" s="1"/>
  <c r="AQ254" i="13"/>
  <c r="BO264" i="13"/>
  <c r="AP259" i="13"/>
  <c r="AT258" i="13"/>
  <c r="BK257" i="13"/>
  <c r="AP257" i="13"/>
  <c r="AP256" i="13"/>
  <c r="AZ255" i="13"/>
  <c r="AN255" i="13"/>
  <c r="BK254" i="13"/>
  <c r="AX254" i="13"/>
  <c r="AL254" i="13"/>
  <c r="BU253" i="13"/>
  <c r="BI253" i="13"/>
  <c r="AV253" i="13"/>
  <c r="BS252" i="13"/>
  <c r="BG252" i="13"/>
  <c r="BA267" i="13"/>
  <c r="AO267" i="13"/>
  <c r="BA260" i="13"/>
  <c r="AO259" i="13"/>
  <c r="AP258" i="13"/>
  <c r="BJ257" i="13"/>
  <c r="AN257" i="13"/>
  <c r="BA256" i="13"/>
  <c r="AO256" i="13"/>
  <c r="AY255" i="13"/>
  <c r="AM255" i="13"/>
  <c r="BV254" i="13"/>
  <c r="BJ254" i="13"/>
  <c r="AW254" i="13"/>
  <c r="AK254" i="13"/>
  <c r="BT253" i="13"/>
  <c r="BH253" i="13"/>
  <c r="BR252" i="13"/>
  <c r="BF252" i="13"/>
  <c r="AZ265" i="13"/>
  <c r="AX265" i="13"/>
  <c r="BI264" i="13"/>
  <c r="AT260" i="13"/>
  <c r="BP259" i="13"/>
  <c r="AM259" i="13"/>
  <c r="AO258" i="13"/>
  <c r="BH257" i="13"/>
  <c r="AM257" i="13"/>
  <c r="AZ256" i="13"/>
  <c r="AN256" i="13"/>
  <c r="AA256" i="13"/>
  <c r="AD256" i="13" s="1"/>
  <c r="AX255" i="13"/>
  <c r="AL255" i="13"/>
  <c r="BU254" i="13"/>
  <c r="BI254" i="13"/>
  <c r="AV254" i="13"/>
  <c r="AJ254" i="13"/>
  <c r="BS253" i="13"/>
  <c r="BG253" i="13"/>
  <c r="BQ252" i="13"/>
  <c r="BE252" i="13"/>
  <c r="BT257" i="13"/>
  <c r="AY259" i="13"/>
  <c r="AM267" i="13"/>
  <c r="BK264" i="13"/>
  <c r="AK267" i="13"/>
  <c r="AJ267" i="13"/>
  <c r="AW265" i="13"/>
  <c r="BG264" i="13"/>
  <c r="T263" i="13"/>
  <c r="V263" i="13" s="1"/>
  <c r="W263" i="13" s="1"/>
  <c r="AV262" i="13"/>
  <c r="AU261" i="13"/>
  <c r="AS260" i="13"/>
  <c r="BO259" i="13"/>
  <c r="AJ259" i="13"/>
  <c r="BV258" i="13"/>
  <c r="AN258" i="13"/>
  <c r="BE257" i="13"/>
  <c r="AL257" i="13"/>
  <c r="AY256" i="13"/>
  <c r="AW255" i="13"/>
  <c r="BT254" i="13"/>
  <c r="AU254" i="13"/>
  <c r="AI254" i="13"/>
  <c r="BR253" i="13"/>
  <c r="BF253" i="13"/>
  <c r="BP252" i="13"/>
  <c r="BV257" i="13"/>
  <c r="U255" i="13"/>
  <c r="AD255" i="13" s="1"/>
  <c r="AS254" i="13"/>
  <c r="AC261" i="13"/>
  <c r="AF261" i="13" s="1"/>
  <c r="AE261" i="13"/>
  <c r="AE260" i="13"/>
  <c r="AC260" i="13"/>
  <c r="AF260" i="13" s="1"/>
  <c r="AC257" i="13"/>
  <c r="AF257" i="13" s="1"/>
  <c r="AE257" i="13"/>
  <c r="AE259" i="13"/>
  <c r="AC259" i="13"/>
  <c r="AF259" i="13" s="1"/>
  <c r="BL265" i="13"/>
  <c r="U264" i="13"/>
  <c r="BR263" i="13"/>
  <c r="BE263" i="13"/>
  <c r="AS261" i="13"/>
  <c r="BN259" i="13"/>
  <c r="AT262" i="13"/>
  <c r="AQ260" i="13"/>
  <c r="BL258" i="13"/>
  <c r="AY258" i="13"/>
  <c r="AM258" i="13"/>
  <c r="AR267" i="13"/>
  <c r="AN266" i="13"/>
  <c r="BK265" i="13"/>
  <c r="AT265" i="13"/>
  <c r="BP264" i="13"/>
  <c r="AV264" i="13"/>
  <c r="BQ263" i="13"/>
  <c r="BD263" i="13"/>
  <c r="BP262" i="13"/>
  <c r="AS262" i="13"/>
  <c r="U262" i="13"/>
  <c r="AD262" i="13" s="1"/>
  <c r="BQ261" i="13"/>
  <c r="BE261" i="13"/>
  <c r="AR261" i="13"/>
  <c r="AP260" i="13"/>
  <c r="BM259" i="13"/>
  <c r="AZ259" i="13"/>
  <c r="AN259" i="13"/>
  <c r="BK258" i="13"/>
  <c r="AX258" i="13"/>
  <c r="AL258" i="13"/>
  <c r="BU257" i="13"/>
  <c r="BI257" i="13"/>
  <c r="AV257" i="13"/>
  <c r="AJ257" i="13"/>
  <c r="AQ261" i="13"/>
  <c r="BL259" i="13"/>
  <c r="AU262" i="13"/>
  <c r="BI265" i="13"/>
  <c r="BM264" i="13"/>
  <c r="AT264" i="13"/>
  <c r="BO263" i="13"/>
  <c r="AQ262" i="13"/>
  <c r="AZ260" i="13"/>
  <c r="AN260" i="13"/>
  <c r="AA260" i="13"/>
  <c r="BK259" i="13"/>
  <c r="AX259" i="13"/>
  <c r="AL259" i="13"/>
  <c r="BU258" i="13"/>
  <c r="BI258" i="13"/>
  <c r="AV258" i="13"/>
  <c r="AJ258" i="13"/>
  <c r="BG257" i="13"/>
  <c r="BJ265" i="13"/>
  <c r="AR262" i="13"/>
  <c r="AY268" i="13"/>
  <c r="AR265" i="13"/>
  <c r="AP261" i="13"/>
  <c r="AX268" i="13"/>
  <c r="BU267" i="13"/>
  <c r="AL267" i="13"/>
  <c r="AY266" i="13"/>
  <c r="AK266" i="13"/>
  <c r="BF265" i="13"/>
  <c r="AP265" i="13"/>
  <c r="BL264" i="13"/>
  <c r="AQ264" i="13"/>
  <c r="BN263" i="13"/>
  <c r="BE262" i="13"/>
  <c r="AP262" i="13"/>
  <c r="BN261" i="13"/>
  <c r="BA261" i="13"/>
  <c r="AO261" i="13"/>
  <c r="AY260" i="13"/>
  <c r="AM260" i="13"/>
  <c r="BV259" i="13"/>
  <c r="BJ259" i="13"/>
  <c r="AW259" i="13"/>
  <c r="AK259" i="13"/>
  <c r="BT258" i="13"/>
  <c r="BH258" i="13"/>
  <c r="AU258" i="13"/>
  <c r="AI258" i="13"/>
  <c r="BR257" i="13"/>
  <c r="BF257" i="13"/>
  <c r="AS257" i="13"/>
  <c r="BM263" i="13"/>
  <c r="AO262" i="13"/>
  <c r="AZ261" i="13"/>
  <c r="AN261" i="13"/>
  <c r="AX260" i="13"/>
  <c r="AL260" i="13"/>
  <c r="BU259" i="13"/>
  <c r="BI259" i="13"/>
  <c r="BS258" i="13"/>
  <c r="BG258" i="13"/>
  <c r="BV265" i="13"/>
  <c r="BA265" i="13"/>
  <c r="AN265" i="13"/>
  <c r="BJ264" i="13"/>
  <c r="AI264" i="13"/>
  <c r="BK263" i="13"/>
  <c r="AM262" i="13"/>
  <c r="BL261" i="13"/>
  <c r="AY261" i="13"/>
  <c r="AM261" i="13"/>
  <c r="AW260" i="13"/>
  <c r="AK260" i="13"/>
  <c r="BT259" i="13"/>
  <c r="BH259" i="13"/>
  <c r="AU259" i="13"/>
  <c r="AI259" i="13"/>
  <c r="BR258" i="13"/>
  <c r="BF258" i="13"/>
  <c r="AS258" i="13"/>
  <c r="BP257" i="13"/>
  <c r="BD257" i="13"/>
  <c r="AQ257" i="13"/>
  <c r="AA266" i="13"/>
  <c r="AD266" i="13" s="1"/>
  <c r="BU265" i="13"/>
  <c r="BJ263" i="13"/>
  <c r="BA262" i="13"/>
  <c r="AL262" i="13"/>
  <c r="AX261" i="13"/>
  <c r="AL261" i="13"/>
  <c r="AV260" i="13"/>
  <c r="AJ260" i="13"/>
  <c r="BS259" i="13"/>
  <c r="BG259" i="13"/>
  <c r="BQ258" i="13"/>
  <c r="BE258" i="13"/>
  <c r="AR258" i="13"/>
  <c r="AE258" i="13"/>
  <c r="Z271" i="13"/>
  <c r="AB271" i="13" s="1"/>
  <c r="AC271" i="13" s="1"/>
  <c r="AF271" i="13" s="1"/>
  <c r="AT266" i="13"/>
  <c r="BR265" i="13"/>
  <c r="AY265" i="13"/>
  <c r="AL265" i="13"/>
  <c r="BV264" i="13"/>
  <c r="BH264" i="13"/>
  <c r="AA264" i="13"/>
  <c r="BV263" i="13"/>
  <c r="BI263" i="13"/>
  <c r="AY262" i="13"/>
  <c r="AJ262" i="13"/>
  <c r="BV261" i="13"/>
  <c r="AW261" i="13"/>
  <c r="AK261" i="13"/>
  <c r="AU260" i="13"/>
  <c r="U260" i="13"/>
  <c r="BR259" i="13"/>
  <c r="BF259" i="13"/>
  <c r="BP258" i="13"/>
  <c r="BA257" i="13"/>
  <c r="AX262" i="13"/>
  <c r="AI262" i="13"/>
  <c r="AV261" i="13"/>
  <c r="BQ259" i="13"/>
  <c r="AC263" i="13"/>
  <c r="AE264" i="13"/>
  <c r="AC264" i="13"/>
  <c r="AF264" i="13" s="1"/>
  <c r="AC266" i="13"/>
  <c r="AF266" i="13" s="1"/>
  <c r="AE266" i="13"/>
  <c r="AC262" i="13"/>
  <c r="AF262" i="13" s="1"/>
  <c r="AE262" i="13"/>
  <c r="AC265" i="13"/>
  <c r="AF265" i="13" s="1"/>
  <c r="AE265" i="13"/>
  <c r="BO267" i="13"/>
  <c r="BI267" i="13"/>
  <c r="BA263" i="13"/>
  <c r="AO263" i="13"/>
  <c r="AL268" i="13"/>
  <c r="BH267" i="13"/>
  <c r="AQ267" i="13"/>
  <c r="BS266" i="13"/>
  <c r="BG266" i="13"/>
  <c r="BQ265" i="13"/>
  <c r="AZ263" i="13"/>
  <c r="AN263" i="13"/>
  <c r="AA263" i="13"/>
  <c r="AD263" i="13" s="1"/>
  <c r="BK262" i="13"/>
  <c r="BE265" i="13"/>
  <c r="AP264" i="13"/>
  <c r="AK268" i="13"/>
  <c r="BE267" i="13"/>
  <c r="AP267" i="13"/>
  <c r="U267" i="13"/>
  <c r="AD267" i="13" s="1"/>
  <c r="BR266" i="13"/>
  <c r="BF266" i="13"/>
  <c r="AS266" i="13"/>
  <c r="BP265" i="13"/>
  <c r="BD265" i="13"/>
  <c r="BN264" i="13"/>
  <c r="BA264" i="13"/>
  <c r="AO264" i="13"/>
  <c r="AY263" i="13"/>
  <c r="AM263" i="13"/>
  <c r="BV262" i="13"/>
  <c r="BJ262" i="13"/>
  <c r="AW262" i="13"/>
  <c r="AK262" i="13"/>
  <c r="AP268" i="13"/>
  <c r="BQ270" i="13"/>
  <c r="AJ268" i="13"/>
  <c r="BV267" i="13"/>
  <c r="BD267" i="13"/>
  <c r="BQ266" i="13"/>
  <c r="BE266" i="13"/>
  <c r="AZ264" i="13"/>
  <c r="AN264" i="13"/>
  <c r="AX263" i="13"/>
  <c r="AL263" i="13"/>
  <c r="BU262" i="13"/>
  <c r="BI262" i="13"/>
  <c r="AY264" i="13"/>
  <c r="AM264" i="13"/>
  <c r="AW263" i="13"/>
  <c r="AK263" i="13"/>
  <c r="BT262" i="13"/>
  <c r="BH262" i="13"/>
  <c r="BE270" i="13"/>
  <c r="BP268" i="13"/>
  <c r="BD270" i="13"/>
  <c r="BF269" i="13"/>
  <c r="BD268" i="13"/>
  <c r="BT267" i="13"/>
  <c r="AA265" i="13"/>
  <c r="AX264" i="13"/>
  <c r="AL264" i="13"/>
  <c r="AV263" i="13"/>
  <c r="AJ263" i="13"/>
  <c r="BS262" i="13"/>
  <c r="BG262" i="13"/>
  <c r="AW264" i="13"/>
  <c r="AK264" i="13"/>
  <c r="AU263" i="13"/>
  <c r="AI263" i="13"/>
  <c r="BR262" i="13"/>
  <c r="BF262" i="13"/>
  <c r="AW268" i="13"/>
  <c r="BL267" i="13"/>
  <c r="AR263" i="13"/>
  <c r="AS263" i="13"/>
  <c r="BK266" i="13"/>
  <c r="AV268" i="13"/>
  <c r="BT265" i="13"/>
  <c r="BH265" i="13"/>
  <c r="U265" i="13"/>
  <c r="AQ263" i="13"/>
  <c r="BN262" i="13"/>
  <c r="AT263" i="13"/>
  <c r="BK267" i="13"/>
  <c r="AU267" i="13"/>
  <c r="BV266" i="13"/>
  <c r="BJ266" i="13"/>
  <c r="AS264" i="13"/>
  <c r="AQ268" i="13"/>
  <c r="BJ267" i="13"/>
  <c r="AT267" i="13"/>
  <c r="BU266" i="13"/>
  <c r="AV266" i="13"/>
  <c r="BS265" i="13"/>
  <c r="BQ264" i="13"/>
  <c r="AZ262" i="13"/>
  <c r="AC267" i="13"/>
  <c r="AF267" i="13" s="1"/>
  <c r="AE267" i="13"/>
  <c r="AU268" i="13"/>
  <c r="AT268" i="13"/>
  <c r="BS267" i="13"/>
  <c r="BG267" i="13"/>
  <c r="AQ270" i="13"/>
  <c r="BU269" i="13"/>
  <c r="AR268" i="13"/>
  <c r="AD268" i="13"/>
  <c r="BR267" i="13"/>
  <c r="BF267" i="13"/>
  <c r="AS267" i="13"/>
  <c r="AF270" i="13"/>
  <c r="AO268" i="13"/>
  <c r="BA268" i="13"/>
  <c r="AN268" i="13"/>
  <c r="BN267" i="13"/>
  <c r="U270" i="13"/>
  <c r="Z269" i="13"/>
  <c r="AB269" i="13" s="1"/>
  <c r="AC269" i="13" s="1"/>
  <c r="AF269" i="13" s="1"/>
  <c r="AZ268" i="13"/>
  <c r="AM268" i="13"/>
  <c r="AZ267" i="13"/>
  <c r="AE268" i="13"/>
  <c r="AC268" i="13"/>
  <c r="AF268" i="13" s="1"/>
  <c r="BN268" i="13"/>
  <c r="BV268" i="13"/>
  <c r="BJ268" i="13"/>
  <c r="BK268" i="13"/>
  <c r="BT268" i="13"/>
  <c r="BH268" i="13"/>
  <c r="BO268" i="13"/>
  <c r="BS268" i="13"/>
  <c r="BG268" i="13"/>
  <c r="AT271" i="13"/>
  <c r="BR268" i="13"/>
  <c r="BF268" i="13"/>
  <c r="BL268" i="13"/>
  <c r="BU268" i="13"/>
  <c r="BI268" i="13"/>
  <c r="AQ271" i="13"/>
  <c r="BS270" i="13"/>
  <c r="U269" i="13"/>
  <c r="AD269" i="13" s="1"/>
  <c r="BQ268" i="13"/>
  <c r="BE268" i="13"/>
  <c r="BT269" i="13"/>
  <c r="AD271" i="13"/>
  <c r="BO270" i="13"/>
  <c r="BA270" i="13"/>
  <c r="AM270" i="13"/>
  <c r="BR269" i="13"/>
  <c r="AX269" i="13"/>
  <c r="BN270" i="13"/>
  <c r="AZ270" i="13"/>
  <c r="AL270" i="13"/>
  <c r="BO269" i="13"/>
  <c r="AW269" i="13"/>
  <c r="BM270" i="13"/>
  <c r="AY270" i="13"/>
  <c r="AK270" i="13"/>
  <c r="BN269" i="13"/>
  <c r="AV269" i="13"/>
  <c r="AL271" i="13"/>
  <c r="BL270" i="13"/>
  <c r="AX270" i="13"/>
  <c r="AJ270" i="13"/>
  <c r="BL269" i="13"/>
  <c r="AU269" i="13"/>
  <c r="BP270" i="13"/>
  <c r="BP271" i="13"/>
  <c r="BO271" i="13"/>
  <c r="AN271" i="13"/>
  <c r="AM271" i="13"/>
  <c r="BA271" i="13"/>
  <c r="AK271" i="13"/>
  <c r="BK270" i="13"/>
  <c r="AW270" i="13"/>
  <c r="AI270" i="13"/>
  <c r="BK269" i="13"/>
  <c r="AM269" i="13"/>
  <c r="BJ269" i="13"/>
  <c r="AL269" i="13"/>
  <c r="BV270" i="13"/>
  <c r="BI270" i="13"/>
  <c r="AU270" i="13"/>
  <c r="BI269" i="13"/>
  <c r="AK269" i="13"/>
  <c r="AV270" i="13"/>
  <c r="AX271" i="13"/>
  <c r="BU270" i="13"/>
  <c r="BH270" i="13"/>
  <c r="AT270" i="13"/>
  <c r="AA270" i="13"/>
  <c r="BH269" i="13"/>
  <c r="AJ269" i="13"/>
  <c r="BS269" i="13"/>
  <c r="AO271" i="13"/>
  <c r="BD271" i="13"/>
  <c r="AZ271" i="13"/>
  <c r="BJ270" i="13"/>
  <c r="AY271" i="13"/>
  <c r="AW271" i="13"/>
  <c r="BT270" i="13"/>
  <c r="BG270" i="13"/>
  <c r="AR270" i="13"/>
  <c r="BV269" i="13"/>
  <c r="BG269" i="13"/>
  <c r="AI269" i="13"/>
  <c r="BM271" i="13"/>
  <c r="BL271" i="13"/>
  <c r="AS269" i="13"/>
  <c r="BU271" i="13"/>
  <c r="BI271" i="13"/>
  <c r="AV271" i="13"/>
  <c r="AJ271" i="13"/>
  <c r="BQ269" i="13"/>
  <c r="BE269" i="13"/>
  <c r="AR269" i="13"/>
  <c r="BT271" i="13"/>
  <c r="BH271" i="13"/>
  <c r="AU271" i="13"/>
  <c r="AI271" i="13"/>
  <c r="BR270" i="13"/>
  <c r="AS270" i="13"/>
  <c r="BP269" i="13"/>
  <c r="BD269" i="13"/>
  <c r="AQ269" i="13"/>
  <c r="AT269" i="13"/>
  <c r="BV271" i="13"/>
  <c r="BJ271" i="13"/>
  <c r="BG271" i="13"/>
  <c r="AE270" i="13"/>
  <c r="AP269" i="13"/>
  <c r="BN271" i="13"/>
  <c r="BR271" i="13"/>
  <c r="BA269" i="13"/>
  <c r="AO269" i="13"/>
  <c r="BK271" i="13"/>
  <c r="BS271" i="13"/>
  <c r="BF271" i="13"/>
  <c r="AS271" i="13"/>
  <c r="BQ271" i="13"/>
  <c r="AZ269" i="13"/>
  <c r="AE252" i="13" l="1"/>
  <c r="AD265" i="13"/>
  <c r="AF263" i="13"/>
  <c r="AE263" i="13"/>
  <c r="AD270" i="13"/>
  <c r="AD260" i="13"/>
  <c r="AD264" i="13"/>
  <c r="AE271" i="13"/>
  <c r="AE269" i="13"/>
  <c r="B98" i="13"/>
  <c r="B97" i="13"/>
  <c r="B96" i="13"/>
  <c r="B95" i="13"/>
  <c r="B94" i="13"/>
  <c r="B93" i="13"/>
  <c r="B92" i="13"/>
  <c r="B91" i="13"/>
  <c r="B90" i="13"/>
  <c r="B89" i="13"/>
  <c r="B88" i="13"/>
  <c r="B87" i="13"/>
  <c r="B86" i="13"/>
  <c r="B85" i="13"/>
  <c r="B84" i="13"/>
  <c r="B83" i="13"/>
  <c r="B82" i="13"/>
  <c r="B81" i="13"/>
  <c r="B80" i="13"/>
  <c r="B79" i="13"/>
  <c r="B78" i="13"/>
  <c r="B77" i="13"/>
  <c r="B76" i="13"/>
  <c r="B75" i="13"/>
  <c r="B74" i="13"/>
  <c r="B73" i="13"/>
  <c r="B72" i="13"/>
  <c r="C76" i="13"/>
  <c r="D76" i="13"/>
  <c r="E76" i="13"/>
  <c r="K76" i="13"/>
  <c r="P76" i="13"/>
  <c r="S76" i="13"/>
  <c r="T76" i="13" s="1"/>
  <c r="V76" i="13" s="1"/>
  <c r="W76" i="13" s="1"/>
  <c r="Y76" i="13"/>
  <c r="AA76" i="13" s="1"/>
  <c r="AH76" i="13"/>
  <c r="AN76" i="13" s="1"/>
  <c r="BC76" i="13"/>
  <c r="BM76" i="13" s="1"/>
  <c r="C77" i="13"/>
  <c r="D77" i="13"/>
  <c r="E77" i="13"/>
  <c r="K77" i="13"/>
  <c r="P77" i="13"/>
  <c r="S77" i="13"/>
  <c r="T77" i="13" s="1"/>
  <c r="V77" i="13" s="1"/>
  <c r="W77" i="13" s="1"/>
  <c r="Y77" i="13"/>
  <c r="Z77" i="13" s="1"/>
  <c r="AB77" i="13" s="1"/>
  <c r="AH77" i="13"/>
  <c r="AP77" i="13" s="1"/>
  <c r="BC77" i="13"/>
  <c r="BD77" i="13" s="1"/>
  <c r="C78" i="13"/>
  <c r="D78" i="13"/>
  <c r="E78" i="13"/>
  <c r="K78" i="13"/>
  <c r="P78" i="13"/>
  <c r="S78" i="13"/>
  <c r="T78" i="13" s="1"/>
  <c r="V78" i="13" s="1"/>
  <c r="W78" i="13" s="1"/>
  <c r="Y78" i="13"/>
  <c r="AA78" i="13" s="1"/>
  <c r="AH78" i="13"/>
  <c r="AR78" i="13" s="1"/>
  <c r="BC78" i="13"/>
  <c r="BE78" i="13" s="1"/>
  <c r="C79" i="13"/>
  <c r="D79" i="13"/>
  <c r="E79" i="13"/>
  <c r="K79" i="13"/>
  <c r="P79" i="13"/>
  <c r="S79" i="13"/>
  <c r="T79" i="13" s="1"/>
  <c r="V79" i="13" s="1"/>
  <c r="W79" i="13" s="1"/>
  <c r="Y79" i="13"/>
  <c r="AA79" i="13" s="1"/>
  <c r="AH79" i="13"/>
  <c r="AI79" i="13" s="1"/>
  <c r="BC79" i="13"/>
  <c r="BG79" i="13" s="1"/>
  <c r="C80" i="13"/>
  <c r="D80" i="13"/>
  <c r="E80" i="13"/>
  <c r="K80" i="13"/>
  <c r="P80" i="13"/>
  <c r="S80" i="13"/>
  <c r="U80" i="13" s="1"/>
  <c r="Y80" i="13"/>
  <c r="Z80" i="13" s="1"/>
  <c r="AB80" i="13" s="1"/>
  <c r="AC80" i="13" s="1"/>
  <c r="AH80" i="13"/>
  <c r="AJ80" i="13" s="1"/>
  <c r="BC80" i="13"/>
  <c r="BI80" i="13" s="1"/>
  <c r="C81" i="13"/>
  <c r="D81" i="13"/>
  <c r="E81" i="13"/>
  <c r="K81" i="13"/>
  <c r="P81" i="13"/>
  <c r="S81" i="13"/>
  <c r="T81" i="13" s="1"/>
  <c r="V81" i="13" s="1"/>
  <c r="W81" i="13" s="1"/>
  <c r="Y81" i="13"/>
  <c r="AA81" i="13" s="1"/>
  <c r="AH81" i="13"/>
  <c r="AI81" i="13" s="1"/>
  <c r="BC81" i="13"/>
  <c r="BD81" i="13" s="1"/>
  <c r="C82" i="13"/>
  <c r="D82" i="13"/>
  <c r="E82" i="13"/>
  <c r="K82" i="13"/>
  <c r="P82" i="13"/>
  <c r="S82" i="13"/>
  <c r="T82" i="13" s="1"/>
  <c r="V82" i="13" s="1"/>
  <c r="W82" i="13" s="1"/>
  <c r="Y82" i="13"/>
  <c r="Z82" i="13" s="1"/>
  <c r="AB82" i="13" s="1"/>
  <c r="AH82" i="13"/>
  <c r="AJ82" i="13" s="1"/>
  <c r="BC82" i="13"/>
  <c r="BD82" i="13" s="1"/>
  <c r="C83" i="13"/>
  <c r="D83" i="13"/>
  <c r="E83" i="13"/>
  <c r="K83" i="13"/>
  <c r="P83" i="13"/>
  <c r="S83" i="13"/>
  <c r="T83" i="13" s="1"/>
  <c r="V83" i="13" s="1"/>
  <c r="W83" i="13" s="1"/>
  <c r="Y83" i="13"/>
  <c r="Z83" i="13" s="1"/>
  <c r="AB83" i="13" s="1"/>
  <c r="AH83" i="13"/>
  <c r="AI83" i="13" s="1"/>
  <c r="BC83" i="13"/>
  <c r="BE83" i="13" s="1"/>
  <c r="C84" i="13"/>
  <c r="D84" i="13"/>
  <c r="E84" i="13"/>
  <c r="K84" i="13"/>
  <c r="P84" i="13"/>
  <c r="S84" i="13"/>
  <c r="T84" i="13" s="1"/>
  <c r="V84" i="13" s="1"/>
  <c r="W84" i="13" s="1"/>
  <c r="Y84" i="13"/>
  <c r="AA84" i="13" s="1"/>
  <c r="AH84" i="13"/>
  <c r="AI84" i="13" s="1"/>
  <c r="BC84" i="13"/>
  <c r="BG84" i="13" s="1"/>
  <c r="C85" i="13"/>
  <c r="D85" i="13"/>
  <c r="E85" i="13"/>
  <c r="K85" i="13"/>
  <c r="P85" i="13"/>
  <c r="S85" i="13"/>
  <c r="T85" i="13" s="1"/>
  <c r="V85" i="13" s="1"/>
  <c r="W85" i="13" s="1"/>
  <c r="Y85" i="13"/>
  <c r="Z85" i="13" s="1"/>
  <c r="AB85" i="13" s="1"/>
  <c r="AH85" i="13"/>
  <c r="AJ85" i="13" s="1"/>
  <c r="BC85" i="13"/>
  <c r="BD85" i="13" s="1"/>
  <c r="C86" i="13"/>
  <c r="D86" i="13"/>
  <c r="E86" i="13"/>
  <c r="K86" i="13"/>
  <c r="P86" i="13"/>
  <c r="S86" i="13"/>
  <c r="T86" i="13" s="1"/>
  <c r="V86" i="13" s="1"/>
  <c r="W86" i="13" s="1"/>
  <c r="Y86" i="13"/>
  <c r="AA86" i="13" s="1"/>
  <c r="AH86" i="13"/>
  <c r="AN86" i="13" s="1"/>
  <c r="BC86" i="13"/>
  <c r="BM86" i="13" s="1"/>
  <c r="C87" i="13"/>
  <c r="D87" i="13"/>
  <c r="E87" i="13"/>
  <c r="K87" i="13"/>
  <c r="P87" i="13"/>
  <c r="S87" i="13"/>
  <c r="T87" i="13" s="1"/>
  <c r="V87" i="13" s="1"/>
  <c r="W87" i="13" s="1"/>
  <c r="Y87" i="13"/>
  <c r="Z87" i="13" s="1"/>
  <c r="AB87" i="13" s="1"/>
  <c r="AC87" i="13" s="1"/>
  <c r="AH87" i="13"/>
  <c r="AP87" i="13" s="1"/>
  <c r="BC87" i="13"/>
  <c r="BD87" i="13" s="1"/>
  <c r="C88" i="13"/>
  <c r="D88" i="13"/>
  <c r="E88" i="13"/>
  <c r="K88" i="13"/>
  <c r="P88" i="13"/>
  <c r="S88" i="13"/>
  <c r="U88" i="13" s="1"/>
  <c r="Y88" i="13"/>
  <c r="AA88" i="13" s="1"/>
  <c r="AH88" i="13"/>
  <c r="AR88" i="13" s="1"/>
  <c r="BC88" i="13"/>
  <c r="BE88" i="13" s="1"/>
  <c r="C89" i="13"/>
  <c r="D89" i="13"/>
  <c r="E89" i="13"/>
  <c r="K89" i="13"/>
  <c r="P89" i="13"/>
  <c r="S89" i="13"/>
  <c r="T89" i="13" s="1"/>
  <c r="V89" i="13" s="1"/>
  <c r="W89" i="13" s="1"/>
  <c r="Y89" i="13"/>
  <c r="Z89" i="13" s="1"/>
  <c r="AB89" i="13" s="1"/>
  <c r="AC89" i="13" s="1"/>
  <c r="AH89" i="13"/>
  <c r="AK89" i="13" s="1"/>
  <c r="BC89" i="13"/>
  <c r="BG89" i="13" s="1"/>
  <c r="C90" i="13"/>
  <c r="D90" i="13"/>
  <c r="E90" i="13"/>
  <c r="K90" i="13"/>
  <c r="P90" i="13"/>
  <c r="S90" i="13"/>
  <c r="T90" i="13" s="1"/>
  <c r="V90" i="13" s="1"/>
  <c r="W90" i="13" s="1"/>
  <c r="Y90" i="13"/>
  <c r="Z90" i="13" s="1"/>
  <c r="AB90" i="13" s="1"/>
  <c r="AH90" i="13"/>
  <c r="AJ90" i="13" s="1"/>
  <c r="BC90" i="13"/>
  <c r="BI90" i="13" s="1"/>
  <c r="C91" i="13"/>
  <c r="D91" i="13"/>
  <c r="E91" i="13"/>
  <c r="K91" i="13"/>
  <c r="P91" i="13"/>
  <c r="S91" i="13"/>
  <c r="T91" i="13" s="1"/>
  <c r="V91" i="13" s="1"/>
  <c r="W91" i="13" s="1"/>
  <c r="Y91" i="13"/>
  <c r="AA91" i="13" s="1"/>
  <c r="AH91" i="13"/>
  <c r="AN91" i="13" s="1"/>
  <c r="BC91" i="13"/>
  <c r="BM91" i="13" s="1"/>
  <c r="C92" i="13"/>
  <c r="D92" i="13"/>
  <c r="E92" i="13"/>
  <c r="K92" i="13"/>
  <c r="P92" i="13"/>
  <c r="S92" i="13"/>
  <c r="T92" i="13" s="1"/>
  <c r="V92" i="13" s="1"/>
  <c r="W92" i="13" s="1"/>
  <c r="Y92" i="13"/>
  <c r="Z92" i="13" s="1"/>
  <c r="AB92" i="13" s="1"/>
  <c r="AH92" i="13"/>
  <c r="AP92" i="13" s="1"/>
  <c r="BC92" i="13"/>
  <c r="BD92" i="13" s="1"/>
  <c r="C93" i="13"/>
  <c r="D93" i="13"/>
  <c r="E93" i="13"/>
  <c r="K93" i="13"/>
  <c r="P93" i="13"/>
  <c r="S93" i="13"/>
  <c r="U93" i="13" s="1"/>
  <c r="Y93" i="13"/>
  <c r="AA93" i="13" s="1"/>
  <c r="AH93" i="13"/>
  <c r="AR93" i="13" s="1"/>
  <c r="BC93" i="13"/>
  <c r="BE93" i="13" s="1"/>
  <c r="C94" i="13"/>
  <c r="D94" i="13"/>
  <c r="E94" i="13"/>
  <c r="K94" i="13"/>
  <c r="P94" i="13"/>
  <c r="S94" i="13"/>
  <c r="T94" i="13" s="1"/>
  <c r="V94" i="13" s="1"/>
  <c r="W94" i="13" s="1"/>
  <c r="Y94" i="13"/>
  <c r="AA94" i="13" s="1"/>
  <c r="AH94" i="13"/>
  <c r="AI94" i="13" s="1"/>
  <c r="BC94" i="13"/>
  <c r="BG94" i="13" s="1"/>
  <c r="C95" i="13"/>
  <c r="D95" i="13"/>
  <c r="E95" i="13"/>
  <c r="K95" i="13"/>
  <c r="P95" i="13"/>
  <c r="S95" i="13"/>
  <c r="T95" i="13" s="1"/>
  <c r="V95" i="13" s="1"/>
  <c r="W95" i="13" s="1"/>
  <c r="Y95" i="13"/>
  <c r="Z95" i="13" s="1"/>
  <c r="AB95" i="13" s="1"/>
  <c r="AH95" i="13"/>
  <c r="AJ95" i="13" s="1"/>
  <c r="BC95" i="13"/>
  <c r="BI95" i="13" s="1"/>
  <c r="C96" i="13"/>
  <c r="D96" i="13"/>
  <c r="E96" i="13"/>
  <c r="K96" i="13"/>
  <c r="P96" i="13"/>
  <c r="S96" i="13"/>
  <c r="T96" i="13" s="1"/>
  <c r="V96" i="13" s="1"/>
  <c r="W96" i="13" s="1"/>
  <c r="Y96" i="13"/>
  <c r="AA96" i="13" s="1"/>
  <c r="AH96" i="13"/>
  <c r="AN96" i="13" s="1"/>
  <c r="BC96" i="13"/>
  <c r="BM96" i="13" s="1"/>
  <c r="C97" i="13"/>
  <c r="D97" i="13"/>
  <c r="E97" i="13"/>
  <c r="K97" i="13"/>
  <c r="P97" i="13"/>
  <c r="S97" i="13"/>
  <c r="U97" i="13" s="1"/>
  <c r="Y97" i="13"/>
  <c r="AA97" i="13" s="1"/>
  <c r="AH97" i="13"/>
  <c r="AN97" i="13" s="1"/>
  <c r="BC97" i="13"/>
  <c r="BM97" i="13" s="1"/>
  <c r="C72" i="13"/>
  <c r="D72" i="13"/>
  <c r="E72" i="13"/>
  <c r="K72" i="13"/>
  <c r="P72" i="13"/>
  <c r="S72" i="13"/>
  <c r="T72" i="13" s="1"/>
  <c r="V72" i="13" s="1"/>
  <c r="W72" i="13" s="1"/>
  <c r="Y72" i="13"/>
  <c r="AA72" i="13" s="1"/>
  <c r="AH72" i="13"/>
  <c r="AN72" i="13" s="1"/>
  <c r="BC72" i="13"/>
  <c r="BN72" i="13" s="1"/>
  <c r="C73" i="13"/>
  <c r="D73" i="13"/>
  <c r="E73" i="13"/>
  <c r="K73" i="13"/>
  <c r="P73" i="13"/>
  <c r="S73" i="13"/>
  <c r="U73" i="13" s="1"/>
  <c r="Y73" i="13"/>
  <c r="Z73" i="13" s="1"/>
  <c r="AB73" i="13" s="1"/>
  <c r="AC73" i="13" s="1"/>
  <c r="AH73" i="13"/>
  <c r="AP73" i="13" s="1"/>
  <c r="BC73" i="13"/>
  <c r="BD73" i="13" s="1"/>
  <c r="C74" i="13"/>
  <c r="D74" i="13"/>
  <c r="E74" i="13"/>
  <c r="K74" i="13"/>
  <c r="P74" i="13"/>
  <c r="S74" i="13"/>
  <c r="U74" i="13" s="1"/>
  <c r="Y74" i="13"/>
  <c r="Z74" i="13" s="1"/>
  <c r="AB74" i="13" s="1"/>
  <c r="AH74" i="13"/>
  <c r="AS74" i="13" s="1"/>
  <c r="BC74" i="13"/>
  <c r="BE74" i="13" s="1"/>
  <c r="C75" i="13"/>
  <c r="D75" i="13"/>
  <c r="E75" i="13"/>
  <c r="K75" i="13"/>
  <c r="P75" i="13"/>
  <c r="S75" i="13"/>
  <c r="T75" i="13" s="1"/>
  <c r="V75" i="13" s="1"/>
  <c r="Y75" i="13"/>
  <c r="AA75" i="13" s="1"/>
  <c r="AH75" i="13"/>
  <c r="AI75" i="13" s="1"/>
  <c r="BC75" i="13"/>
  <c r="BG75" i="13" s="1"/>
  <c r="C98" i="13"/>
  <c r="D98" i="13"/>
  <c r="E98" i="13"/>
  <c r="K98" i="13"/>
  <c r="P98" i="13"/>
  <c r="S98" i="13"/>
  <c r="T98" i="13" s="1"/>
  <c r="V98" i="13" s="1"/>
  <c r="Y98" i="13"/>
  <c r="AA98" i="13" s="1"/>
  <c r="AH98" i="13"/>
  <c r="AJ98" i="13" s="1"/>
  <c r="BC98" i="13"/>
  <c r="BI98" i="13" s="1"/>
  <c r="BN84" i="13" l="1"/>
  <c r="AA92" i="13"/>
  <c r="T80" i="13"/>
  <c r="V80" i="13" s="1"/>
  <c r="W80" i="13" s="1"/>
  <c r="Z78" i="13"/>
  <c r="AB78" i="13" s="1"/>
  <c r="AR75" i="13"/>
  <c r="AQ80" i="13"/>
  <c r="BO84" i="13"/>
  <c r="AA83" i="13"/>
  <c r="AO93" i="13"/>
  <c r="AX79" i="13"/>
  <c r="Z86" i="13"/>
  <c r="AB86" i="13" s="1"/>
  <c r="AC86" i="13" s="1"/>
  <c r="AF86" i="13" s="1"/>
  <c r="BU76" i="13"/>
  <c r="U87" i="13"/>
  <c r="BT76" i="13"/>
  <c r="BO76" i="13"/>
  <c r="BA83" i="13"/>
  <c r="AT81" i="13"/>
  <c r="AO80" i="13"/>
  <c r="Z76" i="13"/>
  <c r="AB76" i="13" s="1"/>
  <c r="AC76" i="13" s="1"/>
  <c r="AF76" i="13" s="1"/>
  <c r="AW83" i="13"/>
  <c r="AS79" i="13"/>
  <c r="AP83" i="13"/>
  <c r="Z81" i="13"/>
  <c r="AB81" i="13" s="1"/>
  <c r="AC81" i="13" s="1"/>
  <c r="AF81" i="13" s="1"/>
  <c r="AR79" i="13"/>
  <c r="BG86" i="13"/>
  <c r="AO85" i="13"/>
  <c r="AO83" i="13"/>
  <c r="AI80" i="13"/>
  <c r="U76" i="13"/>
  <c r="AD76" i="13" s="1"/>
  <c r="AQ90" i="13"/>
  <c r="AA80" i="13"/>
  <c r="AD80" i="13" s="1"/>
  <c r="AY91" i="13"/>
  <c r="AW79" i="13"/>
  <c r="Z79" i="13"/>
  <c r="AB79" i="13" s="1"/>
  <c r="AC79" i="13" s="1"/>
  <c r="U77" i="13"/>
  <c r="AW76" i="13"/>
  <c r="Z93" i="13"/>
  <c r="AB93" i="13" s="1"/>
  <c r="AC93" i="13" s="1"/>
  <c r="U78" i="13"/>
  <c r="AD78" i="13" s="1"/>
  <c r="AV76" i="13"/>
  <c r="AI95" i="13"/>
  <c r="BN94" i="13"/>
  <c r="AM93" i="13"/>
  <c r="AL93" i="13"/>
  <c r="BA93" i="13"/>
  <c r="AP93" i="13"/>
  <c r="BH92" i="13"/>
  <c r="AU91" i="13"/>
  <c r="BT89" i="13"/>
  <c r="BJ89" i="13"/>
  <c r="BI89" i="13"/>
  <c r="BH89" i="13"/>
  <c r="BF89" i="13"/>
  <c r="BA85" i="13"/>
  <c r="BS80" i="13"/>
  <c r="BQ80" i="13"/>
  <c r="BN80" i="13"/>
  <c r="BM80" i="13"/>
  <c r="BG80" i="13"/>
  <c r="AJ79" i="13"/>
  <c r="AZ78" i="13"/>
  <c r="AV78" i="13"/>
  <c r="AI77" i="13"/>
  <c r="BL76" i="13"/>
  <c r="BE76" i="13"/>
  <c r="BI92" i="13"/>
  <c r="BE91" i="13"/>
  <c r="BP90" i="13"/>
  <c r="AI87" i="13"/>
  <c r="AK83" i="13"/>
  <c r="AX76" i="13"/>
  <c r="AZ80" i="13"/>
  <c r="AU80" i="13"/>
  <c r="AL78" i="13"/>
  <c r="AU76" i="13"/>
  <c r="AT80" i="13"/>
  <c r="BS77" i="13"/>
  <c r="AS76" i="13"/>
  <c r="BA80" i="13"/>
  <c r="AI89" i="13"/>
  <c r="AR80" i="13"/>
  <c r="BQ77" i="13"/>
  <c r="AY78" i="13"/>
  <c r="AK78" i="13"/>
  <c r="BG95" i="13"/>
  <c r="AX93" i="13"/>
  <c r="AU82" i="13"/>
  <c r="BP80" i="13"/>
  <c r="AV79" i="13"/>
  <c r="AX78" i="13"/>
  <c r="AJ78" i="13"/>
  <c r="BS76" i="13"/>
  <c r="BD95" i="13"/>
  <c r="AQ93" i="13"/>
  <c r="BH86" i="13"/>
  <c r="BK85" i="13"/>
  <c r="AO82" i="13"/>
  <c r="BO80" i="13"/>
  <c r="AT79" i="13"/>
  <c r="AW78" i="13"/>
  <c r="AI78" i="13"/>
  <c r="BQ76" i="13"/>
  <c r="AQ85" i="13"/>
  <c r="BH80" i="13"/>
  <c r="AN80" i="13"/>
  <c r="AQ79" i="13"/>
  <c r="AT78" i="13"/>
  <c r="BR77" i="13"/>
  <c r="BK76" i="13"/>
  <c r="AT76" i="13"/>
  <c r="AU78" i="13"/>
  <c r="AT84" i="13"/>
  <c r="AP79" i="13"/>
  <c r="AQ78" i="13"/>
  <c r="BJ76" i="13"/>
  <c r="AS84" i="13"/>
  <c r="AZ83" i="13"/>
  <c r="BE80" i="13"/>
  <c r="AO79" i="13"/>
  <c r="AP78" i="13"/>
  <c r="BF77" i="13"/>
  <c r="BI76" i="13"/>
  <c r="AR76" i="13"/>
  <c r="AR84" i="13"/>
  <c r="AY83" i="13"/>
  <c r="BD80" i="13"/>
  <c r="BA79" i="13"/>
  <c r="AN79" i="13"/>
  <c r="AO78" i="13"/>
  <c r="BE77" i="13"/>
  <c r="BH76" i="13"/>
  <c r="AQ76" i="13"/>
  <c r="AF80" i="13"/>
  <c r="AZ79" i="13"/>
  <c r="AM79" i="13"/>
  <c r="AN78" i="13"/>
  <c r="BG76" i="13"/>
  <c r="AM76" i="13"/>
  <c r="AU83" i="13"/>
  <c r="BT80" i="13"/>
  <c r="AY79" i="13"/>
  <c r="AL79" i="13"/>
  <c r="BA78" i="13"/>
  <c r="AM78" i="13"/>
  <c r="AK77" i="13"/>
  <c r="BV76" i="13"/>
  <c r="BF76" i="13"/>
  <c r="AU87" i="13"/>
  <c r="BM78" i="13"/>
  <c r="AT77" i="13"/>
  <c r="BN79" i="13"/>
  <c r="BJ77" i="13"/>
  <c r="AI72" i="13"/>
  <c r="BE92" i="13"/>
  <c r="BI91" i="13"/>
  <c r="BU89" i="13"/>
  <c r="AF89" i="13"/>
  <c r="AN87" i="13"/>
  <c r="AI85" i="13"/>
  <c r="BF84" i="13"/>
  <c r="AK82" i="13"/>
  <c r="AP81" i="13"/>
  <c r="BL79" i="13"/>
  <c r="BL78" i="13"/>
  <c r="BV77" i="13"/>
  <c r="BI77" i="13"/>
  <c r="AO77" i="13"/>
  <c r="AM87" i="13"/>
  <c r="BK86" i="13"/>
  <c r="BK79" i="13"/>
  <c r="BJ78" i="13"/>
  <c r="BU77" i="13"/>
  <c r="BH77" i="13"/>
  <c r="AN77" i="13"/>
  <c r="AI92" i="13"/>
  <c r="BQ89" i="13"/>
  <c r="AK87" i="13"/>
  <c r="BJ86" i="13"/>
  <c r="AY84" i="13"/>
  <c r="BF79" i="13"/>
  <c r="BD78" i="13"/>
  <c r="BT77" i="13"/>
  <c r="BG77" i="13"/>
  <c r="AL77" i="13"/>
  <c r="AU85" i="13"/>
  <c r="AQ84" i="13"/>
  <c r="BV83" i="13"/>
  <c r="BO77" i="13"/>
  <c r="BA77" i="13"/>
  <c r="BT92" i="13"/>
  <c r="BE89" i="13"/>
  <c r="BA87" i="13"/>
  <c r="AT85" i="13"/>
  <c r="AP84" i="13"/>
  <c r="BP83" i="13"/>
  <c r="AM83" i="13"/>
  <c r="BT82" i="13"/>
  <c r="AK79" i="13"/>
  <c r="BV78" i="13"/>
  <c r="BN77" i="13"/>
  <c r="AZ77" i="13"/>
  <c r="BR76" i="13"/>
  <c r="BD76" i="13"/>
  <c r="AL76" i="13"/>
  <c r="BV92" i="13"/>
  <c r="BL92" i="13"/>
  <c r="BA88" i="13"/>
  <c r="AY87" i="13"/>
  <c r="AS85" i="13"/>
  <c r="AO84" i="13"/>
  <c r="BO83" i="13"/>
  <c r="BU78" i="13"/>
  <c r="BM77" i="13"/>
  <c r="AX77" i="13"/>
  <c r="AJ76" i="13"/>
  <c r="BK92" i="13"/>
  <c r="AJ89" i="13"/>
  <c r="AO88" i="13"/>
  <c r="AX87" i="13"/>
  <c r="AR85" i="13"/>
  <c r="BR84" i="13"/>
  <c r="AM84" i="13"/>
  <c r="BJ83" i="13"/>
  <c r="AX82" i="13"/>
  <c r="BT81" i="13"/>
  <c r="BR79" i="13"/>
  <c r="BP78" i="13"/>
  <c r="BL77" i="13"/>
  <c r="AW77" i="13"/>
  <c r="BP76" i="13"/>
  <c r="AY76" i="13"/>
  <c r="AI76" i="13"/>
  <c r="AV87" i="13"/>
  <c r="BD83" i="13"/>
  <c r="BO79" i="13"/>
  <c r="BO78" i="13"/>
  <c r="BK77" i="13"/>
  <c r="AU77" i="13"/>
  <c r="AF79" i="13"/>
  <c r="AE78" i="13"/>
  <c r="AC78" i="13"/>
  <c r="AF78" i="13" s="1"/>
  <c r="AC77" i="13"/>
  <c r="AF77" i="13" s="1"/>
  <c r="AE77" i="13"/>
  <c r="BO88" i="13"/>
  <c r="BO85" i="13"/>
  <c r="AP90" i="13"/>
  <c r="BN88" i="13"/>
  <c r="BA82" i="13"/>
  <c r="AN82" i="13"/>
  <c r="BJ81" i="13"/>
  <c r="AS81" i="13"/>
  <c r="BQ79" i="13"/>
  <c r="BE79" i="13"/>
  <c r="AA77" i="13"/>
  <c r="BK81" i="13"/>
  <c r="AM88" i="13"/>
  <c r="BN85" i="13"/>
  <c r="AL73" i="13"/>
  <c r="AA95" i="13"/>
  <c r="BJ92" i="13"/>
  <c r="AI90" i="13"/>
  <c r="BL88" i="13"/>
  <c r="AK88" i="13"/>
  <c r="AZ87" i="13"/>
  <c r="AL87" i="13"/>
  <c r="BL86" i="13"/>
  <c r="BM85" i="13"/>
  <c r="AN83" i="13"/>
  <c r="AZ82" i="13"/>
  <c r="AM82" i="13"/>
  <c r="BV81" i="13"/>
  <c r="BI81" i="13"/>
  <c r="AR81" i="13"/>
  <c r="BR80" i="13"/>
  <c r="BF80" i="13"/>
  <c r="AS80" i="13"/>
  <c r="BP79" i="13"/>
  <c r="BD79" i="13"/>
  <c r="BN78" i="13"/>
  <c r="AY77" i="13"/>
  <c r="AM77" i="13"/>
  <c r="AK76" i="13"/>
  <c r="T97" i="13"/>
  <c r="V97" i="13" s="1"/>
  <c r="W97" i="13" s="1"/>
  <c r="Z94" i="13"/>
  <c r="AB94" i="13" s="1"/>
  <c r="AC94" i="13" s="1"/>
  <c r="AF94" i="13" s="1"/>
  <c r="AA89" i="13"/>
  <c r="BD88" i="13"/>
  <c r="BL85" i="13"/>
  <c r="BV82" i="13"/>
  <c r="AY82" i="13"/>
  <c r="AL82" i="13"/>
  <c r="BU81" i="13"/>
  <c r="BH81" i="13"/>
  <c r="AQ81" i="13"/>
  <c r="U81" i="13"/>
  <c r="AD81" i="13" s="1"/>
  <c r="AE80" i="13"/>
  <c r="BV85" i="13"/>
  <c r="BJ85" i="13"/>
  <c r="BO82" i="13"/>
  <c r="AW82" i="13"/>
  <c r="AI82" i="13"/>
  <c r="BR81" i="13"/>
  <c r="BA81" i="13"/>
  <c r="AO81" i="13"/>
  <c r="AP80" i="13"/>
  <c r="BM79" i="13"/>
  <c r="BK78" i="13"/>
  <c r="AV77" i="13"/>
  <c r="AJ77" i="13"/>
  <c r="BQ81" i="13"/>
  <c r="AZ81" i="13"/>
  <c r="AN81" i="13"/>
  <c r="BS92" i="13"/>
  <c r="BT85" i="13"/>
  <c r="BH85" i="13"/>
  <c r="BM82" i="13"/>
  <c r="AT82" i="13"/>
  <c r="BP81" i="13"/>
  <c r="AY81" i="13"/>
  <c r="AM81" i="13"/>
  <c r="BI78" i="13"/>
  <c r="BQ92" i="13"/>
  <c r="AW88" i="13"/>
  <c r="AS87" i="13"/>
  <c r="BS85" i="13"/>
  <c r="BG85" i="13"/>
  <c r="AX81" i="13"/>
  <c r="AL81" i="13"/>
  <c r="BL80" i="13"/>
  <c r="AY80" i="13"/>
  <c r="AM80" i="13"/>
  <c r="BJ79" i="13"/>
  <c r="BT78" i="13"/>
  <c r="BH78" i="13"/>
  <c r="AS77" i="13"/>
  <c r="AR77" i="13"/>
  <c r="AP76" i="13"/>
  <c r="AY88" i="13"/>
  <c r="BU85" i="13"/>
  <c r="BI85" i="13"/>
  <c r="AU90" i="13"/>
  <c r="AV89" i="13"/>
  <c r="AT88" i="13"/>
  <c r="AR87" i="13"/>
  <c r="BR85" i="13"/>
  <c r="BF85" i="13"/>
  <c r="BN83" i="13"/>
  <c r="AS83" i="13"/>
  <c r="BK82" i="13"/>
  <c r="AR82" i="13"/>
  <c r="BN81" i="13"/>
  <c r="AW81" i="13"/>
  <c r="AK81" i="13"/>
  <c r="BK80" i="13"/>
  <c r="AX80" i="13"/>
  <c r="AL80" i="13"/>
  <c r="BU79" i="13"/>
  <c r="BI79" i="13"/>
  <c r="BS78" i="13"/>
  <c r="BG78" i="13"/>
  <c r="BL97" i="13"/>
  <c r="AT95" i="13"/>
  <c r="BR94" i="13"/>
  <c r="BN92" i="13"/>
  <c r="AM91" i="13"/>
  <c r="AT90" i="13"/>
  <c r="AU89" i="13"/>
  <c r="AQ88" i="13"/>
  <c r="AQ87" i="13"/>
  <c r="BQ85" i="13"/>
  <c r="BE85" i="13"/>
  <c r="Z84" i="13"/>
  <c r="AB84" i="13" s="1"/>
  <c r="AC84" i="13" s="1"/>
  <c r="AF84" i="13" s="1"/>
  <c r="BM83" i="13"/>
  <c r="AR83" i="13"/>
  <c r="BJ82" i="13"/>
  <c r="AQ82" i="13"/>
  <c r="BM81" i="13"/>
  <c r="AV81" i="13"/>
  <c r="AJ81" i="13"/>
  <c r="BV80" i="13"/>
  <c r="BJ80" i="13"/>
  <c r="AW80" i="13"/>
  <c r="AK80" i="13"/>
  <c r="BT79" i="13"/>
  <c r="BH79" i="13"/>
  <c r="AU79" i="13"/>
  <c r="U79" i="13"/>
  <c r="AD79" i="13" s="1"/>
  <c r="BR78" i="13"/>
  <c r="BF78" i="13"/>
  <c r="AS78" i="13"/>
  <c r="BP77" i="13"/>
  <c r="AQ77" i="13"/>
  <c r="BN76" i="13"/>
  <c r="BA76" i="13"/>
  <c r="AO76" i="13"/>
  <c r="BN82" i="13"/>
  <c r="AX88" i="13"/>
  <c r="AT87" i="13"/>
  <c r="AT83" i="13"/>
  <c r="BL82" i="13"/>
  <c r="AS82" i="13"/>
  <c r="BO81" i="13"/>
  <c r="BV79" i="13"/>
  <c r="BO92" i="13"/>
  <c r="U98" i="13"/>
  <c r="AD98" i="13" s="1"/>
  <c r="BQ72" i="13"/>
  <c r="BK97" i="13"/>
  <c r="AQ95" i="13"/>
  <c r="BO94" i="13"/>
  <c r="BP93" i="13"/>
  <c r="BM92" i="13"/>
  <c r="AS90" i="13"/>
  <c r="BV89" i="13"/>
  <c r="AT89" i="13"/>
  <c r="BP88" i="13"/>
  <c r="AP88" i="13"/>
  <c r="BO87" i="13"/>
  <c r="AO87" i="13"/>
  <c r="BP85" i="13"/>
  <c r="U85" i="13"/>
  <c r="BA84" i="13"/>
  <c r="BL83" i="13"/>
  <c r="AQ83" i="13"/>
  <c r="BH82" i="13"/>
  <c r="AP82" i="13"/>
  <c r="BL81" i="13"/>
  <c r="AU81" i="13"/>
  <c r="BU80" i="13"/>
  <c r="AV80" i="13"/>
  <c r="BS79" i="13"/>
  <c r="BQ78" i="13"/>
  <c r="AZ76" i="13"/>
  <c r="AC85" i="13"/>
  <c r="AF85" i="13" s="1"/>
  <c r="AE85" i="13"/>
  <c r="AE83" i="13"/>
  <c r="AC83" i="13"/>
  <c r="AF83" i="13" s="1"/>
  <c r="AC82" i="13"/>
  <c r="AF82" i="13" s="1"/>
  <c r="AE82" i="13"/>
  <c r="BN87" i="13"/>
  <c r="BQ84" i="13"/>
  <c r="BE84" i="13"/>
  <c r="AA82" i="13"/>
  <c r="U86" i="13"/>
  <c r="AD86" i="13" s="1"/>
  <c r="BP84" i="13"/>
  <c r="BD84" i="13"/>
  <c r="BM87" i="13"/>
  <c r="AS89" i="13"/>
  <c r="BL87" i="13"/>
  <c r="AR89" i="13"/>
  <c r="BK87" i="13"/>
  <c r="BO74" i="13"/>
  <c r="AZ73" i="13"/>
  <c r="BF97" i="13"/>
  <c r="BE94" i="13"/>
  <c r="BU92" i="13"/>
  <c r="BG92" i="13"/>
  <c r="AT91" i="13"/>
  <c r="BT90" i="13"/>
  <c r="BR89" i="13"/>
  <c r="BD89" i="13"/>
  <c r="AQ89" i="13"/>
  <c r="BK88" i="13"/>
  <c r="AL88" i="13"/>
  <c r="BV87" i="13"/>
  <c r="BJ87" i="13"/>
  <c r="AW87" i="13"/>
  <c r="AJ87" i="13"/>
  <c r="BF86" i="13"/>
  <c r="AP85" i="13"/>
  <c r="BM84" i="13"/>
  <c r="AZ84" i="13"/>
  <c r="AN84" i="13"/>
  <c r="BK83" i="13"/>
  <c r="AX83" i="13"/>
  <c r="AL83" i="13"/>
  <c r="BU82" i="13"/>
  <c r="BI82" i="13"/>
  <c r="AV82" i="13"/>
  <c r="BS81" i="13"/>
  <c r="BG81" i="13"/>
  <c r="AP89" i="13"/>
  <c r="BL84" i="13"/>
  <c r="U82" i="13"/>
  <c r="BF81" i="13"/>
  <c r="AI74" i="13"/>
  <c r="AL97" i="13"/>
  <c r="AY96" i="13"/>
  <c r="BT95" i="13"/>
  <c r="AY94" i="13"/>
  <c r="AI91" i="13"/>
  <c r="BO90" i="13"/>
  <c r="U90" i="13"/>
  <c r="BP89" i="13"/>
  <c r="BA89" i="13"/>
  <c r="AO89" i="13"/>
  <c r="BT87" i="13"/>
  <c r="BH87" i="13"/>
  <c r="BV86" i="13"/>
  <c r="AY86" i="13"/>
  <c r="AZ85" i="13"/>
  <c r="AN85" i="13"/>
  <c r="AA85" i="13"/>
  <c r="BK84" i="13"/>
  <c r="AX84" i="13"/>
  <c r="AL84" i="13"/>
  <c r="BU83" i="13"/>
  <c r="BI83" i="13"/>
  <c r="AV83" i="13"/>
  <c r="AJ83" i="13"/>
  <c r="BS82" i="13"/>
  <c r="BG82" i="13"/>
  <c r="BE81" i="13"/>
  <c r="AX96" i="13"/>
  <c r="BS95" i="13"/>
  <c r="AX94" i="13"/>
  <c r="BA92" i="13"/>
  <c r="BH90" i="13"/>
  <c r="BO89" i="13"/>
  <c r="AZ89" i="13"/>
  <c r="AN89" i="13"/>
  <c r="Z88" i="13"/>
  <c r="AB88" i="13" s="1"/>
  <c r="AC88" i="13" s="1"/>
  <c r="BS87" i="13"/>
  <c r="BG87" i="13"/>
  <c r="BT86" i="13"/>
  <c r="AU86" i="13"/>
  <c r="AY85" i="13"/>
  <c r="AM85" i="13"/>
  <c r="BV84" i="13"/>
  <c r="BJ84" i="13"/>
  <c r="AW84" i="13"/>
  <c r="AK84" i="13"/>
  <c r="BT83" i="13"/>
  <c r="BH83" i="13"/>
  <c r="U83" i="13"/>
  <c r="BR82" i="13"/>
  <c r="BF82" i="13"/>
  <c r="BU87" i="13"/>
  <c r="BI87" i="13"/>
  <c r="T73" i="13"/>
  <c r="V73" i="13" s="1"/>
  <c r="W73" i="13" s="1"/>
  <c r="AF73" i="13" s="1"/>
  <c r="AT96" i="13"/>
  <c r="BP95" i="13"/>
  <c r="AS94" i="13"/>
  <c r="T93" i="13"/>
  <c r="V93" i="13" s="1"/>
  <c r="W93" i="13" s="1"/>
  <c r="AZ92" i="13"/>
  <c r="Z91" i="13"/>
  <c r="AB91" i="13" s="1"/>
  <c r="AE91" i="13" s="1"/>
  <c r="BD90" i="13"/>
  <c r="BN89" i="13"/>
  <c r="AY89" i="13"/>
  <c r="AM89" i="13"/>
  <c r="BR87" i="13"/>
  <c r="BF87" i="13"/>
  <c r="AA87" i="13"/>
  <c r="BS86" i="13"/>
  <c r="AM86" i="13"/>
  <c r="AX85" i="13"/>
  <c r="AL85" i="13"/>
  <c r="BU84" i="13"/>
  <c r="BI84" i="13"/>
  <c r="AV84" i="13"/>
  <c r="AJ84" i="13"/>
  <c r="BS83" i="13"/>
  <c r="BG83" i="13"/>
  <c r="BQ82" i="13"/>
  <c r="BE82" i="13"/>
  <c r="Z98" i="13"/>
  <c r="AB98" i="13" s="1"/>
  <c r="AC98" i="13" s="1"/>
  <c r="AL96" i="13"/>
  <c r="BO95" i="13"/>
  <c r="AJ94" i="13"/>
  <c r="AV92" i="13"/>
  <c r="BT91" i="13"/>
  <c r="BM89" i="13"/>
  <c r="AX89" i="13"/>
  <c r="AL89" i="13"/>
  <c r="T88" i="13"/>
  <c r="V88" i="13" s="1"/>
  <c r="W88" i="13" s="1"/>
  <c r="BQ87" i="13"/>
  <c r="BE87" i="13"/>
  <c r="BR86" i="13"/>
  <c r="AI86" i="13"/>
  <c r="AW85" i="13"/>
  <c r="AK85" i="13"/>
  <c r="BT84" i="13"/>
  <c r="BH84" i="13"/>
  <c r="AU84" i="13"/>
  <c r="U84" i="13"/>
  <c r="AD84" i="13" s="1"/>
  <c r="BR83" i="13"/>
  <c r="BF83" i="13"/>
  <c r="BP82" i="13"/>
  <c r="AU92" i="13"/>
  <c r="BS91" i="13"/>
  <c r="BL89" i="13"/>
  <c r="AW89" i="13"/>
  <c r="BP87" i="13"/>
  <c r="BO86" i="13"/>
  <c r="AV85" i="13"/>
  <c r="BS84" i="13"/>
  <c r="BQ83" i="13"/>
  <c r="AC90" i="13"/>
  <c r="AF90" i="13" s="1"/>
  <c r="AE90" i="13"/>
  <c r="AF87" i="13"/>
  <c r="AD88" i="13"/>
  <c r="BO93" i="13"/>
  <c r="BH91" i="13"/>
  <c r="BS90" i="13"/>
  <c r="BG90" i="13"/>
  <c r="AE89" i="13"/>
  <c r="AX86" i="13"/>
  <c r="AL86" i="13"/>
  <c r="AP75" i="13"/>
  <c r="AV94" i="13"/>
  <c r="BL93" i="13"/>
  <c r="AX92" i="13"/>
  <c r="BV91" i="13"/>
  <c r="BG91" i="13"/>
  <c r="U91" i="13"/>
  <c r="AD91" i="13" s="1"/>
  <c r="BR90" i="13"/>
  <c r="BF90" i="13"/>
  <c r="AW86" i="13"/>
  <c r="AK86" i="13"/>
  <c r="BJ97" i="13"/>
  <c r="AN75" i="13"/>
  <c r="BH97" i="13"/>
  <c r="AU96" i="13"/>
  <c r="BQ94" i="13"/>
  <c r="AT94" i="13"/>
  <c r="BD93" i="13"/>
  <c r="AN93" i="13"/>
  <c r="AW92" i="13"/>
  <c r="BU91" i="13"/>
  <c r="BF91" i="13"/>
  <c r="BQ90" i="13"/>
  <c r="BE90" i="13"/>
  <c r="AR90" i="13"/>
  <c r="BM88" i="13"/>
  <c r="AZ88" i="13"/>
  <c r="AN88" i="13"/>
  <c r="BU86" i="13"/>
  <c r="BI86" i="13"/>
  <c r="AV86" i="13"/>
  <c r="AJ86" i="13"/>
  <c r="BV96" i="13"/>
  <c r="AR94" i="13"/>
  <c r="BU96" i="13"/>
  <c r="AT92" i="13"/>
  <c r="U92" i="13"/>
  <c r="AD92" i="13" s="1"/>
  <c r="BR91" i="13"/>
  <c r="AS86" i="13"/>
  <c r="U95" i="13"/>
  <c r="BM94" i="13"/>
  <c r="AQ94" i="13"/>
  <c r="AZ93" i="13"/>
  <c r="AK93" i="13"/>
  <c r="BN90" i="13"/>
  <c r="BA90" i="13"/>
  <c r="AO90" i="13"/>
  <c r="BV88" i="13"/>
  <c r="BJ88" i="13"/>
  <c r="BS96" i="13"/>
  <c r="Z96" i="13"/>
  <c r="AB96" i="13" s="1"/>
  <c r="AE96" i="13" s="1"/>
  <c r="BH95" i="13"/>
  <c r="BF94" i="13"/>
  <c r="AP94" i="13"/>
  <c r="AY93" i="13"/>
  <c r="AJ93" i="13"/>
  <c r="AO92" i="13"/>
  <c r="BQ91" i="13"/>
  <c r="BM90" i="13"/>
  <c r="AZ90" i="13"/>
  <c r="AN90" i="13"/>
  <c r="AA90" i="13"/>
  <c r="BK89" i="13"/>
  <c r="BU88" i="13"/>
  <c r="BI88" i="13"/>
  <c r="AV88" i="13"/>
  <c r="AJ88" i="13"/>
  <c r="BQ86" i="13"/>
  <c r="BE86" i="13"/>
  <c r="AR86" i="13"/>
  <c r="AO94" i="13"/>
  <c r="AN92" i="13"/>
  <c r="BO91" i="13"/>
  <c r="BL90" i="13"/>
  <c r="AY90" i="13"/>
  <c r="AM90" i="13"/>
  <c r="BT88" i="13"/>
  <c r="BH88" i="13"/>
  <c r="AU88" i="13"/>
  <c r="AI88" i="13"/>
  <c r="BP86" i="13"/>
  <c r="BD86" i="13"/>
  <c r="AQ86" i="13"/>
  <c r="BQ96" i="13"/>
  <c r="AL92" i="13"/>
  <c r="BS88" i="13"/>
  <c r="BG88" i="13"/>
  <c r="AE87" i="13"/>
  <c r="AP86" i="13"/>
  <c r="BK90" i="13"/>
  <c r="AX90" i="13"/>
  <c r="AL90" i="13"/>
  <c r="BA94" i="13"/>
  <c r="AM94" i="13"/>
  <c r="AV93" i="13"/>
  <c r="AD93" i="13"/>
  <c r="BJ90" i="13"/>
  <c r="AK90" i="13"/>
  <c r="U89" i="13"/>
  <c r="BR88" i="13"/>
  <c r="BF88" i="13"/>
  <c r="AS88" i="13"/>
  <c r="BN86" i="13"/>
  <c r="BA86" i="13"/>
  <c r="AO86" i="13"/>
  <c r="AT86" i="13"/>
  <c r="BR96" i="13"/>
  <c r="BR75" i="13"/>
  <c r="AN94" i="13"/>
  <c r="AW93" i="13"/>
  <c r="BL91" i="13"/>
  <c r="BF75" i="13"/>
  <c r="BG96" i="13"/>
  <c r="AK92" i="13"/>
  <c r="BK91" i="13"/>
  <c r="BV90" i="13"/>
  <c r="AW90" i="13"/>
  <c r="BE75" i="13"/>
  <c r="BU73" i="13"/>
  <c r="BO97" i="13"/>
  <c r="BF96" i="13"/>
  <c r="AU95" i="13"/>
  <c r="AZ94" i="13"/>
  <c r="AL94" i="13"/>
  <c r="AT93" i="13"/>
  <c r="AJ92" i="13"/>
  <c r="BJ91" i="13"/>
  <c r="BU90" i="13"/>
  <c r="AV90" i="13"/>
  <c r="BS89" i="13"/>
  <c r="BQ88" i="13"/>
  <c r="AZ86" i="13"/>
  <c r="AC92" i="13"/>
  <c r="AF92" i="13" s="1"/>
  <c r="AE92" i="13"/>
  <c r="AC95" i="13"/>
  <c r="AF95" i="13" s="1"/>
  <c r="AE95" i="13"/>
  <c r="AX91" i="13"/>
  <c r="AL91" i="13"/>
  <c r="BP75" i="13"/>
  <c r="T74" i="13"/>
  <c r="V74" i="13" s="1"/>
  <c r="W74" i="13" s="1"/>
  <c r="AK73" i="13"/>
  <c r="BP72" i="13"/>
  <c r="Z97" i="13"/>
  <c r="AB97" i="13" s="1"/>
  <c r="AC97" i="13" s="1"/>
  <c r="BT96" i="13"/>
  <c r="BE96" i="13"/>
  <c r="U96" i="13"/>
  <c r="AD96" i="13" s="1"/>
  <c r="BR95" i="13"/>
  <c r="BF95" i="13"/>
  <c r="AS95" i="13"/>
  <c r="BP94" i="13"/>
  <c r="BD94" i="13"/>
  <c r="BN93" i="13"/>
  <c r="AY92" i="13"/>
  <c r="AM92" i="13"/>
  <c r="AW91" i="13"/>
  <c r="AK91" i="13"/>
  <c r="AJ73" i="13"/>
  <c r="BD72" i="13"/>
  <c r="AD97" i="13"/>
  <c r="BQ95" i="13"/>
  <c r="BE95" i="13"/>
  <c r="AR95" i="13"/>
  <c r="BM93" i="13"/>
  <c r="AV91" i="13"/>
  <c r="AJ91" i="13"/>
  <c r="BK93" i="13"/>
  <c r="AS91" i="13"/>
  <c r="BO96" i="13"/>
  <c r="BV93" i="13"/>
  <c r="BJ93" i="13"/>
  <c r="BM95" i="13"/>
  <c r="AN95" i="13"/>
  <c r="BU93" i="13"/>
  <c r="BI93" i="13"/>
  <c r="AR91" i="13"/>
  <c r="AO75" i="13"/>
  <c r="U72" i="13"/>
  <c r="AD72" i="13" s="1"/>
  <c r="BG97" i="13"/>
  <c r="BK96" i="13"/>
  <c r="AM96" i="13"/>
  <c r="BL95" i="13"/>
  <c r="AY95" i="13"/>
  <c r="AM95" i="13"/>
  <c r="BV94" i="13"/>
  <c r="BJ94" i="13"/>
  <c r="AW94" i="13"/>
  <c r="AK94" i="13"/>
  <c r="BT93" i="13"/>
  <c r="BH93" i="13"/>
  <c r="AU93" i="13"/>
  <c r="AI93" i="13"/>
  <c r="BR92" i="13"/>
  <c r="BF92" i="13"/>
  <c r="AS92" i="13"/>
  <c r="BP91" i="13"/>
  <c r="BD91" i="13"/>
  <c r="AQ91" i="13"/>
  <c r="AZ95" i="13"/>
  <c r="BK94" i="13"/>
  <c r="BJ96" i="13"/>
  <c r="BS93" i="13"/>
  <c r="AR92" i="13"/>
  <c r="AP91" i="13"/>
  <c r="BN95" i="13"/>
  <c r="BA95" i="13"/>
  <c r="AO95" i="13"/>
  <c r="BL94" i="13"/>
  <c r="BL96" i="13"/>
  <c r="BK95" i="13"/>
  <c r="AX95" i="13"/>
  <c r="AL95" i="13"/>
  <c r="BU94" i="13"/>
  <c r="BI94" i="13"/>
  <c r="BI96" i="13"/>
  <c r="AI96" i="13"/>
  <c r="BV95" i="13"/>
  <c r="BJ95" i="13"/>
  <c r="AW95" i="13"/>
  <c r="AK95" i="13"/>
  <c r="BT94" i="13"/>
  <c r="BH94" i="13"/>
  <c r="AU94" i="13"/>
  <c r="U94" i="13"/>
  <c r="AD94" i="13" s="1"/>
  <c r="BR93" i="13"/>
  <c r="BF93" i="13"/>
  <c r="AS93" i="13"/>
  <c r="BP92" i="13"/>
  <c r="AQ92" i="13"/>
  <c r="BN91" i="13"/>
  <c r="BA91" i="13"/>
  <c r="AO91" i="13"/>
  <c r="AP95" i="13"/>
  <c r="BG93" i="13"/>
  <c r="BF98" i="13"/>
  <c r="BE98" i="13"/>
  <c r="Z75" i="13"/>
  <c r="AB75" i="13" s="1"/>
  <c r="AC75" i="13" s="1"/>
  <c r="BA73" i="13"/>
  <c r="AM97" i="13"/>
  <c r="BH96" i="13"/>
  <c r="BU95" i="13"/>
  <c r="AV95" i="13"/>
  <c r="BS94" i="13"/>
  <c r="BQ93" i="13"/>
  <c r="AZ91" i="13"/>
  <c r="AI97" i="13"/>
  <c r="AW96" i="13"/>
  <c r="AK96" i="13"/>
  <c r="AV96" i="13"/>
  <c r="AJ96" i="13"/>
  <c r="BA74" i="13"/>
  <c r="BS98" i="13"/>
  <c r="BA75" i="13"/>
  <c r="AN74" i="13"/>
  <c r="AA73" i="13"/>
  <c r="AD73" i="13" s="1"/>
  <c r="BV97" i="13"/>
  <c r="AY97" i="13"/>
  <c r="BP96" i="13"/>
  <c r="BD96" i="13"/>
  <c r="AQ96" i="13"/>
  <c r="AY74" i="13"/>
  <c r="AS96" i="13"/>
  <c r="AV74" i="13"/>
  <c r="AP96" i="13"/>
  <c r="AZ74" i="13"/>
  <c r="AR96" i="13"/>
  <c r="BR98" i="13"/>
  <c r="BQ98" i="13"/>
  <c r="AY75" i="13"/>
  <c r="AM74" i="13"/>
  <c r="BS97" i="13"/>
  <c r="AU97" i="13"/>
  <c r="BN96" i="13"/>
  <c r="BA96" i="13"/>
  <c r="AO96" i="13"/>
  <c r="AW74" i="13"/>
  <c r="BT97" i="13"/>
  <c r="AX97" i="13"/>
  <c r="BP98" i="13"/>
  <c r="AT75" i="13"/>
  <c r="AL74" i="13"/>
  <c r="BG98" i="13"/>
  <c r="AS75" i="13"/>
  <c r="AJ74" i="13"/>
  <c r="Z72" i="13"/>
  <c r="AB72" i="13" s="1"/>
  <c r="AC72" i="13" s="1"/>
  <c r="AF72" i="13" s="1"/>
  <c r="BR97" i="13"/>
  <c r="AT97" i="13"/>
  <c r="AZ96" i="13"/>
  <c r="AC74" i="13"/>
  <c r="BO72" i="13"/>
  <c r="AY72" i="13"/>
  <c r="AW97" i="13"/>
  <c r="AK97" i="13"/>
  <c r="BH98" i="13"/>
  <c r="BQ75" i="13"/>
  <c r="AQ75" i="13"/>
  <c r="AX74" i="13"/>
  <c r="AK74" i="13"/>
  <c r="BO73" i="13"/>
  <c r="AY73" i="13"/>
  <c r="AI73" i="13"/>
  <c r="BM72" i="13"/>
  <c r="AX72" i="13"/>
  <c r="BU97" i="13"/>
  <c r="BI97" i="13"/>
  <c r="AV97" i="13"/>
  <c r="AJ97" i="13"/>
  <c r="BT73" i="13"/>
  <c r="AU72" i="13"/>
  <c r="AS97" i="13"/>
  <c r="BN73" i="13"/>
  <c r="AX73" i="13"/>
  <c r="BL72" i="13"/>
  <c r="AW72" i="13"/>
  <c r="BM73" i="13"/>
  <c r="AU74" i="13"/>
  <c r="BL73" i="13"/>
  <c r="AV73" i="13"/>
  <c r="BJ72" i="13"/>
  <c r="BD98" i="13"/>
  <c r="BD75" i="13"/>
  <c r="AM75" i="13"/>
  <c r="AT74" i="13"/>
  <c r="BK73" i="13"/>
  <c r="AU73" i="13"/>
  <c r="BV72" i="13"/>
  <c r="BI72" i="13"/>
  <c r="AT72" i="13"/>
  <c r="BQ97" i="13"/>
  <c r="BE97" i="13"/>
  <c r="AR97" i="13"/>
  <c r="BP74" i="13"/>
  <c r="AR74" i="13"/>
  <c r="BJ73" i="13"/>
  <c r="AT73" i="13"/>
  <c r="BU72" i="13"/>
  <c r="BH72" i="13"/>
  <c r="AM72" i="13"/>
  <c r="BP97" i="13"/>
  <c r="BD97" i="13"/>
  <c r="AQ97" i="13"/>
  <c r="BS73" i="13"/>
  <c r="AW73" i="13"/>
  <c r="BK72" i="13"/>
  <c r="AV72" i="13"/>
  <c r="AU98" i="13"/>
  <c r="AP97" i="13"/>
  <c r="AQ74" i="13"/>
  <c r="BI73" i="13"/>
  <c r="AO73" i="13"/>
  <c r="BT72" i="13"/>
  <c r="BG72" i="13"/>
  <c r="AL72" i="13"/>
  <c r="BT98" i="13"/>
  <c r="AT98" i="13"/>
  <c r="AZ75" i="13"/>
  <c r="BD74" i="13"/>
  <c r="AP74" i="13"/>
  <c r="AA74" i="13"/>
  <c r="AD74" i="13" s="1"/>
  <c r="BH73" i="13"/>
  <c r="AN73" i="13"/>
  <c r="BS72" i="13"/>
  <c r="BF72" i="13"/>
  <c r="AK72" i="13"/>
  <c r="BN97" i="13"/>
  <c r="BA97" i="13"/>
  <c r="AO97" i="13"/>
  <c r="AI98" i="13"/>
  <c r="AO74" i="13"/>
  <c r="BV73" i="13"/>
  <c r="BG73" i="13"/>
  <c r="AM73" i="13"/>
  <c r="BR72" i="13"/>
  <c r="BE72" i="13"/>
  <c r="AJ72" i="13"/>
  <c r="AZ97" i="13"/>
  <c r="W75" i="13"/>
  <c r="W98" i="13"/>
  <c r="AR98" i="13"/>
  <c r="BO75" i="13"/>
  <c r="BV74" i="13"/>
  <c r="BJ74" i="13"/>
  <c r="AS72" i="13"/>
  <c r="AS98" i="13"/>
  <c r="BN74" i="13"/>
  <c r="BM74" i="13"/>
  <c r="BL74" i="13"/>
  <c r="BN98" i="13"/>
  <c r="AO98" i="13"/>
  <c r="BL75" i="13"/>
  <c r="BM98" i="13"/>
  <c r="AN98" i="13"/>
  <c r="BK75" i="13"/>
  <c r="AX75" i="13"/>
  <c r="AL75" i="13"/>
  <c r="BU74" i="13"/>
  <c r="BI74" i="13"/>
  <c r="AY98" i="13"/>
  <c r="BT74" i="13"/>
  <c r="BH74" i="13"/>
  <c r="BA98" i="13"/>
  <c r="AZ98" i="13"/>
  <c r="BV75" i="13"/>
  <c r="BJ75" i="13"/>
  <c r="AK75" i="13"/>
  <c r="BR73" i="13"/>
  <c r="AQ72" i="13"/>
  <c r="BK98" i="13"/>
  <c r="AX98" i="13"/>
  <c r="AL98" i="13"/>
  <c r="BU75" i="13"/>
  <c r="BI75" i="13"/>
  <c r="AV75" i="13"/>
  <c r="AJ75" i="13"/>
  <c r="BS74" i="13"/>
  <c r="BG74" i="13"/>
  <c r="BQ73" i="13"/>
  <c r="AQ98" i="13"/>
  <c r="BN75" i="13"/>
  <c r="BM75" i="13"/>
  <c r="BK74" i="13"/>
  <c r="AR72" i="13"/>
  <c r="BL98" i="13"/>
  <c r="AM98" i="13"/>
  <c r="AW75" i="13"/>
  <c r="BF73" i="13"/>
  <c r="AS73" i="13"/>
  <c r="BE73" i="13"/>
  <c r="AR73" i="13"/>
  <c r="AP72" i="13"/>
  <c r="BV98" i="13"/>
  <c r="BJ98" i="13"/>
  <c r="AW98" i="13"/>
  <c r="AK98" i="13"/>
  <c r="BT75" i="13"/>
  <c r="BH75" i="13"/>
  <c r="AU75" i="13"/>
  <c r="U75" i="13"/>
  <c r="AD75" i="13" s="1"/>
  <c r="BR74" i="13"/>
  <c r="BF74" i="13"/>
  <c r="BP73" i="13"/>
  <c r="AQ73" i="13"/>
  <c r="BA72" i="13"/>
  <c r="AO72" i="13"/>
  <c r="BO98" i="13"/>
  <c r="AP98" i="13"/>
  <c r="BU98" i="13"/>
  <c r="AV98" i="13"/>
  <c r="BS75" i="13"/>
  <c r="BQ74" i="13"/>
  <c r="AZ72" i="13"/>
  <c r="AD87" i="13" l="1"/>
  <c r="AE86" i="13"/>
  <c r="AD83" i="13"/>
  <c r="AE76" i="13"/>
  <c r="AE84" i="13"/>
  <c r="AE81" i="13"/>
  <c r="AD77" i="13"/>
  <c r="AE79" i="13"/>
  <c r="AD89" i="13"/>
  <c r="AD85" i="13"/>
  <c r="AD90" i="13"/>
  <c r="AE73" i="13"/>
  <c r="AC91" i="13"/>
  <c r="AF91" i="13" s="1"/>
  <c r="AE94" i="13"/>
  <c r="AE88" i="13"/>
  <c r="AF97" i="13"/>
  <c r="AD95" i="13"/>
  <c r="AF98" i="13"/>
  <c r="AF88" i="13"/>
  <c r="AE93" i="13"/>
  <c r="AE98" i="13"/>
  <c r="AE75" i="13"/>
  <c r="AD82" i="13"/>
  <c r="AF75" i="13"/>
  <c r="AF93" i="13"/>
  <c r="AC96" i="13"/>
  <c r="AF96" i="13" s="1"/>
  <c r="AF74" i="13"/>
  <c r="AE74" i="13"/>
  <c r="AE97" i="13"/>
  <c r="AE72" i="13"/>
  <c r="B215" i="13" l="1"/>
  <c r="B214" i="13"/>
  <c r="B213" i="13"/>
  <c r="B212" i="13"/>
  <c r="B211" i="13"/>
  <c r="B210" i="13"/>
  <c r="B209" i="13"/>
  <c r="B208" i="13"/>
  <c r="B207" i="13"/>
  <c r="B206" i="13"/>
  <c r="B205" i="13"/>
  <c r="B204" i="13"/>
  <c r="B203" i="13"/>
  <c r="B202" i="13"/>
  <c r="B201" i="13"/>
  <c r="B200" i="13"/>
  <c r="B199" i="13"/>
  <c r="B198" i="13"/>
  <c r="B197" i="13"/>
  <c r="B196" i="13"/>
  <c r="B195" i="13"/>
  <c r="B194" i="13"/>
  <c r="B193" i="13"/>
  <c r="B192" i="13"/>
  <c r="B191" i="13"/>
  <c r="B190" i="13"/>
  <c r="B189" i="13"/>
  <c r="B188" i="13"/>
  <c r="B187" i="13"/>
  <c r="B186" i="13"/>
  <c r="B185" i="13"/>
  <c r="B184" i="13"/>
  <c r="B183" i="13"/>
  <c r="B182" i="13"/>
  <c r="B181" i="13"/>
  <c r="B180" i="13"/>
  <c r="B179" i="13"/>
  <c r="B178" i="13"/>
  <c r="B177" i="13"/>
  <c r="B176" i="13"/>
  <c r="B175" i="13"/>
  <c r="B174" i="13"/>
  <c r="B173" i="13"/>
  <c r="C173" i="13"/>
  <c r="D173" i="13"/>
  <c r="E173" i="13"/>
  <c r="K173" i="13"/>
  <c r="P173" i="13"/>
  <c r="S173" i="13"/>
  <c r="T173" i="13" s="1"/>
  <c r="V173" i="13" s="1"/>
  <c r="Y173" i="13"/>
  <c r="AA173" i="13" s="1"/>
  <c r="AH173" i="13"/>
  <c r="AI173" i="13" s="1"/>
  <c r="BC173" i="13"/>
  <c r="BH173" i="13" s="1"/>
  <c r="C174" i="13"/>
  <c r="D174" i="13"/>
  <c r="E174" i="13"/>
  <c r="K174" i="13"/>
  <c r="P174" i="13"/>
  <c r="S174" i="13"/>
  <c r="T174" i="13" s="1"/>
  <c r="V174" i="13" s="1"/>
  <c r="Y174" i="13"/>
  <c r="AA174" i="13" s="1"/>
  <c r="AH174" i="13"/>
  <c r="AI174" i="13" s="1"/>
  <c r="BC174" i="13"/>
  <c r="BH174" i="13" s="1"/>
  <c r="C175" i="13"/>
  <c r="D175" i="13"/>
  <c r="E175" i="13"/>
  <c r="K175" i="13"/>
  <c r="P175" i="13"/>
  <c r="S175" i="13"/>
  <c r="U175" i="13" s="1"/>
  <c r="Y175" i="13"/>
  <c r="Z175" i="13" s="1"/>
  <c r="AB175" i="13" s="1"/>
  <c r="AC175" i="13" s="1"/>
  <c r="AH175" i="13"/>
  <c r="AS175" i="13" s="1"/>
  <c r="BC175" i="13"/>
  <c r="BE175" i="13" s="1"/>
  <c r="C176" i="13"/>
  <c r="D176" i="13"/>
  <c r="E176" i="13"/>
  <c r="K176" i="13"/>
  <c r="P176" i="13"/>
  <c r="S176" i="13"/>
  <c r="U176" i="13" s="1"/>
  <c r="Y176" i="13"/>
  <c r="Z176" i="13" s="1"/>
  <c r="AB176" i="13" s="1"/>
  <c r="AC176" i="13" s="1"/>
  <c r="AH176" i="13"/>
  <c r="AM176" i="13" s="1"/>
  <c r="BC176" i="13"/>
  <c r="BL176" i="13" s="1"/>
  <c r="C177" i="13"/>
  <c r="D177" i="13"/>
  <c r="E177" i="13"/>
  <c r="K177" i="13"/>
  <c r="P177" i="13"/>
  <c r="S177" i="13"/>
  <c r="U177" i="13" s="1"/>
  <c r="Y177" i="13"/>
  <c r="Z177" i="13" s="1"/>
  <c r="AB177" i="13" s="1"/>
  <c r="AH177" i="13"/>
  <c r="AK177" i="13" s="1"/>
  <c r="BC177" i="13"/>
  <c r="BJ177" i="13" s="1"/>
  <c r="C178" i="13"/>
  <c r="D178" i="13"/>
  <c r="E178" i="13"/>
  <c r="K178" i="13"/>
  <c r="P178" i="13"/>
  <c r="S178" i="13"/>
  <c r="T178" i="13" s="1"/>
  <c r="V178" i="13" s="1"/>
  <c r="W178" i="13" s="1"/>
  <c r="Y178" i="13"/>
  <c r="Z178" i="13" s="1"/>
  <c r="AB178" i="13" s="1"/>
  <c r="AC178" i="13" s="1"/>
  <c r="AH178" i="13"/>
  <c r="AN178" i="13" s="1"/>
  <c r="BC178" i="13"/>
  <c r="BM178" i="13" s="1"/>
  <c r="C179" i="13"/>
  <c r="D179" i="13"/>
  <c r="E179" i="13"/>
  <c r="K179" i="13"/>
  <c r="P179" i="13"/>
  <c r="S179" i="13"/>
  <c r="T179" i="13" s="1"/>
  <c r="V179" i="13" s="1"/>
  <c r="Y179" i="13"/>
  <c r="AA179" i="13" s="1"/>
  <c r="AH179" i="13"/>
  <c r="AQ179" i="13" s="1"/>
  <c r="BC179" i="13"/>
  <c r="BD179" i="13" s="1"/>
  <c r="C180" i="13"/>
  <c r="D180" i="13"/>
  <c r="E180" i="13"/>
  <c r="K180" i="13"/>
  <c r="P180" i="13"/>
  <c r="S180" i="13"/>
  <c r="T180" i="13" s="1"/>
  <c r="V180" i="13" s="1"/>
  <c r="Y180" i="13"/>
  <c r="Z180" i="13" s="1"/>
  <c r="AB180" i="13" s="1"/>
  <c r="AC180" i="13" s="1"/>
  <c r="AH180" i="13"/>
  <c r="AI180" i="13" s="1"/>
  <c r="BC180" i="13"/>
  <c r="BG180" i="13" s="1"/>
  <c r="C181" i="13"/>
  <c r="D181" i="13"/>
  <c r="E181" i="13"/>
  <c r="K181" i="13"/>
  <c r="P181" i="13"/>
  <c r="S181" i="13"/>
  <c r="T181" i="13" s="1"/>
  <c r="V181" i="13" s="1"/>
  <c r="W181" i="13" s="1"/>
  <c r="Y181" i="13"/>
  <c r="AA181" i="13" s="1"/>
  <c r="AH181" i="13"/>
  <c r="AL181" i="13" s="1"/>
  <c r="BC181" i="13"/>
  <c r="BG181" i="13" s="1"/>
  <c r="C182" i="13"/>
  <c r="D182" i="13"/>
  <c r="E182" i="13"/>
  <c r="K182" i="13"/>
  <c r="P182" i="13"/>
  <c r="S182" i="13"/>
  <c r="T182" i="13" s="1"/>
  <c r="V182" i="13" s="1"/>
  <c r="W182" i="13" s="1"/>
  <c r="Y182" i="13"/>
  <c r="AA182" i="13" s="1"/>
  <c r="AH182" i="13"/>
  <c r="AQ182" i="13" s="1"/>
  <c r="BC182" i="13"/>
  <c r="BD182" i="13" s="1"/>
  <c r="C183" i="13"/>
  <c r="D183" i="13"/>
  <c r="E183" i="13"/>
  <c r="K183" i="13"/>
  <c r="P183" i="13"/>
  <c r="S183" i="13"/>
  <c r="T183" i="13" s="1"/>
  <c r="V183" i="13" s="1"/>
  <c r="W183" i="13" s="1"/>
  <c r="Y183" i="13"/>
  <c r="AA183" i="13" s="1"/>
  <c r="AH183" i="13"/>
  <c r="AL183" i="13" s="1"/>
  <c r="BC183" i="13"/>
  <c r="BI183" i="13" s="1"/>
  <c r="C184" i="13"/>
  <c r="D184" i="13"/>
  <c r="E184" i="13"/>
  <c r="K184" i="13"/>
  <c r="P184" i="13"/>
  <c r="S184" i="13"/>
  <c r="T184" i="13" s="1"/>
  <c r="V184" i="13" s="1"/>
  <c r="W184" i="13" s="1"/>
  <c r="Y184" i="13"/>
  <c r="AA184" i="13" s="1"/>
  <c r="AH184" i="13"/>
  <c r="AN184" i="13" s="1"/>
  <c r="BC184" i="13"/>
  <c r="BM184" i="13" s="1"/>
  <c r="C185" i="13"/>
  <c r="D185" i="13"/>
  <c r="E185" i="13"/>
  <c r="K185" i="13"/>
  <c r="P185" i="13"/>
  <c r="S185" i="13"/>
  <c r="T185" i="13" s="1"/>
  <c r="V185" i="13" s="1"/>
  <c r="W185" i="13" s="1"/>
  <c r="Y185" i="13"/>
  <c r="Z185" i="13" s="1"/>
  <c r="AB185" i="13" s="1"/>
  <c r="AH185" i="13"/>
  <c r="AP185" i="13" s="1"/>
  <c r="BC185" i="13"/>
  <c r="BD185" i="13" s="1"/>
  <c r="C186" i="13"/>
  <c r="D186" i="13"/>
  <c r="E186" i="13"/>
  <c r="K186" i="13"/>
  <c r="P186" i="13"/>
  <c r="S186" i="13"/>
  <c r="T186" i="13" s="1"/>
  <c r="V186" i="13" s="1"/>
  <c r="W186" i="13" s="1"/>
  <c r="Y186" i="13"/>
  <c r="AA186" i="13" s="1"/>
  <c r="AH186" i="13"/>
  <c r="AR186" i="13" s="1"/>
  <c r="BC186" i="13"/>
  <c r="BE186" i="13" s="1"/>
  <c r="C187" i="13"/>
  <c r="D187" i="13"/>
  <c r="E187" i="13"/>
  <c r="K187" i="13"/>
  <c r="P187" i="13"/>
  <c r="S187" i="13"/>
  <c r="T187" i="13" s="1"/>
  <c r="V187" i="13" s="1"/>
  <c r="W187" i="13" s="1"/>
  <c r="Y187" i="13"/>
  <c r="Z187" i="13" s="1"/>
  <c r="AB187" i="13" s="1"/>
  <c r="AH187" i="13"/>
  <c r="AI187" i="13" s="1"/>
  <c r="BC187" i="13"/>
  <c r="BG187" i="13" s="1"/>
  <c r="C188" i="13"/>
  <c r="D188" i="13"/>
  <c r="E188" i="13"/>
  <c r="K188" i="13"/>
  <c r="P188" i="13"/>
  <c r="S188" i="13"/>
  <c r="T188" i="13" s="1"/>
  <c r="V188" i="13" s="1"/>
  <c r="W188" i="13" s="1"/>
  <c r="Y188" i="13"/>
  <c r="Z188" i="13" s="1"/>
  <c r="AB188" i="13" s="1"/>
  <c r="AH188" i="13"/>
  <c r="AJ188" i="13" s="1"/>
  <c r="BC188" i="13"/>
  <c r="BI188" i="13" s="1"/>
  <c r="C189" i="13"/>
  <c r="D189" i="13"/>
  <c r="E189" i="13"/>
  <c r="K189" i="13"/>
  <c r="P189" i="13"/>
  <c r="S189" i="13"/>
  <c r="T189" i="13" s="1"/>
  <c r="V189" i="13" s="1"/>
  <c r="W189" i="13" s="1"/>
  <c r="Y189" i="13"/>
  <c r="Z189" i="13" s="1"/>
  <c r="AB189" i="13" s="1"/>
  <c r="AH189" i="13"/>
  <c r="AL189" i="13" s="1"/>
  <c r="BC189" i="13"/>
  <c r="BK189" i="13" s="1"/>
  <c r="C190" i="13"/>
  <c r="D190" i="13"/>
  <c r="E190" i="13"/>
  <c r="K190" i="13"/>
  <c r="P190" i="13"/>
  <c r="S190" i="13"/>
  <c r="U190" i="13" s="1"/>
  <c r="Y190" i="13"/>
  <c r="AA190" i="13" s="1"/>
  <c r="AH190" i="13"/>
  <c r="AN190" i="13" s="1"/>
  <c r="BC190" i="13"/>
  <c r="BN190" i="13" s="1"/>
  <c r="C191" i="13"/>
  <c r="D191" i="13"/>
  <c r="E191" i="13"/>
  <c r="K191" i="13"/>
  <c r="P191" i="13"/>
  <c r="S191" i="13"/>
  <c r="U191" i="13" s="1"/>
  <c r="Y191" i="13"/>
  <c r="Z191" i="13" s="1"/>
  <c r="AB191" i="13" s="1"/>
  <c r="AH191" i="13"/>
  <c r="AP191" i="13" s="1"/>
  <c r="BC191" i="13"/>
  <c r="BD191" i="13" s="1"/>
  <c r="C192" i="13"/>
  <c r="D192" i="13"/>
  <c r="E192" i="13"/>
  <c r="K192" i="13"/>
  <c r="P192" i="13"/>
  <c r="S192" i="13"/>
  <c r="U192" i="13" s="1"/>
  <c r="Y192" i="13"/>
  <c r="AA192" i="13" s="1"/>
  <c r="AH192" i="13"/>
  <c r="AS192" i="13" s="1"/>
  <c r="BC192" i="13"/>
  <c r="BF192" i="13" s="1"/>
  <c r="C193" i="13"/>
  <c r="D193" i="13"/>
  <c r="E193" i="13"/>
  <c r="K193" i="13"/>
  <c r="P193" i="13"/>
  <c r="S193" i="13"/>
  <c r="T193" i="13" s="1"/>
  <c r="V193" i="13" s="1"/>
  <c r="W193" i="13" s="1"/>
  <c r="Y193" i="13"/>
  <c r="Z193" i="13" s="1"/>
  <c r="AB193" i="13" s="1"/>
  <c r="AC193" i="13" s="1"/>
  <c r="AH193" i="13"/>
  <c r="AI193" i="13" s="1"/>
  <c r="BC193" i="13"/>
  <c r="BH193" i="13" s="1"/>
  <c r="C194" i="13"/>
  <c r="D194" i="13"/>
  <c r="E194" i="13"/>
  <c r="K194" i="13"/>
  <c r="P194" i="13"/>
  <c r="S194" i="13"/>
  <c r="T194" i="13" s="1"/>
  <c r="V194" i="13" s="1"/>
  <c r="W194" i="13" s="1"/>
  <c r="Y194" i="13"/>
  <c r="Z194" i="13" s="1"/>
  <c r="AB194" i="13" s="1"/>
  <c r="AH194" i="13"/>
  <c r="AK194" i="13" s="1"/>
  <c r="BC194" i="13"/>
  <c r="BI194" i="13" s="1"/>
  <c r="C195" i="13"/>
  <c r="D195" i="13"/>
  <c r="E195" i="13"/>
  <c r="K195" i="13"/>
  <c r="P195" i="13"/>
  <c r="S195" i="13"/>
  <c r="T195" i="13" s="1"/>
  <c r="V195" i="13" s="1"/>
  <c r="W195" i="13" s="1"/>
  <c r="Y195" i="13"/>
  <c r="Z195" i="13" s="1"/>
  <c r="AB195" i="13" s="1"/>
  <c r="AH195" i="13"/>
  <c r="AM195" i="13" s="1"/>
  <c r="BC195" i="13"/>
  <c r="BL195" i="13" s="1"/>
  <c r="C196" i="13"/>
  <c r="D196" i="13"/>
  <c r="E196" i="13"/>
  <c r="K196" i="13"/>
  <c r="P196" i="13"/>
  <c r="S196" i="13"/>
  <c r="U196" i="13" s="1"/>
  <c r="Y196" i="13"/>
  <c r="AA196" i="13" s="1"/>
  <c r="AH196" i="13"/>
  <c r="AN196" i="13" s="1"/>
  <c r="BC196" i="13"/>
  <c r="BM196" i="13" s="1"/>
  <c r="C197" i="13"/>
  <c r="D197" i="13"/>
  <c r="E197" i="13"/>
  <c r="K197" i="13"/>
  <c r="P197" i="13"/>
  <c r="S197" i="13"/>
  <c r="T197" i="13" s="1"/>
  <c r="V197" i="13" s="1"/>
  <c r="W197" i="13" s="1"/>
  <c r="Y197" i="13"/>
  <c r="AA197" i="13" s="1"/>
  <c r="AH197" i="13"/>
  <c r="AP197" i="13" s="1"/>
  <c r="BC197" i="13"/>
  <c r="BI197" i="13" s="1"/>
  <c r="C198" i="13"/>
  <c r="D198" i="13"/>
  <c r="E198" i="13"/>
  <c r="K198" i="13"/>
  <c r="P198" i="13"/>
  <c r="S198" i="13"/>
  <c r="T198" i="13" s="1"/>
  <c r="V198" i="13" s="1"/>
  <c r="W198" i="13" s="1"/>
  <c r="Y198" i="13"/>
  <c r="AA198" i="13" s="1"/>
  <c r="AH198" i="13"/>
  <c r="AR198" i="13" s="1"/>
  <c r="BC198" i="13"/>
  <c r="BE198" i="13" s="1"/>
  <c r="C199" i="13"/>
  <c r="D199" i="13"/>
  <c r="E199" i="13"/>
  <c r="K199" i="13"/>
  <c r="P199" i="13"/>
  <c r="S199" i="13"/>
  <c r="T199" i="13" s="1"/>
  <c r="V199" i="13" s="1"/>
  <c r="W199" i="13" s="1"/>
  <c r="Y199" i="13"/>
  <c r="Z199" i="13" s="1"/>
  <c r="AB199" i="13" s="1"/>
  <c r="AH199" i="13"/>
  <c r="AM199" i="13" s="1"/>
  <c r="AJ199" i="13"/>
  <c r="BC199" i="13"/>
  <c r="BG199" i="13" s="1"/>
  <c r="C200" i="13"/>
  <c r="D200" i="13"/>
  <c r="E200" i="13"/>
  <c r="K200" i="13"/>
  <c r="P200" i="13"/>
  <c r="S200" i="13"/>
  <c r="T200" i="13" s="1"/>
  <c r="V200" i="13" s="1"/>
  <c r="Y200" i="13"/>
  <c r="AA200" i="13" s="1"/>
  <c r="AH200" i="13"/>
  <c r="AJ200" i="13" s="1"/>
  <c r="BC200" i="13"/>
  <c r="BI200" i="13" s="1"/>
  <c r="C201" i="13"/>
  <c r="D201" i="13"/>
  <c r="E201" i="13"/>
  <c r="K201" i="13"/>
  <c r="P201" i="13"/>
  <c r="S201" i="13"/>
  <c r="T201" i="13" s="1"/>
  <c r="V201" i="13" s="1"/>
  <c r="W201" i="13" s="1"/>
  <c r="Y201" i="13"/>
  <c r="Z201" i="13" s="1"/>
  <c r="AB201" i="13" s="1"/>
  <c r="AH201" i="13"/>
  <c r="AL201" i="13" s="1"/>
  <c r="BC201" i="13"/>
  <c r="BK201" i="13" s="1"/>
  <c r="C202" i="13"/>
  <c r="D202" i="13"/>
  <c r="E202" i="13"/>
  <c r="K202" i="13"/>
  <c r="P202" i="13"/>
  <c r="S202" i="13"/>
  <c r="T202" i="13" s="1"/>
  <c r="V202" i="13" s="1"/>
  <c r="W202" i="13" s="1"/>
  <c r="Y202" i="13"/>
  <c r="AA202" i="13" s="1"/>
  <c r="AH202" i="13"/>
  <c r="AN202" i="13" s="1"/>
  <c r="BC202" i="13"/>
  <c r="BM202" i="13" s="1"/>
  <c r="C203" i="13"/>
  <c r="D203" i="13"/>
  <c r="E203" i="13"/>
  <c r="K203" i="13"/>
  <c r="P203" i="13"/>
  <c r="S203" i="13"/>
  <c r="U203" i="13" s="1"/>
  <c r="Y203" i="13"/>
  <c r="Z203" i="13" s="1"/>
  <c r="AB203" i="13" s="1"/>
  <c r="AC203" i="13" s="1"/>
  <c r="AH203" i="13"/>
  <c r="AP203" i="13" s="1"/>
  <c r="BC203" i="13"/>
  <c r="BD203" i="13" s="1"/>
  <c r="C204" i="13"/>
  <c r="D204" i="13"/>
  <c r="E204" i="13"/>
  <c r="K204" i="13"/>
  <c r="P204" i="13"/>
  <c r="S204" i="13"/>
  <c r="T204" i="13" s="1"/>
  <c r="V204" i="13" s="1"/>
  <c r="W204" i="13" s="1"/>
  <c r="Y204" i="13"/>
  <c r="Z204" i="13" s="1"/>
  <c r="AB204" i="13" s="1"/>
  <c r="AH204" i="13"/>
  <c r="AR204" i="13" s="1"/>
  <c r="BC204" i="13"/>
  <c r="BE204" i="13" s="1"/>
  <c r="C205" i="13"/>
  <c r="D205" i="13"/>
  <c r="E205" i="13"/>
  <c r="K205" i="13"/>
  <c r="P205" i="13"/>
  <c r="S205" i="13"/>
  <c r="T205" i="13" s="1"/>
  <c r="V205" i="13" s="1"/>
  <c r="W205" i="13" s="1"/>
  <c r="Y205" i="13"/>
  <c r="Z205" i="13" s="1"/>
  <c r="AB205" i="13" s="1"/>
  <c r="AH205" i="13"/>
  <c r="AI205" i="13" s="1"/>
  <c r="BC205" i="13"/>
  <c r="BG205" i="13" s="1"/>
  <c r="C206" i="13"/>
  <c r="D206" i="13"/>
  <c r="E206" i="13"/>
  <c r="K206" i="13"/>
  <c r="P206" i="13"/>
  <c r="S206" i="13"/>
  <c r="T206" i="13" s="1"/>
  <c r="V206" i="13" s="1"/>
  <c r="W206" i="13" s="1"/>
  <c r="Y206" i="13"/>
  <c r="Z206" i="13" s="1"/>
  <c r="AB206" i="13" s="1"/>
  <c r="AH206" i="13"/>
  <c r="AJ206" i="13" s="1"/>
  <c r="BC206" i="13"/>
  <c r="BI206" i="13" s="1"/>
  <c r="C207" i="13"/>
  <c r="D207" i="13"/>
  <c r="E207" i="13"/>
  <c r="K207" i="13"/>
  <c r="P207" i="13"/>
  <c r="S207" i="13"/>
  <c r="U207" i="13" s="1"/>
  <c r="Y207" i="13"/>
  <c r="AA207" i="13" s="1"/>
  <c r="AH207" i="13"/>
  <c r="AN207" i="13" s="1"/>
  <c r="BC207" i="13"/>
  <c r="BM207" i="13" s="1"/>
  <c r="C208" i="13"/>
  <c r="D208" i="13"/>
  <c r="E208" i="13"/>
  <c r="K208" i="13"/>
  <c r="P208" i="13"/>
  <c r="S208" i="13"/>
  <c r="U208" i="13" s="1"/>
  <c r="Y208" i="13"/>
  <c r="Z208" i="13" s="1"/>
  <c r="AB208" i="13" s="1"/>
  <c r="AC208" i="13" s="1"/>
  <c r="AH208" i="13"/>
  <c r="AP208" i="13" s="1"/>
  <c r="BC208" i="13"/>
  <c r="BD208" i="13" s="1"/>
  <c r="C209" i="13"/>
  <c r="D209" i="13"/>
  <c r="E209" i="13"/>
  <c r="K209" i="13"/>
  <c r="P209" i="13"/>
  <c r="S209" i="13"/>
  <c r="U209" i="13" s="1"/>
  <c r="Y209" i="13"/>
  <c r="AA209" i="13" s="1"/>
  <c r="AH209" i="13"/>
  <c r="AR209" i="13" s="1"/>
  <c r="BC209" i="13"/>
  <c r="BE209" i="13" s="1"/>
  <c r="C210" i="13"/>
  <c r="D210" i="13"/>
  <c r="E210" i="13"/>
  <c r="K210" i="13"/>
  <c r="P210" i="13"/>
  <c r="S210" i="13"/>
  <c r="T210" i="13" s="1"/>
  <c r="V210" i="13" s="1"/>
  <c r="Y210" i="13"/>
  <c r="Z210" i="13" s="1"/>
  <c r="AB210" i="13" s="1"/>
  <c r="AC210" i="13" s="1"/>
  <c r="AH210" i="13"/>
  <c r="AI210" i="13" s="1"/>
  <c r="BC210" i="13"/>
  <c r="BH210" i="13" s="1"/>
  <c r="C211" i="13"/>
  <c r="D211" i="13"/>
  <c r="E211" i="13"/>
  <c r="K211" i="13"/>
  <c r="P211" i="13"/>
  <c r="S211" i="13"/>
  <c r="T211" i="13" s="1"/>
  <c r="V211" i="13" s="1"/>
  <c r="W211" i="13" s="1"/>
  <c r="Y211" i="13"/>
  <c r="AA211" i="13" s="1"/>
  <c r="AH211" i="13"/>
  <c r="AN211" i="13" s="1"/>
  <c r="BC211" i="13"/>
  <c r="BM211" i="13" s="1"/>
  <c r="C212" i="13"/>
  <c r="D212" i="13"/>
  <c r="E212" i="13"/>
  <c r="K212" i="13"/>
  <c r="P212" i="13"/>
  <c r="S212" i="13"/>
  <c r="T212" i="13" s="1"/>
  <c r="V212" i="13" s="1"/>
  <c r="W212" i="13" s="1"/>
  <c r="Y212" i="13"/>
  <c r="Z212" i="13" s="1"/>
  <c r="AB212" i="13" s="1"/>
  <c r="AC212" i="13" s="1"/>
  <c r="AH212" i="13"/>
  <c r="AP212" i="13" s="1"/>
  <c r="BC212" i="13"/>
  <c r="BD212" i="13" s="1"/>
  <c r="C213" i="13"/>
  <c r="D213" i="13"/>
  <c r="E213" i="13"/>
  <c r="K213" i="13"/>
  <c r="P213" i="13"/>
  <c r="S213" i="13"/>
  <c r="T213" i="13" s="1"/>
  <c r="V213" i="13" s="1"/>
  <c r="W213" i="13" s="1"/>
  <c r="Y213" i="13"/>
  <c r="Z213" i="13" s="1"/>
  <c r="AB213" i="13" s="1"/>
  <c r="AC213" i="13" s="1"/>
  <c r="AH213" i="13"/>
  <c r="AR213" i="13" s="1"/>
  <c r="BC213" i="13"/>
  <c r="BE213" i="13" s="1"/>
  <c r="C214" i="13"/>
  <c r="D214" i="13"/>
  <c r="E214" i="13"/>
  <c r="K214" i="13"/>
  <c r="P214" i="13"/>
  <c r="S214" i="13"/>
  <c r="T214" i="13" s="1"/>
  <c r="V214" i="13" s="1"/>
  <c r="Y214" i="13"/>
  <c r="AA214" i="13" s="1"/>
  <c r="AH214" i="13"/>
  <c r="AI214" i="13" s="1"/>
  <c r="BC214" i="13"/>
  <c r="BG214" i="13" s="1"/>
  <c r="C215" i="13"/>
  <c r="D215" i="13"/>
  <c r="E215" i="13"/>
  <c r="K215" i="13"/>
  <c r="P215" i="13"/>
  <c r="S215" i="13"/>
  <c r="U215" i="13" s="1"/>
  <c r="Y215" i="13"/>
  <c r="AA215" i="13" s="1"/>
  <c r="AH215" i="13"/>
  <c r="AJ215" i="13" s="1"/>
  <c r="BC215" i="13"/>
  <c r="BI215" i="13" s="1"/>
  <c r="AI211" i="13" l="1"/>
  <c r="AK192" i="13"/>
  <c r="BU176" i="13"/>
  <c r="T176" i="13"/>
  <c r="V176" i="13" s="1"/>
  <c r="AE176" i="13" s="1"/>
  <c r="AN199" i="13"/>
  <c r="BP196" i="13"/>
  <c r="BE193" i="13"/>
  <c r="AJ201" i="13"/>
  <c r="T207" i="13"/>
  <c r="V207" i="13" s="1"/>
  <c r="W207" i="13" s="1"/>
  <c r="AX199" i="13"/>
  <c r="BF189" i="13"/>
  <c r="Z184" i="13"/>
  <c r="AB184" i="13" s="1"/>
  <c r="AC184" i="13" s="1"/>
  <c r="AF184" i="13" s="1"/>
  <c r="AA175" i="13"/>
  <c r="AD175" i="13" s="1"/>
  <c r="AW199" i="13"/>
  <c r="AL199" i="13"/>
  <c r="Z179" i="13"/>
  <c r="AB179" i="13" s="1"/>
  <c r="AC179" i="13" s="1"/>
  <c r="AA205" i="13"/>
  <c r="U180" i="13"/>
  <c r="AI206" i="13"/>
  <c r="AZ186" i="13"/>
  <c r="AM182" i="13"/>
  <c r="BP177" i="13"/>
  <c r="U201" i="13"/>
  <c r="BH194" i="13"/>
  <c r="BJ189" i="13"/>
  <c r="BD181" i="13"/>
  <c r="BA180" i="13"/>
  <c r="BJ185" i="13"/>
  <c r="BD183" i="13"/>
  <c r="Z181" i="13"/>
  <c r="AB181" i="13" s="1"/>
  <c r="AC181" i="13" s="1"/>
  <c r="AF181" i="13" s="1"/>
  <c r="BG197" i="13"/>
  <c r="BL196" i="13"/>
  <c r="AW185" i="13"/>
  <c r="U182" i="13"/>
  <c r="AD182" i="13" s="1"/>
  <c r="BV176" i="13"/>
  <c r="AV185" i="13"/>
  <c r="AT185" i="13"/>
  <c r="AI200" i="13"/>
  <c r="AO199" i="13"/>
  <c r="Z197" i="13"/>
  <c r="AB197" i="13" s="1"/>
  <c r="AC197" i="13" s="1"/>
  <c r="AF197" i="13" s="1"/>
  <c r="AJ185" i="13"/>
  <c r="AI177" i="13"/>
  <c r="AV212" i="13"/>
  <c r="BR180" i="13"/>
  <c r="BQ180" i="13"/>
  <c r="BJ195" i="13"/>
  <c r="AN182" i="13"/>
  <c r="BO180" i="13"/>
  <c r="AA177" i="13"/>
  <c r="AD177" i="13" s="1"/>
  <c r="BR176" i="13"/>
  <c r="U204" i="13"/>
  <c r="BI196" i="13"/>
  <c r="BD195" i="13"/>
  <c r="AZ194" i="13"/>
  <c r="AY193" i="13"/>
  <c r="Z183" i="13"/>
  <c r="AB183" i="13" s="1"/>
  <c r="AC183" i="13" s="1"/>
  <c r="AF183" i="13" s="1"/>
  <c r="BO179" i="13"/>
  <c r="BJ176" i="13"/>
  <c r="AL179" i="13"/>
  <c r="BI178" i="13"/>
  <c r="T177" i="13"/>
  <c r="V177" i="13" s="1"/>
  <c r="W177" i="13" s="1"/>
  <c r="AI176" i="13"/>
  <c r="AK175" i="13"/>
  <c r="AI201" i="13"/>
  <c r="U194" i="13"/>
  <c r="BE189" i="13"/>
  <c r="AJ179" i="13"/>
  <c r="AJ175" i="13"/>
  <c r="BG174" i="13"/>
  <c r="BD173" i="13"/>
  <c r="T196" i="13"/>
  <c r="V196" i="13" s="1"/>
  <c r="W196" i="13" s="1"/>
  <c r="U188" i="13"/>
  <c r="AI179" i="13"/>
  <c r="AU178" i="13"/>
  <c r="BF174" i="13"/>
  <c r="AT178" i="13"/>
  <c r="BT183" i="13"/>
  <c r="AM178" i="13"/>
  <c r="Z173" i="13"/>
  <c r="AB173" i="13" s="1"/>
  <c r="AC173" i="13" s="1"/>
  <c r="BP183" i="13"/>
  <c r="AL178" i="13"/>
  <c r="AP177" i="13"/>
  <c r="Z174" i="13"/>
  <c r="AB174" i="13" s="1"/>
  <c r="AC174" i="13" s="1"/>
  <c r="AA213" i="13"/>
  <c r="BO183" i="13"/>
  <c r="AK178" i="13"/>
  <c r="AJ177" i="13"/>
  <c r="T175" i="13"/>
  <c r="V175" i="13" s="1"/>
  <c r="W175" i="13" s="1"/>
  <c r="AF175" i="13" s="1"/>
  <c r="AS195" i="13"/>
  <c r="AR195" i="13"/>
  <c r="AK183" i="13"/>
  <c r="BU177" i="13"/>
  <c r="AO195" i="13"/>
  <c r="BA193" i="13"/>
  <c r="AQ192" i="13"/>
  <c r="U185" i="13"/>
  <c r="AJ183" i="13"/>
  <c r="AZ182" i="13"/>
  <c r="BR177" i="13"/>
  <c r="AA199" i="13"/>
  <c r="AN195" i="13"/>
  <c r="AZ193" i="13"/>
  <c r="AM192" i="13"/>
  <c r="BL185" i="13"/>
  <c r="AI183" i="13"/>
  <c r="AV182" i="13"/>
  <c r="BQ177" i="13"/>
  <c r="AT182" i="13"/>
  <c r="AT176" i="13"/>
  <c r="AX186" i="13"/>
  <c r="BF185" i="13"/>
  <c r="AS182" i="13"/>
  <c r="AA180" i="13"/>
  <c r="U178" i="13"/>
  <c r="BI177" i="13"/>
  <c r="AL176" i="13"/>
  <c r="T209" i="13"/>
  <c r="V209" i="13" s="1"/>
  <c r="W209" i="13" s="1"/>
  <c r="AA204" i="13"/>
  <c r="AP186" i="13"/>
  <c r="BE185" i="13"/>
  <c r="AP182" i="13"/>
  <c r="BA179" i="13"/>
  <c r="BD177" i="13"/>
  <c r="AK176" i="13"/>
  <c r="U174" i="13"/>
  <c r="AD174" i="13" s="1"/>
  <c r="AA210" i="13"/>
  <c r="BR196" i="13"/>
  <c r="T192" i="13"/>
  <c r="V192" i="13" s="1"/>
  <c r="W192" i="13" s="1"/>
  <c r="AO182" i="13"/>
  <c r="AY179" i="13"/>
  <c r="AJ176" i="13"/>
  <c r="AO204" i="13"/>
  <c r="AZ199" i="13"/>
  <c r="AY198" i="13"/>
  <c r="AO198" i="13"/>
  <c r="AN198" i="13"/>
  <c r="AW198" i="13"/>
  <c r="AM198" i="13"/>
  <c r="AJ198" i="13"/>
  <c r="AZ198" i="13"/>
  <c r="AS198" i="13"/>
  <c r="AQ198" i="13"/>
  <c r="AP198" i="13"/>
  <c r="AK195" i="13"/>
  <c r="BU195" i="13"/>
  <c r="AT193" i="13"/>
  <c r="AS193" i="13"/>
  <c r="BG190" i="13"/>
  <c r="BQ189" i="13"/>
  <c r="BO189" i="13"/>
  <c r="BT188" i="13"/>
  <c r="BO188" i="13"/>
  <c r="BD188" i="13"/>
  <c r="AW187" i="13"/>
  <c r="AO187" i="13"/>
  <c r="AM187" i="13"/>
  <c r="AN187" i="13"/>
  <c r="AL187" i="13"/>
  <c r="AK187" i="13"/>
  <c r="BI185" i="13"/>
  <c r="BO181" i="13"/>
  <c r="BF181" i="13"/>
  <c r="BR181" i="13"/>
  <c r="BQ181" i="13"/>
  <c r="BP181" i="13"/>
  <c r="BE181" i="13"/>
  <c r="AW179" i="13"/>
  <c r="AU179" i="13"/>
  <c r="AO179" i="13"/>
  <c r="AX179" i="13"/>
  <c r="AP179" i="13"/>
  <c r="AN179" i="13"/>
  <c r="AT179" i="13"/>
  <c r="AM179" i="13"/>
  <c r="BO178" i="13"/>
  <c r="BL178" i="13"/>
  <c r="BK178" i="13"/>
  <c r="BJ178" i="13"/>
  <c r="BH177" i="13"/>
  <c r="BG177" i="13"/>
  <c r="BF177" i="13"/>
  <c r="BA175" i="13"/>
  <c r="AZ175" i="13"/>
  <c r="AY175" i="13"/>
  <c r="AT174" i="13"/>
  <c r="BR174" i="13"/>
  <c r="BS174" i="13"/>
  <c r="BQ174" i="13"/>
  <c r="BP174" i="13"/>
  <c r="BD194" i="13"/>
  <c r="BN191" i="13"/>
  <c r="BG191" i="13"/>
  <c r="AV186" i="13"/>
  <c r="BK186" i="13"/>
  <c r="BD186" i="13"/>
  <c r="AY184" i="13"/>
  <c r="AU184" i="13"/>
  <c r="AT184" i="13"/>
  <c r="AM184" i="13"/>
  <c r="AI184" i="13"/>
  <c r="AT183" i="13"/>
  <c r="AK182" i="13"/>
  <c r="AJ182" i="13"/>
  <c r="AY182" i="13"/>
  <c r="AX182" i="13"/>
  <c r="BI176" i="13"/>
  <c r="BH176" i="13"/>
  <c r="BG176" i="13"/>
  <c r="BF176" i="13"/>
  <c r="BM181" i="13"/>
  <c r="AS180" i="13"/>
  <c r="BH178" i="13"/>
  <c r="AJ178" i="13"/>
  <c r="BT176" i="13"/>
  <c r="BE176" i="13"/>
  <c r="AT175" i="13"/>
  <c r="BQ173" i="13"/>
  <c r="AA206" i="13"/>
  <c r="AK199" i="13"/>
  <c r="BA198" i="13"/>
  <c r="AL198" i="13"/>
  <c r="BK196" i="13"/>
  <c r="BQ192" i="13"/>
  <c r="AA191" i="13"/>
  <c r="AD191" i="13" s="1"/>
  <c r="T190" i="13"/>
  <c r="V190" i="13" s="1"/>
  <c r="W190" i="13" s="1"/>
  <c r="BH188" i="13"/>
  <c r="AJ187" i="13"/>
  <c r="BV185" i="13"/>
  <c r="BH183" i="13"/>
  <c r="BA182" i="13"/>
  <c r="AL182" i="13"/>
  <c r="BL181" i="13"/>
  <c r="BP180" i="13"/>
  <c r="AR180" i="13"/>
  <c r="AZ179" i="13"/>
  <c r="AK179" i="13"/>
  <c r="BG178" i="13"/>
  <c r="AI178" i="13"/>
  <c r="BE177" i="13"/>
  <c r="BS176" i="13"/>
  <c r="BD176" i="13"/>
  <c r="AR175" i="13"/>
  <c r="BO174" i="13"/>
  <c r="BP173" i="13"/>
  <c r="AZ180" i="13"/>
  <c r="AY180" i="13"/>
  <c r="AV180" i="13"/>
  <c r="AW175" i="13"/>
  <c r="BS173" i="13"/>
  <c r="BN181" i="13"/>
  <c r="AT180" i="13"/>
  <c r="AV175" i="13"/>
  <c r="BR173" i="13"/>
  <c r="BU201" i="13"/>
  <c r="BP192" i="13"/>
  <c r="BL192" i="13"/>
  <c r="AA189" i="13"/>
  <c r="BA187" i="13"/>
  <c r="BR185" i="13"/>
  <c r="BV181" i="13"/>
  <c r="BJ181" i="13"/>
  <c r="BF180" i="13"/>
  <c r="AP180" i="13"/>
  <c r="BV178" i="13"/>
  <c r="AY178" i="13"/>
  <c r="BQ176" i="13"/>
  <c r="AX176" i="13"/>
  <c r="BP175" i="13"/>
  <c r="AP175" i="13"/>
  <c r="BK173" i="13"/>
  <c r="AQ175" i="13"/>
  <c r="BS201" i="13"/>
  <c r="BK192" i="13"/>
  <c r="AZ187" i="13"/>
  <c r="BQ185" i="13"/>
  <c r="BV184" i="13"/>
  <c r="AW183" i="13"/>
  <c r="U183" i="13"/>
  <c r="AD183" i="13" s="1"/>
  <c r="BU181" i="13"/>
  <c r="BI181" i="13"/>
  <c r="BE180" i="13"/>
  <c r="AO180" i="13"/>
  <c r="BU178" i="13"/>
  <c r="AX178" i="13"/>
  <c r="AA178" i="13"/>
  <c r="BT177" i="13"/>
  <c r="AV177" i="13"/>
  <c r="BP176" i="13"/>
  <c r="AW176" i="13"/>
  <c r="AA176" i="13"/>
  <c r="AD176" i="13" s="1"/>
  <c r="BO175" i="13"/>
  <c r="AO175" i="13"/>
  <c r="BE174" i="13"/>
  <c r="BG173" i="13"/>
  <c r="U173" i="13"/>
  <c r="AD173" i="13" s="1"/>
  <c r="BK181" i="13"/>
  <c r="BO173" i="13"/>
  <c r="T208" i="13"/>
  <c r="V208" i="13" s="1"/>
  <c r="W208" i="13" s="1"/>
  <c r="AF208" i="13" s="1"/>
  <c r="BH201" i="13"/>
  <c r="AU198" i="13"/>
  <c r="BJ192" i="13"/>
  <c r="AA188" i="13"/>
  <c r="AY187" i="13"/>
  <c r="BN185" i="13"/>
  <c r="BQ184" i="13"/>
  <c r="AV183" i="13"/>
  <c r="AW182" i="13"/>
  <c r="Z182" i="13"/>
  <c r="AB182" i="13" s="1"/>
  <c r="AE182" i="13" s="1"/>
  <c r="BT181" i="13"/>
  <c r="BH181" i="13"/>
  <c r="BD180" i="13"/>
  <c r="AN180" i="13"/>
  <c r="AV179" i="13"/>
  <c r="BT178" i="13"/>
  <c r="AW178" i="13"/>
  <c r="BS177" i="13"/>
  <c r="AU177" i="13"/>
  <c r="BO176" i="13"/>
  <c r="AV176" i="13"/>
  <c r="BD175" i="13"/>
  <c r="AN175" i="13"/>
  <c r="BD174" i="13"/>
  <c r="BF173" i="13"/>
  <c r="BS185" i="13"/>
  <c r="AQ180" i="13"/>
  <c r="BQ201" i="13"/>
  <c r="Z202" i="13"/>
  <c r="AB202" i="13" s="1"/>
  <c r="AC202" i="13" s="1"/>
  <c r="AF202" i="13" s="1"/>
  <c r="BF201" i="13"/>
  <c r="BA199" i="13"/>
  <c r="AT198" i="13"/>
  <c r="AZ195" i="13"/>
  <c r="BI192" i="13"/>
  <c r="AX187" i="13"/>
  <c r="BM185" i="13"/>
  <c r="AA185" i="13"/>
  <c r="BH184" i="13"/>
  <c r="AU183" i="13"/>
  <c r="BS181" i="13"/>
  <c r="AM180" i="13"/>
  <c r="BS178" i="13"/>
  <c r="AV178" i="13"/>
  <c r="AT177" i="13"/>
  <c r="BK176" i="13"/>
  <c r="AU176" i="13"/>
  <c r="AM175" i="13"/>
  <c r="BE173" i="13"/>
  <c r="BD215" i="13"/>
  <c r="BG211" i="13"/>
  <c r="BF211" i="13"/>
  <c r="BF210" i="13"/>
  <c r="BE210" i="13"/>
  <c r="BA210" i="13"/>
  <c r="AW201" i="13"/>
  <c r="AR201" i="13"/>
  <c r="AV201" i="13"/>
  <c r="AU201" i="13"/>
  <c r="AK201" i="13"/>
  <c r="BO200" i="13"/>
  <c r="BH200" i="13"/>
  <c r="BD199" i="13"/>
  <c r="AX196" i="13"/>
  <c r="AI196" i="13"/>
  <c r="BV196" i="13"/>
  <c r="BT194" i="13"/>
  <c r="BP194" i="13"/>
  <c r="BO194" i="13"/>
  <c r="AO193" i="13"/>
  <c r="BS193" i="13"/>
  <c r="AN193" i="13"/>
  <c r="BO193" i="13"/>
  <c r="BQ193" i="13"/>
  <c r="BF193" i="13"/>
  <c r="BG192" i="13"/>
  <c r="BE192" i="13"/>
  <c r="AY192" i="13"/>
  <c r="BU192" i="13"/>
  <c r="AW192" i="13"/>
  <c r="BS192" i="13"/>
  <c r="AV192" i="13"/>
  <c r="BF190" i="13"/>
  <c r="BT190" i="13"/>
  <c r="BM190" i="13"/>
  <c r="BR189" i="13"/>
  <c r="AV187" i="13"/>
  <c r="AT187" i="13"/>
  <c r="AS187" i="13"/>
  <c r="BN187" i="13"/>
  <c r="AR187" i="13"/>
  <c r="BM187" i="13"/>
  <c r="AQ187" i="13"/>
  <c r="BF187" i="13"/>
  <c r="AP187" i="13"/>
  <c r="AO186" i="13"/>
  <c r="AM186" i="13"/>
  <c r="BP186" i="13"/>
  <c r="BO186" i="13"/>
  <c r="BL186" i="13"/>
  <c r="BO185" i="13"/>
  <c r="BA185" i="13"/>
  <c r="BK185" i="13"/>
  <c r="AO185" i="13"/>
  <c r="BU185" i="13"/>
  <c r="BH185" i="13"/>
  <c r="BT185" i="13"/>
  <c r="BG185" i="13"/>
  <c r="BR184" i="13"/>
  <c r="BD184" i="13"/>
  <c r="AR183" i="13"/>
  <c r="AP183" i="13"/>
  <c r="BA183" i="13"/>
  <c r="AO183" i="13"/>
  <c r="AZ183" i="13"/>
  <c r="AN183" i="13"/>
  <c r="AS183" i="13"/>
  <c r="AQ183" i="13"/>
  <c r="AY183" i="13"/>
  <c r="AM183" i="13"/>
  <c r="AX183" i="13"/>
  <c r="BL182" i="13"/>
  <c r="BT182" i="13"/>
  <c r="BH182" i="13"/>
  <c r="AU182" i="13"/>
  <c r="AI182" i="13"/>
  <c r="BO182" i="13"/>
  <c r="BN182" i="13"/>
  <c r="BJ182" i="13"/>
  <c r="BK182" i="13"/>
  <c r="BV182" i="13"/>
  <c r="BG182" i="13"/>
  <c r="BF182" i="13"/>
  <c r="BQ182" i="13"/>
  <c r="BE182" i="13"/>
  <c r="AR182" i="13"/>
  <c r="BM182" i="13"/>
  <c r="BU182" i="13"/>
  <c r="BI182" i="13"/>
  <c r="BS182" i="13"/>
  <c r="BR182" i="13"/>
  <c r="BP182" i="13"/>
  <c r="AQ181" i="13"/>
  <c r="AV181" i="13"/>
  <c r="AU181" i="13"/>
  <c r="AI181" i="13"/>
  <c r="AP181" i="13"/>
  <c r="AT181" i="13"/>
  <c r="AR181" i="13"/>
  <c r="BA181" i="13"/>
  <c r="AO181" i="13"/>
  <c r="AJ181" i="13"/>
  <c r="AZ181" i="13"/>
  <c r="AN181" i="13"/>
  <c r="AS181" i="13"/>
  <c r="AY181" i="13"/>
  <c r="AM181" i="13"/>
  <c r="AW181" i="13"/>
  <c r="AK181" i="13"/>
  <c r="AX181" i="13"/>
  <c r="BK180" i="13"/>
  <c r="AX180" i="13"/>
  <c r="AL180" i="13"/>
  <c r="BN180" i="13"/>
  <c r="BV180" i="13"/>
  <c r="BJ180" i="13"/>
  <c r="AW180" i="13"/>
  <c r="AK180" i="13"/>
  <c r="AJ180" i="13"/>
  <c r="BL180" i="13"/>
  <c r="BU180" i="13"/>
  <c r="BI180" i="13"/>
  <c r="BT180" i="13"/>
  <c r="BH180" i="13"/>
  <c r="AU180" i="13"/>
  <c r="BM180" i="13"/>
  <c r="BS180" i="13"/>
  <c r="BN179" i="13"/>
  <c r="BM179" i="13"/>
  <c r="BU179" i="13"/>
  <c r="BG179" i="13"/>
  <c r="BR179" i="13"/>
  <c r="BF179" i="13"/>
  <c r="AS179" i="13"/>
  <c r="BV179" i="13"/>
  <c r="BJ179" i="13"/>
  <c r="BT179" i="13"/>
  <c r="BH179" i="13"/>
  <c r="BS179" i="13"/>
  <c r="BQ179" i="13"/>
  <c r="BE179" i="13"/>
  <c r="AR179" i="13"/>
  <c r="BL179" i="13"/>
  <c r="BK179" i="13"/>
  <c r="BI179" i="13"/>
  <c r="BP179" i="13"/>
  <c r="BR178" i="13"/>
  <c r="BF178" i="13"/>
  <c r="AS178" i="13"/>
  <c r="BQ178" i="13"/>
  <c r="BE178" i="13"/>
  <c r="AR178" i="13"/>
  <c r="BP178" i="13"/>
  <c r="BD178" i="13"/>
  <c r="AQ178" i="13"/>
  <c r="AP178" i="13"/>
  <c r="BN178" i="13"/>
  <c r="BA178" i="13"/>
  <c r="AO178" i="13"/>
  <c r="AZ178" i="13"/>
  <c r="AQ177" i="13"/>
  <c r="BN177" i="13"/>
  <c r="BA177" i="13"/>
  <c r="AO177" i="13"/>
  <c r="BM177" i="13"/>
  <c r="AZ177" i="13"/>
  <c r="AN177" i="13"/>
  <c r="BL177" i="13"/>
  <c r="AY177" i="13"/>
  <c r="AM177" i="13"/>
  <c r="AS177" i="13"/>
  <c r="BK177" i="13"/>
  <c r="AX177" i="13"/>
  <c r="AL177" i="13"/>
  <c r="AR177" i="13"/>
  <c r="BO177" i="13"/>
  <c r="BV177" i="13"/>
  <c r="AW177" i="13"/>
  <c r="AS176" i="13"/>
  <c r="AR176" i="13"/>
  <c r="AQ176" i="13"/>
  <c r="AP176" i="13"/>
  <c r="BN176" i="13"/>
  <c r="BA176" i="13"/>
  <c r="AO176" i="13"/>
  <c r="BM176" i="13"/>
  <c r="AZ176" i="13"/>
  <c r="AN176" i="13"/>
  <c r="AY176" i="13"/>
  <c r="BN175" i="13"/>
  <c r="BL175" i="13"/>
  <c r="BK175" i="13"/>
  <c r="AX175" i="13"/>
  <c r="AL175" i="13"/>
  <c r="BM175" i="13"/>
  <c r="BT175" i="13"/>
  <c r="BH175" i="13"/>
  <c r="AU175" i="13"/>
  <c r="AI175" i="13"/>
  <c r="BV175" i="13"/>
  <c r="BU175" i="13"/>
  <c r="BI175" i="13"/>
  <c r="BS175" i="13"/>
  <c r="BG175" i="13"/>
  <c r="BR175" i="13"/>
  <c r="BF175" i="13"/>
  <c r="BJ175" i="13"/>
  <c r="BQ175" i="13"/>
  <c r="AS174" i="13"/>
  <c r="AP174" i="13"/>
  <c r="BN174" i="13"/>
  <c r="BA174" i="13"/>
  <c r="AO174" i="13"/>
  <c r="BM174" i="13"/>
  <c r="AZ174" i="13"/>
  <c r="AN174" i="13"/>
  <c r="BL174" i="13"/>
  <c r="AY174" i="13"/>
  <c r="AM174" i="13"/>
  <c r="BK174" i="13"/>
  <c r="BV174" i="13"/>
  <c r="AK174" i="13"/>
  <c r="AL174" i="13"/>
  <c r="AW174" i="13"/>
  <c r="BU174" i="13"/>
  <c r="BI174" i="13"/>
  <c r="AV174" i="13"/>
  <c r="AJ174" i="13"/>
  <c r="AR174" i="13"/>
  <c r="AQ174" i="13"/>
  <c r="AX174" i="13"/>
  <c r="BJ174" i="13"/>
  <c r="BT174" i="13"/>
  <c r="AU174" i="13"/>
  <c r="AP173" i="13"/>
  <c r="BN173" i="13"/>
  <c r="BA173" i="13"/>
  <c r="AO173" i="13"/>
  <c r="AT173" i="13"/>
  <c r="AS173" i="13"/>
  <c r="BM173" i="13"/>
  <c r="AZ173" i="13"/>
  <c r="AN173" i="13"/>
  <c r="BL173" i="13"/>
  <c r="AY173" i="13"/>
  <c r="AM173" i="13"/>
  <c r="AR173" i="13"/>
  <c r="AL173" i="13"/>
  <c r="BV173" i="13"/>
  <c r="BJ173" i="13"/>
  <c r="AW173" i="13"/>
  <c r="AK173" i="13"/>
  <c r="BU173" i="13"/>
  <c r="BI173" i="13"/>
  <c r="AV173" i="13"/>
  <c r="AJ173" i="13"/>
  <c r="AQ173" i="13"/>
  <c r="AX173" i="13"/>
  <c r="BT173" i="13"/>
  <c r="AU173" i="13"/>
  <c r="AF178" i="13"/>
  <c r="AE180" i="13"/>
  <c r="W180" i="13"/>
  <c r="AF180" i="13" s="1"/>
  <c r="W179" i="13"/>
  <c r="W176" i="13"/>
  <c r="AF176" i="13" s="1"/>
  <c r="W174" i="13"/>
  <c r="AC177" i="13"/>
  <c r="AQ188" i="13"/>
  <c r="AL214" i="13"/>
  <c r="AZ213" i="13"/>
  <c r="AN204" i="13"/>
  <c r="BJ191" i="13"/>
  <c r="AR189" i="13"/>
  <c r="AP188" i="13"/>
  <c r="BU184" i="13"/>
  <c r="BG184" i="13"/>
  <c r="BS183" i="13"/>
  <c r="AK214" i="13"/>
  <c r="AK213" i="13"/>
  <c r="AY212" i="13"/>
  <c r="BR210" i="13"/>
  <c r="AM204" i="13"/>
  <c r="BJ201" i="13"/>
  <c r="AU200" i="13"/>
  <c r="BO197" i="13"/>
  <c r="BO196" i="13"/>
  <c r="AM196" i="13"/>
  <c r="AQ195" i="13"/>
  <c r="BN193" i="13"/>
  <c r="BO192" i="13"/>
  <c r="AT192" i="13"/>
  <c r="BI191" i="13"/>
  <c r="BV189" i="13"/>
  <c r="AP189" i="13"/>
  <c r="BP188" i="13"/>
  <c r="AN188" i="13"/>
  <c r="BR187" i="13"/>
  <c r="BN186" i="13"/>
  <c r="AT186" i="13"/>
  <c r="U186" i="13"/>
  <c r="AD186" i="13" s="1"/>
  <c r="BT184" i="13"/>
  <c r="BF184" i="13"/>
  <c r="U184" i="13"/>
  <c r="AD184" i="13" s="1"/>
  <c r="BR183" i="13"/>
  <c r="BF183" i="13"/>
  <c r="W173" i="13"/>
  <c r="AS189" i="13"/>
  <c r="BU210" i="13"/>
  <c r="AW196" i="13"/>
  <c r="BG183" i="13"/>
  <c r="AJ214" i="13"/>
  <c r="AI213" i="13"/>
  <c r="AW212" i="13"/>
  <c r="BQ210" i="13"/>
  <c r="AJ204" i="13"/>
  <c r="BT203" i="13"/>
  <c r="BI201" i="13"/>
  <c r="AT200" i="13"/>
  <c r="BH197" i="13"/>
  <c r="U197" i="13"/>
  <c r="AD197" i="13" s="1"/>
  <c r="BN196" i="13"/>
  <c r="AK196" i="13"/>
  <c r="BV195" i="13"/>
  <c r="AP195" i="13"/>
  <c r="BL193" i="13"/>
  <c r="AF193" i="13"/>
  <c r="AR192" i="13"/>
  <c r="BH191" i="13"/>
  <c r="T191" i="13"/>
  <c r="V191" i="13" s="1"/>
  <c r="W191" i="13" s="1"/>
  <c r="AI190" i="13"/>
  <c r="AK189" i="13"/>
  <c r="AI188" i="13"/>
  <c r="BO187" i="13"/>
  <c r="AA187" i="13"/>
  <c r="BM186" i="13"/>
  <c r="AQ186" i="13"/>
  <c r="BS184" i="13"/>
  <c r="BE184" i="13"/>
  <c r="BQ183" i="13"/>
  <c r="BE183" i="13"/>
  <c r="U179" i="13"/>
  <c r="AD179" i="13" s="1"/>
  <c r="AE178" i="13"/>
  <c r="BR203" i="13"/>
  <c r="BD210" i="13"/>
  <c r="BD209" i="13"/>
  <c r="AY204" i="13"/>
  <c r="BQ203" i="13"/>
  <c r="Z200" i="13"/>
  <c r="AB200" i="13" s="1"/>
  <c r="AC200" i="13" s="1"/>
  <c r="Z198" i="13"/>
  <c r="AB198" i="13" s="1"/>
  <c r="BA197" i="13"/>
  <c r="BJ196" i="13"/>
  <c r="BE195" i="13"/>
  <c r="AL195" i="13"/>
  <c r="AL192" i="13"/>
  <c r="AW191" i="13"/>
  <c r="BK187" i="13"/>
  <c r="BI186" i="13"/>
  <c r="AN186" i="13"/>
  <c r="BP184" i="13"/>
  <c r="BN183" i="13"/>
  <c r="BA204" i="13"/>
  <c r="AX204" i="13"/>
  <c r="AZ188" i="13"/>
  <c r="BO184" i="13"/>
  <c r="BM183" i="13"/>
  <c r="BA209" i="13"/>
  <c r="AT197" i="13"/>
  <c r="BU191" i="13"/>
  <c r="AT191" i="13"/>
  <c r="AU188" i="13"/>
  <c r="AL186" i="13"/>
  <c r="BL184" i="13"/>
  <c r="BL183" i="13"/>
  <c r="U181" i="13"/>
  <c r="AD181" i="13" s="1"/>
  <c r="BO203" i="13"/>
  <c r="AZ197" i="13"/>
  <c r="AV191" i="13"/>
  <c r="AV204" i="13"/>
  <c r="BJ203" i="13"/>
  <c r="BG196" i="13"/>
  <c r="AY209" i="13"/>
  <c r="Z207" i="13"/>
  <c r="AB207" i="13" s="1"/>
  <c r="AC207" i="13" s="1"/>
  <c r="AT204" i="13"/>
  <c r="BH203" i="13"/>
  <c r="BE202" i="13"/>
  <c r="BV201" i="13"/>
  <c r="AO197" i="13"/>
  <c r="BF196" i="13"/>
  <c r="BA195" i="13"/>
  <c r="BU193" i="13"/>
  <c r="Z192" i="13"/>
  <c r="AB192" i="13" s="1"/>
  <c r="AE192" i="13" s="1"/>
  <c r="BT191" i="13"/>
  <c r="AO191" i="13"/>
  <c r="AT188" i="13"/>
  <c r="BA186" i="13"/>
  <c r="AJ186" i="13"/>
  <c r="AK185" i="13"/>
  <c r="BK184" i="13"/>
  <c r="BK183" i="13"/>
  <c r="BS203" i="13"/>
  <c r="BV191" i="13"/>
  <c r="AK191" i="13"/>
  <c r="AW189" i="13"/>
  <c r="AS188" i="13"/>
  <c r="AD207" i="13"/>
  <c r="AQ204" i="13"/>
  <c r="BG203" i="13"/>
  <c r="BP198" i="13"/>
  <c r="AK197" i="13"/>
  <c r="BS191" i="13"/>
  <c r="BJ184" i="13"/>
  <c r="BV183" i="13"/>
  <c r="BJ183" i="13"/>
  <c r="BE214" i="13"/>
  <c r="AP204" i="13"/>
  <c r="BF203" i="13"/>
  <c r="AX202" i="13"/>
  <c r="BT201" i="13"/>
  <c r="BO198" i="13"/>
  <c r="AJ197" i="13"/>
  <c r="BS196" i="13"/>
  <c r="AY196" i="13"/>
  <c r="AW195" i="13"/>
  <c r="BR193" i="13"/>
  <c r="AX192" i="13"/>
  <c r="BO191" i="13"/>
  <c r="AJ191" i="13"/>
  <c r="AT189" i="13"/>
  <c r="AR188" i="13"/>
  <c r="BU186" i="13"/>
  <c r="AY186" i="13"/>
  <c r="Z186" i="13"/>
  <c r="AB186" i="13" s="1"/>
  <c r="AC186" i="13" s="1"/>
  <c r="AF186" i="13" s="1"/>
  <c r="BI184" i="13"/>
  <c r="BU183" i="13"/>
  <c r="AC187" i="13"/>
  <c r="AF187" i="13" s="1"/>
  <c r="AE187" i="13"/>
  <c r="AC185" i="13"/>
  <c r="AF185" i="13" s="1"/>
  <c r="AE185" i="13"/>
  <c r="AC189" i="13"/>
  <c r="AF189" i="13" s="1"/>
  <c r="AE189" i="13"/>
  <c r="AC188" i="13"/>
  <c r="AF188" i="13" s="1"/>
  <c r="AE188" i="13"/>
  <c r="BI195" i="13"/>
  <c r="AX194" i="13"/>
  <c r="AA193" i="13"/>
  <c r="AD192" i="13"/>
  <c r="BL190" i="13"/>
  <c r="BU189" i="13"/>
  <c r="BI189" i="13"/>
  <c r="AV189" i="13"/>
  <c r="AJ189" i="13"/>
  <c r="BS188" i="13"/>
  <c r="BG188" i="13"/>
  <c r="BQ187" i="13"/>
  <c r="BE187" i="13"/>
  <c r="AZ185" i="13"/>
  <c r="AN185" i="13"/>
  <c r="AX184" i="13"/>
  <c r="AL184" i="13"/>
  <c r="BF195" i="13"/>
  <c r="AV194" i="13"/>
  <c r="BK190" i="13"/>
  <c r="Z190" i="13"/>
  <c r="AB190" i="13" s="1"/>
  <c r="AC190" i="13" s="1"/>
  <c r="BT189" i="13"/>
  <c r="BH189" i="13"/>
  <c r="AU189" i="13"/>
  <c r="AI189" i="13"/>
  <c r="U189" i="13"/>
  <c r="BR188" i="13"/>
  <c r="BF188" i="13"/>
  <c r="BP187" i="13"/>
  <c r="BD187" i="13"/>
  <c r="AY185" i="13"/>
  <c r="AM185" i="13"/>
  <c r="AW184" i="13"/>
  <c r="AK184" i="13"/>
  <c r="BH190" i="13"/>
  <c r="AD190" i="13"/>
  <c r="BS189" i="13"/>
  <c r="BG189" i="13"/>
  <c r="BQ188" i="13"/>
  <c r="BE188" i="13"/>
  <c r="AX185" i="13"/>
  <c r="AL185" i="13"/>
  <c r="AV184" i="13"/>
  <c r="AJ184" i="13"/>
  <c r="BR195" i="13"/>
  <c r="AP194" i="13"/>
  <c r="BM193" i="13"/>
  <c r="BE190" i="13"/>
  <c r="BP189" i="13"/>
  <c r="BD189" i="13"/>
  <c r="AQ189" i="13"/>
  <c r="BN188" i="13"/>
  <c r="BA188" i="13"/>
  <c r="AO188" i="13"/>
  <c r="BL187" i="13"/>
  <c r="BV186" i="13"/>
  <c r="BJ186" i="13"/>
  <c r="AW186" i="13"/>
  <c r="AK186" i="13"/>
  <c r="AU185" i="13"/>
  <c r="AI185" i="13"/>
  <c r="AS184" i="13"/>
  <c r="AU194" i="13"/>
  <c r="AT194" i="13"/>
  <c r="BV202" i="13"/>
  <c r="AQ194" i="13"/>
  <c r="BT202" i="13"/>
  <c r="AV199" i="13"/>
  <c r="BQ202" i="13"/>
  <c r="AT199" i="13"/>
  <c r="BQ195" i="13"/>
  <c r="AO194" i="13"/>
  <c r="BM188" i="13"/>
  <c r="AR184" i="13"/>
  <c r="Z215" i="13"/>
  <c r="AB215" i="13" s="1"/>
  <c r="AC215" i="13" s="1"/>
  <c r="BA213" i="13"/>
  <c r="BE207" i="13"/>
  <c r="AL204" i="13"/>
  <c r="BO202" i="13"/>
  <c r="BG201" i="13"/>
  <c r="BQ199" i="13"/>
  <c r="AS199" i="13"/>
  <c r="AX198" i="13"/>
  <c r="AK198" i="13"/>
  <c r="BP195" i="13"/>
  <c r="AX195" i="13"/>
  <c r="AJ195" i="13"/>
  <c r="AN194" i="13"/>
  <c r="BK193" i="13"/>
  <c r="BS190" i="13"/>
  <c r="AY190" i="13"/>
  <c r="BN189" i="13"/>
  <c r="BA189" i="13"/>
  <c r="AO189" i="13"/>
  <c r="BL188" i="13"/>
  <c r="AY188" i="13"/>
  <c r="AM188" i="13"/>
  <c r="BV187" i="13"/>
  <c r="BJ187" i="13"/>
  <c r="BT186" i="13"/>
  <c r="BH186" i="13"/>
  <c r="AU186" i="13"/>
  <c r="AI186" i="13"/>
  <c r="AS185" i="13"/>
  <c r="AQ184" i="13"/>
  <c r="BI202" i="13"/>
  <c r="BP199" i="13"/>
  <c r="AR199" i="13"/>
  <c r="BO195" i="13"/>
  <c r="BR190" i="13"/>
  <c r="AU190" i="13"/>
  <c r="BM189" i="13"/>
  <c r="AZ189" i="13"/>
  <c r="AN189" i="13"/>
  <c r="BK188" i="13"/>
  <c r="AX188" i="13"/>
  <c r="AL188" i="13"/>
  <c r="BU187" i="13"/>
  <c r="BI187" i="13"/>
  <c r="BS186" i="13"/>
  <c r="BG186" i="13"/>
  <c r="AR185" i="13"/>
  <c r="AP184" i="13"/>
  <c r="AL194" i="13"/>
  <c r="BJ193" i="13"/>
  <c r="T215" i="13"/>
  <c r="V215" i="13" s="1"/>
  <c r="W215" i="13" s="1"/>
  <c r="AL213" i="13"/>
  <c r="BH211" i="13"/>
  <c r="AA208" i="13"/>
  <c r="AD208" i="13" s="1"/>
  <c r="AM207" i="13"/>
  <c r="AZ204" i="13"/>
  <c r="AI204" i="13"/>
  <c r="BU203" i="13"/>
  <c r="BH202" i="13"/>
  <c r="BE201" i="13"/>
  <c r="BF199" i="13"/>
  <c r="AQ199" i="13"/>
  <c r="AV198" i="13"/>
  <c r="AI198" i="13"/>
  <c r="BT197" i="13"/>
  <c r="BT196" i="13"/>
  <c r="BE196" i="13"/>
  <c r="BM195" i="13"/>
  <c r="AV195" i="13"/>
  <c r="AJ194" i="13"/>
  <c r="BI193" i="13"/>
  <c r="AM193" i="13"/>
  <c r="BV192" i="13"/>
  <c r="BD192" i="13"/>
  <c r="AJ192" i="13"/>
  <c r="BQ190" i="13"/>
  <c r="AT190" i="13"/>
  <c r="BL189" i="13"/>
  <c r="AY189" i="13"/>
  <c r="AM189" i="13"/>
  <c r="BV188" i="13"/>
  <c r="BJ188" i="13"/>
  <c r="AW188" i="13"/>
  <c r="AK188" i="13"/>
  <c r="BT187" i="13"/>
  <c r="BH187" i="13"/>
  <c r="AU187" i="13"/>
  <c r="U187" i="13"/>
  <c r="BR186" i="13"/>
  <c r="BF186" i="13"/>
  <c r="AS186" i="13"/>
  <c r="BP185" i="13"/>
  <c r="AQ185" i="13"/>
  <c r="BN184" i="13"/>
  <c r="BA184" i="13"/>
  <c r="AO184" i="13"/>
  <c r="Z214" i="13"/>
  <c r="AB214" i="13" s="1"/>
  <c r="AC214" i="13" s="1"/>
  <c r="AT206" i="13"/>
  <c r="BG202" i="13"/>
  <c r="BE199" i="13"/>
  <c r="AP199" i="13"/>
  <c r="BS197" i="13"/>
  <c r="BK195" i="13"/>
  <c r="AT195" i="13"/>
  <c r="BA194" i="13"/>
  <c r="AI194" i="13"/>
  <c r="BV193" i="13"/>
  <c r="BG193" i="13"/>
  <c r="BA191" i="13"/>
  <c r="BO190" i="13"/>
  <c r="AM190" i="13"/>
  <c r="AX189" i="13"/>
  <c r="BU188" i="13"/>
  <c r="AV188" i="13"/>
  <c r="BS187" i="13"/>
  <c r="BQ186" i="13"/>
  <c r="AZ184" i="13"/>
  <c r="AC194" i="13"/>
  <c r="AF194" i="13" s="1"/>
  <c r="AE194" i="13"/>
  <c r="AC191" i="13"/>
  <c r="AC195" i="13"/>
  <c r="AF195" i="13" s="1"/>
  <c r="AE195" i="13"/>
  <c r="AZ205" i="13"/>
  <c r="BG200" i="13"/>
  <c r="BO199" i="13"/>
  <c r="BR197" i="13"/>
  <c r="BF197" i="13"/>
  <c r="AN197" i="13"/>
  <c r="BS194" i="13"/>
  <c r="BG194" i="13"/>
  <c r="AR193" i="13"/>
  <c r="AE193" i="13"/>
  <c r="AP192" i="13"/>
  <c r="BM191" i="13"/>
  <c r="AZ191" i="13"/>
  <c r="AN191" i="13"/>
  <c r="AX190" i="13"/>
  <c r="AL190" i="13"/>
  <c r="AL209" i="13"/>
  <c r="BL202" i="13"/>
  <c r="AV202" i="13"/>
  <c r="AT215" i="13"/>
  <c r="AM212" i="13"/>
  <c r="BS210" i="13"/>
  <c r="AK209" i="13"/>
  <c r="BV208" i="13"/>
  <c r="AL207" i="13"/>
  <c r="AY205" i="13"/>
  <c r="BV203" i="13"/>
  <c r="BE203" i="13"/>
  <c r="BK202" i="13"/>
  <c r="AU202" i="13"/>
  <c r="U202" i="13"/>
  <c r="AD202" i="13" s="1"/>
  <c r="BR201" i="13"/>
  <c r="AT201" i="13"/>
  <c r="BF200" i="13"/>
  <c r="U200" i="13"/>
  <c r="AD200" i="13" s="1"/>
  <c r="BN199" i="13"/>
  <c r="AU199" i="13"/>
  <c r="AI199" i="13"/>
  <c r="BD198" i="13"/>
  <c r="BQ197" i="13"/>
  <c r="BE197" i="13"/>
  <c r="AM197" i="13"/>
  <c r="BQ196" i="13"/>
  <c r="BD196" i="13"/>
  <c r="Z196" i="13"/>
  <c r="AB196" i="13" s="1"/>
  <c r="AC196" i="13" s="1"/>
  <c r="BT195" i="13"/>
  <c r="BH195" i="13"/>
  <c r="AU195" i="13"/>
  <c r="AI195" i="13"/>
  <c r="U195" i="13"/>
  <c r="BR194" i="13"/>
  <c r="BF194" i="13"/>
  <c r="AS194" i="13"/>
  <c r="BP193" i="13"/>
  <c r="BD193" i="13"/>
  <c r="AQ193" i="13"/>
  <c r="BN192" i="13"/>
  <c r="BA192" i="13"/>
  <c r="AO192" i="13"/>
  <c r="BL191" i="13"/>
  <c r="AY191" i="13"/>
  <c r="AM191" i="13"/>
  <c r="BV190" i="13"/>
  <c r="BJ190" i="13"/>
  <c r="AW190" i="13"/>
  <c r="AK190" i="13"/>
  <c r="AM214" i="13"/>
  <c r="AJ211" i="13"/>
  <c r="AJ209" i="13"/>
  <c r="BG208" i="13"/>
  <c r="AU206" i="13"/>
  <c r="AX205" i="13"/>
  <c r="BJ202" i="13"/>
  <c r="AT202" i="13"/>
  <c r="AS201" i="13"/>
  <c r="BD200" i="13"/>
  <c r="BM199" i="13"/>
  <c r="BP197" i="13"/>
  <c r="BD197" i="13"/>
  <c r="AL197" i="13"/>
  <c r="AD196" i="13"/>
  <c r="BS195" i="13"/>
  <c r="BG195" i="13"/>
  <c r="BQ194" i="13"/>
  <c r="BE194" i="13"/>
  <c r="AR194" i="13"/>
  <c r="AP193" i="13"/>
  <c r="BM192" i="13"/>
  <c r="AZ192" i="13"/>
  <c r="AN192" i="13"/>
  <c r="BK191" i="13"/>
  <c r="AX191" i="13"/>
  <c r="AL191" i="13"/>
  <c r="BU190" i="13"/>
  <c r="BI190" i="13"/>
  <c r="AV190" i="13"/>
  <c r="AJ190" i="13"/>
  <c r="BN194" i="13"/>
  <c r="AU191" i="13"/>
  <c r="AI191" i="13"/>
  <c r="AS190" i="13"/>
  <c r="BA205" i="13"/>
  <c r="AW202" i="13"/>
  <c r="BR205" i="13"/>
  <c r="AW205" i="13"/>
  <c r="BA203" i="13"/>
  <c r="AR202" i="13"/>
  <c r="BQ205" i="13"/>
  <c r="AV205" i="13"/>
  <c r="AT203" i="13"/>
  <c r="AQ202" i="13"/>
  <c r="BN197" i="13"/>
  <c r="BP205" i="13"/>
  <c r="AN205" i="13"/>
  <c r="AO203" i="13"/>
  <c r="AM202" i="13"/>
  <c r="BM197" i="13"/>
  <c r="BI212" i="13"/>
  <c r="BV207" i="13"/>
  <c r="BO205" i="13"/>
  <c r="AM205" i="13"/>
  <c r="AN203" i="13"/>
  <c r="AL202" i="13"/>
  <c r="BT200" i="13"/>
  <c r="BL197" i="13"/>
  <c r="AY197" i="13"/>
  <c r="AU196" i="13"/>
  <c r="BM194" i="13"/>
  <c r="AA194" i="13"/>
  <c r="AX193" i="13"/>
  <c r="AL193" i="13"/>
  <c r="AR190" i="13"/>
  <c r="BH212" i="13"/>
  <c r="BT207" i="13"/>
  <c r="BF205" i="13"/>
  <c r="AL205" i="13"/>
  <c r="BP204" i="13"/>
  <c r="AM203" i="13"/>
  <c r="BU202" i="13"/>
  <c r="BD202" i="13"/>
  <c r="AK202" i="13"/>
  <c r="BS200" i="13"/>
  <c r="BK197" i="13"/>
  <c r="AX197" i="13"/>
  <c r="AT196" i="13"/>
  <c r="BN195" i="13"/>
  <c r="BL194" i="13"/>
  <c r="AY194" i="13"/>
  <c r="AM194" i="13"/>
  <c r="AW193" i="13"/>
  <c r="AK193" i="13"/>
  <c r="BT192" i="13"/>
  <c r="BH192" i="13"/>
  <c r="AU192" i="13"/>
  <c r="AI192" i="13"/>
  <c r="BR191" i="13"/>
  <c r="BF191" i="13"/>
  <c r="AS191" i="13"/>
  <c r="BP190" i="13"/>
  <c r="BD190" i="13"/>
  <c r="AQ190" i="13"/>
  <c r="AL203" i="13"/>
  <c r="AJ202" i="13"/>
  <c r="AA195" i="13"/>
  <c r="BK194" i="13"/>
  <c r="AV193" i="13"/>
  <c r="AJ193" i="13"/>
  <c r="BQ191" i="13"/>
  <c r="BE191" i="13"/>
  <c r="AR191" i="13"/>
  <c r="AP190" i="13"/>
  <c r="BG207" i="13"/>
  <c r="BE205" i="13"/>
  <c r="AK205" i="13"/>
  <c r="BO204" i="13"/>
  <c r="AA201" i="13"/>
  <c r="BR200" i="13"/>
  <c r="BV197" i="13"/>
  <c r="BJ197" i="13"/>
  <c r="AW197" i="13"/>
  <c r="AZ212" i="13"/>
  <c r="BF207" i="13"/>
  <c r="BD205" i="13"/>
  <c r="AJ205" i="13"/>
  <c r="BD204" i="13"/>
  <c r="BI203" i="13"/>
  <c r="AK203" i="13"/>
  <c r="BS202" i="13"/>
  <c r="AY202" i="13"/>
  <c r="AI202" i="13"/>
  <c r="BP200" i="13"/>
  <c r="BR199" i="13"/>
  <c r="AY199" i="13"/>
  <c r="BU197" i="13"/>
  <c r="AV197" i="13"/>
  <c r="BU196" i="13"/>
  <c r="BH196" i="13"/>
  <c r="AL196" i="13"/>
  <c r="AY195" i="13"/>
  <c r="BV194" i="13"/>
  <c r="BJ194" i="13"/>
  <c r="AW194" i="13"/>
  <c r="BT193" i="13"/>
  <c r="AU193" i="13"/>
  <c r="U193" i="13"/>
  <c r="BR192" i="13"/>
  <c r="BP191" i="13"/>
  <c r="AQ191" i="13"/>
  <c r="BA190" i="13"/>
  <c r="AO190" i="13"/>
  <c r="BU194" i="13"/>
  <c r="AZ190" i="13"/>
  <c r="AE199" i="13"/>
  <c r="AC199" i="13"/>
  <c r="AF199" i="13" s="1"/>
  <c r="W200" i="13"/>
  <c r="AC201" i="13"/>
  <c r="AF201" i="13" s="1"/>
  <c r="AE201" i="13"/>
  <c r="BQ200" i="13"/>
  <c r="BE200" i="13"/>
  <c r="AR200" i="13"/>
  <c r="BM198" i="13"/>
  <c r="AV196" i="13"/>
  <c r="AJ196" i="13"/>
  <c r="BP201" i="13"/>
  <c r="BD201" i="13"/>
  <c r="AQ201" i="13"/>
  <c r="BN200" i="13"/>
  <c r="BA200" i="13"/>
  <c r="AO200" i="13"/>
  <c r="BL199" i="13"/>
  <c r="BV198" i="13"/>
  <c r="BJ198" i="13"/>
  <c r="AU197" i="13"/>
  <c r="AI197" i="13"/>
  <c r="AS196" i="13"/>
  <c r="BT206" i="13"/>
  <c r="AY210" i="13"/>
  <c r="BT208" i="13"/>
  <c r="BA208" i="13"/>
  <c r="BS206" i="13"/>
  <c r="AS200" i="13"/>
  <c r="BN198" i="13"/>
  <c r="AX210" i="13"/>
  <c r="BS208" i="13"/>
  <c r="AZ208" i="13"/>
  <c r="BR206" i="13"/>
  <c r="BV212" i="13"/>
  <c r="AV210" i="13"/>
  <c r="AX209" i="13"/>
  <c r="BQ208" i="13"/>
  <c r="AY208" i="13"/>
  <c r="BQ206" i="13"/>
  <c r="AQ200" i="13"/>
  <c r="BL198" i="13"/>
  <c r="BU212" i="13"/>
  <c r="AT210" i="13"/>
  <c r="AW209" i="13"/>
  <c r="BO208" i="13"/>
  <c r="AW208" i="13"/>
  <c r="BP206" i="13"/>
  <c r="AP200" i="13"/>
  <c r="BK198" i="13"/>
  <c r="BQ212" i="13"/>
  <c r="AQ210" i="13"/>
  <c r="AV209" i="13"/>
  <c r="BN208" i="13"/>
  <c r="AV208" i="13"/>
  <c r="BO206" i="13"/>
  <c r="AT205" i="13"/>
  <c r="BA214" i="13"/>
  <c r="BO212" i="13"/>
  <c r="BV211" i="13"/>
  <c r="AO210" i="13"/>
  <c r="AT209" i="13"/>
  <c r="BM208" i="13"/>
  <c r="AT208" i="13"/>
  <c r="BH206" i="13"/>
  <c r="AS205" i="13"/>
  <c r="AR196" i="13"/>
  <c r="AQ209" i="13"/>
  <c r="BL208" i="13"/>
  <c r="AO208" i="13"/>
  <c r="AY207" i="13"/>
  <c r="BG206" i="13"/>
  <c r="U206" i="13"/>
  <c r="AR205" i="13"/>
  <c r="BN203" i="13"/>
  <c r="AZ203" i="13"/>
  <c r="AA203" i="13"/>
  <c r="AD203" i="13" s="1"/>
  <c r="BN201" i="13"/>
  <c r="BA201" i="13"/>
  <c r="AO201" i="13"/>
  <c r="BL200" i="13"/>
  <c r="AY200" i="13"/>
  <c r="AM200" i="13"/>
  <c r="BV199" i="13"/>
  <c r="BJ199" i="13"/>
  <c r="BT198" i="13"/>
  <c r="BH198" i="13"/>
  <c r="U198" i="13"/>
  <c r="AD198" i="13" s="1"/>
  <c r="AS197" i="13"/>
  <c r="AQ196" i="13"/>
  <c r="AE204" i="13"/>
  <c r="AZ210" i="13"/>
  <c r="AZ214" i="13"/>
  <c r="BN212" i="13"/>
  <c r="AL212" i="13"/>
  <c r="BT211" i="13"/>
  <c r="U211" i="13"/>
  <c r="AD211" i="13" s="1"/>
  <c r="AN210" i="13"/>
  <c r="AY214" i="13"/>
  <c r="BM212" i="13"/>
  <c r="AI212" i="13"/>
  <c r="BK211" i="13"/>
  <c r="AM210" i="13"/>
  <c r="AP209" i="13"/>
  <c r="BJ208" i="13"/>
  <c r="AN208" i="13"/>
  <c r="AX207" i="13"/>
  <c r="BF206" i="13"/>
  <c r="AQ205" i="13"/>
  <c r="BM203" i="13"/>
  <c r="AY203" i="13"/>
  <c r="BM201" i="13"/>
  <c r="AZ201" i="13"/>
  <c r="AN201" i="13"/>
  <c r="BK200" i="13"/>
  <c r="AX200" i="13"/>
  <c r="AL200" i="13"/>
  <c r="BU199" i="13"/>
  <c r="BI199" i="13"/>
  <c r="BS198" i="13"/>
  <c r="BG198" i="13"/>
  <c r="AR197" i="13"/>
  <c r="AP196" i="13"/>
  <c r="AZ200" i="13"/>
  <c r="AN200" i="13"/>
  <c r="BK199" i="13"/>
  <c r="BI198" i="13"/>
  <c r="BJ211" i="13"/>
  <c r="AP205" i="13"/>
  <c r="U199" i="13"/>
  <c r="BR198" i="13"/>
  <c r="BF198" i="13"/>
  <c r="AQ197" i="13"/>
  <c r="BA196" i="13"/>
  <c r="AO196" i="13"/>
  <c r="BO201" i="13"/>
  <c r="AP201" i="13"/>
  <c r="BM200" i="13"/>
  <c r="BU198" i="13"/>
  <c r="AX214" i="13"/>
  <c r="BK212" i="13"/>
  <c r="AL210" i="13"/>
  <c r="AO209" i="13"/>
  <c r="BI208" i="13"/>
  <c r="AM208" i="13"/>
  <c r="AU207" i="13"/>
  <c r="BE206" i="13"/>
  <c r="BL203" i="13"/>
  <c r="AX203" i="13"/>
  <c r="BL201" i="13"/>
  <c r="AY201" i="13"/>
  <c r="AM201" i="13"/>
  <c r="BV200" i="13"/>
  <c r="BJ200" i="13"/>
  <c r="AW200" i="13"/>
  <c r="AK200" i="13"/>
  <c r="BT199" i="13"/>
  <c r="BH199" i="13"/>
  <c r="AW214" i="13"/>
  <c r="BJ212" i="13"/>
  <c r="AA212" i="13"/>
  <c r="BI211" i="13"/>
  <c r="AJ210" i="13"/>
  <c r="BP209" i="13"/>
  <c r="AM209" i="13"/>
  <c r="BH208" i="13"/>
  <c r="AK208" i="13"/>
  <c r="AT207" i="13"/>
  <c r="BD206" i="13"/>
  <c r="AO205" i="13"/>
  <c r="AU204" i="13"/>
  <c r="AC204" i="13"/>
  <c r="AF204" i="13" s="1"/>
  <c r="BK203" i="13"/>
  <c r="AW203" i="13"/>
  <c r="T203" i="13"/>
  <c r="V203" i="13" s="1"/>
  <c r="W203" i="13" s="1"/>
  <c r="AF203" i="13" s="1"/>
  <c r="BP202" i="13"/>
  <c r="AX201" i="13"/>
  <c r="BU200" i="13"/>
  <c r="AV200" i="13"/>
  <c r="BS199" i="13"/>
  <c r="BQ198" i="13"/>
  <c r="AZ196" i="13"/>
  <c r="AC205" i="13"/>
  <c r="AF205" i="13" s="1"/>
  <c r="AE205" i="13"/>
  <c r="AC206" i="13"/>
  <c r="AF206" i="13" s="1"/>
  <c r="AE206" i="13"/>
  <c r="AV203" i="13"/>
  <c r="AJ203" i="13"/>
  <c r="BE215" i="13"/>
  <c r="AT214" i="13"/>
  <c r="AW213" i="13"/>
  <c r="AK212" i="13"/>
  <c r="BU211" i="13"/>
  <c r="BD211" i="13"/>
  <c r="BN210" i="13"/>
  <c r="BO209" i="13"/>
  <c r="BQ207" i="13"/>
  <c r="BN206" i="13"/>
  <c r="BA206" i="13"/>
  <c r="AO206" i="13"/>
  <c r="BL205" i="13"/>
  <c r="BV204" i="13"/>
  <c r="BJ204" i="13"/>
  <c r="AW204" i="13"/>
  <c r="AK204" i="13"/>
  <c r="AU203" i="13"/>
  <c r="AI203" i="13"/>
  <c r="BR202" i="13"/>
  <c r="BF202" i="13"/>
  <c r="AS202" i="13"/>
  <c r="AS206" i="13"/>
  <c r="BN204" i="13"/>
  <c r="AR206" i="13"/>
  <c r="BM204" i="13"/>
  <c r="AY213" i="13"/>
  <c r="BP210" i="13"/>
  <c r="BS207" i="13"/>
  <c r="AQ206" i="13"/>
  <c r="BN205" i="13"/>
  <c r="BL204" i="13"/>
  <c r="AV214" i="13"/>
  <c r="AX213" i="13"/>
  <c r="BO210" i="13"/>
  <c r="BR207" i="13"/>
  <c r="AP206" i="13"/>
  <c r="BM205" i="13"/>
  <c r="BK204" i="13"/>
  <c r="AR214" i="13"/>
  <c r="AU213" i="13"/>
  <c r="BM210" i="13"/>
  <c r="BO207" i="13"/>
  <c r="BM206" i="13"/>
  <c r="AZ206" i="13"/>
  <c r="AN206" i="13"/>
  <c r="BK205" i="13"/>
  <c r="BU204" i="13"/>
  <c r="BI204" i="13"/>
  <c r="AQ214" i="13"/>
  <c r="AT213" i="13"/>
  <c r="BS211" i="13"/>
  <c r="AV211" i="13"/>
  <c r="BL210" i="13"/>
  <c r="BL207" i="13"/>
  <c r="BL206" i="13"/>
  <c r="AY206" i="13"/>
  <c r="AM206" i="13"/>
  <c r="BV205" i="13"/>
  <c r="BJ205" i="13"/>
  <c r="BT204" i="13"/>
  <c r="BH204" i="13"/>
  <c r="BR211" i="13"/>
  <c r="AU211" i="13"/>
  <c r="BK210" i="13"/>
  <c r="BK207" i="13"/>
  <c r="BK206" i="13"/>
  <c r="AX206" i="13"/>
  <c r="AL206" i="13"/>
  <c r="BU205" i="13"/>
  <c r="BI205" i="13"/>
  <c r="BS204" i="13"/>
  <c r="BG204" i="13"/>
  <c r="AR203" i="13"/>
  <c r="AP202" i="13"/>
  <c r="AI215" i="13"/>
  <c r="BD214" i="13"/>
  <c r="AO214" i="13"/>
  <c r="AO213" i="13"/>
  <c r="BO211" i="13"/>
  <c r="AM211" i="13"/>
  <c r="BI210" i="13"/>
  <c r="AS210" i="13"/>
  <c r="BU208" i="13"/>
  <c r="BE208" i="13"/>
  <c r="AJ208" i="13"/>
  <c r="BJ207" i="13"/>
  <c r="AI207" i="13"/>
  <c r="BV206" i="13"/>
  <c r="BJ206" i="13"/>
  <c r="AW206" i="13"/>
  <c r="AK206" i="13"/>
  <c r="BT205" i="13"/>
  <c r="BH205" i="13"/>
  <c r="AU205" i="13"/>
  <c r="U205" i="13"/>
  <c r="BR204" i="13"/>
  <c r="BF204" i="13"/>
  <c r="AS204" i="13"/>
  <c r="BP203" i="13"/>
  <c r="AQ203" i="13"/>
  <c r="BN202" i="13"/>
  <c r="BA202" i="13"/>
  <c r="AO202" i="13"/>
  <c r="AS203" i="13"/>
  <c r="AP214" i="13"/>
  <c r="AQ213" i="13"/>
  <c r="AN214" i="13"/>
  <c r="AM213" i="13"/>
  <c r="BA212" i="13"/>
  <c r="BL211" i="13"/>
  <c r="AK211" i="13"/>
  <c r="BG210" i="13"/>
  <c r="AR210" i="13"/>
  <c r="Z209" i="13"/>
  <c r="AB209" i="13" s="1"/>
  <c r="AC209" i="13" s="1"/>
  <c r="BH207" i="13"/>
  <c r="BU206" i="13"/>
  <c r="AV206" i="13"/>
  <c r="BS205" i="13"/>
  <c r="BQ204" i="13"/>
  <c r="AZ202" i="13"/>
  <c r="AD209" i="13"/>
  <c r="W210" i="13"/>
  <c r="AF210" i="13" s="1"/>
  <c r="AE210" i="13"/>
  <c r="AW207" i="13"/>
  <c r="AK207" i="13"/>
  <c r="AU215" i="13"/>
  <c r="BL212" i="13"/>
  <c r="AX212" i="13"/>
  <c r="AJ212" i="13"/>
  <c r="AL211" i="13"/>
  <c r="AP210" i="13"/>
  <c r="BM209" i="13"/>
  <c r="AZ209" i="13"/>
  <c r="AN209" i="13"/>
  <c r="BK208" i="13"/>
  <c r="AX208" i="13"/>
  <c r="AL208" i="13"/>
  <c r="BU207" i="13"/>
  <c r="BI207" i="13"/>
  <c r="AV207" i="13"/>
  <c r="AJ207" i="13"/>
  <c r="BK209" i="13"/>
  <c r="AU212" i="13"/>
  <c r="BV209" i="13"/>
  <c r="BJ209" i="13"/>
  <c r="AU208" i="13"/>
  <c r="AI208" i="13"/>
  <c r="AS207" i="13"/>
  <c r="BN209" i="13"/>
  <c r="BT215" i="13"/>
  <c r="BL209" i="13"/>
  <c r="BS215" i="13"/>
  <c r="BU209" i="13"/>
  <c r="BI209" i="13"/>
  <c r="AR207" i="13"/>
  <c r="BP215" i="13"/>
  <c r="BQ214" i="13"/>
  <c r="BP213" i="13"/>
  <c r="AP213" i="13"/>
  <c r="BT212" i="13"/>
  <c r="BG212" i="13"/>
  <c r="AS212" i="13"/>
  <c r="Z211" i="13"/>
  <c r="AB211" i="13" s="1"/>
  <c r="AE211" i="13" s="1"/>
  <c r="BV210" i="13"/>
  <c r="BJ210" i="13"/>
  <c r="AW210" i="13"/>
  <c r="AK210" i="13"/>
  <c r="BT209" i="13"/>
  <c r="BH209" i="13"/>
  <c r="AU209" i="13"/>
  <c r="AI209" i="13"/>
  <c r="BR208" i="13"/>
  <c r="BF208" i="13"/>
  <c r="AS208" i="13"/>
  <c r="BP207" i="13"/>
  <c r="BD207" i="13"/>
  <c r="AQ207" i="13"/>
  <c r="BR215" i="13"/>
  <c r="BQ215" i="13"/>
  <c r="BR214" i="13"/>
  <c r="BO213" i="13"/>
  <c r="AY211" i="13"/>
  <c r="BS209" i="13"/>
  <c r="BG209" i="13"/>
  <c r="AP207" i="13"/>
  <c r="AT212" i="13"/>
  <c r="BH215" i="13"/>
  <c r="BP214" i="13"/>
  <c r="BS212" i="13"/>
  <c r="BF212" i="13"/>
  <c r="AR212" i="13"/>
  <c r="AR208" i="13"/>
  <c r="BG215" i="13"/>
  <c r="AD215" i="13"/>
  <c r="BO214" i="13"/>
  <c r="AS214" i="13"/>
  <c r="BD213" i="13"/>
  <c r="AN213" i="13"/>
  <c r="U213" i="13"/>
  <c r="BR212" i="13"/>
  <c r="BE212" i="13"/>
  <c r="AO212" i="13"/>
  <c r="U212" i="13"/>
  <c r="BP211" i="13"/>
  <c r="AX211" i="13"/>
  <c r="BT210" i="13"/>
  <c r="AU210" i="13"/>
  <c r="U210" i="13"/>
  <c r="BR209" i="13"/>
  <c r="BF209" i="13"/>
  <c r="AS209" i="13"/>
  <c r="BP208" i="13"/>
  <c r="AQ208" i="13"/>
  <c r="BN207" i="13"/>
  <c r="BA207" i="13"/>
  <c r="AO207" i="13"/>
  <c r="BF215" i="13"/>
  <c r="BF214" i="13"/>
  <c r="AN212" i="13"/>
  <c r="AW211" i="13"/>
  <c r="BQ209" i="13"/>
  <c r="AZ207" i="13"/>
  <c r="AE213" i="13"/>
  <c r="AF212" i="13"/>
  <c r="W214" i="13"/>
  <c r="AF213" i="13"/>
  <c r="AR215" i="13"/>
  <c r="BL213" i="13"/>
  <c r="BO215" i="13"/>
  <c r="BM214" i="13"/>
  <c r="BV213" i="13"/>
  <c r="BJ213" i="13"/>
  <c r="AS211" i="13"/>
  <c r="BM215" i="13"/>
  <c r="AZ215" i="13"/>
  <c r="AN215" i="13"/>
  <c r="BK214" i="13"/>
  <c r="BU213" i="13"/>
  <c r="BI213" i="13"/>
  <c r="AV213" i="13"/>
  <c r="AJ213" i="13"/>
  <c r="BQ211" i="13"/>
  <c r="BE211" i="13"/>
  <c r="AR211" i="13"/>
  <c r="AS215" i="13"/>
  <c r="BN213" i="13"/>
  <c r="BK213" i="13"/>
  <c r="AQ211" i="13"/>
  <c r="BM213" i="13"/>
  <c r="AQ215" i="13"/>
  <c r="BN214" i="13"/>
  <c r="AO215" i="13"/>
  <c r="BT213" i="13"/>
  <c r="BH213" i="13"/>
  <c r="AT211" i="13"/>
  <c r="BL215" i="13"/>
  <c r="AY215" i="13"/>
  <c r="AM215" i="13"/>
  <c r="BV214" i="13"/>
  <c r="BJ214" i="13"/>
  <c r="BK215" i="13"/>
  <c r="AX215" i="13"/>
  <c r="AL215" i="13"/>
  <c r="BU214" i="13"/>
  <c r="BI214" i="13"/>
  <c r="BS213" i="13"/>
  <c r="BG213" i="13"/>
  <c r="AE212" i="13"/>
  <c r="AP211" i="13"/>
  <c r="BV215" i="13"/>
  <c r="BJ215" i="13"/>
  <c r="AW215" i="13"/>
  <c r="AK215" i="13"/>
  <c r="BT214" i="13"/>
  <c r="BH214" i="13"/>
  <c r="AU214" i="13"/>
  <c r="U214" i="13"/>
  <c r="AD214" i="13" s="1"/>
  <c r="BR213" i="13"/>
  <c r="BF213" i="13"/>
  <c r="AS213" i="13"/>
  <c r="BP212" i="13"/>
  <c r="AQ212" i="13"/>
  <c r="BN211" i="13"/>
  <c r="BA211" i="13"/>
  <c r="AO211" i="13"/>
  <c r="AP215" i="13"/>
  <c r="BN215" i="13"/>
  <c r="BA215" i="13"/>
  <c r="BL214" i="13"/>
  <c r="BU215" i="13"/>
  <c r="AV215" i="13"/>
  <c r="BS214" i="13"/>
  <c r="BQ213" i="13"/>
  <c r="AZ211" i="13"/>
  <c r="AD205" i="13" l="1"/>
  <c r="AD185" i="13"/>
  <c r="AE184" i="13"/>
  <c r="AE177" i="13"/>
  <c r="AF177" i="13"/>
  <c r="AF207" i="13"/>
  <c r="AF196" i="13"/>
  <c r="AD201" i="13"/>
  <c r="AF174" i="13"/>
  <c r="AE174" i="13"/>
  <c r="AE179" i="13"/>
  <c r="AE197" i="13"/>
  <c r="AE175" i="13"/>
  <c r="AF179" i="13"/>
  <c r="AE173" i="13"/>
  <c r="AD180" i="13"/>
  <c r="AD188" i="13"/>
  <c r="AD210" i="13"/>
  <c r="AE181" i="13"/>
  <c r="AD199" i="13"/>
  <c r="AD204" i="13"/>
  <c r="AD194" i="13"/>
  <c r="AD178" i="13"/>
  <c r="AD213" i="13"/>
  <c r="AF209" i="13"/>
  <c r="AF173" i="13"/>
  <c r="AE183" i="13"/>
  <c r="AD189" i="13"/>
  <c r="AD187" i="13"/>
  <c r="AF200" i="13"/>
  <c r="AE202" i="13"/>
  <c r="AE200" i="13"/>
  <c r="AD206" i="13"/>
  <c r="AC182" i="13"/>
  <c r="AF182" i="13" s="1"/>
  <c r="AE208" i="13"/>
  <c r="AF190" i="13"/>
  <c r="AF215" i="13"/>
  <c r="AE214" i="13"/>
  <c r="AF214" i="13"/>
  <c r="AE203" i="13"/>
  <c r="AE207" i="13"/>
  <c r="AE186" i="13"/>
  <c r="AE191" i="13"/>
  <c r="AF191" i="13"/>
  <c r="AC192" i="13"/>
  <c r="AF192" i="13" s="1"/>
  <c r="AE198" i="13"/>
  <c r="AC198" i="13"/>
  <c r="AF198" i="13" s="1"/>
  <c r="AD193" i="13"/>
  <c r="AE190" i="13"/>
  <c r="AD195" i="13"/>
  <c r="AE215" i="13"/>
  <c r="AE196" i="13"/>
  <c r="AD212" i="13"/>
  <c r="AC211" i="13"/>
  <c r="AF211" i="13" s="1"/>
  <c r="AE209" i="13"/>
  <c r="D107" i="22" l="1"/>
  <c r="D108" i="22"/>
  <c r="D109" i="22"/>
  <c r="D110" i="22"/>
  <c r="D111" i="22"/>
  <c r="G107" i="22"/>
  <c r="H107" i="22" s="1"/>
  <c r="G108" i="22"/>
  <c r="H108" i="22" s="1"/>
  <c r="G109" i="22"/>
  <c r="H109" i="22" s="1"/>
  <c r="G110" i="22"/>
  <c r="H110" i="22" s="1"/>
  <c r="G111" i="22"/>
  <c r="H111" i="22" s="1"/>
  <c r="D102" i="22"/>
  <c r="D103" i="22"/>
  <c r="D104" i="22"/>
  <c r="D105" i="22"/>
  <c r="D106" i="22"/>
  <c r="G102" i="22"/>
  <c r="H102" i="22" s="1"/>
  <c r="G103" i="22"/>
  <c r="H103" i="22" s="1"/>
  <c r="G104" i="22"/>
  <c r="H104" i="22" s="1"/>
  <c r="G105" i="22"/>
  <c r="H105" i="22" s="1"/>
  <c r="G106" i="22"/>
  <c r="H106" i="22" s="1"/>
  <c r="D97" i="22"/>
  <c r="D98" i="22"/>
  <c r="D99" i="22"/>
  <c r="D100" i="22"/>
  <c r="D101" i="22"/>
  <c r="G97" i="22"/>
  <c r="H97" i="22" s="1"/>
  <c r="G98" i="22"/>
  <c r="H98" i="22" s="1"/>
  <c r="G99" i="22"/>
  <c r="H99" i="22" s="1"/>
  <c r="G100" i="22"/>
  <c r="H100" i="22" s="1"/>
  <c r="G101" i="22"/>
  <c r="H101" i="22" s="1"/>
  <c r="D96" i="22"/>
  <c r="G96" i="22"/>
  <c r="H96" i="22" s="1"/>
  <c r="D47" i="22"/>
  <c r="G47" i="22"/>
  <c r="H47" i="22" s="1"/>
  <c r="D48" i="22"/>
  <c r="G48" i="22"/>
  <c r="H48" i="22" s="1"/>
  <c r="D49" i="22"/>
  <c r="G49" i="22"/>
  <c r="H49" i="22" s="1"/>
  <c r="D50" i="22"/>
  <c r="G50" i="22"/>
  <c r="H50" i="22" s="1"/>
  <c r="D51" i="22"/>
  <c r="G51" i="22"/>
  <c r="H51" i="22" s="1"/>
  <c r="D52" i="22"/>
  <c r="G52" i="22"/>
  <c r="H52" i="22" s="1"/>
  <c r="D53" i="22"/>
  <c r="G53" i="22"/>
  <c r="H53" i="22" s="1"/>
  <c r="D54" i="22"/>
  <c r="G54" i="22"/>
  <c r="H54" i="22" s="1"/>
  <c r="D55" i="22"/>
  <c r="G55" i="22"/>
  <c r="H55" i="22" s="1"/>
  <c r="D56" i="22"/>
  <c r="G56" i="22"/>
  <c r="H56" i="22" s="1"/>
  <c r="D57" i="22"/>
  <c r="G57" i="22"/>
  <c r="H57" i="22" s="1"/>
  <c r="D58" i="22"/>
  <c r="G58" i="22"/>
  <c r="H58" i="22" s="1"/>
  <c r="D59" i="22"/>
  <c r="G59" i="22"/>
  <c r="H59" i="22" s="1"/>
  <c r="D60" i="22"/>
  <c r="G60" i="22"/>
  <c r="H60" i="22" s="1"/>
  <c r="D61" i="22"/>
  <c r="G61" i="22"/>
  <c r="H61" i="22" s="1"/>
  <c r="D62" i="22"/>
  <c r="G62" i="22"/>
  <c r="H62" i="22" s="1"/>
  <c r="D63" i="22"/>
  <c r="G63" i="22"/>
  <c r="H63" i="22" s="1"/>
  <c r="D64" i="22"/>
  <c r="G64" i="22"/>
  <c r="H64" i="22" s="1"/>
  <c r="D65" i="22"/>
  <c r="G65" i="22"/>
  <c r="H65" i="22" s="1"/>
  <c r="D66" i="22"/>
  <c r="G66" i="22"/>
  <c r="H66" i="22" s="1"/>
  <c r="D67" i="22"/>
  <c r="G67" i="22"/>
  <c r="H67" i="22" s="1"/>
  <c r="D68" i="22"/>
  <c r="G68" i="22"/>
  <c r="H68" i="22" s="1"/>
  <c r="D69" i="22"/>
  <c r="G69" i="22"/>
  <c r="H69" i="22" s="1"/>
  <c r="D70" i="22"/>
  <c r="G70" i="22"/>
  <c r="H70" i="22" s="1"/>
  <c r="D71" i="22"/>
  <c r="G71" i="22"/>
  <c r="H71" i="22" s="1"/>
  <c r="D72" i="22"/>
  <c r="G72" i="22"/>
  <c r="H72" i="22" s="1"/>
  <c r="D73" i="22"/>
  <c r="G73" i="22"/>
  <c r="H73" i="22" s="1"/>
  <c r="D74" i="22"/>
  <c r="G74" i="22"/>
  <c r="H74" i="22" s="1"/>
  <c r="D75" i="22"/>
  <c r="G75" i="22"/>
  <c r="H75" i="22" s="1"/>
  <c r="D76" i="22"/>
  <c r="G76" i="22"/>
  <c r="H76" i="22" s="1"/>
  <c r="D77" i="22"/>
  <c r="G77" i="22"/>
  <c r="H77" i="22" s="1"/>
  <c r="D78" i="22"/>
  <c r="G78" i="22"/>
  <c r="H78" i="22" s="1"/>
  <c r="D79" i="22"/>
  <c r="G79" i="22"/>
  <c r="H79" i="22" s="1"/>
  <c r="D80" i="22"/>
  <c r="G80" i="22"/>
  <c r="H80" i="22" s="1"/>
  <c r="D81" i="22"/>
  <c r="G81" i="22"/>
  <c r="H81" i="22" s="1"/>
  <c r="D82" i="22"/>
  <c r="G82" i="22"/>
  <c r="H82" i="22" s="1"/>
  <c r="D83" i="22"/>
  <c r="G83" i="22"/>
  <c r="H83" i="22" s="1"/>
  <c r="D84" i="22"/>
  <c r="G84" i="22"/>
  <c r="H84" i="22" s="1"/>
  <c r="D85" i="22"/>
  <c r="G85" i="22"/>
  <c r="H85" i="22" s="1"/>
  <c r="D86" i="22"/>
  <c r="G86" i="22"/>
  <c r="H86" i="22" s="1"/>
  <c r="D87" i="22"/>
  <c r="G87" i="22"/>
  <c r="H87" i="22" s="1"/>
  <c r="D88" i="22"/>
  <c r="G88" i="22"/>
  <c r="H88" i="22" s="1"/>
  <c r="D89" i="22"/>
  <c r="G89" i="22"/>
  <c r="H89" i="22" s="1"/>
  <c r="D90" i="22"/>
  <c r="G90" i="22"/>
  <c r="H90" i="22" s="1"/>
  <c r="D91" i="22"/>
  <c r="G91" i="22"/>
  <c r="H91" i="22" s="1"/>
  <c r="D92" i="22"/>
  <c r="G92" i="22"/>
  <c r="H92" i="22" s="1"/>
  <c r="D27" i="22"/>
  <c r="G27" i="22"/>
  <c r="H27" i="22" s="1"/>
  <c r="D28" i="22"/>
  <c r="G28" i="22"/>
  <c r="H28" i="22" s="1"/>
  <c r="D29" i="22"/>
  <c r="G29" i="22"/>
  <c r="H29" i="22" s="1"/>
  <c r="D30" i="22"/>
  <c r="G30" i="22"/>
  <c r="H30" i="22" s="1"/>
  <c r="D31" i="22"/>
  <c r="G31" i="22"/>
  <c r="H31" i="22" s="1"/>
  <c r="D32" i="22"/>
  <c r="G32" i="22"/>
  <c r="H32" i="22" s="1"/>
  <c r="D33" i="22"/>
  <c r="G33" i="22"/>
  <c r="H33" i="22" s="1"/>
  <c r="D34" i="22"/>
  <c r="G34" i="22"/>
  <c r="H34" i="22" s="1"/>
  <c r="D35" i="22"/>
  <c r="G35" i="22"/>
  <c r="H35" i="22" s="1"/>
  <c r="D36" i="22"/>
  <c r="G36" i="22"/>
  <c r="H36" i="22" s="1"/>
  <c r="D37" i="22"/>
  <c r="G37" i="22"/>
  <c r="H37" i="22" s="1"/>
  <c r="D38" i="22"/>
  <c r="G38" i="22"/>
  <c r="H38" i="22" s="1"/>
  <c r="D39" i="22"/>
  <c r="G39" i="22"/>
  <c r="H39" i="22" s="1"/>
  <c r="D40" i="22"/>
  <c r="G40" i="22"/>
  <c r="H40" i="22" s="1"/>
  <c r="D41" i="22"/>
  <c r="G41" i="22"/>
  <c r="H41" i="22" s="1"/>
  <c r="D42" i="22"/>
  <c r="G42" i="22"/>
  <c r="H42" i="22" s="1"/>
  <c r="D43" i="22"/>
  <c r="G43" i="22"/>
  <c r="H43" i="22" s="1"/>
  <c r="D44" i="22"/>
  <c r="G44" i="22"/>
  <c r="H44" i="22" s="1"/>
  <c r="D45" i="22"/>
  <c r="G45" i="22"/>
  <c r="H45" i="22" s="1"/>
  <c r="D46" i="22"/>
  <c r="G46" i="22"/>
  <c r="H46" i="22" s="1"/>
  <c r="D93" i="22"/>
  <c r="G93" i="22"/>
  <c r="H93" i="22" s="1"/>
  <c r="D94" i="22"/>
  <c r="G94" i="22"/>
  <c r="H94" i="22" s="1"/>
  <c r="D95" i="22"/>
  <c r="G95" i="22"/>
  <c r="H95" i="22" s="1"/>
  <c r="B107" i="38"/>
  <c r="D107" i="38"/>
  <c r="F107" i="38"/>
  <c r="H107" i="38" s="1"/>
  <c r="I107" i="38" s="1"/>
  <c r="B108" i="38"/>
  <c r="D108" i="38"/>
  <c r="F108" i="38"/>
  <c r="H108" i="38" s="1"/>
  <c r="I108" i="38" s="1"/>
  <c r="B109" i="38"/>
  <c r="D109" i="38"/>
  <c r="F109" i="38"/>
  <c r="H109" i="38" s="1"/>
  <c r="I109" i="38" s="1"/>
  <c r="B110" i="38"/>
  <c r="D110" i="38"/>
  <c r="F110" i="38"/>
  <c r="H110" i="38" s="1"/>
  <c r="I110" i="38" s="1"/>
  <c r="B111" i="38"/>
  <c r="D111" i="38"/>
  <c r="F111" i="38"/>
  <c r="H111" i="38" s="1"/>
  <c r="I111" i="38" s="1"/>
  <c r="B112" i="38"/>
  <c r="D112" i="38"/>
  <c r="F112" i="38"/>
  <c r="H112" i="38" s="1"/>
  <c r="I112" i="38" s="1"/>
  <c r="B113" i="38"/>
  <c r="D113" i="38"/>
  <c r="F113" i="38"/>
  <c r="H113" i="38" s="1"/>
  <c r="I113" i="38" s="1"/>
  <c r="B114" i="38"/>
  <c r="D114" i="38"/>
  <c r="F114" i="38"/>
  <c r="H114" i="38" s="1"/>
  <c r="I114" i="38" s="1"/>
  <c r="B115" i="38"/>
  <c r="D115" i="38"/>
  <c r="F115" i="38"/>
  <c r="H115" i="38" s="1"/>
  <c r="I115" i="38" s="1"/>
  <c r="B116" i="38"/>
  <c r="D116" i="38"/>
  <c r="F116" i="38"/>
  <c r="H116" i="38" s="1"/>
  <c r="I116" i="38" s="1"/>
  <c r="B117" i="38"/>
  <c r="D117" i="38"/>
  <c r="F117" i="38"/>
  <c r="H117" i="38" s="1"/>
  <c r="I117" i="38" s="1"/>
  <c r="B95" i="38"/>
  <c r="D95" i="38"/>
  <c r="F95" i="38"/>
  <c r="H95" i="38" s="1"/>
  <c r="I95" i="38" s="1"/>
  <c r="B96" i="38"/>
  <c r="D96" i="38"/>
  <c r="F96" i="38"/>
  <c r="H96" i="38" s="1"/>
  <c r="I96" i="38" s="1"/>
  <c r="B97" i="38"/>
  <c r="D97" i="38"/>
  <c r="F97" i="38"/>
  <c r="H97" i="38" s="1"/>
  <c r="I97" i="38" s="1"/>
  <c r="B98" i="38"/>
  <c r="D98" i="38"/>
  <c r="F98" i="38"/>
  <c r="H98" i="38" s="1"/>
  <c r="I98" i="38" s="1"/>
  <c r="B99" i="38"/>
  <c r="D99" i="38"/>
  <c r="F99" i="38"/>
  <c r="H99" i="38" s="1"/>
  <c r="I99" i="38" s="1"/>
  <c r="B100" i="38"/>
  <c r="D100" i="38"/>
  <c r="F100" i="38"/>
  <c r="H100" i="38" s="1"/>
  <c r="I100" i="38" s="1"/>
  <c r="B101" i="38"/>
  <c r="D101" i="38"/>
  <c r="F101" i="38"/>
  <c r="H101" i="38" s="1"/>
  <c r="I101" i="38" s="1"/>
  <c r="B102" i="38"/>
  <c r="D102" i="38"/>
  <c r="F102" i="38"/>
  <c r="H102" i="38" s="1"/>
  <c r="I102" i="38" s="1"/>
  <c r="B103" i="38"/>
  <c r="D103" i="38"/>
  <c r="F103" i="38"/>
  <c r="H103" i="38" s="1"/>
  <c r="I103" i="38" s="1"/>
  <c r="B104" i="38"/>
  <c r="D104" i="38"/>
  <c r="F104" i="38"/>
  <c r="H104" i="38" s="1"/>
  <c r="I104" i="38" s="1"/>
  <c r="B105" i="38"/>
  <c r="D105" i="38"/>
  <c r="F105" i="38"/>
  <c r="H105" i="38" s="1"/>
  <c r="I105" i="38" s="1"/>
  <c r="B106" i="38"/>
  <c r="D106" i="38"/>
  <c r="F106" i="38"/>
  <c r="H106" i="38" s="1"/>
  <c r="I106" i="38" s="1"/>
  <c r="B44" i="38"/>
  <c r="D44" i="38"/>
  <c r="F44" i="38"/>
  <c r="H44" i="38" s="1"/>
  <c r="I44" i="38" s="1"/>
  <c r="B45" i="38"/>
  <c r="D45" i="38"/>
  <c r="F45" i="38"/>
  <c r="H45" i="38" s="1"/>
  <c r="I45" i="38" s="1"/>
  <c r="B46" i="38"/>
  <c r="D46" i="38"/>
  <c r="F46" i="38"/>
  <c r="H46" i="38" s="1"/>
  <c r="I46" i="38" s="1"/>
  <c r="B47" i="38"/>
  <c r="D47" i="38"/>
  <c r="F47" i="38"/>
  <c r="H47" i="38" s="1"/>
  <c r="I47" i="38" s="1"/>
  <c r="B48" i="38"/>
  <c r="D48" i="38"/>
  <c r="F48" i="38"/>
  <c r="H48" i="38" s="1"/>
  <c r="I48" i="38" s="1"/>
  <c r="B49" i="38"/>
  <c r="D49" i="38"/>
  <c r="F49" i="38"/>
  <c r="H49" i="38" s="1"/>
  <c r="I49" i="38" s="1"/>
  <c r="B50" i="38"/>
  <c r="D50" i="38"/>
  <c r="F50" i="38"/>
  <c r="H50" i="38" s="1"/>
  <c r="I50" i="38" s="1"/>
  <c r="B51" i="38"/>
  <c r="D51" i="38"/>
  <c r="F51" i="38"/>
  <c r="H51" i="38" s="1"/>
  <c r="I51" i="38" s="1"/>
  <c r="B52" i="38"/>
  <c r="D52" i="38"/>
  <c r="F52" i="38"/>
  <c r="H52" i="38" s="1"/>
  <c r="I52" i="38" s="1"/>
  <c r="B53" i="38"/>
  <c r="D53" i="38"/>
  <c r="F53" i="38"/>
  <c r="H53" i="38" s="1"/>
  <c r="I53" i="38" s="1"/>
  <c r="B54" i="38"/>
  <c r="D54" i="38"/>
  <c r="F54" i="38"/>
  <c r="H54" i="38" s="1"/>
  <c r="I54" i="38" s="1"/>
  <c r="B55" i="38"/>
  <c r="D55" i="38"/>
  <c r="F55" i="38"/>
  <c r="H55" i="38" s="1"/>
  <c r="I55" i="38" s="1"/>
  <c r="B56" i="38"/>
  <c r="D56" i="38"/>
  <c r="F56" i="38"/>
  <c r="H56" i="38" s="1"/>
  <c r="I56" i="38" s="1"/>
  <c r="B57" i="38"/>
  <c r="D57" i="38"/>
  <c r="F57" i="38"/>
  <c r="H57" i="38" s="1"/>
  <c r="I57" i="38" s="1"/>
  <c r="B58" i="38"/>
  <c r="D58" i="38"/>
  <c r="F58" i="38"/>
  <c r="H58" i="38" s="1"/>
  <c r="I58" i="38" s="1"/>
  <c r="B59" i="38"/>
  <c r="D59" i="38"/>
  <c r="F59" i="38"/>
  <c r="H59" i="38" s="1"/>
  <c r="I59" i="38" s="1"/>
  <c r="B60" i="38"/>
  <c r="D60" i="38"/>
  <c r="F60" i="38"/>
  <c r="H60" i="38" s="1"/>
  <c r="I60" i="38" s="1"/>
  <c r="B61" i="38"/>
  <c r="D61" i="38"/>
  <c r="F61" i="38"/>
  <c r="H61" i="38" s="1"/>
  <c r="I61" i="38" s="1"/>
  <c r="B62" i="38"/>
  <c r="D62" i="38"/>
  <c r="F62" i="38"/>
  <c r="H62" i="38" s="1"/>
  <c r="I62" i="38" s="1"/>
  <c r="B63" i="38"/>
  <c r="D63" i="38"/>
  <c r="F63" i="38"/>
  <c r="H63" i="38" s="1"/>
  <c r="I63" i="38" s="1"/>
  <c r="B64" i="38"/>
  <c r="D64" i="38"/>
  <c r="F64" i="38"/>
  <c r="H64" i="38" s="1"/>
  <c r="I64" i="38" s="1"/>
  <c r="B65" i="38"/>
  <c r="D65" i="38"/>
  <c r="F65" i="38"/>
  <c r="H65" i="38" s="1"/>
  <c r="I65" i="38" s="1"/>
  <c r="B66" i="38"/>
  <c r="D66" i="38"/>
  <c r="F66" i="38"/>
  <c r="H66" i="38" s="1"/>
  <c r="I66" i="38" s="1"/>
  <c r="B67" i="38"/>
  <c r="D67" i="38"/>
  <c r="F67" i="38"/>
  <c r="H67" i="38" s="1"/>
  <c r="I67" i="38" s="1"/>
  <c r="B68" i="38"/>
  <c r="D68" i="38"/>
  <c r="F68" i="38"/>
  <c r="H68" i="38" s="1"/>
  <c r="I68" i="38" s="1"/>
  <c r="B69" i="38"/>
  <c r="D69" i="38"/>
  <c r="F69" i="38"/>
  <c r="H69" i="38" s="1"/>
  <c r="I69" i="38" s="1"/>
  <c r="B70" i="38"/>
  <c r="D70" i="38"/>
  <c r="F70" i="38"/>
  <c r="H70" i="38" s="1"/>
  <c r="I70" i="38" s="1"/>
  <c r="B71" i="38"/>
  <c r="D71" i="38"/>
  <c r="F71" i="38"/>
  <c r="H71" i="38" s="1"/>
  <c r="I71" i="38" s="1"/>
  <c r="B72" i="38"/>
  <c r="D72" i="38"/>
  <c r="F72" i="38"/>
  <c r="H72" i="38" s="1"/>
  <c r="I72" i="38" s="1"/>
  <c r="B73" i="38"/>
  <c r="D73" i="38"/>
  <c r="F73" i="38"/>
  <c r="H73" i="38" s="1"/>
  <c r="I73" i="38" s="1"/>
  <c r="B74" i="38"/>
  <c r="D74" i="38"/>
  <c r="F74" i="38"/>
  <c r="H74" i="38" s="1"/>
  <c r="I74" i="38" s="1"/>
  <c r="B75" i="38"/>
  <c r="D75" i="38"/>
  <c r="F75" i="38"/>
  <c r="H75" i="38" s="1"/>
  <c r="I75" i="38" s="1"/>
  <c r="B76" i="38"/>
  <c r="D76" i="38"/>
  <c r="F76" i="38"/>
  <c r="H76" i="38" s="1"/>
  <c r="I76" i="38" s="1"/>
  <c r="B77" i="38"/>
  <c r="D77" i="38"/>
  <c r="F77" i="38"/>
  <c r="H77" i="38" s="1"/>
  <c r="I77" i="38" s="1"/>
  <c r="B78" i="38"/>
  <c r="D78" i="38"/>
  <c r="F78" i="38"/>
  <c r="H78" i="38" s="1"/>
  <c r="I78" i="38" s="1"/>
  <c r="B79" i="38"/>
  <c r="D79" i="38"/>
  <c r="F79" i="38"/>
  <c r="H79" i="38" s="1"/>
  <c r="I79" i="38" s="1"/>
  <c r="B80" i="38"/>
  <c r="D80" i="38"/>
  <c r="F80" i="38"/>
  <c r="H80" i="38" s="1"/>
  <c r="I80" i="38" s="1"/>
  <c r="B81" i="38"/>
  <c r="D81" i="38"/>
  <c r="F81" i="38"/>
  <c r="H81" i="38" s="1"/>
  <c r="I81" i="38" s="1"/>
  <c r="B82" i="38"/>
  <c r="D82" i="38"/>
  <c r="F82" i="38"/>
  <c r="H82" i="38" s="1"/>
  <c r="I82" i="38" s="1"/>
  <c r="B83" i="38"/>
  <c r="D83" i="38"/>
  <c r="F83" i="38"/>
  <c r="H83" i="38" s="1"/>
  <c r="I83" i="38" s="1"/>
  <c r="B84" i="38"/>
  <c r="D84" i="38"/>
  <c r="F84" i="38"/>
  <c r="H84" i="38" s="1"/>
  <c r="I84" i="38" s="1"/>
  <c r="B85" i="38"/>
  <c r="D85" i="38"/>
  <c r="F85" i="38"/>
  <c r="H85" i="38" s="1"/>
  <c r="I85" i="38" s="1"/>
  <c r="B86" i="38"/>
  <c r="D86" i="38"/>
  <c r="F86" i="38"/>
  <c r="H86" i="38" s="1"/>
  <c r="I86" i="38" s="1"/>
  <c r="B87" i="38"/>
  <c r="D87" i="38"/>
  <c r="F87" i="38"/>
  <c r="H87" i="38" s="1"/>
  <c r="I87" i="38" s="1"/>
  <c r="B88" i="38"/>
  <c r="D88" i="38"/>
  <c r="F88" i="38"/>
  <c r="H88" i="38" s="1"/>
  <c r="I88" i="38" s="1"/>
  <c r="B89" i="38"/>
  <c r="D89" i="38"/>
  <c r="F89" i="38"/>
  <c r="H89" i="38" s="1"/>
  <c r="I89" i="38" s="1"/>
  <c r="B90" i="38"/>
  <c r="D90" i="38"/>
  <c r="F90" i="38"/>
  <c r="H90" i="38" s="1"/>
  <c r="I90" i="38" s="1"/>
  <c r="B91" i="38"/>
  <c r="D91" i="38"/>
  <c r="F91" i="38"/>
  <c r="H91" i="38" s="1"/>
  <c r="I91" i="38" s="1"/>
  <c r="B92" i="38"/>
  <c r="D92" i="38"/>
  <c r="F92" i="38"/>
  <c r="H92" i="38" s="1"/>
  <c r="I92" i="38" s="1"/>
  <c r="B93" i="38"/>
  <c r="D93" i="38"/>
  <c r="F93" i="38"/>
  <c r="H93" i="38" s="1"/>
  <c r="I93" i="38" s="1"/>
  <c r="B94" i="38"/>
  <c r="D94" i="38"/>
  <c r="F94" i="38"/>
  <c r="H94" i="38" s="1"/>
  <c r="I94" i="38" s="1"/>
  <c r="B26" i="13"/>
  <c r="B25" i="13"/>
  <c r="B24" i="13"/>
  <c r="B23" i="13"/>
  <c r="B22" i="13"/>
  <c r="B21" i="13"/>
  <c r="B20" i="13"/>
  <c r="B19" i="13"/>
  <c r="B18" i="13"/>
  <c r="B17" i="13"/>
  <c r="B16" i="13"/>
  <c r="B15" i="13"/>
  <c r="B14" i="13"/>
  <c r="B13" i="13"/>
  <c r="B12" i="13"/>
  <c r="B11" i="13"/>
  <c r="B10" i="13"/>
  <c r="B9" i="13"/>
  <c r="B8" i="13"/>
  <c r="C8" i="13"/>
  <c r="D8" i="13"/>
  <c r="E8" i="13"/>
  <c r="K8" i="13"/>
  <c r="P8" i="13"/>
  <c r="S8" i="13"/>
  <c r="T8" i="13" s="1"/>
  <c r="V8" i="13" s="1"/>
  <c r="Y8" i="13"/>
  <c r="AA8" i="13" s="1"/>
  <c r="AH8" i="13"/>
  <c r="AN8" i="13" s="1"/>
  <c r="BC8" i="13"/>
  <c r="BM8" i="13" s="1"/>
  <c r="C9" i="13"/>
  <c r="D9" i="13"/>
  <c r="E9" i="13"/>
  <c r="K9" i="13"/>
  <c r="P9" i="13"/>
  <c r="S9" i="13"/>
  <c r="T9" i="13" s="1"/>
  <c r="V9" i="13" s="1"/>
  <c r="Y9" i="13"/>
  <c r="Z9" i="13" s="1"/>
  <c r="AB9" i="13" s="1"/>
  <c r="AH9" i="13"/>
  <c r="AP9" i="13" s="1"/>
  <c r="BC9" i="13"/>
  <c r="BD9" i="13" s="1"/>
  <c r="C10" i="13"/>
  <c r="D10" i="13"/>
  <c r="E10" i="13"/>
  <c r="K10" i="13"/>
  <c r="P10" i="13"/>
  <c r="S10" i="13"/>
  <c r="T10" i="13" s="1"/>
  <c r="V10" i="13" s="1"/>
  <c r="Y10" i="13"/>
  <c r="Z10" i="13" s="1"/>
  <c r="AB10" i="13" s="1"/>
  <c r="AH10" i="13"/>
  <c r="AR10" i="13" s="1"/>
  <c r="BC10" i="13"/>
  <c r="BV10" i="13" s="1"/>
  <c r="C11" i="13"/>
  <c r="D11" i="13"/>
  <c r="E11" i="13"/>
  <c r="K11" i="13"/>
  <c r="P11" i="13"/>
  <c r="S11" i="13"/>
  <c r="Y11" i="13"/>
  <c r="Z11" i="13" s="1"/>
  <c r="AB11" i="13" s="1"/>
  <c r="AH11" i="13"/>
  <c r="AI11" i="13" s="1"/>
  <c r="BC11" i="13"/>
  <c r="BE11" i="13" s="1"/>
  <c r="C12" i="13"/>
  <c r="D12" i="13"/>
  <c r="E12" i="13"/>
  <c r="K12" i="13"/>
  <c r="P12" i="13"/>
  <c r="S12" i="13"/>
  <c r="T12" i="13" s="1"/>
  <c r="V12" i="13" s="1"/>
  <c r="Y12" i="13"/>
  <c r="AA12" i="13" s="1"/>
  <c r="AH12" i="13"/>
  <c r="AN12" i="13" s="1"/>
  <c r="BC12" i="13"/>
  <c r="BM12" i="13" s="1"/>
  <c r="C13" i="13"/>
  <c r="D13" i="13"/>
  <c r="E13" i="13"/>
  <c r="K13" i="13"/>
  <c r="P13" i="13"/>
  <c r="S13" i="13"/>
  <c r="T13" i="13" s="1"/>
  <c r="V13" i="13" s="1"/>
  <c r="Y13" i="13"/>
  <c r="Z13" i="13" s="1"/>
  <c r="AB13" i="13" s="1"/>
  <c r="AH13" i="13"/>
  <c r="AP13" i="13" s="1"/>
  <c r="BC13" i="13"/>
  <c r="BK13" i="13" s="1"/>
  <c r="C14" i="13"/>
  <c r="D14" i="13"/>
  <c r="E14" i="13"/>
  <c r="K14" i="13"/>
  <c r="P14" i="13"/>
  <c r="S14" i="13"/>
  <c r="U14" i="13" s="1"/>
  <c r="Y14" i="13"/>
  <c r="AA14" i="13" s="1"/>
  <c r="AH14" i="13"/>
  <c r="AR14" i="13" s="1"/>
  <c r="BC14" i="13"/>
  <c r="BD14" i="13" s="1"/>
  <c r="C15" i="13"/>
  <c r="D15" i="13"/>
  <c r="E15" i="13"/>
  <c r="K15" i="13"/>
  <c r="P15" i="13"/>
  <c r="S15" i="13"/>
  <c r="Y15" i="13"/>
  <c r="Z15" i="13" s="1"/>
  <c r="AB15" i="13" s="1"/>
  <c r="AH15" i="13"/>
  <c r="AI15" i="13" s="1"/>
  <c r="BC15" i="13"/>
  <c r="BF15" i="13" s="1"/>
  <c r="C16" i="13"/>
  <c r="D16" i="13"/>
  <c r="E16" i="13"/>
  <c r="K16" i="13"/>
  <c r="P16" i="13"/>
  <c r="S16" i="13"/>
  <c r="T16" i="13" s="1"/>
  <c r="V16" i="13" s="1"/>
  <c r="Y16" i="13"/>
  <c r="AA16" i="13" s="1"/>
  <c r="AH16" i="13"/>
  <c r="AM16" i="13" s="1"/>
  <c r="BC16" i="13"/>
  <c r="BS16" i="13" s="1"/>
  <c r="C17" i="13"/>
  <c r="D17" i="13"/>
  <c r="E17" i="13"/>
  <c r="K17" i="13"/>
  <c r="P17" i="13"/>
  <c r="S17" i="13"/>
  <c r="T17" i="13" s="1"/>
  <c r="V17" i="13" s="1"/>
  <c r="Y17" i="13"/>
  <c r="Z17" i="13" s="1"/>
  <c r="AB17" i="13" s="1"/>
  <c r="AH17" i="13"/>
  <c r="AI17" i="13" s="1"/>
  <c r="BC17" i="13"/>
  <c r="BM17" i="13" s="1"/>
  <c r="C18" i="13"/>
  <c r="D18" i="13"/>
  <c r="E18" i="13"/>
  <c r="K18" i="13"/>
  <c r="P18" i="13"/>
  <c r="S18" i="13"/>
  <c r="T18" i="13" s="1"/>
  <c r="V18" i="13" s="1"/>
  <c r="Y18" i="13"/>
  <c r="AA18" i="13" s="1"/>
  <c r="AH18" i="13"/>
  <c r="AK18" i="13" s="1"/>
  <c r="BC18" i="13"/>
  <c r="BO18" i="13" s="1"/>
  <c r="C19" i="13"/>
  <c r="D19" i="13"/>
  <c r="E19" i="13"/>
  <c r="K19" i="13"/>
  <c r="P19" i="13"/>
  <c r="S19" i="13"/>
  <c r="T19" i="13" s="1"/>
  <c r="V19" i="13" s="1"/>
  <c r="Y19" i="13"/>
  <c r="Z19" i="13" s="1"/>
  <c r="AB19" i="13" s="1"/>
  <c r="AH19" i="13"/>
  <c r="AJ19" i="13" s="1"/>
  <c r="BC19" i="13"/>
  <c r="BD19" i="13" s="1"/>
  <c r="C20" i="13"/>
  <c r="D20" i="13"/>
  <c r="E20" i="13"/>
  <c r="K20" i="13"/>
  <c r="P20" i="13"/>
  <c r="S20" i="13"/>
  <c r="T20" i="13" s="1"/>
  <c r="V20" i="13" s="1"/>
  <c r="Y20" i="13"/>
  <c r="Z20" i="13" s="1"/>
  <c r="AB20" i="13" s="1"/>
  <c r="AH20" i="13"/>
  <c r="AK20" i="13" s="1"/>
  <c r="BC20" i="13"/>
  <c r="BT20" i="13" s="1"/>
  <c r="C21" i="13"/>
  <c r="D21" i="13"/>
  <c r="E21" i="13"/>
  <c r="K21" i="13"/>
  <c r="P21" i="13"/>
  <c r="S21" i="13"/>
  <c r="Y21" i="13"/>
  <c r="AA21" i="13" s="1"/>
  <c r="AH21" i="13"/>
  <c r="AI21" i="13" s="1"/>
  <c r="BC21" i="13"/>
  <c r="BE21" i="13" s="1"/>
  <c r="C22" i="13"/>
  <c r="D22" i="13"/>
  <c r="E22" i="13"/>
  <c r="K22" i="13"/>
  <c r="P22" i="13"/>
  <c r="S22" i="13"/>
  <c r="U22" i="13" s="1"/>
  <c r="Y22" i="13"/>
  <c r="AA22" i="13" s="1"/>
  <c r="AH22" i="13"/>
  <c r="AL22" i="13" s="1"/>
  <c r="BC22" i="13"/>
  <c r="BE22" i="13" s="1"/>
  <c r="C23" i="13"/>
  <c r="D23" i="13"/>
  <c r="E23" i="13"/>
  <c r="K23" i="13"/>
  <c r="P23" i="13"/>
  <c r="S23" i="13"/>
  <c r="T23" i="13" s="1"/>
  <c r="V23" i="13" s="1"/>
  <c r="Y23" i="13"/>
  <c r="Z23" i="13" s="1"/>
  <c r="AB23" i="13" s="1"/>
  <c r="AH23" i="13"/>
  <c r="AJ23" i="13" s="1"/>
  <c r="BC23" i="13"/>
  <c r="BE23" i="13" s="1"/>
  <c r="C24" i="13"/>
  <c r="D24" i="13"/>
  <c r="E24" i="13"/>
  <c r="K24" i="13"/>
  <c r="P24" i="13"/>
  <c r="S24" i="13"/>
  <c r="T24" i="13" s="1"/>
  <c r="V24" i="13" s="1"/>
  <c r="Y24" i="13"/>
  <c r="AA24" i="13" s="1"/>
  <c r="AH24" i="13"/>
  <c r="AJ24" i="13" s="1"/>
  <c r="BC24" i="13"/>
  <c r="BD24" i="13" s="1"/>
  <c r="C25" i="13"/>
  <c r="D25" i="13"/>
  <c r="E25" i="13"/>
  <c r="K25" i="13"/>
  <c r="P25" i="13"/>
  <c r="S25" i="13"/>
  <c r="T25" i="13" s="1"/>
  <c r="V25" i="13" s="1"/>
  <c r="Y25" i="13"/>
  <c r="AA25" i="13" s="1"/>
  <c r="AH25" i="13"/>
  <c r="AI25" i="13" s="1"/>
  <c r="BC25" i="13"/>
  <c r="BF25" i="13" s="1"/>
  <c r="C26" i="13"/>
  <c r="D26" i="13"/>
  <c r="E26" i="13"/>
  <c r="K26" i="13"/>
  <c r="P26" i="13"/>
  <c r="S26" i="13"/>
  <c r="T26" i="13" s="1"/>
  <c r="V26" i="13" s="1"/>
  <c r="Y26" i="13"/>
  <c r="AA26" i="13" s="1"/>
  <c r="AH26" i="13"/>
  <c r="AL26" i="13" s="1"/>
  <c r="BC26" i="13"/>
  <c r="BP26" i="13" s="1"/>
  <c r="D43" i="38"/>
  <c r="D38" i="38"/>
  <c r="D37" i="38"/>
  <c r="D31" i="38"/>
  <c r="D29" i="38"/>
  <c r="D28" i="38"/>
  <c r="D23" i="38"/>
  <c r="D22" i="38"/>
  <c r="D39" i="38"/>
  <c r="D40" i="38"/>
  <c r="D41" i="38"/>
  <c r="D42" i="38"/>
  <c r="D24" i="38"/>
  <c r="D25" i="38"/>
  <c r="D26" i="38"/>
  <c r="D27" i="38"/>
  <c r="D30" i="38"/>
  <c r="D32" i="38"/>
  <c r="D33" i="38"/>
  <c r="D34" i="38"/>
  <c r="D35" i="38"/>
  <c r="D36" i="38"/>
  <c r="D21" i="38"/>
  <c r="P656" i="13"/>
  <c r="P657" i="13"/>
  <c r="P658" i="13"/>
  <c r="P659" i="13"/>
  <c r="P660" i="13"/>
  <c r="P661" i="13"/>
  <c r="P662" i="13"/>
  <c r="P663" i="13"/>
  <c r="P664" i="13"/>
  <c r="P665" i="13"/>
  <c r="P666" i="13"/>
  <c r="P667" i="13"/>
  <c r="P668" i="13"/>
  <c r="P669" i="13"/>
  <c r="P670" i="13"/>
  <c r="P671" i="13"/>
  <c r="P672" i="13"/>
  <c r="P673" i="13"/>
  <c r="P674" i="13"/>
  <c r="P675" i="13"/>
  <c r="C656" i="13"/>
  <c r="C657" i="13"/>
  <c r="C658" i="13"/>
  <c r="C659" i="13"/>
  <c r="C660" i="13"/>
  <c r="C661" i="13"/>
  <c r="C662" i="13"/>
  <c r="C663" i="13"/>
  <c r="C664" i="13"/>
  <c r="C665" i="13"/>
  <c r="C666" i="13"/>
  <c r="C667" i="13"/>
  <c r="C668" i="13"/>
  <c r="C669" i="13"/>
  <c r="C670" i="13"/>
  <c r="C671" i="13"/>
  <c r="C672" i="13"/>
  <c r="C673" i="13"/>
  <c r="C674" i="13"/>
  <c r="C675" i="13"/>
  <c r="D656" i="13"/>
  <c r="D657" i="13"/>
  <c r="D658" i="13"/>
  <c r="D659" i="13"/>
  <c r="D660" i="13"/>
  <c r="D661" i="13"/>
  <c r="D662" i="13"/>
  <c r="D663" i="13"/>
  <c r="D664" i="13"/>
  <c r="D665" i="13"/>
  <c r="D666" i="13"/>
  <c r="D667" i="13"/>
  <c r="D668" i="13"/>
  <c r="D669" i="13"/>
  <c r="D670" i="13"/>
  <c r="D671" i="13"/>
  <c r="D672" i="13"/>
  <c r="D673" i="13"/>
  <c r="D674" i="13"/>
  <c r="D675" i="13"/>
  <c r="E656" i="13"/>
  <c r="E657" i="13"/>
  <c r="E658" i="13"/>
  <c r="E659" i="13"/>
  <c r="E660" i="13"/>
  <c r="E661" i="13"/>
  <c r="E662" i="13"/>
  <c r="E663" i="13"/>
  <c r="E664" i="13"/>
  <c r="E665" i="13"/>
  <c r="E666" i="13"/>
  <c r="E667" i="13"/>
  <c r="E668" i="13"/>
  <c r="E669" i="13"/>
  <c r="E670" i="13"/>
  <c r="E671" i="13"/>
  <c r="E672" i="13"/>
  <c r="E673" i="13"/>
  <c r="E674" i="13"/>
  <c r="E675" i="13"/>
  <c r="K656" i="13"/>
  <c r="K657" i="13"/>
  <c r="K658" i="13"/>
  <c r="K659" i="13"/>
  <c r="K660" i="13"/>
  <c r="K661" i="13"/>
  <c r="K662" i="13"/>
  <c r="K663" i="13"/>
  <c r="K664" i="13"/>
  <c r="K665" i="13"/>
  <c r="K666" i="13"/>
  <c r="K667" i="13"/>
  <c r="K668" i="13"/>
  <c r="K669" i="13"/>
  <c r="K670" i="13"/>
  <c r="K671" i="13"/>
  <c r="K672" i="13"/>
  <c r="K673" i="13"/>
  <c r="K674" i="13"/>
  <c r="K675" i="13"/>
  <c r="S656" i="13"/>
  <c r="U656" i="13" s="1"/>
  <c r="S657" i="13"/>
  <c r="U657" i="13" s="1"/>
  <c r="S658" i="13"/>
  <c r="T658" i="13" s="1"/>
  <c r="V658" i="13" s="1"/>
  <c r="S659" i="13"/>
  <c r="U659" i="13" s="1"/>
  <c r="S660" i="13"/>
  <c r="U660" i="13" s="1"/>
  <c r="S661" i="13"/>
  <c r="U661" i="13" s="1"/>
  <c r="S662" i="13"/>
  <c r="S663" i="13"/>
  <c r="T663" i="13" s="1"/>
  <c r="V663" i="13" s="1"/>
  <c r="S664" i="13"/>
  <c r="T664" i="13" s="1"/>
  <c r="V664" i="13" s="1"/>
  <c r="S665" i="13"/>
  <c r="T665" i="13" s="1"/>
  <c r="V665" i="13" s="1"/>
  <c r="S666" i="13"/>
  <c r="S667" i="13"/>
  <c r="T667" i="13" s="1"/>
  <c r="V667" i="13" s="1"/>
  <c r="S668" i="13"/>
  <c r="T668" i="13" s="1"/>
  <c r="V668" i="13" s="1"/>
  <c r="S669" i="13"/>
  <c r="T669" i="13" s="1"/>
  <c r="V669" i="13" s="1"/>
  <c r="S670" i="13"/>
  <c r="S671" i="13"/>
  <c r="U671" i="13" s="1"/>
  <c r="S672" i="13"/>
  <c r="S673" i="13"/>
  <c r="U673" i="13" s="1"/>
  <c r="S674" i="13"/>
  <c r="T674" i="13" s="1"/>
  <c r="V674" i="13" s="1"/>
  <c r="S675" i="13"/>
  <c r="T675" i="13" s="1"/>
  <c r="V675" i="13" s="1"/>
  <c r="Y656" i="13"/>
  <c r="Z656" i="13" s="1"/>
  <c r="AB656" i="13" s="1"/>
  <c r="Y657" i="13"/>
  <c r="AA657" i="13" s="1"/>
  <c r="Y658" i="13"/>
  <c r="Z658" i="13" s="1"/>
  <c r="AB658" i="13" s="1"/>
  <c r="Y659" i="13"/>
  <c r="Z659" i="13" s="1"/>
  <c r="AB659" i="13" s="1"/>
  <c r="Y660" i="13"/>
  <c r="Y661" i="13"/>
  <c r="Y662" i="13"/>
  <c r="Y663" i="13"/>
  <c r="Y664" i="13"/>
  <c r="AA664" i="13" s="1"/>
  <c r="Y665" i="13"/>
  <c r="Y666" i="13"/>
  <c r="Y667" i="13"/>
  <c r="Z667" i="13" s="1"/>
  <c r="AB667" i="13" s="1"/>
  <c r="Y668" i="13"/>
  <c r="Z668" i="13" s="1"/>
  <c r="AB668" i="13" s="1"/>
  <c r="Y669" i="13"/>
  <c r="Y670" i="13"/>
  <c r="Z670" i="13" s="1"/>
  <c r="AB670" i="13" s="1"/>
  <c r="Y671" i="13"/>
  <c r="AA671" i="13" s="1"/>
  <c r="Y672" i="13"/>
  <c r="Z672" i="13" s="1"/>
  <c r="AB672" i="13" s="1"/>
  <c r="Y673" i="13"/>
  <c r="Z673" i="13" s="1"/>
  <c r="AB673" i="13" s="1"/>
  <c r="Y674" i="13"/>
  <c r="Z674" i="13" s="1"/>
  <c r="AB674" i="13" s="1"/>
  <c r="Y675" i="13"/>
  <c r="AA675" i="13" s="1"/>
  <c r="AH656" i="13"/>
  <c r="AP656" i="13" s="1"/>
  <c r="AH657" i="13"/>
  <c r="AH658" i="13"/>
  <c r="AT658" i="13" s="1"/>
  <c r="AH659" i="13"/>
  <c r="AH660" i="13"/>
  <c r="AR660" i="13" s="1"/>
  <c r="AH661" i="13"/>
  <c r="AY661" i="13" s="1"/>
  <c r="AH662" i="13"/>
  <c r="AU662" i="13" s="1"/>
  <c r="AH663" i="13"/>
  <c r="AX663" i="13" s="1"/>
  <c r="AH664" i="13"/>
  <c r="AH665" i="13"/>
  <c r="AL665" i="13" s="1"/>
  <c r="AH666" i="13"/>
  <c r="AV666" i="13" s="1"/>
  <c r="AH667" i="13"/>
  <c r="AL667" i="13" s="1"/>
  <c r="AH668" i="13"/>
  <c r="AW668" i="13" s="1"/>
  <c r="AH669" i="13"/>
  <c r="AN669" i="13" s="1"/>
  <c r="AH670" i="13"/>
  <c r="AS670" i="13" s="1"/>
  <c r="AH671" i="13"/>
  <c r="AX671" i="13" s="1"/>
  <c r="AH672" i="13"/>
  <c r="AL672" i="13" s="1"/>
  <c r="AH673" i="13"/>
  <c r="AM673" i="13" s="1"/>
  <c r="AH674" i="13"/>
  <c r="AL674" i="13" s="1"/>
  <c r="AH675" i="13"/>
  <c r="AT675" i="13" s="1"/>
  <c r="BC656" i="13"/>
  <c r="BI656" i="13" s="1"/>
  <c r="BC657" i="13"/>
  <c r="BS657" i="13" s="1"/>
  <c r="BC658" i="13"/>
  <c r="BG658" i="13" s="1"/>
  <c r="BC659" i="13"/>
  <c r="BR659" i="13" s="1"/>
  <c r="BC660" i="13"/>
  <c r="BJ660" i="13" s="1"/>
  <c r="BC661" i="13"/>
  <c r="BN661" i="13" s="1"/>
  <c r="BC662" i="13"/>
  <c r="BO662" i="13" s="1"/>
  <c r="BC663" i="13"/>
  <c r="BG663" i="13" s="1"/>
  <c r="BC664" i="13"/>
  <c r="BH664" i="13" s="1"/>
  <c r="BC665" i="13"/>
  <c r="BI665" i="13" s="1"/>
  <c r="BC666" i="13"/>
  <c r="BT666" i="13" s="1"/>
  <c r="BC667" i="13"/>
  <c r="BT667" i="13" s="1"/>
  <c r="BC668" i="13"/>
  <c r="BK668" i="13" s="1"/>
  <c r="BC669" i="13"/>
  <c r="BO669" i="13" s="1"/>
  <c r="BC670" i="13"/>
  <c r="BJ670" i="13" s="1"/>
  <c r="BC671" i="13"/>
  <c r="BG671" i="13" s="1"/>
  <c r="BC672" i="13"/>
  <c r="BM672" i="13" s="1"/>
  <c r="BC673" i="13"/>
  <c r="BM673" i="13" s="1"/>
  <c r="BC674" i="13"/>
  <c r="BL674" i="13" s="1"/>
  <c r="BC675" i="13"/>
  <c r="BG675" i="13" s="1"/>
  <c r="B675" i="13"/>
  <c r="B674" i="13"/>
  <c r="B673" i="13"/>
  <c r="B672" i="13"/>
  <c r="B671" i="13"/>
  <c r="B670" i="13"/>
  <c r="B669" i="13"/>
  <c r="B668" i="13"/>
  <c r="B667" i="13"/>
  <c r="B666" i="13"/>
  <c r="B665" i="13"/>
  <c r="B664" i="13"/>
  <c r="B663" i="13"/>
  <c r="B662" i="13"/>
  <c r="B661" i="13"/>
  <c r="B660" i="13"/>
  <c r="B659" i="13"/>
  <c r="B658" i="13"/>
  <c r="B657" i="13"/>
  <c r="B656" i="13"/>
  <c r="B655" i="13"/>
  <c r="B654" i="13"/>
  <c r="B653" i="13"/>
  <c r="B652" i="13"/>
  <c r="B651" i="13"/>
  <c r="B650" i="13"/>
  <c r="B649" i="13"/>
  <c r="B648" i="13"/>
  <c r="B647" i="13"/>
  <c r="B646" i="13"/>
  <c r="B645" i="13"/>
  <c r="B644" i="13"/>
  <c r="B643" i="13"/>
  <c r="B642" i="13"/>
  <c r="B641" i="13"/>
  <c r="B640" i="13"/>
  <c r="B639" i="13"/>
  <c r="B638" i="13"/>
  <c r="B637" i="13"/>
  <c r="B636" i="13"/>
  <c r="B635" i="13"/>
  <c r="B634" i="13"/>
  <c r="B633" i="13"/>
  <c r="B632" i="13"/>
  <c r="B631" i="13"/>
  <c r="C631" i="13"/>
  <c r="C632" i="13"/>
  <c r="C633" i="13"/>
  <c r="C634" i="13"/>
  <c r="C635" i="13"/>
  <c r="C636" i="13"/>
  <c r="C637" i="13"/>
  <c r="C638" i="13"/>
  <c r="C639" i="13"/>
  <c r="C640" i="13"/>
  <c r="C641" i="13"/>
  <c r="C642" i="13"/>
  <c r="C643" i="13"/>
  <c r="C644" i="13"/>
  <c r="C645" i="13"/>
  <c r="C646" i="13"/>
  <c r="C647" i="13"/>
  <c r="C648" i="13"/>
  <c r="C649" i="13"/>
  <c r="C650" i="13"/>
  <c r="C651" i="13"/>
  <c r="C652" i="13"/>
  <c r="C653" i="13"/>
  <c r="C654" i="13"/>
  <c r="C655" i="13"/>
  <c r="D631" i="13"/>
  <c r="D632" i="13"/>
  <c r="D633" i="13"/>
  <c r="D634" i="13"/>
  <c r="D635" i="13"/>
  <c r="D636" i="13"/>
  <c r="D637" i="13"/>
  <c r="D638" i="13"/>
  <c r="D639" i="13"/>
  <c r="D640" i="13"/>
  <c r="D641" i="13"/>
  <c r="D642" i="13"/>
  <c r="D643" i="13"/>
  <c r="D644" i="13"/>
  <c r="D645" i="13"/>
  <c r="D646" i="13"/>
  <c r="D647" i="13"/>
  <c r="D648" i="13"/>
  <c r="D649" i="13"/>
  <c r="D650" i="13"/>
  <c r="D651" i="13"/>
  <c r="D652" i="13"/>
  <c r="D653" i="13"/>
  <c r="D654" i="13"/>
  <c r="D655" i="13"/>
  <c r="E631" i="13"/>
  <c r="E632" i="13"/>
  <c r="E633" i="13"/>
  <c r="E634" i="13"/>
  <c r="E635" i="13"/>
  <c r="E636" i="13"/>
  <c r="E637" i="13"/>
  <c r="E638" i="13"/>
  <c r="E639" i="13"/>
  <c r="E640" i="13"/>
  <c r="E641" i="13"/>
  <c r="E642" i="13"/>
  <c r="E643" i="13"/>
  <c r="E644" i="13"/>
  <c r="E645" i="13"/>
  <c r="E646" i="13"/>
  <c r="E647" i="13"/>
  <c r="E648" i="13"/>
  <c r="E649" i="13"/>
  <c r="E650" i="13"/>
  <c r="E651" i="13"/>
  <c r="E652" i="13"/>
  <c r="E653" i="13"/>
  <c r="E654" i="13"/>
  <c r="E655" i="13"/>
  <c r="K631" i="13"/>
  <c r="K632" i="13"/>
  <c r="K633" i="13"/>
  <c r="K634" i="13"/>
  <c r="K635" i="13"/>
  <c r="K636" i="13"/>
  <c r="K637" i="13"/>
  <c r="K638" i="13"/>
  <c r="K639" i="13"/>
  <c r="K640" i="13"/>
  <c r="K641" i="13"/>
  <c r="K642" i="13"/>
  <c r="K643" i="13"/>
  <c r="K644" i="13"/>
  <c r="K645" i="13"/>
  <c r="K646" i="13"/>
  <c r="K647" i="13"/>
  <c r="K648" i="13"/>
  <c r="K649" i="13"/>
  <c r="K650" i="13"/>
  <c r="K651" i="13"/>
  <c r="K652" i="13"/>
  <c r="K653" i="13"/>
  <c r="K654" i="13"/>
  <c r="K655" i="13"/>
  <c r="P631" i="13"/>
  <c r="P632" i="13"/>
  <c r="P633" i="13"/>
  <c r="P634" i="13"/>
  <c r="P635" i="13"/>
  <c r="P636" i="13"/>
  <c r="P637" i="13"/>
  <c r="P638" i="13"/>
  <c r="P639" i="13"/>
  <c r="P640" i="13"/>
  <c r="P641" i="13"/>
  <c r="P642" i="13"/>
  <c r="P643" i="13"/>
  <c r="P644" i="13"/>
  <c r="P645" i="13"/>
  <c r="P646" i="13"/>
  <c r="P647" i="13"/>
  <c r="P648" i="13"/>
  <c r="P649" i="13"/>
  <c r="P650" i="13"/>
  <c r="P651" i="13"/>
  <c r="P652" i="13"/>
  <c r="P653" i="13"/>
  <c r="P654" i="13"/>
  <c r="P655" i="13"/>
  <c r="S631" i="13"/>
  <c r="S632" i="13"/>
  <c r="S633" i="13"/>
  <c r="U633" i="13" s="1"/>
  <c r="S634" i="13"/>
  <c r="T634" i="13" s="1"/>
  <c r="V634" i="13" s="1"/>
  <c r="S635" i="13"/>
  <c r="T635" i="13" s="1"/>
  <c r="V635" i="13" s="1"/>
  <c r="S636" i="13"/>
  <c r="U636" i="13" s="1"/>
  <c r="S637" i="13"/>
  <c r="S638" i="13"/>
  <c r="T638" i="13" s="1"/>
  <c r="V638" i="13" s="1"/>
  <c r="S639" i="13"/>
  <c r="T639" i="13" s="1"/>
  <c r="V639" i="13" s="1"/>
  <c r="S640" i="13"/>
  <c r="T640" i="13" s="1"/>
  <c r="V640" i="13" s="1"/>
  <c r="S641" i="13"/>
  <c r="S642" i="13"/>
  <c r="S643" i="13"/>
  <c r="S644" i="13"/>
  <c r="T644" i="13" s="1"/>
  <c r="V644" i="13" s="1"/>
  <c r="S645" i="13"/>
  <c r="T645" i="13" s="1"/>
  <c r="V645" i="13" s="1"/>
  <c r="S646" i="13"/>
  <c r="T646" i="13" s="1"/>
  <c r="V646" i="13" s="1"/>
  <c r="S647" i="13"/>
  <c r="U647" i="13" s="1"/>
  <c r="S648" i="13"/>
  <c r="U648" i="13" s="1"/>
  <c r="S649" i="13"/>
  <c r="T649" i="13" s="1"/>
  <c r="V649" i="13" s="1"/>
  <c r="S650" i="13"/>
  <c r="T650" i="13" s="1"/>
  <c r="V650" i="13" s="1"/>
  <c r="S651" i="13"/>
  <c r="T651" i="13" s="1"/>
  <c r="V651" i="13" s="1"/>
  <c r="S652" i="13"/>
  <c r="S653" i="13"/>
  <c r="U653" i="13" s="1"/>
  <c r="S654" i="13"/>
  <c r="S655" i="13"/>
  <c r="Y631" i="13"/>
  <c r="Z631" i="13" s="1"/>
  <c r="AB631" i="13" s="1"/>
  <c r="Y632" i="13"/>
  <c r="AA632" i="13" s="1"/>
  <c r="Y633" i="13"/>
  <c r="Y634" i="13"/>
  <c r="Y635" i="13"/>
  <c r="AA635" i="13" s="1"/>
  <c r="Y636" i="13"/>
  <c r="Y637" i="13"/>
  <c r="Z637" i="13" s="1"/>
  <c r="AB637" i="13" s="1"/>
  <c r="Y638" i="13"/>
  <c r="Z638" i="13" s="1"/>
  <c r="AB638" i="13" s="1"/>
  <c r="Y639" i="13"/>
  <c r="Z639" i="13" s="1"/>
  <c r="AB639" i="13" s="1"/>
  <c r="Y640" i="13"/>
  <c r="Z640" i="13" s="1"/>
  <c r="AB640" i="13" s="1"/>
  <c r="Y641" i="13"/>
  <c r="Z641" i="13" s="1"/>
  <c r="AB641" i="13" s="1"/>
  <c r="Y642" i="13"/>
  <c r="AA642" i="13" s="1"/>
  <c r="Y643" i="13"/>
  <c r="AA643" i="13" s="1"/>
  <c r="Y644" i="13"/>
  <c r="Y645" i="13"/>
  <c r="Y646" i="13"/>
  <c r="AA646" i="13" s="1"/>
  <c r="Y647" i="13"/>
  <c r="Z647" i="13" s="1"/>
  <c r="AB647" i="13" s="1"/>
  <c r="Y648" i="13"/>
  <c r="AA648" i="13" s="1"/>
  <c r="Y649" i="13"/>
  <c r="Y650" i="13"/>
  <c r="Z650" i="13" s="1"/>
  <c r="AB650" i="13" s="1"/>
  <c r="Y651" i="13"/>
  <c r="Z651" i="13" s="1"/>
  <c r="AB651" i="13" s="1"/>
  <c r="Y652" i="13"/>
  <c r="Z652" i="13" s="1"/>
  <c r="AB652" i="13" s="1"/>
  <c r="Y653" i="13"/>
  <c r="Z653" i="13" s="1"/>
  <c r="AB653" i="13" s="1"/>
  <c r="Y654" i="13"/>
  <c r="Z654" i="13" s="1"/>
  <c r="AB654" i="13" s="1"/>
  <c r="Y655" i="13"/>
  <c r="AA655" i="13" s="1"/>
  <c r="AH631" i="13"/>
  <c r="AQ631" i="13" s="1"/>
  <c r="AH632" i="13"/>
  <c r="AI632" i="13" s="1"/>
  <c r="AH633" i="13"/>
  <c r="AM633" i="13" s="1"/>
  <c r="AH634" i="13"/>
  <c r="AQ634" i="13" s="1"/>
  <c r="AH635" i="13"/>
  <c r="AX635" i="13" s="1"/>
  <c r="AH636" i="13"/>
  <c r="AI636" i="13" s="1"/>
  <c r="AH637" i="13"/>
  <c r="AQ637" i="13" s="1"/>
  <c r="AH638" i="13"/>
  <c r="BA638" i="13" s="1"/>
  <c r="AH639" i="13"/>
  <c r="AJ639" i="13" s="1"/>
  <c r="AH640" i="13"/>
  <c r="AU640" i="13" s="1"/>
  <c r="AH641" i="13"/>
  <c r="AZ641" i="13" s="1"/>
  <c r="AH642" i="13"/>
  <c r="AJ642" i="13" s="1"/>
  <c r="AH643" i="13"/>
  <c r="AI643" i="13" s="1"/>
  <c r="AH644" i="13"/>
  <c r="AT644" i="13" s="1"/>
  <c r="AH645" i="13"/>
  <c r="AR645" i="13" s="1"/>
  <c r="AH646" i="13"/>
  <c r="AY646" i="13" s="1"/>
  <c r="AH647" i="13"/>
  <c r="AK647" i="13" s="1"/>
  <c r="AH648" i="13"/>
  <c r="AI648" i="13" s="1"/>
  <c r="AH649" i="13"/>
  <c r="AY649" i="13" s="1"/>
  <c r="AH650" i="13"/>
  <c r="AI650" i="13" s="1"/>
  <c r="AH651" i="13"/>
  <c r="AJ651" i="13" s="1"/>
  <c r="AH652" i="13"/>
  <c r="AQ652" i="13" s="1"/>
  <c r="AH653" i="13"/>
  <c r="AT653" i="13" s="1"/>
  <c r="AH654" i="13"/>
  <c r="AW654" i="13" s="1"/>
  <c r="AH655" i="13"/>
  <c r="AI655" i="13" s="1"/>
  <c r="BC631" i="13"/>
  <c r="BJ631" i="13" s="1"/>
  <c r="BC632" i="13"/>
  <c r="BV632" i="13" s="1"/>
  <c r="BC633" i="13"/>
  <c r="BE633" i="13" s="1"/>
  <c r="BC634" i="13"/>
  <c r="BJ634" i="13" s="1"/>
  <c r="BC635" i="13"/>
  <c r="BN635" i="13" s="1"/>
  <c r="BC636" i="13"/>
  <c r="BF636" i="13" s="1"/>
  <c r="BC637" i="13"/>
  <c r="BT637" i="13" s="1"/>
  <c r="BC638" i="13"/>
  <c r="BK638" i="13" s="1"/>
  <c r="BC639" i="13"/>
  <c r="BP639" i="13" s="1"/>
  <c r="BC640" i="13"/>
  <c r="BE640" i="13" s="1"/>
  <c r="BC641" i="13"/>
  <c r="BQ641" i="13" s="1"/>
  <c r="BC642" i="13"/>
  <c r="BG642" i="13" s="1"/>
  <c r="BC643" i="13"/>
  <c r="BD643" i="13" s="1"/>
  <c r="BC644" i="13"/>
  <c r="BE644" i="13" s="1"/>
  <c r="BC645" i="13"/>
  <c r="BK645" i="13" s="1"/>
  <c r="BC646" i="13"/>
  <c r="BD646" i="13" s="1"/>
  <c r="BC647" i="13"/>
  <c r="BC648" i="13"/>
  <c r="BG648" i="13" s="1"/>
  <c r="BC649" i="13"/>
  <c r="BC650" i="13"/>
  <c r="BL650" i="13" s="1"/>
  <c r="BC651" i="13"/>
  <c r="BI651" i="13" s="1"/>
  <c r="BC652" i="13"/>
  <c r="BL652" i="13" s="1"/>
  <c r="BC653" i="13"/>
  <c r="BQ653" i="13" s="1"/>
  <c r="BC654" i="13"/>
  <c r="BR654" i="13" s="1"/>
  <c r="BC655" i="13"/>
  <c r="BH655" i="13" s="1"/>
  <c r="C572" i="13"/>
  <c r="C573" i="13"/>
  <c r="C574" i="13"/>
  <c r="C575" i="13"/>
  <c r="C576" i="13"/>
  <c r="C577" i="13"/>
  <c r="C578" i="13"/>
  <c r="C579" i="13"/>
  <c r="C580" i="13"/>
  <c r="C581" i="13"/>
  <c r="C582" i="13"/>
  <c r="C583" i="13"/>
  <c r="C584" i="13"/>
  <c r="C585" i="13"/>
  <c r="C586" i="13"/>
  <c r="C587" i="13"/>
  <c r="C588" i="13"/>
  <c r="C589" i="13"/>
  <c r="C590" i="13"/>
  <c r="C591" i="13"/>
  <c r="C592" i="13"/>
  <c r="C593" i="13"/>
  <c r="C594" i="13"/>
  <c r="C595" i="13"/>
  <c r="C596" i="13"/>
  <c r="C597" i="13"/>
  <c r="C598" i="13"/>
  <c r="C599" i="13"/>
  <c r="C600" i="13"/>
  <c r="C601" i="13"/>
  <c r="C602" i="13"/>
  <c r="C603" i="13"/>
  <c r="C604" i="13"/>
  <c r="C605" i="13"/>
  <c r="C606" i="13"/>
  <c r="C607" i="13"/>
  <c r="C608" i="13"/>
  <c r="C609" i="13"/>
  <c r="C610" i="13"/>
  <c r="C611" i="13"/>
  <c r="C612" i="13"/>
  <c r="C613" i="13"/>
  <c r="C614" i="13"/>
  <c r="C615" i="13"/>
  <c r="C616" i="13"/>
  <c r="C617" i="13"/>
  <c r="C618" i="13"/>
  <c r="C619" i="13"/>
  <c r="C620" i="13"/>
  <c r="C621" i="13"/>
  <c r="C622" i="13"/>
  <c r="C623" i="13"/>
  <c r="C624" i="13"/>
  <c r="C625" i="13"/>
  <c r="C626" i="13"/>
  <c r="C627" i="13"/>
  <c r="C628" i="13"/>
  <c r="C629" i="13"/>
  <c r="C630" i="13"/>
  <c r="D572" i="13"/>
  <c r="D573" i="13"/>
  <c r="D574" i="13"/>
  <c r="D575" i="13"/>
  <c r="D576" i="13"/>
  <c r="D577" i="13"/>
  <c r="D578" i="13"/>
  <c r="D579" i="13"/>
  <c r="D580" i="13"/>
  <c r="D581" i="13"/>
  <c r="D582" i="13"/>
  <c r="D583" i="13"/>
  <c r="D584" i="13"/>
  <c r="D585" i="13"/>
  <c r="D586" i="13"/>
  <c r="D587" i="13"/>
  <c r="D588" i="13"/>
  <c r="D589" i="13"/>
  <c r="D590" i="13"/>
  <c r="D591" i="13"/>
  <c r="D592" i="13"/>
  <c r="D593" i="13"/>
  <c r="D594" i="13"/>
  <c r="D595" i="13"/>
  <c r="D596" i="13"/>
  <c r="D597" i="13"/>
  <c r="D598" i="13"/>
  <c r="D599" i="13"/>
  <c r="D600" i="13"/>
  <c r="D601" i="13"/>
  <c r="D602" i="13"/>
  <c r="D603" i="13"/>
  <c r="D604" i="13"/>
  <c r="D605" i="13"/>
  <c r="D606" i="13"/>
  <c r="D607" i="13"/>
  <c r="D608" i="13"/>
  <c r="D609" i="13"/>
  <c r="D610" i="13"/>
  <c r="D611" i="13"/>
  <c r="D612" i="13"/>
  <c r="D613" i="13"/>
  <c r="D614" i="13"/>
  <c r="D615" i="13"/>
  <c r="D616" i="13"/>
  <c r="D617" i="13"/>
  <c r="D618" i="13"/>
  <c r="D619" i="13"/>
  <c r="D620" i="13"/>
  <c r="D621" i="13"/>
  <c r="D622" i="13"/>
  <c r="D623" i="13"/>
  <c r="D624" i="13"/>
  <c r="D625" i="13"/>
  <c r="D626" i="13"/>
  <c r="D627" i="13"/>
  <c r="D628" i="13"/>
  <c r="D629" i="13"/>
  <c r="D630" i="13"/>
  <c r="E572" i="13"/>
  <c r="E573" i="13"/>
  <c r="E574" i="13"/>
  <c r="E575" i="13"/>
  <c r="E576" i="13"/>
  <c r="E577" i="13"/>
  <c r="E578" i="13"/>
  <c r="E579" i="13"/>
  <c r="E580" i="13"/>
  <c r="E581" i="13"/>
  <c r="E582" i="13"/>
  <c r="E583" i="13"/>
  <c r="E584" i="13"/>
  <c r="E585" i="13"/>
  <c r="E586" i="13"/>
  <c r="E587" i="13"/>
  <c r="E588" i="13"/>
  <c r="E589" i="13"/>
  <c r="E590" i="13"/>
  <c r="E591" i="13"/>
  <c r="E592" i="13"/>
  <c r="E593" i="13"/>
  <c r="E594" i="13"/>
  <c r="E595" i="13"/>
  <c r="E596" i="13"/>
  <c r="E597" i="13"/>
  <c r="E598" i="13"/>
  <c r="E599" i="13"/>
  <c r="E600" i="13"/>
  <c r="E601" i="13"/>
  <c r="E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E627" i="13"/>
  <c r="E628" i="13"/>
  <c r="E629" i="13"/>
  <c r="E630" i="13"/>
  <c r="K572" i="13"/>
  <c r="K573" i="13"/>
  <c r="K574" i="13"/>
  <c r="K575" i="13"/>
  <c r="K576" i="13"/>
  <c r="K577" i="13"/>
  <c r="K578" i="13"/>
  <c r="K579" i="13"/>
  <c r="K580" i="13"/>
  <c r="K581" i="13"/>
  <c r="K582" i="13"/>
  <c r="K583" i="13"/>
  <c r="K584" i="13"/>
  <c r="K585" i="13"/>
  <c r="K586" i="13"/>
  <c r="K587" i="13"/>
  <c r="K588" i="13"/>
  <c r="K589" i="13"/>
  <c r="K590" i="13"/>
  <c r="K591" i="13"/>
  <c r="K592" i="13"/>
  <c r="K593" i="13"/>
  <c r="K594" i="13"/>
  <c r="K595" i="13"/>
  <c r="K596" i="13"/>
  <c r="K597" i="13"/>
  <c r="K598" i="13"/>
  <c r="K599" i="13"/>
  <c r="K600" i="13"/>
  <c r="K601" i="13"/>
  <c r="K602" i="13"/>
  <c r="K603" i="13"/>
  <c r="K604" i="13"/>
  <c r="K605" i="13"/>
  <c r="K606" i="13"/>
  <c r="K607" i="13"/>
  <c r="K608" i="13"/>
  <c r="K609" i="13"/>
  <c r="K610" i="13"/>
  <c r="K611" i="13"/>
  <c r="K612" i="13"/>
  <c r="K613" i="13"/>
  <c r="K614" i="13"/>
  <c r="K615" i="13"/>
  <c r="K616" i="13"/>
  <c r="K617" i="13"/>
  <c r="K618" i="13"/>
  <c r="K619" i="13"/>
  <c r="K620" i="13"/>
  <c r="K621" i="13"/>
  <c r="K622" i="13"/>
  <c r="K623" i="13"/>
  <c r="K624" i="13"/>
  <c r="K625" i="13"/>
  <c r="K626" i="13"/>
  <c r="K627" i="13"/>
  <c r="K628" i="13"/>
  <c r="K629" i="13"/>
  <c r="K630" i="13"/>
  <c r="P572" i="13"/>
  <c r="P573" i="13"/>
  <c r="P574" i="13"/>
  <c r="P575" i="13"/>
  <c r="P576" i="13"/>
  <c r="P577" i="13"/>
  <c r="P578" i="13"/>
  <c r="P579" i="13"/>
  <c r="P580" i="13"/>
  <c r="P581" i="13"/>
  <c r="P582" i="13"/>
  <c r="P583" i="13"/>
  <c r="P584" i="13"/>
  <c r="P585" i="13"/>
  <c r="P586" i="13"/>
  <c r="P587" i="13"/>
  <c r="P588" i="13"/>
  <c r="P589" i="13"/>
  <c r="P590" i="13"/>
  <c r="P591" i="13"/>
  <c r="P592" i="13"/>
  <c r="P593" i="13"/>
  <c r="P594" i="13"/>
  <c r="P595" i="13"/>
  <c r="P596" i="13"/>
  <c r="P597" i="13"/>
  <c r="P598" i="13"/>
  <c r="P599" i="13"/>
  <c r="P600" i="13"/>
  <c r="P601" i="13"/>
  <c r="P602" i="13"/>
  <c r="P603" i="13"/>
  <c r="P604" i="13"/>
  <c r="P605" i="13"/>
  <c r="P606" i="13"/>
  <c r="P607" i="13"/>
  <c r="P608" i="13"/>
  <c r="P609" i="13"/>
  <c r="P610" i="13"/>
  <c r="P611" i="13"/>
  <c r="P612" i="13"/>
  <c r="P613" i="13"/>
  <c r="P614" i="13"/>
  <c r="P615" i="13"/>
  <c r="P616" i="13"/>
  <c r="P617" i="13"/>
  <c r="P618" i="13"/>
  <c r="P619" i="13"/>
  <c r="P620" i="13"/>
  <c r="P621" i="13"/>
  <c r="P622" i="13"/>
  <c r="P623" i="13"/>
  <c r="P624" i="13"/>
  <c r="P625" i="13"/>
  <c r="P626" i="13"/>
  <c r="P627" i="13"/>
  <c r="P628" i="13"/>
  <c r="P629" i="13"/>
  <c r="P630" i="13"/>
  <c r="S572" i="13"/>
  <c r="U572" i="13" s="1"/>
  <c r="S573" i="13"/>
  <c r="T573" i="13" s="1"/>
  <c r="V573" i="13" s="1"/>
  <c r="S574" i="13"/>
  <c r="T574" i="13" s="1"/>
  <c r="V574" i="13" s="1"/>
  <c r="S575" i="13"/>
  <c r="U575" i="13" s="1"/>
  <c r="S576" i="13"/>
  <c r="S577" i="13"/>
  <c r="T577" i="13" s="1"/>
  <c r="V577" i="13" s="1"/>
  <c r="S578" i="13"/>
  <c r="T578" i="13" s="1"/>
  <c r="V578" i="13" s="1"/>
  <c r="S579" i="13"/>
  <c r="T579" i="13" s="1"/>
  <c r="V579" i="13" s="1"/>
  <c r="S580" i="13"/>
  <c r="U580" i="13" s="1"/>
  <c r="S581" i="13"/>
  <c r="T581" i="13" s="1"/>
  <c r="V581" i="13" s="1"/>
  <c r="S582" i="13"/>
  <c r="T582" i="13" s="1"/>
  <c r="V582" i="13" s="1"/>
  <c r="S583" i="13"/>
  <c r="T583" i="13" s="1"/>
  <c r="V583" i="13" s="1"/>
  <c r="S584" i="13"/>
  <c r="S585" i="13"/>
  <c r="S586" i="13"/>
  <c r="U586" i="13" s="1"/>
  <c r="S587" i="13"/>
  <c r="U587" i="13" s="1"/>
  <c r="S588" i="13"/>
  <c r="S589" i="13"/>
  <c r="U589" i="13" s="1"/>
  <c r="S590" i="13"/>
  <c r="U590" i="13" s="1"/>
  <c r="S591" i="13"/>
  <c r="U591" i="13" s="1"/>
  <c r="S592" i="13"/>
  <c r="U592" i="13" s="1"/>
  <c r="S593" i="13"/>
  <c r="U593" i="13" s="1"/>
  <c r="S594" i="13"/>
  <c r="T594" i="13" s="1"/>
  <c r="V594" i="13" s="1"/>
  <c r="S595" i="13"/>
  <c r="U595" i="13" s="1"/>
  <c r="S596" i="13"/>
  <c r="S597" i="13"/>
  <c r="T597" i="13" s="1"/>
  <c r="V597" i="13" s="1"/>
  <c r="S598" i="13"/>
  <c r="T598" i="13" s="1"/>
  <c r="V598" i="13" s="1"/>
  <c r="S599" i="13"/>
  <c r="U599" i="13" s="1"/>
  <c r="S600" i="13"/>
  <c r="S601" i="13"/>
  <c r="T601" i="13" s="1"/>
  <c r="V601" i="13" s="1"/>
  <c r="S602" i="13"/>
  <c r="U602" i="13" s="1"/>
  <c r="S603" i="13"/>
  <c r="U603" i="13" s="1"/>
  <c r="S604" i="13"/>
  <c r="U604" i="13" s="1"/>
  <c r="S605" i="13"/>
  <c r="U605" i="13" s="1"/>
  <c r="S606" i="13"/>
  <c r="U606" i="13" s="1"/>
  <c r="S607" i="13"/>
  <c r="U607" i="13" s="1"/>
  <c r="S608" i="13"/>
  <c r="S609" i="13"/>
  <c r="U609" i="13" s="1"/>
  <c r="S610" i="13"/>
  <c r="T610" i="13" s="1"/>
  <c r="V610" i="13" s="1"/>
  <c r="S611" i="13"/>
  <c r="U611" i="13" s="1"/>
  <c r="S612" i="13"/>
  <c r="S613" i="13"/>
  <c r="T613" i="13" s="1"/>
  <c r="V613" i="13" s="1"/>
  <c r="S614" i="13"/>
  <c r="U614" i="13" s="1"/>
  <c r="S615" i="13"/>
  <c r="U615" i="13" s="1"/>
  <c r="S616" i="13"/>
  <c r="T616" i="13" s="1"/>
  <c r="V616" i="13" s="1"/>
  <c r="S617" i="13"/>
  <c r="T617" i="13" s="1"/>
  <c r="V617" i="13" s="1"/>
  <c r="S618" i="13"/>
  <c r="U618" i="13" s="1"/>
  <c r="S619" i="13"/>
  <c r="U619" i="13" s="1"/>
  <c r="S620" i="13"/>
  <c r="U620" i="13" s="1"/>
  <c r="S621" i="13"/>
  <c r="T621" i="13" s="1"/>
  <c r="V621" i="13" s="1"/>
  <c r="S622" i="13"/>
  <c r="U622" i="13" s="1"/>
  <c r="S623" i="13"/>
  <c r="U623" i="13" s="1"/>
  <c r="S624" i="13"/>
  <c r="S625" i="13"/>
  <c r="T625" i="13" s="1"/>
  <c r="V625" i="13" s="1"/>
  <c r="S626" i="13"/>
  <c r="U626" i="13" s="1"/>
  <c r="S627" i="13"/>
  <c r="U627" i="13" s="1"/>
  <c r="S628" i="13"/>
  <c r="T628" i="13" s="1"/>
  <c r="V628" i="13" s="1"/>
  <c r="S629" i="13"/>
  <c r="T629" i="13" s="1"/>
  <c r="V629" i="13" s="1"/>
  <c r="S630" i="13"/>
  <c r="U630" i="13" s="1"/>
  <c r="Y572" i="13"/>
  <c r="AA572" i="13" s="1"/>
  <c r="Y573" i="13"/>
  <c r="AA573" i="13" s="1"/>
  <c r="Y574" i="13"/>
  <c r="AA574" i="13" s="1"/>
  <c r="Y575" i="13"/>
  <c r="Y576" i="13"/>
  <c r="Z576" i="13" s="1"/>
  <c r="AB576" i="13" s="1"/>
  <c r="Y577" i="13"/>
  <c r="AA577" i="13" s="1"/>
  <c r="Y578" i="13"/>
  <c r="Y579" i="13"/>
  <c r="Z579" i="13" s="1"/>
  <c r="AB579" i="13" s="1"/>
  <c r="Y580" i="13"/>
  <c r="AA580" i="13" s="1"/>
  <c r="Y581" i="13"/>
  <c r="Y582" i="13"/>
  <c r="Z582" i="13" s="1"/>
  <c r="AB582" i="13" s="1"/>
  <c r="Y583" i="13"/>
  <c r="Z583" i="13" s="1"/>
  <c r="AB583" i="13" s="1"/>
  <c r="Y584" i="13"/>
  <c r="Z584" i="13" s="1"/>
  <c r="AB584" i="13" s="1"/>
  <c r="Y585" i="13"/>
  <c r="Y586" i="13"/>
  <c r="Z586" i="13" s="1"/>
  <c r="AB586" i="13" s="1"/>
  <c r="Y587" i="13"/>
  <c r="AA587" i="13" s="1"/>
  <c r="Y588" i="13"/>
  <c r="Z588" i="13" s="1"/>
  <c r="AB588" i="13" s="1"/>
  <c r="Y589" i="13"/>
  <c r="Y590" i="13"/>
  <c r="Y591" i="13"/>
  <c r="AA591" i="13" s="1"/>
  <c r="Y592" i="13"/>
  <c r="AA592" i="13" s="1"/>
  <c r="Y593" i="13"/>
  <c r="Y594" i="13"/>
  <c r="Z594" i="13" s="1"/>
  <c r="AB594" i="13" s="1"/>
  <c r="Y595" i="13"/>
  <c r="AA595" i="13" s="1"/>
  <c r="Y596" i="13"/>
  <c r="Z596" i="13" s="1"/>
  <c r="AB596" i="13" s="1"/>
  <c r="Y597" i="13"/>
  <c r="Y598" i="13"/>
  <c r="Z598" i="13" s="1"/>
  <c r="AB598" i="13" s="1"/>
  <c r="Y599" i="13"/>
  <c r="Z599" i="13" s="1"/>
  <c r="AB599" i="13" s="1"/>
  <c r="Y600" i="13"/>
  <c r="Z600" i="13" s="1"/>
  <c r="AB600" i="13" s="1"/>
  <c r="Y601" i="13"/>
  <c r="AA601" i="13" s="1"/>
  <c r="Y602" i="13"/>
  <c r="Z602" i="13" s="1"/>
  <c r="AB602" i="13" s="1"/>
  <c r="Y603" i="13"/>
  <c r="AA603" i="13" s="1"/>
  <c r="Y604" i="13"/>
  <c r="AA604" i="13" s="1"/>
  <c r="Y605" i="13"/>
  <c r="Y606" i="13"/>
  <c r="AA606" i="13" s="1"/>
  <c r="Y607" i="13"/>
  <c r="AA607" i="13" s="1"/>
  <c r="Y608" i="13"/>
  <c r="Z608" i="13" s="1"/>
  <c r="AB608" i="13" s="1"/>
  <c r="Y609" i="13"/>
  <c r="AA609" i="13" s="1"/>
  <c r="Y610" i="13"/>
  <c r="Z610" i="13" s="1"/>
  <c r="AB610" i="13" s="1"/>
  <c r="Y611" i="13"/>
  <c r="Y612" i="13"/>
  <c r="Z612" i="13" s="1"/>
  <c r="AB612" i="13" s="1"/>
  <c r="Y613" i="13"/>
  <c r="Y614" i="13"/>
  <c r="Z614" i="13" s="1"/>
  <c r="AB614" i="13" s="1"/>
  <c r="Y615" i="13"/>
  <c r="Z615" i="13" s="1"/>
  <c r="AB615" i="13" s="1"/>
  <c r="Y616" i="13"/>
  <c r="AA616" i="13" s="1"/>
  <c r="Y617" i="13"/>
  <c r="Y618" i="13"/>
  <c r="Z618" i="13" s="1"/>
  <c r="AB618" i="13" s="1"/>
  <c r="Y619" i="13"/>
  <c r="AA619" i="13" s="1"/>
  <c r="Y620" i="13"/>
  <c r="AA620" i="13" s="1"/>
  <c r="Y621" i="13"/>
  <c r="AA621" i="13" s="1"/>
  <c r="Y622" i="13"/>
  <c r="AA622" i="13" s="1"/>
  <c r="Y623" i="13"/>
  <c r="AA623" i="13" s="1"/>
  <c r="Y624" i="13"/>
  <c r="Z624" i="13" s="1"/>
  <c r="AB624" i="13" s="1"/>
  <c r="Y625" i="13"/>
  <c r="Y626" i="13"/>
  <c r="AA626" i="13" s="1"/>
  <c r="Y627" i="13"/>
  <c r="Z627" i="13" s="1"/>
  <c r="AB627" i="13" s="1"/>
  <c r="Y628" i="13"/>
  <c r="AA628" i="13" s="1"/>
  <c r="Y629" i="13"/>
  <c r="Y630" i="13"/>
  <c r="Z630" i="13" s="1"/>
  <c r="AB630" i="13" s="1"/>
  <c r="AH572" i="13"/>
  <c r="AQ572" i="13" s="1"/>
  <c r="AH573" i="13"/>
  <c r="AP573" i="13" s="1"/>
  <c r="AH574" i="13"/>
  <c r="AM574" i="13" s="1"/>
  <c r="AH575" i="13"/>
  <c r="AN575" i="13" s="1"/>
  <c r="AH576" i="13"/>
  <c r="AP576" i="13" s="1"/>
  <c r="AH577" i="13"/>
  <c r="AR577" i="13" s="1"/>
  <c r="AH578" i="13"/>
  <c r="AZ578" i="13" s="1"/>
  <c r="AH579" i="13"/>
  <c r="AQ579" i="13" s="1"/>
  <c r="AH580" i="13"/>
  <c r="AM580" i="13" s="1"/>
  <c r="AH581" i="13"/>
  <c r="AZ581" i="13" s="1"/>
  <c r="AH582" i="13"/>
  <c r="AH583" i="13"/>
  <c r="AI583" i="13" s="1"/>
  <c r="AH584" i="13"/>
  <c r="AS584" i="13" s="1"/>
  <c r="AH585" i="13"/>
  <c r="AW585" i="13" s="1"/>
  <c r="AH586" i="13"/>
  <c r="AR586" i="13" s="1"/>
  <c r="AH587" i="13"/>
  <c r="AJ587" i="13" s="1"/>
  <c r="AH588" i="13"/>
  <c r="AU588" i="13" s="1"/>
  <c r="AH589" i="13"/>
  <c r="BA589" i="13" s="1"/>
  <c r="AH590" i="13"/>
  <c r="AJ590" i="13" s="1"/>
  <c r="AH591" i="13"/>
  <c r="AT591" i="13" s="1"/>
  <c r="AH592" i="13"/>
  <c r="AS592" i="13" s="1"/>
  <c r="AH593" i="13"/>
  <c r="AI593" i="13" s="1"/>
  <c r="AH594" i="13"/>
  <c r="AK594" i="13" s="1"/>
  <c r="AH595" i="13"/>
  <c r="AQ595" i="13" s="1"/>
  <c r="AH596" i="13"/>
  <c r="AJ596" i="13" s="1"/>
  <c r="AH597" i="13"/>
  <c r="BA597" i="13" s="1"/>
  <c r="AH598" i="13"/>
  <c r="BA598" i="13" s="1"/>
  <c r="AH599" i="13"/>
  <c r="AQ599" i="13" s="1"/>
  <c r="AH600" i="13"/>
  <c r="AW600" i="13" s="1"/>
  <c r="AH601" i="13"/>
  <c r="BA601" i="13" s="1"/>
  <c r="AH602" i="13"/>
  <c r="AI602" i="13" s="1"/>
  <c r="AH603" i="13"/>
  <c r="AW603" i="13" s="1"/>
  <c r="AH604" i="13"/>
  <c r="AU604" i="13" s="1"/>
  <c r="AH605" i="13"/>
  <c r="AR605" i="13" s="1"/>
  <c r="AH606" i="13"/>
  <c r="AL606" i="13" s="1"/>
  <c r="AH607" i="13"/>
  <c r="AL607" i="13" s="1"/>
  <c r="AH608" i="13"/>
  <c r="AM608" i="13" s="1"/>
  <c r="AH609" i="13"/>
  <c r="AP609" i="13" s="1"/>
  <c r="AH610" i="13"/>
  <c r="AT610" i="13" s="1"/>
  <c r="AH611" i="13"/>
  <c r="AL611" i="13" s="1"/>
  <c r="AH612" i="13"/>
  <c r="AP612" i="13" s="1"/>
  <c r="AH613" i="13"/>
  <c r="AR613" i="13" s="1"/>
  <c r="AH614" i="13"/>
  <c r="AJ614" i="13" s="1"/>
  <c r="AH615" i="13"/>
  <c r="AU615" i="13" s="1"/>
  <c r="AH616" i="13"/>
  <c r="AZ616" i="13" s="1"/>
  <c r="AH617" i="13"/>
  <c r="AJ617" i="13" s="1"/>
  <c r="AH618" i="13"/>
  <c r="AI618" i="13" s="1"/>
  <c r="AH619" i="13"/>
  <c r="AI619" i="13" s="1"/>
  <c r="AH620" i="13"/>
  <c r="AI620" i="13" s="1"/>
  <c r="AH621" i="13"/>
  <c r="AI621" i="13" s="1"/>
  <c r="AH622" i="13"/>
  <c r="AJ622" i="13" s="1"/>
  <c r="AH623" i="13"/>
  <c r="AO623" i="13" s="1"/>
  <c r="AH624" i="13"/>
  <c r="AH625" i="13"/>
  <c r="AM625" i="13" s="1"/>
  <c r="AH626" i="13"/>
  <c r="AV626" i="13" s="1"/>
  <c r="AH627" i="13"/>
  <c r="AZ627" i="13" s="1"/>
  <c r="AH628" i="13"/>
  <c r="AI628" i="13" s="1"/>
  <c r="AH629" i="13"/>
  <c r="AP629" i="13" s="1"/>
  <c r="AH630" i="13"/>
  <c r="AI630" i="13" s="1"/>
  <c r="BC572" i="13"/>
  <c r="BM572" i="13" s="1"/>
  <c r="BC573" i="13"/>
  <c r="BK573" i="13" s="1"/>
  <c r="BC574" i="13"/>
  <c r="BP574" i="13" s="1"/>
  <c r="BC575" i="13"/>
  <c r="BK575" i="13" s="1"/>
  <c r="BC576" i="13"/>
  <c r="BF576" i="13" s="1"/>
  <c r="BC577" i="13"/>
  <c r="BJ577" i="13" s="1"/>
  <c r="BC578" i="13"/>
  <c r="BM578" i="13" s="1"/>
  <c r="BC579" i="13"/>
  <c r="BE579" i="13" s="1"/>
  <c r="BC580" i="13"/>
  <c r="BE580" i="13" s="1"/>
  <c r="BC581" i="13"/>
  <c r="BC582" i="13"/>
  <c r="BC583" i="13"/>
  <c r="BM583" i="13" s="1"/>
  <c r="BC584" i="13"/>
  <c r="BG584" i="13" s="1"/>
  <c r="BC585" i="13"/>
  <c r="BK585" i="13" s="1"/>
  <c r="BC586" i="13"/>
  <c r="BC587" i="13"/>
  <c r="BP587" i="13" s="1"/>
  <c r="BC588" i="13"/>
  <c r="BP588" i="13" s="1"/>
  <c r="BC589" i="13"/>
  <c r="BC590" i="13"/>
  <c r="BC591" i="13"/>
  <c r="BE591" i="13" s="1"/>
  <c r="BC592" i="13"/>
  <c r="BQ592" i="13" s="1"/>
  <c r="BC593" i="13"/>
  <c r="BT593" i="13" s="1"/>
  <c r="BC594" i="13"/>
  <c r="BJ594" i="13" s="1"/>
  <c r="BC595" i="13"/>
  <c r="BL595" i="13" s="1"/>
  <c r="BC596" i="13"/>
  <c r="BI596" i="13" s="1"/>
  <c r="BC597" i="13"/>
  <c r="BK597" i="13" s="1"/>
  <c r="BC598" i="13"/>
  <c r="BD598" i="13" s="1"/>
  <c r="BC599" i="13"/>
  <c r="BJ599" i="13" s="1"/>
  <c r="BC600" i="13"/>
  <c r="BP600" i="13" s="1"/>
  <c r="BC601" i="13"/>
  <c r="BJ601" i="13" s="1"/>
  <c r="BC602" i="13"/>
  <c r="BN602" i="13" s="1"/>
  <c r="BC603" i="13"/>
  <c r="BE603" i="13" s="1"/>
  <c r="BC604" i="13"/>
  <c r="BR604" i="13" s="1"/>
  <c r="BC605" i="13"/>
  <c r="BK605" i="13" s="1"/>
  <c r="BC606" i="13"/>
  <c r="BS606" i="13" s="1"/>
  <c r="BC607" i="13"/>
  <c r="BR607" i="13" s="1"/>
  <c r="BC608" i="13"/>
  <c r="BE608" i="13" s="1"/>
  <c r="BC609" i="13"/>
  <c r="BK609" i="13" s="1"/>
  <c r="BC610" i="13"/>
  <c r="BP610" i="13" s="1"/>
  <c r="BC611" i="13"/>
  <c r="BH611" i="13" s="1"/>
  <c r="BC612" i="13"/>
  <c r="BH612" i="13" s="1"/>
  <c r="BC613" i="13"/>
  <c r="BF613" i="13" s="1"/>
  <c r="BC614" i="13"/>
  <c r="BC615" i="13"/>
  <c r="BE615" i="13" s="1"/>
  <c r="BC616" i="13"/>
  <c r="BK616" i="13" s="1"/>
  <c r="BC617" i="13"/>
  <c r="BT617" i="13" s="1"/>
  <c r="BC618" i="13"/>
  <c r="BH618" i="13" s="1"/>
  <c r="BC619" i="13"/>
  <c r="BE619" i="13" s="1"/>
  <c r="BC620" i="13"/>
  <c r="BM620" i="13" s="1"/>
  <c r="BC621" i="13"/>
  <c r="BK621" i="13" s="1"/>
  <c r="BC622" i="13"/>
  <c r="BI622" i="13" s="1"/>
  <c r="BC623" i="13"/>
  <c r="BI623" i="13" s="1"/>
  <c r="BC624" i="13"/>
  <c r="BC625" i="13"/>
  <c r="BJ625" i="13" s="1"/>
  <c r="BC626" i="13"/>
  <c r="BD626" i="13" s="1"/>
  <c r="BC627" i="13"/>
  <c r="BL627" i="13" s="1"/>
  <c r="BC628" i="13"/>
  <c r="BK628" i="13" s="1"/>
  <c r="BC629" i="13"/>
  <c r="BI629" i="13" s="1"/>
  <c r="BC630" i="13"/>
  <c r="BS630" i="13" s="1"/>
  <c r="B630" i="13"/>
  <c r="B629" i="13"/>
  <c r="B628" i="13"/>
  <c r="B627" i="13"/>
  <c r="B626" i="13"/>
  <c r="B625" i="13"/>
  <c r="B624" i="13"/>
  <c r="B623" i="13"/>
  <c r="B622" i="13"/>
  <c r="B621" i="13"/>
  <c r="B620" i="13"/>
  <c r="B619" i="13"/>
  <c r="B618" i="13"/>
  <c r="B617" i="13"/>
  <c r="B616" i="13"/>
  <c r="B615" i="13"/>
  <c r="B614" i="13"/>
  <c r="B613" i="13"/>
  <c r="B612" i="13"/>
  <c r="B611" i="13"/>
  <c r="B610" i="13"/>
  <c r="B609" i="13"/>
  <c r="B608" i="13"/>
  <c r="B607" i="13"/>
  <c r="B606" i="13"/>
  <c r="B605" i="13"/>
  <c r="B604" i="13"/>
  <c r="B603" i="13"/>
  <c r="B602" i="13"/>
  <c r="B601" i="13"/>
  <c r="B600" i="13"/>
  <c r="B599" i="13"/>
  <c r="B598" i="13"/>
  <c r="B597" i="13"/>
  <c r="B596" i="13"/>
  <c r="B595" i="13"/>
  <c r="B594" i="13"/>
  <c r="B593" i="13"/>
  <c r="B592" i="13"/>
  <c r="B591" i="13"/>
  <c r="B590" i="13"/>
  <c r="B589" i="13"/>
  <c r="B588" i="13"/>
  <c r="B587" i="13"/>
  <c r="B586" i="13"/>
  <c r="B585" i="13"/>
  <c r="B584" i="13"/>
  <c r="B583" i="13"/>
  <c r="B582" i="13"/>
  <c r="B581" i="13"/>
  <c r="B580" i="13"/>
  <c r="B579" i="13"/>
  <c r="B578" i="13"/>
  <c r="B577" i="13"/>
  <c r="B576" i="13"/>
  <c r="B575" i="13"/>
  <c r="B574" i="13"/>
  <c r="B573" i="13"/>
  <c r="B572" i="13"/>
  <c r="B571" i="13"/>
  <c r="B570" i="13"/>
  <c r="B569" i="13"/>
  <c r="B568" i="13"/>
  <c r="B567" i="13"/>
  <c r="B566" i="13"/>
  <c r="B565" i="13"/>
  <c r="B564" i="13"/>
  <c r="B563" i="13"/>
  <c r="B562" i="13"/>
  <c r="B561" i="13"/>
  <c r="B560" i="13"/>
  <c r="B559" i="13"/>
  <c r="C559" i="13"/>
  <c r="C560" i="13"/>
  <c r="C561" i="13"/>
  <c r="C562" i="13"/>
  <c r="C563" i="13"/>
  <c r="C564" i="13"/>
  <c r="C565" i="13"/>
  <c r="C566" i="13"/>
  <c r="C567" i="13"/>
  <c r="C568" i="13"/>
  <c r="C569" i="13"/>
  <c r="C570" i="13"/>
  <c r="C571" i="13"/>
  <c r="D559" i="13"/>
  <c r="D560" i="13"/>
  <c r="D561" i="13"/>
  <c r="D562" i="13"/>
  <c r="D563" i="13"/>
  <c r="D564" i="13"/>
  <c r="D565" i="13"/>
  <c r="D566" i="13"/>
  <c r="D567" i="13"/>
  <c r="D568" i="13"/>
  <c r="D569" i="13"/>
  <c r="D570" i="13"/>
  <c r="D571" i="13"/>
  <c r="E559" i="13"/>
  <c r="E560" i="13"/>
  <c r="E561" i="13"/>
  <c r="E562" i="13"/>
  <c r="E563" i="13"/>
  <c r="E564" i="13"/>
  <c r="E565" i="13"/>
  <c r="E566" i="13"/>
  <c r="E567" i="13"/>
  <c r="E568" i="13"/>
  <c r="E569" i="13"/>
  <c r="E570" i="13"/>
  <c r="E571" i="13"/>
  <c r="K559" i="13"/>
  <c r="K560" i="13"/>
  <c r="K561" i="13"/>
  <c r="K562" i="13"/>
  <c r="K563" i="13"/>
  <c r="K564" i="13"/>
  <c r="K565" i="13"/>
  <c r="K566" i="13"/>
  <c r="K567" i="13"/>
  <c r="K568" i="13"/>
  <c r="K569" i="13"/>
  <c r="K570" i="13"/>
  <c r="K571" i="13"/>
  <c r="P559" i="13"/>
  <c r="P560" i="13"/>
  <c r="P561" i="13"/>
  <c r="P562" i="13"/>
  <c r="P563" i="13"/>
  <c r="P564" i="13"/>
  <c r="P565" i="13"/>
  <c r="P566" i="13"/>
  <c r="P567" i="13"/>
  <c r="P568" i="13"/>
  <c r="P569" i="13"/>
  <c r="P570" i="13"/>
  <c r="P571" i="13"/>
  <c r="S559" i="13"/>
  <c r="U559" i="13" s="1"/>
  <c r="S560" i="13"/>
  <c r="U560" i="13" s="1"/>
  <c r="S561" i="13"/>
  <c r="T561" i="13" s="1"/>
  <c r="V561" i="13" s="1"/>
  <c r="S562" i="13"/>
  <c r="U562" i="13" s="1"/>
  <c r="S563" i="13"/>
  <c r="S564" i="13"/>
  <c r="U564" i="13" s="1"/>
  <c r="S565" i="13"/>
  <c r="S566" i="13"/>
  <c r="T566" i="13" s="1"/>
  <c r="V566" i="13" s="1"/>
  <c r="S567" i="13"/>
  <c r="T567" i="13" s="1"/>
  <c r="V567" i="13" s="1"/>
  <c r="S568" i="13"/>
  <c r="T568" i="13" s="1"/>
  <c r="V568" i="13" s="1"/>
  <c r="S569" i="13"/>
  <c r="T569" i="13" s="1"/>
  <c r="V569" i="13" s="1"/>
  <c r="S570" i="13"/>
  <c r="U570" i="13" s="1"/>
  <c r="S571" i="13"/>
  <c r="U571" i="13" s="1"/>
  <c r="Y559" i="13"/>
  <c r="AA559" i="13" s="1"/>
  <c r="Y560" i="13"/>
  <c r="Y561" i="13"/>
  <c r="Z561" i="13" s="1"/>
  <c r="AB561" i="13" s="1"/>
  <c r="Y562" i="13"/>
  <c r="Z562" i="13" s="1"/>
  <c r="AB562" i="13" s="1"/>
  <c r="Y563" i="13"/>
  <c r="Z563" i="13" s="1"/>
  <c r="AB563" i="13" s="1"/>
  <c r="Y564" i="13"/>
  <c r="Z564" i="13" s="1"/>
  <c r="AB564" i="13" s="1"/>
  <c r="Y565" i="13"/>
  <c r="AA565" i="13" s="1"/>
  <c r="Y566" i="13"/>
  <c r="AA566" i="13" s="1"/>
  <c r="Y567" i="13"/>
  <c r="AA567" i="13" s="1"/>
  <c r="Y568" i="13"/>
  <c r="AA568" i="13" s="1"/>
  <c r="Y569" i="13"/>
  <c r="Z569" i="13" s="1"/>
  <c r="AB569" i="13" s="1"/>
  <c r="Y570" i="13"/>
  <c r="Z570" i="13" s="1"/>
  <c r="AB570" i="13" s="1"/>
  <c r="Y571" i="13"/>
  <c r="AA571" i="13" s="1"/>
  <c r="AH559" i="13"/>
  <c r="AM559" i="13" s="1"/>
  <c r="AH560" i="13"/>
  <c r="AW560" i="13" s="1"/>
  <c r="AH561" i="13"/>
  <c r="AP561" i="13" s="1"/>
  <c r="AH562" i="13"/>
  <c r="AP562" i="13" s="1"/>
  <c r="AH563" i="13"/>
  <c r="AQ563" i="13" s="1"/>
  <c r="AH564" i="13"/>
  <c r="AM564" i="13" s="1"/>
  <c r="AH565" i="13"/>
  <c r="AI565" i="13" s="1"/>
  <c r="AH566" i="13"/>
  <c r="AJ566" i="13" s="1"/>
  <c r="AH567" i="13"/>
  <c r="AR567" i="13" s="1"/>
  <c r="AH568" i="13"/>
  <c r="AQ568" i="13" s="1"/>
  <c r="AH569" i="13"/>
  <c r="AV569" i="13" s="1"/>
  <c r="AH570" i="13"/>
  <c r="AM570" i="13" s="1"/>
  <c r="AH571" i="13"/>
  <c r="AT571" i="13" s="1"/>
  <c r="BC559" i="13"/>
  <c r="BQ559" i="13" s="1"/>
  <c r="BC560" i="13"/>
  <c r="BL560" i="13" s="1"/>
  <c r="BC561" i="13"/>
  <c r="BI561" i="13" s="1"/>
  <c r="BC562" i="13"/>
  <c r="BU562" i="13" s="1"/>
  <c r="BC563" i="13"/>
  <c r="BD563" i="13" s="1"/>
  <c r="BC564" i="13"/>
  <c r="BF564" i="13" s="1"/>
  <c r="BC565" i="13"/>
  <c r="BN565" i="13" s="1"/>
  <c r="BC566" i="13"/>
  <c r="BP566" i="13" s="1"/>
  <c r="BC567" i="13"/>
  <c r="BN567" i="13" s="1"/>
  <c r="BC568" i="13"/>
  <c r="BJ568" i="13" s="1"/>
  <c r="BC569" i="13"/>
  <c r="BD569" i="13" s="1"/>
  <c r="BC570" i="13"/>
  <c r="BS570" i="13" s="1"/>
  <c r="BC571" i="13"/>
  <c r="BO571" i="13" s="1"/>
  <c r="B34" i="19"/>
  <c r="B35" i="19"/>
  <c r="B36" i="19"/>
  <c r="B37" i="19"/>
  <c r="B38" i="19"/>
  <c r="B39" i="19"/>
  <c r="B40" i="19"/>
  <c r="B41" i="19"/>
  <c r="B42" i="19"/>
  <c r="B43" i="19"/>
  <c r="B44" i="19"/>
  <c r="B45" i="19"/>
  <c r="B46" i="19"/>
  <c r="B47" i="19"/>
  <c r="C8" i="19"/>
  <c r="C9" i="19"/>
  <c r="C10" i="19"/>
  <c r="C11" i="19"/>
  <c r="C12" i="19"/>
  <c r="C13" i="19"/>
  <c r="C14" i="19"/>
  <c r="C15" i="19"/>
  <c r="C16" i="19"/>
  <c r="C17" i="19"/>
  <c r="C18" i="19"/>
  <c r="C19" i="19"/>
  <c r="C20" i="19"/>
  <c r="C21" i="19"/>
  <c r="C22" i="19"/>
  <c r="C23" i="19"/>
  <c r="C24" i="19"/>
  <c r="B12" i="19"/>
  <c r="B50" i="22" s="1"/>
  <c r="B13" i="19"/>
  <c r="B54" i="22" s="1"/>
  <c r="B14" i="19"/>
  <c r="B58" i="22" s="1"/>
  <c r="B15" i="19"/>
  <c r="B62" i="22" s="1"/>
  <c r="B16" i="19"/>
  <c r="B70" i="22" s="1"/>
  <c r="B17" i="19"/>
  <c r="B74" i="22" s="1"/>
  <c r="B18" i="19"/>
  <c r="B78" i="22" s="1"/>
  <c r="B19" i="19"/>
  <c r="B82" i="22" s="1"/>
  <c r="B20" i="19"/>
  <c r="B90" i="22" s="1"/>
  <c r="B21" i="19"/>
  <c r="B96" i="22" s="1"/>
  <c r="B22" i="19"/>
  <c r="B100" i="22" s="1"/>
  <c r="B23" i="19"/>
  <c r="B102" i="22" s="1"/>
  <c r="B24" i="19"/>
  <c r="B107" i="22" s="1"/>
  <c r="B77" i="22" l="1"/>
  <c r="B111" i="22"/>
  <c r="B110" i="22"/>
  <c r="B109" i="22"/>
  <c r="B108" i="22"/>
  <c r="B81" i="22"/>
  <c r="B72" i="22"/>
  <c r="B55" i="22"/>
  <c r="B76" i="22"/>
  <c r="B80" i="22"/>
  <c r="B84" i="22"/>
  <c r="B75" i="22"/>
  <c r="B79" i="22"/>
  <c r="B53" i="22"/>
  <c r="B83" i="22"/>
  <c r="B99" i="22"/>
  <c r="B106" i="22"/>
  <c r="B52" i="22"/>
  <c r="B98" i="22"/>
  <c r="B103" i="22"/>
  <c r="B73" i="22"/>
  <c r="B56" i="22"/>
  <c r="B93" i="22"/>
  <c r="B89" i="22"/>
  <c r="B85" i="22"/>
  <c r="B69" i="22"/>
  <c r="B65" i="22"/>
  <c r="B61" i="22"/>
  <c r="B57" i="22"/>
  <c r="B49" i="22"/>
  <c r="B97" i="22"/>
  <c r="B105" i="22"/>
  <c r="B104" i="22"/>
  <c r="B92" i="22"/>
  <c r="B88" i="22"/>
  <c r="B68" i="22"/>
  <c r="B64" i="22"/>
  <c r="B60" i="22"/>
  <c r="B48" i="22"/>
  <c r="B91" i="22"/>
  <c r="B87" i="22"/>
  <c r="B71" i="22"/>
  <c r="B67" i="22"/>
  <c r="B63" i="22"/>
  <c r="B59" i="22"/>
  <c r="B51" i="22"/>
  <c r="B47" i="22"/>
  <c r="B101" i="22"/>
  <c r="B95" i="22"/>
  <c r="B94" i="22"/>
  <c r="B86" i="22"/>
  <c r="B66" i="22"/>
  <c r="BQ13" i="13"/>
  <c r="U13" i="13"/>
  <c r="BO23" i="13"/>
  <c r="AV21" i="13"/>
  <c r="BS8" i="13"/>
  <c r="BU13" i="13"/>
  <c r="BP12" i="13"/>
  <c r="AU8" i="13"/>
  <c r="AM15" i="13"/>
  <c r="BE25" i="13"/>
  <c r="Z24" i="13"/>
  <c r="AB24" i="13" s="1"/>
  <c r="AE24" i="13" s="1"/>
  <c r="AK15" i="13"/>
  <c r="AN21" i="13"/>
  <c r="Z18" i="13"/>
  <c r="AB18" i="13" s="1"/>
  <c r="BD23" i="13"/>
  <c r="BU12" i="13"/>
  <c r="BJ8" i="13"/>
  <c r="AT18" i="13"/>
  <c r="BD21" i="13"/>
  <c r="AJ18" i="13"/>
  <c r="BN11" i="13"/>
  <c r="BF24" i="13"/>
  <c r="AI18" i="13"/>
  <c r="AX9" i="13"/>
  <c r="AT8" i="13"/>
  <c r="Z14" i="13"/>
  <c r="AB14" i="13" s="1"/>
  <c r="Z12" i="13"/>
  <c r="AB12" i="13" s="1"/>
  <c r="AE12" i="13" s="1"/>
  <c r="BE19" i="13"/>
  <c r="AS18" i="13"/>
  <c r="AY21" i="13"/>
  <c r="AP18" i="13"/>
  <c r="AW21" i="13"/>
  <c r="AM18" i="13"/>
  <c r="BE17" i="13"/>
  <c r="AM21" i="13"/>
  <c r="U20" i="13"/>
  <c r="AA17" i="13"/>
  <c r="AY26" i="13"/>
  <c r="AX26" i="13"/>
  <c r="BF12" i="13"/>
  <c r="U10" i="13"/>
  <c r="AY25" i="13"/>
  <c r="BR21" i="13"/>
  <c r="BU18" i="13"/>
  <c r="BD18" i="13"/>
  <c r="AY18" i="13"/>
  <c r="AX18" i="13"/>
  <c r="AZ15" i="13"/>
  <c r="AW15" i="13"/>
  <c r="BS13" i="13"/>
  <c r="BM13" i="13"/>
  <c r="BL13" i="13"/>
  <c r="BD12" i="13"/>
  <c r="BS26" i="13"/>
  <c r="BD26" i="13"/>
  <c r="BA25" i="13"/>
  <c r="AT25" i="13"/>
  <c r="AQ25" i="13"/>
  <c r="AO25" i="13"/>
  <c r="AM25" i="13"/>
  <c r="BA23" i="13"/>
  <c r="BD22" i="13"/>
  <c r="BS21" i="13"/>
  <c r="BV20" i="13"/>
  <c r="BD20" i="13"/>
  <c r="AU19" i="13"/>
  <c r="AT19" i="13"/>
  <c r="BJ19" i="13"/>
  <c r="BI19" i="13"/>
  <c r="BV19" i="13"/>
  <c r="BT19" i="13"/>
  <c r="BH19" i="13"/>
  <c r="BV18" i="13"/>
  <c r="BT18" i="13"/>
  <c r="BS18" i="13"/>
  <c r="BL18" i="13"/>
  <c r="BJ18" i="13"/>
  <c r="BI18" i="13"/>
  <c r="BH18" i="13"/>
  <c r="BF18" i="13"/>
  <c r="BV17" i="13"/>
  <c r="BU17" i="13"/>
  <c r="BL15" i="13"/>
  <c r="BJ15" i="13"/>
  <c r="AO14" i="13"/>
  <c r="BJ13" i="13"/>
  <c r="BG13" i="13"/>
  <c r="BE13" i="13"/>
  <c r="BV13" i="13"/>
  <c r="AL12" i="13"/>
  <c r="AK12" i="13"/>
  <c r="BR8" i="13"/>
  <c r="BK8" i="13"/>
  <c r="AY8" i="13"/>
  <c r="BR9" i="13"/>
  <c r="AW26" i="13"/>
  <c r="AJ21" i="13"/>
  <c r="AI19" i="13"/>
  <c r="BS17" i="13"/>
  <c r="AW17" i="13"/>
  <c r="AS15" i="13"/>
  <c r="BT13" i="13"/>
  <c r="BD13" i="13"/>
  <c r="BL11" i="13"/>
  <c r="BT10" i="13"/>
  <c r="BQ9" i="13"/>
  <c r="AW9" i="13"/>
  <c r="BI8" i="13"/>
  <c r="AS8" i="13"/>
  <c r="AU26" i="13"/>
  <c r="BR17" i="13"/>
  <c r="AV17" i="13"/>
  <c r="AR15" i="13"/>
  <c r="BP10" i="13"/>
  <c r="BO9" i="13"/>
  <c r="AV9" i="13"/>
  <c r="BH8" i="13"/>
  <c r="AQ8" i="13"/>
  <c r="AO26" i="13"/>
  <c r="AV23" i="13"/>
  <c r="BQ17" i="13"/>
  <c r="AU17" i="13"/>
  <c r="AQ15" i="13"/>
  <c r="AV13" i="13"/>
  <c r="BO10" i="13"/>
  <c r="BN9" i="13"/>
  <c r="AT9" i="13"/>
  <c r="BV8" i="13"/>
  <c r="BG8" i="13"/>
  <c r="AM8" i="13"/>
  <c r="AN26" i="13"/>
  <c r="AS25" i="13"/>
  <c r="AN23" i="13"/>
  <c r="Z21" i="13"/>
  <c r="AB21" i="13" s="1"/>
  <c r="AI20" i="13"/>
  <c r="BR19" i="13"/>
  <c r="BR18" i="13"/>
  <c r="AW18" i="13"/>
  <c r="BO17" i="13"/>
  <c r="AT17" i="13"/>
  <c r="AP15" i="13"/>
  <c r="T14" i="13"/>
  <c r="V14" i="13" s="1"/>
  <c r="BP13" i="13"/>
  <c r="AU13" i="13"/>
  <c r="BT12" i="13"/>
  <c r="AA11" i="13"/>
  <c r="BN10" i="13"/>
  <c r="BM9" i="13"/>
  <c r="AJ9" i="13"/>
  <c r="BU8" i="13"/>
  <c r="BF8" i="13"/>
  <c r="AL8" i="13"/>
  <c r="AM26" i="13"/>
  <c r="BU25" i="13"/>
  <c r="AR25" i="13"/>
  <c r="AL23" i="13"/>
  <c r="Z22" i="13"/>
  <c r="AB22" i="13" s="1"/>
  <c r="BA21" i="13"/>
  <c r="BK19" i="13"/>
  <c r="U19" i="13"/>
  <c r="BP18" i="13"/>
  <c r="AV18" i="13"/>
  <c r="BL17" i="13"/>
  <c r="AR17" i="13"/>
  <c r="BQ16" i="13"/>
  <c r="AN15" i="13"/>
  <c r="BO13" i="13"/>
  <c r="AI13" i="13"/>
  <c r="BS12" i="13"/>
  <c r="U12" i="13"/>
  <c r="AD12" i="13" s="1"/>
  <c r="BL10" i="13"/>
  <c r="BL9" i="13"/>
  <c r="AI9" i="13"/>
  <c r="BT8" i="13"/>
  <c r="BD8" i="13"/>
  <c r="AK8" i="13"/>
  <c r="AI26" i="13"/>
  <c r="BT25" i="13"/>
  <c r="BK17" i="13"/>
  <c r="AQ17" i="13"/>
  <c r="BP16" i="13"/>
  <c r="AX14" i="13"/>
  <c r="BJ10" i="13"/>
  <c r="BK9" i="13"/>
  <c r="AI8" i="13"/>
  <c r="BR25" i="13"/>
  <c r="BR24" i="13"/>
  <c r="BJ17" i="13"/>
  <c r="AW14" i="13"/>
  <c r="BJ9" i="13"/>
  <c r="BO25" i="13"/>
  <c r="BK24" i="13"/>
  <c r="BI17" i="13"/>
  <c r="AY16" i="13"/>
  <c r="AU14" i="13"/>
  <c r="BI9" i="13"/>
  <c r="U9" i="13"/>
  <c r="BP8" i="13"/>
  <c r="AX8" i="13"/>
  <c r="BS9" i="13"/>
  <c r="U26" i="13"/>
  <c r="AD26" i="13" s="1"/>
  <c r="BN25" i="13"/>
  <c r="BJ24" i="13"/>
  <c r="AP21" i="13"/>
  <c r="BG17" i="13"/>
  <c r="AU16" i="13"/>
  <c r="AT14" i="13"/>
  <c r="BI13" i="13"/>
  <c r="AA10" i="13"/>
  <c r="BV9" i="13"/>
  <c r="BG9" i="13"/>
  <c r="BO8" i="13"/>
  <c r="AW8" i="13"/>
  <c r="Z25" i="13"/>
  <c r="AB25" i="13" s="1"/>
  <c r="BI24" i="13"/>
  <c r="BP23" i="13"/>
  <c r="AO21" i="13"/>
  <c r="BG18" i="13"/>
  <c r="AL18" i="13"/>
  <c r="BF17" i="13"/>
  <c r="AI16" i="13"/>
  <c r="BA15" i="13"/>
  <c r="AP14" i="13"/>
  <c r="BH13" i="13"/>
  <c r="AX12" i="13"/>
  <c r="BU9" i="13"/>
  <c r="BF9" i="13"/>
  <c r="BL8" i="13"/>
  <c r="AV8" i="13"/>
  <c r="AS11" i="13"/>
  <c r="AW10" i="13"/>
  <c r="BN23" i="13"/>
  <c r="AY22" i="13"/>
  <c r="BQ21" i="13"/>
  <c r="AA20" i="13"/>
  <c r="AS19" i="13"/>
  <c r="AA19" i="13"/>
  <c r="BE16" i="13"/>
  <c r="BE15" i="13"/>
  <c r="AT13" i="13"/>
  <c r="AJ12" i="13"/>
  <c r="BF11" i="13"/>
  <c r="AR11" i="13"/>
  <c r="AU10" i="13"/>
  <c r="AX10" i="13"/>
  <c r="AR26" i="13"/>
  <c r="AP25" i="13"/>
  <c r="BG24" i="13"/>
  <c r="BM23" i="13"/>
  <c r="AW23" i="13"/>
  <c r="AX22" i="13"/>
  <c r="T22" i="13"/>
  <c r="V22" i="13" s="1"/>
  <c r="BP21" i="13"/>
  <c r="AZ21" i="13"/>
  <c r="AK21" i="13"/>
  <c r="BU19" i="13"/>
  <c r="BF19" i="13"/>
  <c r="AR19" i="13"/>
  <c r="BT17" i="13"/>
  <c r="BH17" i="13"/>
  <c r="AS17" i="13"/>
  <c r="U17" i="13"/>
  <c r="BD16" i="13"/>
  <c r="BD15" i="13"/>
  <c r="AO15" i="13"/>
  <c r="AQ14" i="13"/>
  <c r="BR13" i="13"/>
  <c r="BF13" i="13"/>
  <c r="AS13" i="13"/>
  <c r="BR12" i="13"/>
  <c r="AY12" i="13"/>
  <c r="AI12" i="13"/>
  <c r="BD11" i="13"/>
  <c r="AQ11" i="13"/>
  <c r="BM10" i="13"/>
  <c r="AT10" i="13"/>
  <c r="BT9" i="13"/>
  <c r="BH9" i="13"/>
  <c r="AU9" i="13"/>
  <c r="AA9" i="13"/>
  <c r="AJ8" i="13"/>
  <c r="BL23" i="13"/>
  <c r="AV22" i="13"/>
  <c r="BO21" i="13"/>
  <c r="AQ19" i="13"/>
  <c r="AR13" i="13"/>
  <c r="AP11" i="13"/>
  <c r="AQ10" i="13"/>
  <c r="AZ25" i="13"/>
  <c r="AN25" i="13"/>
  <c r="BK23" i="13"/>
  <c r="AU22" i="13"/>
  <c r="BN21" i="13"/>
  <c r="AP19" i="13"/>
  <c r="AQ13" i="13"/>
  <c r="BO12" i="13"/>
  <c r="AW12" i="13"/>
  <c r="BA11" i="13"/>
  <c r="AO11" i="13"/>
  <c r="AP10" i="13"/>
  <c r="AS9" i="13"/>
  <c r="AT11" i="13"/>
  <c r="BV23" i="13"/>
  <c r="BJ23" i="13"/>
  <c r="BS22" i="13"/>
  <c r="AS22" i="13"/>
  <c r="BM21" i="13"/>
  <c r="BQ19" i="13"/>
  <c r="BA19" i="13"/>
  <c r="AO19" i="13"/>
  <c r="AO17" i="13"/>
  <c r="AN14" i="13"/>
  <c r="AO13" i="13"/>
  <c r="BL12" i="13"/>
  <c r="AV12" i="13"/>
  <c r="AZ11" i="13"/>
  <c r="AN11" i="13"/>
  <c r="BH10" i="13"/>
  <c r="AO10" i="13"/>
  <c r="BE9" i="13"/>
  <c r="AR9" i="13"/>
  <c r="BQ26" i="13"/>
  <c r="AK26" i="13"/>
  <c r="AX25" i="13"/>
  <c r="AL25" i="13"/>
  <c r="BU23" i="13"/>
  <c r="BI23" i="13"/>
  <c r="AI23" i="13"/>
  <c r="BR22" i="13"/>
  <c r="AP22" i="13"/>
  <c r="BJ21" i="13"/>
  <c r="AT21" i="13"/>
  <c r="BO19" i="13"/>
  <c r="AZ19" i="13"/>
  <c r="AN19" i="13"/>
  <c r="BP17" i="13"/>
  <c r="BD17" i="13"/>
  <c r="AN17" i="13"/>
  <c r="BV15" i="13"/>
  <c r="AY15" i="13"/>
  <c r="AJ15" i="13"/>
  <c r="AM14" i="13"/>
  <c r="BN13" i="13"/>
  <c r="BA13" i="13"/>
  <c r="AN13" i="13"/>
  <c r="BK12" i="13"/>
  <c r="AU12" i="13"/>
  <c r="AY11" i="13"/>
  <c r="AM11" i="13"/>
  <c r="BD10" i="13"/>
  <c r="AN10" i="13"/>
  <c r="BP9" i="13"/>
  <c r="AO9" i="13"/>
  <c r="AD14" i="13"/>
  <c r="AW25" i="13"/>
  <c r="AK25" i="13"/>
  <c r="BT23" i="13"/>
  <c r="BH23" i="13"/>
  <c r="BQ22" i="13"/>
  <c r="AO22" i="13"/>
  <c r="BI21" i="13"/>
  <c r="AS21" i="13"/>
  <c r="AY20" i="13"/>
  <c r="BN19" i="13"/>
  <c r="AY19" i="13"/>
  <c r="AM19" i="13"/>
  <c r="AK17" i="13"/>
  <c r="BR15" i="13"/>
  <c r="BA14" i="13"/>
  <c r="AL14" i="13"/>
  <c r="AZ13" i="13"/>
  <c r="AM13" i="13"/>
  <c r="BJ12" i="13"/>
  <c r="AT12" i="13"/>
  <c r="AX11" i="13"/>
  <c r="AL11" i="13"/>
  <c r="AM10" i="13"/>
  <c r="AN9" i="13"/>
  <c r="U8" i="13"/>
  <c r="AD8" i="13" s="1"/>
  <c r="AV25" i="13"/>
  <c r="AJ25" i="13"/>
  <c r="BU24" i="13"/>
  <c r="BS23" i="13"/>
  <c r="BG23" i="13"/>
  <c r="BO22" i="13"/>
  <c r="AM22" i="13"/>
  <c r="BG21" i="13"/>
  <c r="AR21" i="13"/>
  <c r="AX20" i="13"/>
  <c r="BM19" i="13"/>
  <c r="AX19" i="13"/>
  <c r="AL19" i="13"/>
  <c r="BN17" i="13"/>
  <c r="BA17" i="13"/>
  <c r="AJ17" i="13"/>
  <c r="BP15" i="13"/>
  <c r="AV15" i="13"/>
  <c r="AA15" i="13"/>
  <c r="AZ14" i="13"/>
  <c r="AK14" i="13"/>
  <c r="AY13" i="13"/>
  <c r="AL13" i="13"/>
  <c r="BI12" i="13"/>
  <c r="AS12" i="13"/>
  <c r="BR11" i="13"/>
  <c r="AW11" i="13"/>
  <c r="AK11" i="13"/>
  <c r="BA10" i="13"/>
  <c r="AL10" i="13"/>
  <c r="BA9" i="13"/>
  <c r="AM9" i="13"/>
  <c r="BA26" i="13"/>
  <c r="Z26" i="13"/>
  <c r="AB26" i="13" s="1"/>
  <c r="AU25" i="13"/>
  <c r="BT24" i="13"/>
  <c r="U24" i="13"/>
  <c r="AD24" i="13" s="1"/>
  <c r="BR23" i="13"/>
  <c r="BF23" i="13"/>
  <c r="AA23" i="13"/>
  <c r="BN22" i="13"/>
  <c r="AJ22" i="13"/>
  <c r="BV21" i="13"/>
  <c r="BF21" i="13"/>
  <c r="AQ21" i="13"/>
  <c r="AN20" i="13"/>
  <c r="BL19" i="13"/>
  <c r="AW19" i="13"/>
  <c r="AK19" i="13"/>
  <c r="AZ17" i="13"/>
  <c r="BT16" i="13"/>
  <c r="BO15" i="13"/>
  <c r="AT15" i="13"/>
  <c r="AY14" i="13"/>
  <c r="AI14" i="13"/>
  <c r="AX13" i="13"/>
  <c r="AK13" i="13"/>
  <c r="BH12" i="13"/>
  <c r="AQ12" i="13"/>
  <c r="BQ11" i="13"/>
  <c r="AV11" i="13"/>
  <c r="AJ11" i="13"/>
  <c r="AZ10" i="13"/>
  <c r="AK10" i="13"/>
  <c r="AZ9" i="13"/>
  <c r="AL9" i="13"/>
  <c r="BQ23" i="13"/>
  <c r="AI22" i="13"/>
  <c r="BU21" i="13"/>
  <c r="AM20" i="13"/>
  <c r="AV19" i="13"/>
  <c r="Z16" i="13"/>
  <c r="AB16" i="13" s="1"/>
  <c r="BM15" i="13"/>
  <c r="AW13" i="13"/>
  <c r="AJ13" i="13"/>
  <c r="BV12" i="13"/>
  <c r="BG12" i="13"/>
  <c r="AM12" i="13"/>
  <c r="BP11" i="13"/>
  <c r="AU11" i="13"/>
  <c r="AY10" i="13"/>
  <c r="AI10" i="13"/>
  <c r="AY9" i="13"/>
  <c r="AK9" i="13"/>
  <c r="AE9" i="13"/>
  <c r="AE23" i="13"/>
  <c r="AD22" i="13"/>
  <c r="AE20" i="13"/>
  <c r="AE19" i="13"/>
  <c r="AE13" i="13"/>
  <c r="AE10" i="13"/>
  <c r="Z8" i="13"/>
  <c r="AB8" i="13" s="1"/>
  <c r="AU24" i="13"/>
  <c r="BE20" i="13"/>
  <c r="BQ20" i="13"/>
  <c r="BF20" i="13"/>
  <c r="BR20" i="13"/>
  <c r="BI20" i="13"/>
  <c r="BU20" i="13"/>
  <c r="BE14" i="13"/>
  <c r="BQ14" i="13"/>
  <c r="BF14" i="13"/>
  <c r="BR14" i="13"/>
  <c r="BG14" i="13"/>
  <c r="BS14" i="13"/>
  <c r="BI14" i="13"/>
  <c r="BU14" i="13"/>
  <c r="BD25" i="13"/>
  <c r="BP25" i="13"/>
  <c r="BG25" i="13"/>
  <c r="BS25" i="13"/>
  <c r="AT24" i="13"/>
  <c r="AZ23" i="13"/>
  <c r="AK23" i="13"/>
  <c r="U23" i="13"/>
  <c r="BJ22" i="13"/>
  <c r="BV22" i="13"/>
  <c r="BM22" i="13"/>
  <c r="BS20" i="13"/>
  <c r="BA20" i="13"/>
  <c r="AL20" i="13"/>
  <c r="U18" i="13"/>
  <c r="AD18" i="13" s="1"/>
  <c r="BI16" i="13"/>
  <c r="BU16" i="13"/>
  <c r="BJ16" i="13"/>
  <c r="BV16" i="13"/>
  <c r="BK16" i="13"/>
  <c r="BM16" i="13"/>
  <c r="AJ16" i="13"/>
  <c r="AV16" i="13"/>
  <c r="AK16" i="13"/>
  <c r="AW16" i="13"/>
  <c r="AL16" i="13"/>
  <c r="AX16" i="13"/>
  <c r="AN16" i="13"/>
  <c r="AZ16" i="13"/>
  <c r="BV14" i="13"/>
  <c r="AA13" i="13"/>
  <c r="BF26" i="13"/>
  <c r="BR26" i="13"/>
  <c r="BI26" i="13"/>
  <c r="BU26" i="13"/>
  <c r="BO26" i="13"/>
  <c r="AZ26" i="13"/>
  <c r="BQ25" i="13"/>
  <c r="BV24" i="13"/>
  <c r="BH24" i="13"/>
  <c r="AS24" i="13"/>
  <c r="AX23" i="13"/>
  <c r="BP22" i="13"/>
  <c r="BA22" i="13"/>
  <c r="BH21" i="13"/>
  <c r="BT21" i="13"/>
  <c r="BK21" i="13"/>
  <c r="BP20" i="13"/>
  <c r="AZ20" i="13"/>
  <c r="BM18" i="13"/>
  <c r="BN18" i="13"/>
  <c r="BE18" i="13"/>
  <c r="BQ18" i="13"/>
  <c r="BR16" i="13"/>
  <c r="BA16" i="13"/>
  <c r="BT14" i="13"/>
  <c r="BO11" i="13"/>
  <c r="BN20" i="13"/>
  <c r="AR20" i="13"/>
  <c r="AS20" i="13"/>
  <c r="AJ20" i="13"/>
  <c r="AV20" i="13"/>
  <c r="BO14" i="13"/>
  <c r="AQ24" i="13"/>
  <c r="BM26" i="13"/>
  <c r="AP24" i="13"/>
  <c r="AM23" i="13"/>
  <c r="AY23" i="13"/>
  <c r="AP23" i="13"/>
  <c r="BL26" i="13"/>
  <c r="AS26" i="13"/>
  <c r="AJ26" i="13"/>
  <c r="AV26" i="13"/>
  <c r="BM25" i="13"/>
  <c r="BS24" i="13"/>
  <c r="AN24" i="13"/>
  <c r="AU23" i="13"/>
  <c r="BL22" i="13"/>
  <c r="AK22" i="13"/>
  <c r="AW22" i="13"/>
  <c r="AN22" i="13"/>
  <c r="AZ22" i="13"/>
  <c r="T21" i="13"/>
  <c r="V21" i="13" s="1"/>
  <c r="U21" i="13"/>
  <c r="AD21" i="13" s="1"/>
  <c r="BM20" i="13"/>
  <c r="AW20" i="13"/>
  <c r="AN18" i="13"/>
  <c r="AZ18" i="13"/>
  <c r="AO18" i="13"/>
  <c r="BA18" i="13"/>
  <c r="AR18" i="13"/>
  <c r="BO16" i="13"/>
  <c r="AT16" i="13"/>
  <c r="BG15" i="13"/>
  <c r="BS15" i="13"/>
  <c r="BH15" i="13"/>
  <c r="BT15" i="13"/>
  <c r="BI15" i="13"/>
  <c r="BU15" i="13"/>
  <c r="BK15" i="13"/>
  <c r="BN14" i="13"/>
  <c r="BJ11" i="13"/>
  <c r="AV24" i="13"/>
  <c r="BO20" i="13"/>
  <c r="BN26" i="13"/>
  <c r="T11" i="13"/>
  <c r="V11" i="13" s="1"/>
  <c r="U11" i="13"/>
  <c r="BK26" i="13"/>
  <c r="BL25" i="13"/>
  <c r="BN24" i="13"/>
  <c r="BE24" i="13"/>
  <c r="BQ24" i="13"/>
  <c r="AM24" i="13"/>
  <c r="AT23" i="13"/>
  <c r="BK22" i="13"/>
  <c r="BL20" i="13"/>
  <c r="AU20" i="13"/>
  <c r="BN16" i="13"/>
  <c r="AS16" i="13"/>
  <c r="BM14" i="13"/>
  <c r="BJ26" i="13"/>
  <c r="AT26" i="13"/>
  <c r="BK25" i="13"/>
  <c r="U25" i="13"/>
  <c r="AD25" i="13" s="1"/>
  <c r="BP24" i="13"/>
  <c r="AZ24" i="13"/>
  <c r="AL24" i="13"/>
  <c r="AS23" i="13"/>
  <c r="BI22" i="13"/>
  <c r="AT22" i="13"/>
  <c r="BL21" i="13"/>
  <c r="BK20" i="13"/>
  <c r="AT20" i="13"/>
  <c r="BK18" i="13"/>
  <c r="AU18" i="13"/>
  <c r="AL17" i="13"/>
  <c r="AX17" i="13"/>
  <c r="AM17" i="13"/>
  <c r="AY17" i="13"/>
  <c r="AP17" i="13"/>
  <c r="BL16" i="13"/>
  <c r="AR16" i="13"/>
  <c r="BQ15" i="13"/>
  <c r="T15" i="13"/>
  <c r="V15" i="13" s="1"/>
  <c r="U15" i="13"/>
  <c r="BL14" i="13"/>
  <c r="BE10" i="13"/>
  <c r="BQ10" i="13"/>
  <c r="BF10" i="13"/>
  <c r="BR10" i="13"/>
  <c r="BG10" i="13"/>
  <c r="BS10" i="13"/>
  <c r="BI10" i="13"/>
  <c r="BU10" i="13"/>
  <c r="BK10" i="13"/>
  <c r="BH26" i="13"/>
  <c r="BJ25" i="13"/>
  <c r="BO24" i="13"/>
  <c r="AY24" i="13"/>
  <c r="AK24" i="13"/>
  <c r="AR23" i="13"/>
  <c r="BH22" i="13"/>
  <c r="BJ20" i="13"/>
  <c r="AQ20" i="13"/>
  <c r="BH16" i="13"/>
  <c r="AQ16" i="13"/>
  <c r="BK14" i="13"/>
  <c r="BP14" i="13"/>
  <c r="BV26" i="13"/>
  <c r="BG26" i="13"/>
  <c r="AQ26" i="13"/>
  <c r="BI25" i="13"/>
  <c r="BM24" i="13"/>
  <c r="AX24" i="13"/>
  <c r="AQ23" i="13"/>
  <c r="BU22" i="13"/>
  <c r="BG22" i="13"/>
  <c r="AR22" i="13"/>
  <c r="BH20" i="13"/>
  <c r="AP20" i="13"/>
  <c r="AE17" i="13"/>
  <c r="BG16" i="13"/>
  <c r="AP16" i="13"/>
  <c r="U16" i="13"/>
  <c r="AD16" i="13" s="1"/>
  <c r="BJ14" i="13"/>
  <c r="BG11" i="13"/>
  <c r="BS11" i="13"/>
  <c r="BH11" i="13"/>
  <c r="BT11" i="13"/>
  <c r="BI11" i="13"/>
  <c r="BU11" i="13"/>
  <c r="BK11" i="13"/>
  <c r="BM11" i="13"/>
  <c r="AO24" i="13"/>
  <c r="BA24" i="13"/>
  <c r="AR24" i="13"/>
  <c r="BT26" i="13"/>
  <c r="BE26" i="13"/>
  <c r="AP26" i="13"/>
  <c r="BV25" i="13"/>
  <c r="BH25" i="13"/>
  <c r="BL24" i="13"/>
  <c r="AW24" i="13"/>
  <c r="AI24" i="13"/>
  <c r="AO23" i="13"/>
  <c r="BT22" i="13"/>
  <c r="BF22" i="13"/>
  <c r="AQ22" i="13"/>
  <c r="BG20" i="13"/>
  <c r="AO20" i="13"/>
  <c r="AQ18" i="13"/>
  <c r="BF16" i="13"/>
  <c r="AO16" i="13"/>
  <c r="BN15" i="13"/>
  <c r="BH14" i="13"/>
  <c r="BV11" i="13"/>
  <c r="AX21" i="13"/>
  <c r="AL21" i="13"/>
  <c r="BS19" i="13"/>
  <c r="BG19" i="13"/>
  <c r="AX15" i="13"/>
  <c r="AL15" i="13"/>
  <c r="AV14" i="13"/>
  <c r="AJ14" i="13"/>
  <c r="BQ12" i="13"/>
  <c r="BE12" i="13"/>
  <c r="AR12" i="13"/>
  <c r="AV10" i="13"/>
  <c r="AJ10" i="13"/>
  <c r="BQ8" i="13"/>
  <c r="BE8" i="13"/>
  <c r="AR8" i="13"/>
  <c r="AP12" i="13"/>
  <c r="AP8" i="13"/>
  <c r="AU21" i="13"/>
  <c r="BP19" i="13"/>
  <c r="AU15" i="13"/>
  <c r="AS14" i="13"/>
  <c r="BN12" i="13"/>
  <c r="BA12" i="13"/>
  <c r="AO12" i="13"/>
  <c r="AS10" i="13"/>
  <c r="AQ9" i="13"/>
  <c r="BN8" i="13"/>
  <c r="BA8" i="13"/>
  <c r="AO8" i="13"/>
  <c r="AZ12" i="13"/>
  <c r="AZ8" i="13"/>
  <c r="AU666" i="13"/>
  <c r="AI634" i="13"/>
  <c r="AZ609" i="13"/>
  <c r="AA596" i="13"/>
  <c r="AS605" i="13"/>
  <c r="AI633" i="13"/>
  <c r="AL629" i="13"/>
  <c r="AW665" i="13"/>
  <c r="AK666" i="13"/>
  <c r="AP666" i="13"/>
  <c r="BS627" i="13"/>
  <c r="BO603" i="13"/>
  <c r="AZ629" i="13"/>
  <c r="AK646" i="13"/>
  <c r="AK635" i="13"/>
  <c r="AA584" i="13"/>
  <c r="T622" i="13"/>
  <c r="V622" i="13" s="1"/>
  <c r="AO667" i="13"/>
  <c r="AO665" i="13"/>
  <c r="BU591" i="13"/>
  <c r="BN615" i="13"/>
  <c r="BK653" i="13"/>
  <c r="BN625" i="13"/>
  <c r="BM627" i="13"/>
  <c r="BL591" i="13"/>
  <c r="AX645" i="13"/>
  <c r="Z657" i="13"/>
  <c r="AB657" i="13" s="1"/>
  <c r="U668" i="13"/>
  <c r="BK591" i="13"/>
  <c r="T603" i="13"/>
  <c r="V603" i="13" s="1"/>
  <c r="AV645" i="13"/>
  <c r="BF579" i="13"/>
  <c r="BA629" i="13"/>
  <c r="T586" i="13"/>
  <c r="V586" i="13" s="1"/>
  <c r="AV637" i="13"/>
  <c r="AA640" i="13"/>
  <c r="AU646" i="13"/>
  <c r="BU625" i="13"/>
  <c r="AS647" i="13"/>
  <c r="BU579" i="13"/>
  <c r="AW616" i="13"/>
  <c r="AR635" i="13"/>
  <c r="U640" i="13"/>
  <c r="AQ645" i="13"/>
  <c r="BS591" i="13"/>
  <c r="AP605" i="13"/>
  <c r="AP634" i="13"/>
  <c r="AW615" i="13"/>
  <c r="AS645" i="13"/>
  <c r="AK634" i="13"/>
  <c r="AW656" i="13"/>
  <c r="BN626" i="13"/>
  <c r="BA647" i="13"/>
  <c r="BA644" i="13"/>
  <c r="BV591" i="13"/>
  <c r="BL615" i="13"/>
  <c r="AY645" i="13"/>
  <c r="AP645" i="13"/>
  <c r="AJ584" i="13"/>
  <c r="AO633" i="13"/>
  <c r="AA641" i="13"/>
  <c r="AA564" i="13"/>
  <c r="AD564" i="13" s="1"/>
  <c r="BR650" i="13"/>
  <c r="BF670" i="13"/>
  <c r="BT627" i="13"/>
  <c r="BN643" i="13"/>
  <c r="AN634" i="13"/>
  <c r="BF665" i="13"/>
  <c r="U567" i="13"/>
  <c r="AD567" i="13" s="1"/>
  <c r="AZ620" i="13"/>
  <c r="BM653" i="13"/>
  <c r="AV633" i="13"/>
  <c r="AN633" i="13"/>
  <c r="AJ656" i="13"/>
  <c r="AY596" i="13"/>
  <c r="T595" i="13"/>
  <c r="V595" i="13" s="1"/>
  <c r="BF643" i="13"/>
  <c r="AU645" i="13"/>
  <c r="AW667" i="13"/>
  <c r="AA588" i="13"/>
  <c r="BE667" i="13"/>
  <c r="AA659" i="13"/>
  <c r="AD659" i="13" s="1"/>
  <c r="BR627" i="13"/>
  <c r="AW608" i="13"/>
  <c r="BR591" i="13"/>
  <c r="BG601" i="13"/>
  <c r="AU596" i="13"/>
  <c r="AJ644" i="13"/>
  <c r="BQ665" i="13"/>
  <c r="AA656" i="13"/>
  <c r="AD656" i="13" s="1"/>
  <c r="U669" i="13"/>
  <c r="BT619" i="13"/>
  <c r="BH615" i="13"/>
  <c r="BQ601" i="13"/>
  <c r="BF627" i="13"/>
  <c r="AT629" i="13"/>
  <c r="Z591" i="13"/>
  <c r="AB591" i="13" s="1"/>
  <c r="BP631" i="13"/>
  <c r="AW640" i="13"/>
  <c r="AP647" i="13"/>
  <c r="BI667" i="13"/>
  <c r="BQ591" i="13"/>
  <c r="BF615" i="13"/>
  <c r="AT608" i="13"/>
  <c r="BO653" i="13"/>
  <c r="BL664" i="13"/>
  <c r="U667" i="13"/>
  <c r="T656" i="13"/>
  <c r="V656" i="13" s="1"/>
  <c r="AY605" i="13"/>
  <c r="BK664" i="13"/>
  <c r="AS653" i="13"/>
  <c r="AA594" i="13"/>
  <c r="U646" i="13"/>
  <c r="AD646" i="13" s="1"/>
  <c r="BS667" i="13"/>
  <c r="BN664" i="13"/>
  <c r="BG664" i="13"/>
  <c r="BO572" i="13"/>
  <c r="AO604" i="13"/>
  <c r="BA642" i="13"/>
  <c r="AZ605" i="13"/>
  <c r="AW604" i="13"/>
  <c r="AT603" i="13"/>
  <c r="AN605" i="13"/>
  <c r="Z626" i="13"/>
  <c r="AB626" i="13" s="1"/>
  <c r="BN650" i="13"/>
  <c r="BA641" i="13"/>
  <c r="AV644" i="13"/>
  <c r="AL647" i="13"/>
  <c r="AA637" i="13"/>
  <c r="AV667" i="13"/>
  <c r="AM667" i="13"/>
  <c r="AV654" i="13"/>
  <c r="BS575" i="13"/>
  <c r="BA616" i="13"/>
  <c r="AY603" i="13"/>
  <c r="AV629" i="13"/>
  <c r="AR615" i="13"/>
  <c r="AK605" i="13"/>
  <c r="AY641" i="13"/>
  <c r="AP654" i="13"/>
  <c r="AT659" i="13"/>
  <c r="AI659" i="13"/>
  <c r="BD595" i="13"/>
  <c r="AW591" i="13"/>
  <c r="BL625" i="13"/>
  <c r="BA615" i="13"/>
  <c r="AV616" i="13"/>
  <c r="AR604" i="13"/>
  <c r="Z572" i="13"/>
  <c r="AB572" i="13" s="1"/>
  <c r="U629" i="13"/>
  <c r="AQ668" i="13"/>
  <c r="AV668" i="13"/>
  <c r="AY616" i="13"/>
  <c r="AY642" i="13"/>
  <c r="BR595" i="13"/>
  <c r="BA600" i="13"/>
  <c r="AX629" i="13"/>
  <c r="AV605" i="13"/>
  <c r="AQ629" i="13"/>
  <c r="AI629" i="13"/>
  <c r="U628" i="13"/>
  <c r="AD628" i="13" s="1"/>
  <c r="BE655" i="13"/>
  <c r="AX642" i="13"/>
  <c r="U635" i="13"/>
  <c r="AD635" i="13" s="1"/>
  <c r="BV593" i="13"/>
  <c r="BA588" i="13"/>
  <c r="AX608" i="13"/>
  <c r="AU629" i="13"/>
  <c r="AI609" i="13"/>
  <c r="AA612" i="13"/>
  <c r="U597" i="13"/>
  <c r="BU638" i="13"/>
  <c r="AX641" i="13"/>
  <c r="AU642" i="13"/>
  <c r="T653" i="13"/>
  <c r="V653" i="13" s="1"/>
  <c r="AI666" i="13"/>
  <c r="AR666" i="13"/>
  <c r="BQ627" i="13"/>
  <c r="BL579" i="13"/>
  <c r="BA585" i="13"/>
  <c r="AX604" i="13"/>
  <c r="AP628" i="13"/>
  <c r="AA608" i="13"/>
  <c r="U583" i="13"/>
  <c r="BS632" i="13"/>
  <c r="AX634" i="13"/>
  <c r="AO645" i="13"/>
  <c r="Z669" i="13"/>
  <c r="AB669" i="13" s="1"/>
  <c r="AE669" i="13" s="1"/>
  <c r="AA669" i="13"/>
  <c r="AA569" i="13"/>
  <c r="AX599" i="13"/>
  <c r="AP627" i="13"/>
  <c r="BR655" i="13"/>
  <c r="BA653" i="13"/>
  <c r="AX631" i="13"/>
  <c r="AT642" i="13"/>
  <c r="AO577" i="13"/>
  <c r="BL571" i="13"/>
  <c r="BO646" i="13"/>
  <c r="BH646" i="13"/>
  <c r="BK565" i="13"/>
  <c r="BA609" i="13"/>
  <c r="AZ597" i="13"/>
  <c r="AX577" i="13"/>
  <c r="AV602" i="13"/>
  <c r="U582" i="13"/>
  <c r="BT653" i="13"/>
  <c r="BO644" i="13"/>
  <c r="BH643" i="13"/>
  <c r="AQ633" i="13"/>
  <c r="BL671" i="13"/>
  <c r="AA661" i="13"/>
  <c r="AD661" i="13" s="1"/>
  <c r="Z661" i="13"/>
  <c r="AB661" i="13" s="1"/>
  <c r="BF559" i="13"/>
  <c r="BS587" i="13"/>
  <c r="BH579" i="13"/>
  <c r="BA608" i="13"/>
  <c r="AZ585" i="13"/>
  <c r="AV584" i="13"/>
  <c r="AM629" i="13"/>
  <c r="AA600" i="13"/>
  <c r="Z587" i="13"/>
  <c r="AB587" i="13" s="1"/>
  <c r="U579" i="13"/>
  <c r="BS652" i="13"/>
  <c r="BO639" i="13"/>
  <c r="BG655" i="13"/>
  <c r="AZ649" i="13"/>
  <c r="AW633" i="13"/>
  <c r="AL634" i="13"/>
  <c r="AA653" i="13"/>
  <c r="AD653" i="13" s="1"/>
  <c r="BN667" i="13"/>
  <c r="T670" i="13"/>
  <c r="V670" i="13" s="1"/>
  <c r="U670" i="13"/>
  <c r="BD571" i="13"/>
  <c r="BS579" i="13"/>
  <c r="BG627" i="13"/>
  <c r="BA605" i="13"/>
  <c r="AV575" i="13"/>
  <c r="AM575" i="13"/>
  <c r="AA599" i="13"/>
  <c r="AD599" i="13" s="1"/>
  <c r="U574" i="13"/>
  <c r="AD574" i="13" s="1"/>
  <c r="BS643" i="13"/>
  <c r="BO635" i="13"/>
  <c r="BG643" i="13"/>
  <c r="AZ634" i="13"/>
  <c r="AT645" i="13"/>
  <c r="AL633" i="13"/>
  <c r="AA652" i="13"/>
  <c r="BN665" i="13"/>
  <c r="T630" i="13"/>
  <c r="V630" i="13" s="1"/>
  <c r="BV571" i="13"/>
  <c r="AL600" i="13"/>
  <c r="T606" i="13"/>
  <c r="V606" i="13" s="1"/>
  <c r="BE635" i="13"/>
  <c r="AX657" i="13"/>
  <c r="AW657" i="13"/>
  <c r="AA658" i="13"/>
  <c r="BV559" i="13"/>
  <c r="BQ646" i="13"/>
  <c r="BM646" i="13"/>
  <c r="Z646" i="13"/>
  <c r="AB646" i="13" s="1"/>
  <c r="AO649" i="13"/>
  <c r="BA577" i="13"/>
  <c r="AL576" i="13"/>
  <c r="BT570" i="13"/>
  <c r="BE628" i="13"/>
  <c r="AA576" i="13"/>
  <c r="AD591" i="13"/>
  <c r="U598" i="13"/>
  <c r="BQ638" i="13"/>
  <c r="BM643" i="13"/>
  <c r="AX644" i="13"/>
  <c r="AV634" i="13"/>
  <c r="AR642" i="13"/>
  <c r="AO634" i="13"/>
  <c r="AJ649" i="13"/>
  <c r="BO656" i="13"/>
  <c r="BQ571" i="13"/>
  <c r="BT628" i="13"/>
  <c r="AX623" i="13"/>
  <c r="BP655" i="13"/>
  <c r="AR636" i="13"/>
  <c r="U617" i="13"/>
  <c r="BA626" i="13"/>
  <c r="Z623" i="13"/>
  <c r="AB623" i="13" s="1"/>
  <c r="U594" i="13"/>
  <c r="BV646" i="13"/>
  <c r="BK650" i="13"/>
  <c r="AU649" i="13"/>
  <c r="BP628" i="13"/>
  <c r="AV612" i="13"/>
  <c r="AO587" i="13"/>
  <c r="T591" i="13"/>
  <c r="V591" i="13" s="1"/>
  <c r="BU643" i="13"/>
  <c r="BJ643" i="13"/>
  <c r="BP673" i="13"/>
  <c r="AA663" i="13"/>
  <c r="Z663" i="13"/>
  <c r="AB663" i="13" s="1"/>
  <c r="AE663" i="13" s="1"/>
  <c r="T657" i="13"/>
  <c r="V657" i="13" s="1"/>
  <c r="BN674" i="13"/>
  <c r="BP672" i="13"/>
  <c r="BL672" i="13"/>
  <c r="BR671" i="13"/>
  <c r="BV667" i="13"/>
  <c r="BQ667" i="13"/>
  <c r="BM667" i="13"/>
  <c r="BG667" i="13"/>
  <c r="BK667" i="13"/>
  <c r="BD667" i="13"/>
  <c r="BL667" i="13"/>
  <c r="BU667" i="13"/>
  <c r="BP667" i="13"/>
  <c r="AK667" i="13"/>
  <c r="BH667" i="13"/>
  <c r="BO667" i="13"/>
  <c r="BJ665" i="13"/>
  <c r="BV665" i="13"/>
  <c r="BL665" i="13"/>
  <c r="BT665" i="13"/>
  <c r="BO665" i="13"/>
  <c r="BR665" i="13"/>
  <c r="BS665" i="13"/>
  <c r="BM665" i="13"/>
  <c r="BD662" i="13"/>
  <c r="BD660" i="13"/>
  <c r="BS660" i="13"/>
  <c r="AX656" i="13"/>
  <c r="AR656" i="13"/>
  <c r="AT656" i="13"/>
  <c r="AV669" i="13"/>
  <c r="BE666" i="13"/>
  <c r="BV666" i="13"/>
  <c r="BU666" i="13"/>
  <c r="AW666" i="13"/>
  <c r="AO666" i="13"/>
  <c r="AM666" i="13"/>
  <c r="BV664" i="13"/>
  <c r="BO664" i="13"/>
  <c r="BT664" i="13"/>
  <c r="BM664" i="13"/>
  <c r="BP664" i="13"/>
  <c r="BJ664" i="13"/>
  <c r="AW662" i="13"/>
  <c r="U664" i="13"/>
  <c r="AD664" i="13" s="1"/>
  <c r="U663" i="13"/>
  <c r="AO669" i="13"/>
  <c r="AW663" i="13"/>
  <c r="AV674" i="13"/>
  <c r="AW674" i="13"/>
  <c r="AU675" i="13"/>
  <c r="BT675" i="13"/>
  <c r="AW672" i="13"/>
  <c r="AE674" i="13"/>
  <c r="BU672" i="13"/>
  <c r="BR660" i="13"/>
  <c r="BG672" i="13"/>
  <c r="BA674" i="13"/>
  <c r="AZ675" i="13"/>
  <c r="AW671" i="13"/>
  <c r="AU663" i="13"/>
  <c r="AR674" i="13"/>
  <c r="BU671" i="13"/>
  <c r="BM670" i="13"/>
  <c r="BA662" i="13"/>
  <c r="AZ674" i="13"/>
  <c r="AW670" i="13"/>
  <c r="BV660" i="13"/>
  <c r="BT660" i="13"/>
  <c r="BO666" i="13"/>
  <c r="BK672" i="13"/>
  <c r="BJ672" i="13"/>
  <c r="BH672" i="13"/>
  <c r="BG665" i="13"/>
  <c r="BA657" i="13"/>
  <c r="AZ662" i="13"/>
  <c r="AW669" i="13"/>
  <c r="AV662" i="13"/>
  <c r="AR663" i="13"/>
  <c r="AQ662" i="13"/>
  <c r="AM659" i="13"/>
  <c r="BK671" i="13"/>
  <c r="AZ659" i="13"/>
  <c r="AR657" i="13"/>
  <c r="AM657" i="13"/>
  <c r="AK674" i="13"/>
  <c r="AZ658" i="13"/>
  <c r="AZ657" i="13"/>
  <c r="AY674" i="13"/>
  <c r="AL663" i="13"/>
  <c r="BH659" i="13"/>
  <c r="BG660" i="13"/>
  <c r="BK660" i="13"/>
  <c r="BE671" i="13"/>
  <c r="BD672" i="13"/>
  <c r="AZ656" i="13"/>
  <c r="AY657" i="13"/>
  <c r="AT662" i="13"/>
  <c r="AL659" i="13"/>
  <c r="AM674" i="13"/>
  <c r="BQ666" i="13"/>
  <c r="BI666" i="13"/>
  <c r="BN666" i="13"/>
  <c r="BM666" i="13"/>
  <c r="BR672" i="13"/>
  <c r="BQ658" i="13"/>
  <c r="BP666" i="13"/>
  <c r="BJ666" i="13"/>
  <c r="BH666" i="13"/>
  <c r="BF672" i="13"/>
  <c r="AP674" i="13"/>
  <c r="AO674" i="13"/>
  <c r="BO661" i="13"/>
  <c r="BL666" i="13"/>
  <c r="BR670" i="13"/>
  <c r="BP660" i="13"/>
  <c r="BO660" i="13"/>
  <c r="BN660" i="13"/>
  <c r="BM660" i="13"/>
  <c r="BH658" i="13"/>
  <c r="BF666" i="13"/>
  <c r="BU670" i="13"/>
  <c r="BR666" i="13"/>
  <c r="BG666" i="13"/>
  <c r="BE670" i="13"/>
  <c r="AU674" i="13"/>
  <c r="AS674" i="13"/>
  <c r="AR662" i="13"/>
  <c r="AQ674" i="13"/>
  <c r="AP662" i="13"/>
  <c r="BT672" i="13"/>
  <c r="BS670" i="13"/>
  <c r="BO672" i="13"/>
  <c r="BK670" i="13"/>
  <c r="BI670" i="13"/>
  <c r="BD666" i="13"/>
  <c r="AY662" i="13"/>
  <c r="AX662" i="13"/>
  <c r="AL666" i="13"/>
  <c r="BT674" i="13"/>
  <c r="BV672" i="13"/>
  <c r="BM671" i="13"/>
  <c r="BI668" i="13"/>
  <c r="BD664" i="13"/>
  <c r="AJ667" i="13"/>
  <c r="AZ661" i="13"/>
  <c r="AP661" i="13"/>
  <c r="BA673" i="13"/>
  <c r="AU661" i="13"/>
  <c r="AP659" i="13"/>
  <c r="BA671" i="13"/>
  <c r="AU658" i="13"/>
  <c r="BA670" i="13"/>
  <c r="AZ673" i="13"/>
  <c r="AX669" i="13"/>
  <c r="AV657" i="13"/>
  <c r="AU657" i="13"/>
  <c r="AQ667" i="13"/>
  <c r="AN667" i="13"/>
  <c r="AK659" i="13"/>
  <c r="AA672" i="13"/>
  <c r="AZ669" i="13"/>
  <c r="AY671" i="13"/>
  <c r="AX666" i="13"/>
  <c r="AU671" i="13"/>
  <c r="AT669" i="13"/>
  <c r="AS667" i="13"/>
  <c r="AQ666" i="13"/>
  <c r="AO659" i="13"/>
  <c r="AN666" i="13"/>
  <c r="AA670" i="13"/>
  <c r="Z675" i="13"/>
  <c r="AB675" i="13" s="1"/>
  <c r="AZ671" i="13"/>
  <c r="AV656" i="13"/>
  <c r="AT673" i="13"/>
  <c r="AQ671" i="13"/>
  <c r="AD671" i="13"/>
  <c r="AZ670" i="13"/>
  <c r="AY673" i="13"/>
  <c r="AX667" i="13"/>
  <c r="BA661" i="13"/>
  <c r="AZ668" i="13"/>
  <c r="AY669" i="13"/>
  <c r="AU670" i="13"/>
  <c r="AT668" i="13"/>
  <c r="AS666" i="13"/>
  <c r="AR669" i="13"/>
  <c r="AP671" i="13"/>
  <c r="AN659" i="13"/>
  <c r="AI669" i="13"/>
  <c r="Z671" i="13"/>
  <c r="AB671" i="13" s="1"/>
  <c r="AX668" i="13"/>
  <c r="AA673" i="13"/>
  <c r="AD673" i="13" s="1"/>
  <c r="BA659" i="13"/>
  <c r="AZ667" i="13"/>
  <c r="AY668" i="13"/>
  <c r="AX658" i="13"/>
  <c r="AW661" i="13"/>
  <c r="AU669" i="13"/>
  <c r="AT667" i="13"/>
  <c r="AS657" i="13"/>
  <c r="AR668" i="13"/>
  <c r="AQ661" i="13"/>
  <c r="AP668" i="13"/>
  <c r="AN657" i="13"/>
  <c r="AL669" i="13"/>
  <c r="AI667" i="13"/>
  <c r="BA669" i="13"/>
  <c r="AS669" i="13"/>
  <c r="BA667" i="13"/>
  <c r="AT671" i="13"/>
  <c r="AS668" i="13"/>
  <c r="BA658" i="13"/>
  <c r="AZ666" i="13"/>
  <c r="AY667" i="13"/>
  <c r="AW658" i="13"/>
  <c r="AV670" i="13"/>
  <c r="AU667" i="13"/>
  <c r="AT666" i="13"/>
  <c r="AR667" i="13"/>
  <c r="AQ659" i="13"/>
  <c r="AP667" i="13"/>
  <c r="AN656" i="13"/>
  <c r="AM671" i="13"/>
  <c r="T671" i="13"/>
  <c r="V671" i="13" s="1"/>
  <c r="Z665" i="13"/>
  <c r="AB665" i="13" s="1"/>
  <c r="AE665" i="13" s="1"/>
  <c r="AA665" i="13"/>
  <c r="AM663" i="13"/>
  <c r="AV665" i="13"/>
  <c r="AQ664" i="13"/>
  <c r="AZ664" i="13"/>
  <c r="AR664" i="13"/>
  <c r="AK675" i="13"/>
  <c r="AY675" i="13"/>
  <c r="AM675" i="13"/>
  <c r="AO675" i="13"/>
  <c r="AJ675" i="13"/>
  <c r="AL675" i="13"/>
  <c r="AR675" i="13"/>
  <c r="AI675" i="13"/>
  <c r="AS675" i="13"/>
  <c r="AX675" i="13"/>
  <c r="AN675" i="13"/>
  <c r="AV675" i="13"/>
  <c r="AP675" i="13"/>
  <c r="AW675" i="13"/>
  <c r="AJ663" i="13"/>
  <c r="AP663" i="13"/>
  <c r="AQ663" i="13"/>
  <c r="AZ663" i="13"/>
  <c r="BA663" i="13"/>
  <c r="AY663" i="13"/>
  <c r="AS663" i="13"/>
  <c r="AV663" i="13"/>
  <c r="AT663" i="13"/>
  <c r="AK663" i="13"/>
  <c r="AO663" i="13"/>
  <c r="AN663" i="13"/>
  <c r="AI663" i="13"/>
  <c r="AQ675" i="13"/>
  <c r="AJ665" i="13"/>
  <c r="AP665" i="13"/>
  <c r="AQ665" i="13"/>
  <c r="AZ665" i="13"/>
  <c r="BA665" i="13"/>
  <c r="AY665" i="13"/>
  <c r="AT665" i="13"/>
  <c r="AM665" i="13"/>
  <c r="AX665" i="13"/>
  <c r="AR665" i="13"/>
  <c r="AN665" i="13"/>
  <c r="AI665" i="13"/>
  <c r="BA675" i="13"/>
  <c r="AU665" i="13"/>
  <c r="AS665" i="13"/>
  <c r="AK665" i="13"/>
  <c r="Z664" i="13"/>
  <c r="AB664" i="13" s="1"/>
  <c r="Z666" i="13"/>
  <c r="AB666" i="13" s="1"/>
  <c r="AA666" i="13"/>
  <c r="AW659" i="13"/>
  <c r="AU659" i="13"/>
  <c r="AL658" i="13"/>
  <c r="AI661" i="13"/>
  <c r="AA674" i="13"/>
  <c r="U675" i="13"/>
  <c r="AD675" i="13" s="1"/>
  <c r="AV661" i="13"/>
  <c r="AS659" i="13"/>
  <c r="AR673" i="13"/>
  <c r="AR659" i="13"/>
  <c r="AL673" i="13"/>
  <c r="AJ671" i="13"/>
  <c r="AV659" i="13"/>
  <c r="AR671" i="13"/>
  <c r="AR658" i="13"/>
  <c r="AO673" i="13"/>
  <c r="AN671" i="13"/>
  <c r="AL671" i="13"/>
  <c r="AJ670" i="13"/>
  <c r="AA668" i="13"/>
  <c r="AD657" i="13"/>
  <c r="AM661" i="13"/>
  <c r="AX661" i="13"/>
  <c r="AS661" i="13"/>
  <c r="AR661" i="13"/>
  <c r="AJ673" i="13"/>
  <c r="AY659" i="13"/>
  <c r="AX673" i="13"/>
  <c r="AV673" i="13"/>
  <c r="AR670" i="13"/>
  <c r="AO671" i="13"/>
  <c r="AA667" i="13"/>
  <c r="AY658" i="13"/>
  <c r="AX670" i="13"/>
  <c r="AV671" i="13"/>
  <c r="AS671" i="13"/>
  <c r="AO670" i="13"/>
  <c r="AI668" i="13"/>
  <c r="U658" i="13"/>
  <c r="AN672" i="13"/>
  <c r="AM660" i="13"/>
  <c r="AL660" i="13"/>
  <c r="AK672" i="13"/>
  <c r="AT670" i="13"/>
  <c r="AP670" i="13"/>
  <c r="AY670" i="13"/>
  <c r="AK670" i="13"/>
  <c r="AS658" i="13"/>
  <c r="AJ658" i="13"/>
  <c r="AP658" i="13"/>
  <c r="AV658" i="13"/>
  <c r="AM658" i="13"/>
  <c r="BE675" i="13"/>
  <c r="BE662" i="13"/>
  <c r="BP662" i="13"/>
  <c r="AQ660" i="13"/>
  <c r="BR674" i="13"/>
  <c r="BP670" i="13"/>
  <c r="BN670" i="13"/>
  <c r="BL670" i="13"/>
  <c r="BK675" i="13"/>
  <c r="BJ675" i="13"/>
  <c r="BG659" i="13"/>
  <c r="BF674" i="13"/>
  <c r="BE674" i="13"/>
  <c r="BD658" i="13"/>
  <c r="AY672" i="13"/>
  <c r="BV658" i="13"/>
  <c r="BT670" i="13"/>
  <c r="BS664" i="13"/>
  <c r="BQ664" i="13"/>
  <c r="BL668" i="13"/>
  <c r="BJ674" i="13"/>
  <c r="BF673" i="13"/>
  <c r="BE673" i="13"/>
  <c r="BL660" i="13"/>
  <c r="BU660" i="13"/>
  <c r="AX672" i="13"/>
  <c r="AI672" i="13"/>
  <c r="AK669" i="13"/>
  <c r="AP669" i="13"/>
  <c r="AQ669" i="13"/>
  <c r="AM669" i="13"/>
  <c r="AJ669" i="13"/>
  <c r="AJ657" i="13"/>
  <c r="AT657" i="13"/>
  <c r="AP657" i="13"/>
  <c r="AQ657" i="13"/>
  <c r="AL657" i="13"/>
  <c r="AO657" i="13"/>
  <c r="AV660" i="13"/>
  <c r="BR675" i="13"/>
  <c r="BU663" i="13"/>
  <c r="AT660" i="13"/>
  <c r="BU662" i="13"/>
  <c r="BD674" i="13"/>
  <c r="BF658" i="13"/>
  <c r="BO658" i="13"/>
  <c r="AU660" i="13"/>
  <c r="AR672" i="13"/>
  <c r="BP663" i="13"/>
  <c r="BO674" i="13"/>
  <c r="BM662" i="13"/>
  <c r="BH670" i="13"/>
  <c r="BU658" i="13"/>
  <c r="BT663" i="13"/>
  <c r="BN662" i="13"/>
  <c r="BD670" i="13"/>
  <c r="AV672" i="13"/>
  <c r="AU672" i="13"/>
  <c r="AT672" i="13"/>
  <c r="AO660" i="13"/>
  <c r="AK660" i="13"/>
  <c r="BU659" i="13"/>
  <c r="BT662" i="13"/>
  <c r="BS656" i="13"/>
  <c r="BR664" i="13"/>
  <c r="BP658" i="13"/>
  <c r="BO670" i="13"/>
  <c r="BM658" i="13"/>
  <c r="BL663" i="13"/>
  <c r="BK663" i="13"/>
  <c r="BG670" i="13"/>
  <c r="BF664" i="13"/>
  <c r="BE664" i="13"/>
  <c r="BD668" i="13"/>
  <c r="AM670" i="13"/>
  <c r="AL670" i="13"/>
  <c r="BU675" i="13"/>
  <c r="BQ675" i="13"/>
  <c r="AP672" i="13"/>
  <c r="AQ672" i="13"/>
  <c r="AM672" i="13"/>
  <c r="BS663" i="13"/>
  <c r="BH675" i="13"/>
  <c r="BD671" i="13"/>
  <c r="BN671" i="13"/>
  <c r="BV670" i="13"/>
  <c r="BU674" i="13"/>
  <c r="BR662" i="13"/>
  <c r="BQ674" i="13"/>
  <c r="BM675" i="13"/>
  <c r="BL658" i="13"/>
  <c r="BJ658" i="13"/>
  <c r="BI663" i="13"/>
  <c r="BF662" i="13"/>
  <c r="BE659" i="13"/>
  <c r="BK666" i="13"/>
  <c r="BS666" i="13"/>
  <c r="BA672" i="13"/>
  <c r="AO658" i="13"/>
  <c r="AK658" i="13"/>
  <c r="AN660" i="13"/>
  <c r="AJ660" i="13"/>
  <c r="AP660" i="13"/>
  <c r="AW660" i="13"/>
  <c r="AX660" i="13"/>
  <c r="BA660" i="13"/>
  <c r="BQ662" i="13"/>
  <c r="BS658" i="13"/>
  <c r="BU673" i="13"/>
  <c r="BT658" i="13"/>
  <c r="BS675" i="13"/>
  <c r="BQ673" i="13"/>
  <c r="BP675" i="13"/>
  <c r="BN658" i="13"/>
  <c r="BM674" i="13"/>
  <c r="BK658" i="13"/>
  <c r="BI662" i="13"/>
  <c r="BH663" i="13"/>
  <c r="BF659" i="13"/>
  <c r="BE658" i="13"/>
  <c r="BU665" i="13"/>
  <c r="BK665" i="13"/>
  <c r="AZ672" i="13"/>
  <c r="AZ660" i="13"/>
  <c r="AJ674" i="13"/>
  <c r="AN674" i="13"/>
  <c r="AT674" i="13"/>
  <c r="AX674" i="13"/>
  <c r="AI674" i="13"/>
  <c r="AI662" i="13"/>
  <c r="AK662" i="13"/>
  <c r="AM662" i="13"/>
  <c r="AL662" i="13"/>
  <c r="AO662" i="13"/>
  <c r="AN662" i="13"/>
  <c r="AS662" i="13"/>
  <c r="AJ662" i="13"/>
  <c r="BT656" i="13"/>
  <c r="BS671" i="13"/>
  <c r="BR658" i="13"/>
  <c r="BQ670" i="13"/>
  <c r="BP674" i="13"/>
  <c r="BI658" i="13"/>
  <c r="BH662" i="13"/>
  <c r="AY660" i="13"/>
  <c r="AO672" i="13"/>
  <c r="AN673" i="13"/>
  <c r="AS673" i="13"/>
  <c r="AP673" i="13"/>
  <c r="AQ673" i="13"/>
  <c r="AU673" i="13"/>
  <c r="AW673" i="13"/>
  <c r="AK661" i="13"/>
  <c r="AL661" i="13"/>
  <c r="AO661" i="13"/>
  <c r="AN661" i="13"/>
  <c r="AJ661" i="13"/>
  <c r="AT661" i="13"/>
  <c r="AN668" i="13"/>
  <c r="AY656" i="13"/>
  <c r="AE667" i="13"/>
  <c r="BV655" i="13"/>
  <c r="BQ655" i="13"/>
  <c r="BF655" i="13"/>
  <c r="BT655" i="13"/>
  <c r="BD655" i="13"/>
  <c r="BS655" i="13"/>
  <c r="BI655" i="13"/>
  <c r="BJ655" i="13"/>
  <c r="AK654" i="13"/>
  <c r="AR654" i="13"/>
  <c r="BG654" i="13"/>
  <c r="AZ654" i="13"/>
  <c r="BS653" i="13"/>
  <c r="BL653" i="13"/>
  <c r="BG653" i="13"/>
  <c r="BF653" i="13"/>
  <c r="AR653" i="13"/>
  <c r="BR653" i="13"/>
  <c r="AZ653" i="13"/>
  <c r="BU653" i="13"/>
  <c r="BN653" i="13"/>
  <c r="BI653" i="13"/>
  <c r="BE653" i="13"/>
  <c r="BH653" i="13"/>
  <c r="BS651" i="13"/>
  <c r="BO651" i="13"/>
  <c r="BL651" i="13"/>
  <c r="BU651" i="13"/>
  <c r="BR651" i="13"/>
  <c r="BT651" i="13"/>
  <c r="BT650" i="13"/>
  <c r="BI650" i="13"/>
  <c r="BU650" i="13"/>
  <c r="BH650" i="13"/>
  <c r="BE650" i="13"/>
  <c r="BO650" i="13"/>
  <c r="AQ649" i="13"/>
  <c r="AM647" i="13"/>
  <c r="BU646" i="13"/>
  <c r="BS646" i="13"/>
  <c r="BP646" i="13"/>
  <c r="AS646" i="13"/>
  <c r="BI646" i="13"/>
  <c r="BT646" i="13"/>
  <c r="BN644" i="13"/>
  <c r="AQ644" i="13"/>
  <c r="AU644" i="13"/>
  <c r="AR644" i="13"/>
  <c r="AP644" i="13"/>
  <c r="AY644" i="13"/>
  <c r="BQ643" i="13"/>
  <c r="BT643" i="13"/>
  <c r="BL643" i="13"/>
  <c r="BE643" i="13"/>
  <c r="AV642" i="13"/>
  <c r="BR642" i="13"/>
  <c r="AN642" i="13"/>
  <c r="BL641" i="13"/>
  <c r="BF641" i="13"/>
  <c r="BN641" i="13"/>
  <c r="BR641" i="13"/>
  <c r="AN641" i="13"/>
  <c r="BI641" i="13"/>
  <c r="BH641" i="13"/>
  <c r="BU641" i="13"/>
  <c r="BM641" i="13"/>
  <c r="BO641" i="13"/>
  <c r="BT641" i="13"/>
  <c r="BK641" i="13"/>
  <c r="BG641" i="13"/>
  <c r="BS641" i="13"/>
  <c r="AZ640" i="13"/>
  <c r="BH639" i="13"/>
  <c r="BG639" i="13"/>
  <c r="BL638" i="13"/>
  <c r="BH638" i="13"/>
  <c r="BI638" i="13"/>
  <c r="BR638" i="13"/>
  <c r="AO637" i="13"/>
  <c r="AR637" i="13"/>
  <c r="BM636" i="13"/>
  <c r="BG635" i="13"/>
  <c r="BV635" i="13"/>
  <c r="BK635" i="13"/>
  <c r="BD635" i="13"/>
  <c r="BQ635" i="13"/>
  <c r="AN635" i="13"/>
  <c r="BT635" i="13"/>
  <c r="BU635" i="13"/>
  <c r="AW634" i="13"/>
  <c r="AM634" i="13"/>
  <c r="AR634" i="13"/>
  <c r="AU633" i="13"/>
  <c r="AX633" i="13"/>
  <c r="AP633" i="13"/>
  <c r="AK633" i="13"/>
  <c r="AZ633" i="13"/>
  <c r="BI632" i="13"/>
  <c r="BP632" i="13"/>
  <c r="BD632" i="13"/>
  <c r="BR632" i="13"/>
  <c r="BH632" i="13"/>
  <c r="BF632" i="13"/>
  <c r="BN632" i="13"/>
  <c r="AU631" i="13"/>
  <c r="AL631" i="13"/>
  <c r="AR630" i="13"/>
  <c r="AW629" i="13"/>
  <c r="AS629" i="13"/>
  <c r="AO629" i="13"/>
  <c r="AY629" i="13"/>
  <c r="AJ629" i="13"/>
  <c r="AN629" i="13"/>
  <c r="AJ627" i="13"/>
  <c r="BK627" i="13"/>
  <c r="BI627" i="13"/>
  <c r="BH627" i="13"/>
  <c r="BI625" i="13"/>
  <c r="AL625" i="13"/>
  <c r="AW625" i="13"/>
  <c r="BD622" i="13"/>
  <c r="BU622" i="13"/>
  <c r="BR622" i="13"/>
  <c r="BJ626" i="13"/>
  <c r="BH630" i="13"/>
  <c r="BM630" i="13"/>
  <c r="BO582" i="13"/>
  <c r="BL582" i="13"/>
  <c r="BD614" i="13"/>
  <c r="BS614" i="13"/>
  <c r="BH657" i="13"/>
  <c r="BT657" i="13"/>
  <c r="BL657" i="13"/>
  <c r="BU657" i="13"/>
  <c r="BJ657" i="13"/>
  <c r="BA574" i="13"/>
  <c r="AL626" i="13"/>
  <c r="AW626" i="13"/>
  <c r="AI626" i="13"/>
  <c r="AU626" i="13"/>
  <c r="AK578" i="13"/>
  <c r="AY578" i="13"/>
  <c r="BJ649" i="13"/>
  <c r="BI649" i="13"/>
  <c r="BV649" i="13"/>
  <c r="BH649" i="13"/>
  <c r="BQ637" i="13"/>
  <c r="BP637" i="13"/>
  <c r="BV637" i="13"/>
  <c r="BJ637" i="13"/>
  <c r="BS637" i="13"/>
  <c r="BQ657" i="13"/>
  <c r="BK656" i="13"/>
  <c r="BI657" i="13"/>
  <c r="BH668" i="13"/>
  <c r="BD656" i="13"/>
  <c r="BL673" i="13"/>
  <c r="BD673" i="13"/>
  <c r="BN673" i="13"/>
  <c r="BS673" i="13"/>
  <c r="BK673" i="13"/>
  <c r="BT673" i="13"/>
  <c r="BL661" i="13"/>
  <c r="BD661" i="13"/>
  <c r="BV661" i="13"/>
  <c r="BF661" i="13"/>
  <c r="BI661" i="13"/>
  <c r="T661" i="13"/>
  <c r="V661" i="13" s="1"/>
  <c r="U666" i="13"/>
  <c r="T666" i="13"/>
  <c r="V666" i="13" s="1"/>
  <c r="BO601" i="13"/>
  <c r="BF630" i="13"/>
  <c r="BJ581" i="13"/>
  <c r="BL581" i="13"/>
  <c r="BR581" i="13"/>
  <c r="BA572" i="13"/>
  <c r="AZ596" i="13"/>
  <c r="AY584" i="13"/>
  <c r="AW622" i="13"/>
  <c r="AQ626" i="13"/>
  <c r="AM626" i="13"/>
  <c r="Z597" i="13"/>
  <c r="AB597" i="13" s="1"/>
  <c r="AE597" i="13" s="1"/>
  <c r="AA597" i="13"/>
  <c r="Z585" i="13"/>
  <c r="AB585" i="13" s="1"/>
  <c r="AA585" i="13"/>
  <c r="BQ649" i="13"/>
  <c r="BO654" i="13"/>
  <c r="BO634" i="13"/>
  <c r="BM649" i="13"/>
  <c r="BJ642" i="13"/>
  <c r="BI631" i="13"/>
  <c r="BD642" i="13"/>
  <c r="AY650" i="13"/>
  <c r="AV649" i="13"/>
  <c r="AI654" i="13"/>
  <c r="AN654" i="13"/>
  <c r="AY654" i="13"/>
  <c r="BA654" i="13"/>
  <c r="AL654" i="13"/>
  <c r="AM654" i="13"/>
  <c r="AT654" i="13"/>
  <c r="AW642" i="13"/>
  <c r="AQ642" i="13"/>
  <c r="AI642" i="13"/>
  <c r="AO642" i="13"/>
  <c r="AZ642" i="13"/>
  <c r="AI631" i="13"/>
  <c r="AN631" i="13"/>
  <c r="BA631" i="13"/>
  <c r="AS631" i="13"/>
  <c r="AM631" i="13"/>
  <c r="AZ631" i="13"/>
  <c r="AK631" i="13"/>
  <c r="AO631" i="13"/>
  <c r="Z642" i="13"/>
  <c r="AB642" i="13" s="1"/>
  <c r="T648" i="13"/>
  <c r="V648" i="13" s="1"/>
  <c r="BT668" i="13"/>
  <c r="BS661" i="13"/>
  <c r="BQ656" i="13"/>
  <c r="BM657" i="13"/>
  <c r="BL656" i="13"/>
  <c r="BJ669" i="13"/>
  <c r="T660" i="13"/>
  <c r="V660" i="13" s="1"/>
  <c r="BM571" i="13"/>
  <c r="BK571" i="13"/>
  <c r="BE571" i="13"/>
  <c r="BT571" i="13"/>
  <c r="BM559" i="13"/>
  <c r="BP559" i="13"/>
  <c r="BS613" i="13"/>
  <c r="BQ626" i="13"/>
  <c r="BL601" i="13"/>
  <c r="BF629" i="13"/>
  <c r="BS628" i="13"/>
  <c r="BO628" i="13"/>
  <c r="AU584" i="13"/>
  <c r="AS602" i="13"/>
  <c r="AO584" i="13"/>
  <c r="AJ626" i="13"/>
  <c r="AP624" i="13"/>
  <c r="AZ624" i="13"/>
  <c r="AP588" i="13"/>
  <c r="AV588" i="13"/>
  <c r="BU649" i="13"/>
  <c r="BO631" i="13"/>
  <c r="BL631" i="13"/>
  <c r="BD637" i="13"/>
  <c r="BR647" i="13"/>
  <c r="BH647" i="13"/>
  <c r="AT637" i="13"/>
  <c r="AR650" i="13"/>
  <c r="AP631" i="13"/>
  <c r="AN638" i="13"/>
  <c r="AL642" i="13"/>
  <c r="AY653" i="13"/>
  <c r="AU653" i="13"/>
  <c r="AV653" i="13"/>
  <c r="AR641" i="13"/>
  <c r="AV641" i="13"/>
  <c r="AT641" i="13"/>
  <c r="AU641" i="13"/>
  <c r="BV657" i="13"/>
  <c r="BU661" i="13"/>
  <c r="BQ669" i="13"/>
  <c r="BP661" i="13"/>
  <c r="BO673" i="13"/>
  <c r="BK669" i="13"/>
  <c r="BJ668" i="13"/>
  <c r="BI673" i="13"/>
  <c r="BE657" i="13"/>
  <c r="BJ671" i="13"/>
  <c r="BV671" i="13"/>
  <c r="BP671" i="13"/>
  <c r="BH671" i="13"/>
  <c r="BF671" i="13"/>
  <c r="BO671" i="13"/>
  <c r="BQ671" i="13"/>
  <c r="BJ659" i="13"/>
  <c r="BV659" i="13"/>
  <c r="BD659" i="13"/>
  <c r="BI659" i="13"/>
  <c r="BN659" i="13"/>
  <c r="BS659" i="13"/>
  <c r="BP659" i="13"/>
  <c r="BK659" i="13"/>
  <c r="BO659" i="13"/>
  <c r="T659" i="13"/>
  <c r="V659" i="13" s="1"/>
  <c r="BU588" i="13"/>
  <c r="BQ605" i="13"/>
  <c r="BN630" i="13"/>
  <c r="AZ628" i="13"/>
  <c r="AZ584" i="13"/>
  <c r="AX624" i="13"/>
  <c r="AU580" i="13"/>
  <c r="AO578" i="13"/>
  <c r="BF646" i="13"/>
  <c r="BG646" i="13"/>
  <c r="BN646" i="13"/>
  <c r="BE646" i="13"/>
  <c r="BK646" i="13"/>
  <c r="BF635" i="13"/>
  <c r="BS635" i="13"/>
  <c r="BJ635" i="13"/>
  <c r="BH635" i="13"/>
  <c r="BI635" i="13"/>
  <c r="BM635" i="13"/>
  <c r="BP635" i="13"/>
  <c r="AS654" i="13"/>
  <c r="AO654" i="13"/>
  <c r="AJ654" i="13"/>
  <c r="AA654" i="13"/>
  <c r="Z635" i="13"/>
  <c r="AB635" i="13" s="1"/>
  <c r="AE635" i="13" s="1"/>
  <c r="BV673" i="13"/>
  <c r="BR661" i="13"/>
  <c r="BQ668" i="13"/>
  <c r="BO657" i="13"/>
  <c r="BI671" i="13"/>
  <c r="BG661" i="13"/>
  <c r="BF669" i="13"/>
  <c r="BD669" i="13"/>
  <c r="Z660" i="13"/>
  <c r="AB660" i="13" s="1"/>
  <c r="AA660" i="13"/>
  <c r="AD660" i="13" s="1"/>
  <c r="BP590" i="13"/>
  <c r="BJ590" i="13"/>
  <c r="BG590" i="13"/>
  <c r="T662" i="13"/>
  <c r="V662" i="13" s="1"/>
  <c r="U662" i="13"/>
  <c r="BI589" i="13"/>
  <c r="BU589" i="13"/>
  <c r="AR626" i="13"/>
  <c r="BN649" i="13"/>
  <c r="BM668" i="13"/>
  <c r="BE668" i="13"/>
  <c r="BF668" i="13"/>
  <c r="BG668" i="13"/>
  <c r="BR668" i="13"/>
  <c r="BN668" i="13"/>
  <c r="BS668" i="13"/>
  <c r="BM656" i="13"/>
  <c r="BE656" i="13"/>
  <c r="BU656" i="13"/>
  <c r="BG656" i="13"/>
  <c r="BR656" i="13"/>
  <c r="BF656" i="13"/>
  <c r="BV656" i="13"/>
  <c r="AI560" i="13"/>
  <c r="T633" i="13"/>
  <c r="V633" i="13" s="1"/>
  <c r="BH669" i="13"/>
  <c r="BT669" i="13"/>
  <c r="BL669" i="13"/>
  <c r="BE669" i="13"/>
  <c r="BG669" i="13"/>
  <c r="BU669" i="13"/>
  <c r="BM669" i="13"/>
  <c r="BR669" i="13"/>
  <c r="BI669" i="13"/>
  <c r="BV669" i="13"/>
  <c r="BV630" i="13"/>
  <c r="BT630" i="13"/>
  <c r="BQ625" i="13"/>
  <c r="BG625" i="13"/>
  <c r="BF625" i="13"/>
  <c r="BK625" i="13"/>
  <c r="BO625" i="13"/>
  <c r="BD601" i="13"/>
  <c r="BN601" i="13"/>
  <c r="BI601" i="13"/>
  <c r="BM601" i="13"/>
  <c r="AZ626" i="13"/>
  <c r="BO649" i="13"/>
  <c r="BM637" i="13"/>
  <c r="AO638" i="13"/>
  <c r="AL638" i="13"/>
  <c r="AT638" i="13"/>
  <c r="BP657" i="13"/>
  <c r="AK570" i="13"/>
  <c r="AL570" i="13"/>
  <c r="BV625" i="13"/>
  <c r="BP630" i="13"/>
  <c r="BI578" i="13"/>
  <c r="BE630" i="13"/>
  <c r="AY626" i="13"/>
  <c r="AN626" i="13"/>
  <c r="AQ608" i="13"/>
  <c r="AS608" i="13"/>
  <c r="AM596" i="13"/>
  <c r="AK596" i="13"/>
  <c r="AI584" i="13"/>
  <c r="AP584" i="13"/>
  <c r="AX584" i="13"/>
  <c r="BA584" i="13"/>
  <c r="AL584" i="13"/>
  <c r="AQ584" i="13"/>
  <c r="AV572" i="13"/>
  <c r="AS572" i="13"/>
  <c r="AW572" i="13"/>
  <c r="U625" i="13"/>
  <c r="U577" i="13"/>
  <c r="AD577" i="13" s="1"/>
  <c r="T590" i="13"/>
  <c r="V590" i="13" s="1"/>
  <c r="BG637" i="13"/>
  <c r="BE649" i="13"/>
  <c r="AL649" i="13"/>
  <c r="AW649" i="13"/>
  <c r="AX649" i="13"/>
  <c r="AI649" i="13"/>
  <c r="AP649" i="13"/>
  <c r="AR649" i="13"/>
  <c r="AS649" i="13"/>
  <c r="BA649" i="13"/>
  <c r="AL637" i="13"/>
  <c r="AU637" i="13"/>
  <c r="AK637" i="13"/>
  <c r="AN637" i="13"/>
  <c r="AW637" i="13"/>
  <c r="BA637" i="13"/>
  <c r="AP637" i="13"/>
  <c r="AX637" i="13"/>
  <c r="BV668" i="13"/>
  <c r="BP656" i="13"/>
  <c r="BO668" i="13"/>
  <c r="BJ661" i="13"/>
  <c r="BH661" i="13"/>
  <c r="BG673" i="13"/>
  <c r="AI664" i="13"/>
  <c r="AL664" i="13"/>
  <c r="AN664" i="13"/>
  <c r="AW664" i="13"/>
  <c r="AK664" i="13"/>
  <c r="AT664" i="13"/>
  <c r="AM664" i="13"/>
  <c r="AV664" i="13"/>
  <c r="AX664" i="13"/>
  <c r="AY664" i="13"/>
  <c r="U674" i="13"/>
  <c r="T673" i="13"/>
  <c r="V673" i="13" s="1"/>
  <c r="U672" i="13"/>
  <c r="T672" i="13"/>
  <c r="V672" i="13" s="1"/>
  <c r="U563" i="13"/>
  <c r="T563" i="13"/>
  <c r="V563" i="13" s="1"/>
  <c r="BN590" i="13"/>
  <c r="AT602" i="13"/>
  <c r="AR608" i="13"/>
  <c r="AP608" i="13"/>
  <c r="AN608" i="13"/>
  <c r="AI608" i="13"/>
  <c r="T589" i="13"/>
  <c r="V589" i="13" s="1"/>
  <c r="BU637" i="13"/>
  <c r="BO645" i="13"/>
  <c r="BK637" i="13"/>
  <c r="BF654" i="13"/>
  <c r="BV654" i="13"/>
  <c r="BD654" i="13"/>
  <c r="BS654" i="13"/>
  <c r="BM642" i="13"/>
  <c r="BO642" i="13"/>
  <c r="BU642" i="13"/>
  <c r="BG631" i="13"/>
  <c r="BM631" i="13"/>
  <c r="BV631" i="13"/>
  <c r="AP650" i="13"/>
  <c r="AJ637" i="13"/>
  <c r="U644" i="13"/>
  <c r="U641" i="13"/>
  <c r="T641" i="13"/>
  <c r="V641" i="13" s="1"/>
  <c r="BS669" i="13"/>
  <c r="BR673" i="13"/>
  <c r="BR657" i="13"/>
  <c r="BP669" i="13"/>
  <c r="BG657" i="13"/>
  <c r="BA664" i="13"/>
  <c r="AU664" i="13"/>
  <c r="AO664" i="13"/>
  <c r="BT625" i="13"/>
  <c r="BR626" i="13"/>
  <c r="BP625" i="13"/>
  <c r="BK623" i="13"/>
  <c r="BH625" i="13"/>
  <c r="BE625" i="13"/>
  <c r="AY608" i="13"/>
  <c r="AX578" i="13"/>
  <c r="AM606" i="13"/>
  <c r="AP606" i="13"/>
  <c r="AJ606" i="13"/>
  <c r="AW582" i="13"/>
  <c r="AZ582" i="13"/>
  <c r="AU582" i="13"/>
  <c r="Z622" i="13"/>
  <c r="AB622" i="13" s="1"/>
  <c r="U613" i="13"/>
  <c r="BP654" i="13"/>
  <c r="BI642" i="13"/>
  <c r="BE637" i="13"/>
  <c r="AY637" i="13"/>
  <c r="AS642" i="13"/>
  <c r="AM642" i="13"/>
  <c r="AK649" i="13"/>
  <c r="AJ631" i="13"/>
  <c r="T652" i="13"/>
  <c r="V652" i="13" s="1"/>
  <c r="U652" i="13"/>
  <c r="BT661" i="13"/>
  <c r="BP668" i="13"/>
  <c r="BN657" i="13"/>
  <c r="BK661" i="13"/>
  <c r="BI571" i="13"/>
  <c r="U569" i="13"/>
  <c r="BV589" i="13"/>
  <c r="BP601" i="13"/>
  <c r="BM625" i="13"/>
  <c r="BK601" i="13"/>
  <c r="BD625" i="13"/>
  <c r="BA586" i="13"/>
  <c r="AZ608" i="13"/>
  <c r="AW584" i="13"/>
  <c r="AU608" i="13"/>
  <c r="AT584" i="13"/>
  <c r="AR600" i="13"/>
  <c r="AP578" i="13"/>
  <c r="AN600" i="13"/>
  <c r="AK626" i="13"/>
  <c r="Z603" i="13"/>
  <c r="AB603" i="13" s="1"/>
  <c r="BP649" i="13"/>
  <c r="BN637" i="13"/>
  <c r="BH637" i="13"/>
  <c r="BA650" i="13"/>
  <c r="AZ637" i="13"/>
  <c r="AY631" i="13"/>
  <c r="AV631" i="13"/>
  <c r="AT650" i="13"/>
  <c r="AS641" i="13"/>
  <c r="AN653" i="13"/>
  <c r="AM638" i="13"/>
  <c r="AI637" i="13"/>
  <c r="AL646" i="13"/>
  <c r="AX646" i="13"/>
  <c r="AL635" i="13"/>
  <c r="AV635" i="13"/>
  <c r="BU668" i="13"/>
  <c r="BQ661" i="13"/>
  <c r="BN656" i="13"/>
  <c r="BM661" i="13"/>
  <c r="BJ656" i="13"/>
  <c r="BH673" i="13"/>
  <c r="BH656" i="13"/>
  <c r="AS664" i="13"/>
  <c r="AJ664" i="13"/>
  <c r="AE668" i="13"/>
  <c r="BH571" i="13"/>
  <c r="BU630" i="13"/>
  <c r="BT601" i="13"/>
  <c r="BR601" i="13"/>
  <c r="BO630" i="13"/>
  <c r="BL630" i="13"/>
  <c r="AX572" i="13"/>
  <c r="AV630" i="13"/>
  <c r="AT578" i="13"/>
  <c r="AN574" i="13"/>
  <c r="AQ616" i="13"/>
  <c r="AN616" i="13"/>
  <c r="AS616" i="13"/>
  <c r="AN604" i="13"/>
  <c r="AM604" i="13"/>
  <c r="AT604" i="13"/>
  <c r="U601" i="13"/>
  <c r="AD601" i="13" s="1"/>
  <c r="BU654" i="13"/>
  <c r="BJ648" i="13"/>
  <c r="BF647" i="13"/>
  <c r="AZ635" i="13"/>
  <c r="AX653" i="13"/>
  <c r="AU654" i="13"/>
  <c r="AT649" i="13"/>
  <c r="AS638" i="13"/>
  <c r="AR631" i="13"/>
  <c r="AN650" i="13"/>
  <c r="AM637" i="13"/>
  <c r="AK642" i="13"/>
  <c r="AA649" i="13"/>
  <c r="Z649" i="13"/>
  <c r="AB649" i="13" s="1"/>
  <c r="BT659" i="13"/>
  <c r="BQ659" i="13"/>
  <c r="BJ673" i="13"/>
  <c r="BF657" i="13"/>
  <c r="BN675" i="13"/>
  <c r="BF675" i="13"/>
  <c r="BD675" i="13"/>
  <c r="BO675" i="13"/>
  <c r="BI675" i="13"/>
  <c r="BV675" i="13"/>
  <c r="BN663" i="13"/>
  <c r="BF663" i="13"/>
  <c r="BD663" i="13"/>
  <c r="BO663" i="13"/>
  <c r="BQ663" i="13"/>
  <c r="BJ663" i="13"/>
  <c r="BE663" i="13"/>
  <c r="BM663" i="13"/>
  <c r="BR663" i="13"/>
  <c r="AP664" i="13"/>
  <c r="BG559" i="13"/>
  <c r="BU626" i="13"/>
  <c r="BT581" i="13"/>
  <c r="BO626" i="13"/>
  <c r="BK589" i="13"/>
  <c r="AZ600" i="13"/>
  <c r="AY602" i="13"/>
  <c r="AU600" i="13"/>
  <c r="AT575" i="13"/>
  <c r="AR572" i="13"/>
  <c r="AN572" i="13"/>
  <c r="AK604" i="13"/>
  <c r="AO627" i="13"/>
  <c r="AL627" i="13"/>
  <c r="AI615" i="13"/>
  <c r="AO615" i="13"/>
  <c r="AM591" i="13"/>
  <c r="AY591" i="13"/>
  <c r="AZ591" i="13"/>
  <c r="BA579" i="13"/>
  <c r="AW579" i="13"/>
  <c r="Z611" i="13"/>
  <c r="AB611" i="13" s="1"/>
  <c r="AA611" i="13"/>
  <c r="AD611" i="13" s="1"/>
  <c r="Z575" i="13"/>
  <c r="AB575" i="13" s="1"/>
  <c r="AA575" i="13"/>
  <c r="AD575" i="13" s="1"/>
  <c r="T614" i="13"/>
  <c r="V614" i="13" s="1"/>
  <c r="BO637" i="13"/>
  <c r="BL642" i="13"/>
  <c r="BJ646" i="13"/>
  <c r="BI637" i="13"/>
  <c r="BD649" i="13"/>
  <c r="BF650" i="13"/>
  <c r="BQ650" i="13"/>
  <c r="BT638" i="13"/>
  <c r="BN638" i="13"/>
  <c r="BO638" i="13"/>
  <c r="BF638" i="13"/>
  <c r="BA646" i="13"/>
  <c r="AW631" i="13"/>
  <c r="AU652" i="13"/>
  <c r="AQ654" i="13"/>
  <c r="AP642" i="13"/>
  <c r="AN649" i="13"/>
  <c r="AN644" i="13"/>
  <c r="AS644" i="13"/>
  <c r="AO644" i="13"/>
  <c r="AT633" i="13"/>
  <c r="AR633" i="13"/>
  <c r="BA633" i="13"/>
  <c r="AA631" i="13"/>
  <c r="T637" i="13"/>
  <c r="V637" i="13" s="1"/>
  <c r="U637" i="13"/>
  <c r="BV663" i="13"/>
  <c r="BT671" i="13"/>
  <c r="BN669" i="13"/>
  <c r="BM659" i="13"/>
  <c r="BL675" i="13"/>
  <c r="BL659" i="13"/>
  <c r="BK657" i="13"/>
  <c r="BE661" i="13"/>
  <c r="BD657" i="13"/>
  <c r="BG674" i="13"/>
  <c r="BS674" i="13"/>
  <c r="BK674" i="13"/>
  <c r="BH674" i="13"/>
  <c r="BI674" i="13"/>
  <c r="BV674" i="13"/>
  <c r="BG662" i="13"/>
  <c r="BS662" i="13"/>
  <c r="BK662" i="13"/>
  <c r="BJ662" i="13"/>
  <c r="BV662" i="13"/>
  <c r="BL662" i="13"/>
  <c r="U665" i="13"/>
  <c r="BE627" i="13"/>
  <c r="BD627" i="13"/>
  <c r="AY585" i="13"/>
  <c r="AR585" i="13"/>
  <c r="AY573" i="13"/>
  <c r="AU573" i="13"/>
  <c r="BO633" i="13"/>
  <c r="BF651" i="13"/>
  <c r="BJ651" i="13"/>
  <c r="Z636" i="13"/>
  <c r="AB636" i="13" s="1"/>
  <c r="AA636" i="13"/>
  <c r="AD636" i="13" s="1"/>
  <c r="BE672" i="13"/>
  <c r="BQ672" i="13"/>
  <c r="BI672" i="13"/>
  <c r="BE660" i="13"/>
  <c r="BQ660" i="13"/>
  <c r="BI660" i="13"/>
  <c r="BH660" i="13"/>
  <c r="AD587" i="13"/>
  <c r="BD665" i="13"/>
  <c r="BP665" i="13"/>
  <c r="BH665" i="13"/>
  <c r="BE665" i="13"/>
  <c r="BV579" i="13"/>
  <c r="BP615" i="13"/>
  <c r="BJ579" i="13"/>
  <c r="AR573" i="13"/>
  <c r="BK644" i="13"/>
  <c r="BJ632" i="13"/>
  <c r="BE632" i="13"/>
  <c r="BL632" i="13"/>
  <c r="BS672" i="13"/>
  <c r="BN672" i="13"/>
  <c r="BF660" i="13"/>
  <c r="BI664" i="13"/>
  <c r="BU664" i="13"/>
  <c r="AL668" i="13"/>
  <c r="AM668" i="13"/>
  <c r="AO668" i="13"/>
  <c r="BA668" i="13"/>
  <c r="AK668" i="13"/>
  <c r="AJ668" i="13"/>
  <c r="AU668" i="13"/>
  <c r="AL656" i="13"/>
  <c r="AI656" i="13"/>
  <c r="AM656" i="13"/>
  <c r="AO656" i="13"/>
  <c r="BA656" i="13"/>
  <c r="AK656" i="13"/>
  <c r="AQ656" i="13"/>
  <c r="AS656" i="13"/>
  <c r="AU656" i="13"/>
  <c r="BF667" i="13"/>
  <c r="BR667" i="13"/>
  <c r="BJ667" i="13"/>
  <c r="Z662" i="13"/>
  <c r="AB662" i="13" s="1"/>
  <c r="AA662" i="13"/>
  <c r="AJ666" i="13"/>
  <c r="AY666" i="13"/>
  <c r="AK671" i="13"/>
  <c r="AJ672" i="13"/>
  <c r="AS672" i="13"/>
  <c r="AI660" i="13"/>
  <c r="AS660" i="13"/>
  <c r="AJ659" i="13"/>
  <c r="AX659" i="13"/>
  <c r="AD606" i="13"/>
  <c r="BA666" i="13"/>
  <c r="AI671" i="13"/>
  <c r="AI670" i="13"/>
  <c r="AN670" i="13"/>
  <c r="AQ670" i="13"/>
  <c r="AI658" i="13"/>
  <c r="AN658" i="13"/>
  <c r="AQ658" i="13"/>
  <c r="AE658" i="13"/>
  <c r="AI657" i="13"/>
  <c r="AK657" i="13"/>
  <c r="AK673" i="13"/>
  <c r="AI673" i="13"/>
  <c r="AX652" i="13"/>
  <c r="AU635" i="13"/>
  <c r="AS635" i="13"/>
  <c r="AQ648" i="13"/>
  <c r="AM645" i="13"/>
  <c r="AL645" i="13"/>
  <c r="AK645" i="13"/>
  <c r="AJ648" i="13"/>
  <c r="AI647" i="13"/>
  <c r="Z648" i="13"/>
  <c r="AB648" i="13" s="1"/>
  <c r="T647" i="13"/>
  <c r="V647" i="13" s="1"/>
  <c r="AX622" i="13"/>
  <c r="AW624" i="13"/>
  <c r="AL624" i="13"/>
  <c r="T627" i="13"/>
  <c r="V627" i="13" s="1"/>
  <c r="BA645" i="13"/>
  <c r="AU648" i="13"/>
  <c r="AU634" i="13"/>
  <c r="AS651" i="13"/>
  <c r="AS634" i="13"/>
  <c r="AQ647" i="13"/>
  <c r="AN640" i="13"/>
  <c r="AM644" i="13"/>
  <c r="AL644" i="13"/>
  <c r="AK644" i="13"/>
  <c r="AJ647" i="13"/>
  <c r="AI645" i="13"/>
  <c r="U639" i="13"/>
  <c r="AX647" i="13"/>
  <c r="AW635" i="13"/>
  <c r="AU647" i="13"/>
  <c r="AS633" i="13"/>
  <c r="AQ646" i="13"/>
  <c r="AJ645" i="13"/>
  <c r="AI644" i="13"/>
  <c r="AA639" i="13"/>
  <c r="Z643" i="13"/>
  <c r="AB643" i="13" s="1"/>
  <c r="U638" i="13"/>
  <c r="T626" i="13"/>
  <c r="V626" i="13" s="1"/>
  <c r="BA627" i="13"/>
  <c r="AR628" i="13"/>
  <c r="AZ652" i="13"/>
  <c r="AT640" i="13"/>
  <c r="AV627" i="13"/>
  <c r="AR627" i="13"/>
  <c r="AM627" i="13"/>
  <c r="AW652" i="13"/>
  <c r="AO648" i="13"/>
  <c r="AN652" i="13"/>
  <c r="BA624" i="13"/>
  <c r="AY627" i="13"/>
  <c r="AU627" i="13"/>
  <c r="AQ627" i="13"/>
  <c r="BA640" i="13"/>
  <c r="AZ647" i="13"/>
  <c r="AO647" i="13"/>
  <c r="BA622" i="13"/>
  <c r="AV624" i="13"/>
  <c r="AR624" i="13"/>
  <c r="AN627" i="13"/>
  <c r="AM622" i="13"/>
  <c r="AK627" i="13"/>
  <c r="AZ646" i="13"/>
  <c r="AY635" i="13"/>
  <c r="AW647" i="13"/>
  <c r="AT652" i="13"/>
  <c r="AQ640" i="13"/>
  <c r="U651" i="13"/>
  <c r="AY625" i="13"/>
  <c r="AX628" i="13"/>
  <c r="AV622" i="13"/>
  <c r="AU624" i="13"/>
  <c r="AT627" i="13"/>
  <c r="AS627" i="13"/>
  <c r="AR622" i="13"/>
  <c r="AZ645" i="13"/>
  <c r="AY634" i="13"/>
  <c r="AW646" i="13"/>
  <c r="AT635" i="13"/>
  <c r="AN647" i="13"/>
  <c r="AA651" i="13"/>
  <c r="Z655" i="13"/>
  <c r="AB655" i="13" s="1"/>
  <c r="U650" i="13"/>
  <c r="T636" i="13"/>
  <c r="V636" i="13" s="1"/>
  <c r="AY624" i="13"/>
  <c r="AX627" i="13"/>
  <c r="AT626" i="13"/>
  <c r="AO626" i="13"/>
  <c r="BA652" i="13"/>
  <c r="AZ644" i="13"/>
  <c r="AY633" i="13"/>
  <c r="AX640" i="13"/>
  <c r="AW645" i="13"/>
  <c r="AT634" i="13"/>
  <c r="AR647" i="13"/>
  <c r="AN646" i="13"/>
  <c r="AJ633" i="13"/>
  <c r="U649" i="13"/>
  <c r="AR646" i="13"/>
  <c r="AN645" i="13"/>
  <c r="Z632" i="13"/>
  <c r="AB632" i="13" s="1"/>
  <c r="AJ634" i="13"/>
  <c r="AX626" i="13"/>
  <c r="AT624" i="13"/>
  <c r="AO625" i="13"/>
  <c r="BA635" i="13"/>
  <c r="AW644" i="13"/>
  <c r="AV647" i="13"/>
  <c r="AT647" i="13"/>
  <c r="AQ635" i="13"/>
  <c r="AP636" i="13"/>
  <c r="AX625" i="13"/>
  <c r="AW627" i="13"/>
  <c r="AO622" i="13"/>
  <c r="AA624" i="13"/>
  <c r="BA634" i="13"/>
  <c r="AY647" i="13"/>
  <c r="AX654" i="13"/>
  <c r="AV646" i="13"/>
  <c r="AU636" i="13"/>
  <c r="AT646" i="13"/>
  <c r="AT631" i="13"/>
  <c r="AS637" i="13"/>
  <c r="AM649" i="13"/>
  <c r="AL650" i="13"/>
  <c r="AJ650" i="13"/>
  <c r="AS650" i="13"/>
  <c r="AP643" i="13"/>
  <c r="AO651" i="13"/>
  <c r="AO636" i="13"/>
  <c r="AM648" i="13"/>
  <c r="AM632" i="13"/>
  <c r="AL636" i="13"/>
  <c r="AK632" i="13"/>
  <c r="AJ638" i="13"/>
  <c r="BD629" i="13"/>
  <c r="AN628" i="13"/>
  <c r="AM628" i="13"/>
  <c r="AI623" i="13"/>
  <c r="BV636" i="13"/>
  <c r="BU648" i="13"/>
  <c r="BP636" i="13"/>
  <c r="BO648" i="13"/>
  <c r="BO636" i="13"/>
  <c r="BM640" i="13"/>
  <c r="BK640" i="13"/>
  <c r="BJ647" i="13"/>
  <c r="BH652" i="13"/>
  <c r="BF652" i="13"/>
  <c r="BD640" i="13"/>
  <c r="AZ655" i="13"/>
  <c r="AZ643" i="13"/>
  <c r="AZ632" i="13"/>
  <c r="AY632" i="13"/>
  <c r="AY628" i="13"/>
  <c r="AU623" i="13"/>
  <c r="AO628" i="13"/>
  <c r="AL622" i="13"/>
  <c r="AI622" i="13"/>
  <c r="BV652" i="13"/>
  <c r="BU647" i="13"/>
  <c r="BU632" i="13"/>
  <c r="BT640" i="13"/>
  <c r="BS649" i="13"/>
  <c r="BS631" i="13"/>
  <c r="BR640" i="13"/>
  <c r="BQ647" i="13"/>
  <c r="BP652" i="13"/>
  <c r="BO647" i="13"/>
  <c r="BN647" i="13"/>
  <c r="BM655" i="13"/>
  <c r="BM639" i="13"/>
  <c r="BL648" i="13"/>
  <c r="BK655" i="13"/>
  <c r="BI654" i="13"/>
  <c r="BI640" i="13"/>
  <c r="BH651" i="13"/>
  <c r="BF631" i="13"/>
  <c r="BD639" i="13"/>
  <c r="AY643" i="13"/>
  <c r="AT648" i="13"/>
  <c r="AT636" i="13"/>
  <c r="AS636" i="13"/>
  <c r="AR648" i="13"/>
  <c r="AO650" i="13"/>
  <c r="AN648" i="13"/>
  <c r="AN636" i="13"/>
  <c r="AW623" i="13"/>
  <c r="AU622" i="13"/>
  <c r="AT628" i="13"/>
  <c r="AJ628" i="13"/>
  <c r="BV651" i="13"/>
  <c r="BU631" i="13"/>
  <c r="BT639" i="13"/>
  <c r="BS648" i="13"/>
  <c r="BR639" i="13"/>
  <c r="BP651" i="13"/>
  <c r="BM654" i="13"/>
  <c r="BL647" i="13"/>
  <c r="BI639" i="13"/>
  <c r="BG640" i="13"/>
  <c r="BF648" i="13"/>
  <c r="BA651" i="13"/>
  <c r="BA639" i="13"/>
  <c r="AY655" i="13"/>
  <c r="AX655" i="13"/>
  <c r="AX643" i="13"/>
  <c r="AX632" i="13"/>
  <c r="AW632" i="13"/>
  <c r="AV632" i="13"/>
  <c r="AS648" i="13"/>
  <c r="AQ632" i="13"/>
  <c r="AP638" i="13"/>
  <c r="AL655" i="13"/>
  <c r="AJ655" i="13"/>
  <c r="AJ636" i="13"/>
  <c r="AN623" i="13"/>
  <c r="AK643" i="13"/>
  <c r="BI652" i="13"/>
  <c r="BD636" i="13"/>
  <c r="BV648" i="13"/>
  <c r="BR636" i="13"/>
  <c r="BP648" i="13"/>
  <c r="BM652" i="13"/>
  <c r="BJ640" i="13"/>
  <c r="BE652" i="13"/>
  <c r="AZ651" i="13"/>
  <c r="AZ639" i="13"/>
  <c r="AY639" i="13"/>
  <c r="AW655" i="13"/>
  <c r="AV655" i="13"/>
  <c r="AU655" i="13"/>
  <c r="AU643" i="13"/>
  <c r="AU632" i="13"/>
  <c r="AR632" i="13"/>
  <c r="AQ643" i="13"/>
  <c r="AP655" i="13"/>
  <c r="AO632" i="13"/>
  <c r="AM643" i="13"/>
  <c r="AL632" i="13"/>
  <c r="AI639" i="13"/>
  <c r="BP626" i="13"/>
  <c r="BA628" i="13"/>
  <c r="AV628" i="13"/>
  <c r="AS628" i="13"/>
  <c r="AP626" i="13"/>
  <c r="AJ623" i="13"/>
  <c r="AD622" i="13"/>
  <c r="BV647" i="13"/>
  <c r="BU655" i="13"/>
  <c r="BT652" i="13"/>
  <c r="BS642" i="13"/>
  <c r="BR652" i="13"/>
  <c r="BQ640" i="13"/>
  <c r="BP647" i="13"/>
  <c r="BO655" i="13"/>
  <c r="BO643" i="13"/>
  <c r="BO632" i="13"/>
  <c r="BM651" i="13"/>
  <c r="BM632" i="13"/>
  <c r="BK649" i="13"/>
  <c r="BK632" i="13"/>
  <c r="BJ639" i="13"/>
  <c r="BI636" i="13"/>
  <c r="BG636" i="13"/>
  <c r="BF642" i="13"/>
  <c r="BD652" i="13"/>
  <c r="BA648" i="13"/>
  <c r="BA636" i="13"/>
  <c r="AZ650" i="13"/>
  <c r="AZ638" i="13"/>
  <c r="AY651" i="13"/>
  <c r="AY638" i="13"/>
  <c r="AL648" i="13"/>
  <c r="AK638" i="13"/>
  <c r="AI638" i="13"/>
  <c r="AW643" i="13"/>
  <c r="AV643" i="13"/>
  <c r="AK628" i="13"/>
  <c r="AX651" i="13"/>
  <c r="AX639" i="13"/>
  <c r="AV639" i="13"/>
  <c r="AT655" i="13"/>
  <c r="AT643" i="13"/>
  <c r="AT632" i="13"/>
  <c r="AS632" i="13"/>
  <c r="AQ655" i="13"/>
  <c r="AN643" i="13"/>
  <c r="AN632" i="13"/>
  <c r="BV629" i="13"/>
  <c r="BS626" i="13"/>
  <c r="BP623" i="13"/>
  <c r="AZ625" i="13"/>
  <c r="AY622" i="13"/>
  <c r="AT622" i="13"/>
  <c r="AS626" i="13"/>
  <c r="AQ628" i="13"/>
  <c r="BV643" i="13"/>
  <c r="BU639" i="13"/>
  <c r="BT632" i="13"/>
  <c r="BS640" i="13"/>
  <c r="BR631" i="13"/>
  <c r="BP643" i="13"/>
  <c r="BN655" i="13"/>
  <c r="BN639" i="13"/>
  <c r="BM648" i="13"/>
  <c r="BL655" i="13"/>
  <c r="BL639" i="13"/>
  <c r="BJ654" i="13"/>
  <c r="BJ636" i="13"/>
  <c r="BI648" i="13"/>
  <c r="BG651" i="13"/>
  <c r="BG632" i="13"/>
  <c r="BF640" i="13"/>
  <c r="BE647" i="13"/>
  <c r="BD648" i="13"/>
  <c r="BD631" i="13"/>
  <c r="AZ648" i="13"/>
  <c r="AZ636" i="13"/>
  <c r="AY636" i="13"/>
  <c r="AX650" i="13"/>
  <c r="AX638" i="13"/>
  <c r="AW651" i="13"/>
  <c r="AW638" i="13"/>
  <c r="AV651" i="13"/>
  <c r="AV638" i="13"/>
  <c r="AS643" i="13"/>
  <c r="AQ638" i="13"/>
  <c r="AO643" i="13"/>
  <c r="AK636" i="13"/>
  <c r="AM623" i="13"/>
  <c r="BK652" i="13"/>
  <c r="AY623" i="13"/>
  <c r="AT623" i="13"/>
  <c r="BU640" i="13"/>
  <c r="BN640" i="13"/>
  <c r="BL640" i="13"/>
  <c r="BK647" i="13"/>
  <c r="BG652" i="13"/>
  <c r="AW639" i="13"/>
  <c r="AR643" i="13"/>
  <c r="AN655" i="13"/>
  <c r="AK655" i="13"/>
  <c r="AJ632" i="13"/>
  <c r="BV626" i="13"/>
  <c r="BS623" i="13"/>
  <c r="BJ629" i="13"/>
  <c r="BA625" i="13"/>
  <c r="AV625" i="13"/>
  <c r="AS622" i="13"/>
  <c r="AR623" i="13"/>
  <c r="BV642" i="13"/>
  <c r="BU652" i="13"/>
  <c r="BT649" i="13"/>
  <c r="BS639" i="13"/>
  <c r="BR648" i="13"/>
  <c r="BP642" i="13"/>
  <c r="BO652" i="13"/>
  <c r="BO640" i="13"/>
  <c r="BL654" i="13"/>
  <c r="BJ652" i="13"/>
  <c r="BI647" i="13"/>
  <c r="BH640" i="13"/>
  <c r="BG649" i="13"/>
  <c r="BF639" i="13"/>
  <c r="BD647" i="13"/>
  <c r="AY648" i="13"/>
  <c r="AW650" i="13"/>
  <c r="AV650" i="13"/>
  <c r="AU651" i="13"/>
  <c r="AU639" i="13"/>
  <c r="AS655" i="13"/>
  <c r="AR655" i="13"/>
  <c r="AP648" i="13"/>
  <c r="AP632" i="13"/>
  <c r="AM655" i="13"/>
  <c r="AM636" i="13"/>
  <c r="AK650" i="13"/>
  <c r="AD648" i="13"/>
  <c r="AV636" i="13"/>
  <c r="AU650" i="13"/>
  <c r="AU638" i="13"/>
  <c r="AR638" i="13"/>
  <c r="AQ650" i="13"/>
  <c r="AQ636" i="13"/>
  <c r="AO639" i="13"/>
  <c r="AL643" i="13"/>
  <c r="AI651" i="13"/>
  <c r="AZ623" i="13"/>
  <c r="AW628" i="13"/>
  <c r="AU628" i="13"/>
  <c r="AL628" i="13"/>
  <c r="AK623" i="13"/>
  <c r="BV640" i="13"/>
  <c r="BT647" i="13"/>
  <c r="BP640" i="13"/>
  <c r="BN652" i="13"/>
  <c r="BL636" i="13"/>
  <c r="AX648" i="13"/>
  <c r="AX636" i="13"/>
  <c r="AW636" i="13"/>
  <c r="BA623" i="13"/>
  <c r="AZ622" i="13"/>
  <c r="AV623" i="13"/>
  <c r="AQ622" i="13"/>
  <c r="BV639" i="13"/>
  <c r="BU636" i="13"/>
  <c r="BS636" i="13"/>
  <c r="BR643" i="13"/>
  <c r="BQ652" i="13"/>
  <c r="BQ632" i="13"/>
  <c r="BN651" i="13"/>
  <c r="BK643" i="13"/>
  <c r="BI643" i="13"/>
  <c r="BA655" i="13"/>
  <c r="BA643" i="13"/>
  <c r="BA632" i="13"/>
  <c r="AW648" i="13"/>
  <c r="AV648" i="13"/>
  <c r="AT651" i="13"/>
  <c r="AT639" i="13"/>
  <c r="AS639" i="13"/>
  <c r="AO655" i="13"/>
  <c r="AN651" i="13"/>
  <c r="AN639" i="13"/>
  <c r="AM650" i="13"/>
  <c r="AK648" i="13"/>
  <c r="AJ643" i="13"/>
  <c r="AE651" i="13"/>
  <c r="T654" i="13"/>
  <c r="V654" i="13" s="1"/>
  <c r="U654" i="13"/>
  <c r="T642" i="13"/>
  <c r="V642" i="13" s="1"/>
  <c r="U642" i="13"/>
  <c r="AD642" i="13" s="1"/>
  <c r="T631" i="13"/>
  <c r="V631" i="13" s="1"/>
  <c r="U631" i="13"/>
  <c r="BH645" i="13"/>
  <c r="BN645" i="13"/>
  <c r="BT645" i="13"/>
  <c r="BP571" i="13"/>
  <c r="BG571" i="13"/>
  <c r="BV615" i="13"/>
  <c r="BT626" i="13"/>
  <c r="BS625" i="13"/>
  <c r="BR630" i="13"/>
  <c r="BQ630" i="13"/>
  <c r="BP627" i="13"/>
  <c r="BO627" i="13"/>
  <c r="BN627" i="13"/>
  <c r="BM626" i="13"/>
  <c r="BL603" i="13"/>
  <c r="BK626" i="13"/>
  <c r="BJ615" i="13"/>
  <c r="BI608" i="13"/>
  <c r="BH601" i="13"/>
  <c r="BG573" i="13"/>
  <c r="BE626" i="13"/>
  <c r="BD573" i="13"/>
  <c r="BA630" i="13"/>
  <c r="AZ630" i="13"/>
  <c r="AY630" i="13"/>
  <c r="AS624" i="13"/>
  <c r="AQ615" i="13"/>
  <c r="AK629" i="13"/>
  <c r="AR629" i="13"/>
  <c r="AA615" i="13"/>
  <c r="AD615" i="13" s="1"/>
  <c r="AA586" i="13"/>
  <c r="AD586" i="13" s="1"/>
  <c r="U578" i="13"/>
  <c r="T609" i="13"/>
  <c r="V609" i="13" s="1"/>
  <c r="T580" i="13"/>
  <c r="V580" i="13" s="1"/>
  <c r="BP645" i="13"/>
  <c r="BL633" i="13"/>
  <c r="BD645" i="13"/>
  <c r="AE650" i="13"/>
  <c r="Z645" i="13"/>
  <c r="AB645" i="13" s="1"/>
  <c r="AA645" i="13"/>
  <c r="Z634" i="13"/>
  <c r="AB634" i="13" s="1"/>
  <c r="AA634" i="13"/>
  <c r="AI607" i="13"/>
  <c r="T643" i="13"/>
  <c r="V643" i="13" s="1"/>
  <c r="U643" i="13"/>
  <c r="AD643" i="13" s="1"/>
  <c r="BL634" i="13"/>
  <c r="BU609" i="13"/>
  <c r="BR628" i="13"/>
  <c r="BQ628" i="13"/>
  <c r="BH585" i="13"/>
  <c r="AZ607" i="13"/>
  <c r="AW630" i="13"/>
  <c r="AU619" i="13"/>
  <c r="AT630" i="13"/>
  <c r="AR582" i="13"/>
  <c r="AN624" i="13"/>
  <c r="AM630" i="13"/>
  <c r="AL630" i="13"/>
  <c r="AL582" i="13"/>
  <c r="AJ582" i="13"/>
  <c r="U585" i="13"/>
  <c r="T585" i="13"/>
  <c r="V585" i="13" s="1"/>
  <c r="BT633" i="13"/>
  <c r="BQ634" i="13"/>
  <c r="BL645" i="13"/>
  <c r="BH633" i="13"/>
  <c r="BE634" i="13"/>
  <c r="BH654" i="13"/>
  <c r="BN654" i="13"/>
  <c r="BT654" i="13"/>
  <c r="BE654" i="13"/>
  <c r="BK654" i="13"/>
  <c r="BQ654" i="13"/>
  <c r="BH642" i="13"/>
  <c r="BN642" i="13"/>
  <c r="BT642" i="13"/>
  <c r="BE642" i="13"/>
  <c r="BK642" i="13"/>
  <c r="BQ642" i="13"/>
  <c r="BH631" i="13"/>
  <c r="BN631" i="13"/>
  <c r="BT631" i="13"/>
  <c r="BE631" i="13"/>
  <c r="BK631" i="13"/>
  <c r="BQ631" i="13"/>
  <c r="Z644" i="13"/>
  <c r="AB644" i="13" s="1"/>
  <c r="AA644" i="13"/>
  <c r="Z633" i="13"/>
  <c r="AB633" i="13" s="1"/>
  <c r="AA633" i="13"/>
  <c r="AD633" i="13" s="1"/>
  <c r="T655" i="13"/>
  <c r="V655" i="13" s="1"/>
  <c r="U655" i="13"/>
  <c r="AD655" i="13" s="1"/>
  <c r="AQ619" i="13"/>
  <c r="AD623" i="13"/>
  <c r="BS621" i="13"/>
  <c r="BM609" i="13"/>
  <c r="BE597" i="13"/>
  <c r="AT595" i="13"/>
  <c r="AP583" i="13"/>
  <c r="AK595" i="13"/>
  <c r="AO603" i="13"/>
  <c r="AN603" i="13"/>
  <c r="BQ633" i="13"/>
  <c r="BM634" i="13"/>
  <c r="BL644" i="13"/>
  <c r="BD653" i="13"/>
  <c r="BJ653" i="13"/>
  <c r="BP653" i="13"/>
  <c r="BV653" i="13"/>
  <c r="BD641" i="13"/>
  <c r="BJ641" i="13"/>
  <c r="BP641" i="13"/>
  <c r="BV641" i="13"/>
  <c r="AK607" i="13"/>
  <c r="T632" i="13"/>
  <c r="V632" i="13" s="1"/>
  <c r="U632" i="13"/>
  <c r="AD632" i="13" s="1"/>
  <c r="BT609" i="13"/>
  <c r="BO609" i="13"/>
  <c r="BI573" i="13"/>
  <c r="BH573" i="13"/>
  <c r="BE573" i="13"/>
  <c r="AS615" i="13"/>
  <c r="AR625" i="13"/>
  <c r="AP582" i="13"/>
  <c r="AN622" i="13"/>
  <c r="AK630" i="13"/>
  <c r="AJ630" i="13"/>
  <c r="AA610" i="13"/>
  <c r="AA582" i="13"/>
  <c r="U573" i="13"/>
  <c r="AD573" i="13" s="1"/>
  <c r="T602" i="13"/>
  <c r="V602" i="13" s="1"/>
  <c r="BV634" i="13"/>
  <c r="AE639" i="13"/>
  <c r="BH634" i="13"/>
  <c r="BN634" i="13"/>
  <c r="BT634" i="13"/>
  <c r="BL609" i="13"/>
  <c r="BI609" i="13"/>
  <c r="BD585" i="13"/>
  <c r="BS645" i="13"/>
  <c r="BU571" i="13"/>
  <c r="BL559" i="13"/>
  <c r="BE559" i="13"/>
  <c r="AA561" i="13"/>
  <c r="BV585" i="13"/>
  <c r="BR625" i="13"/>
  <c r="BO604" i="13"/>
  <c r="BN609" i="13"/>
  <c r="BM573" i="13"/>
  <c r="BL590" i="13"/>
  <c r="BK594" i="13"/>
  <c r="BI630" i="13"/>
  <c r="BH629" i="13"/>
  <c r="BG630" i="13"/>
  <c r="BF626" i="13"/>
  <c r="BD630" i="13"/>
  <c r="AX607" i="13"/>
  <c r="AU630" i="13"/>
  <c r="AU607" i="13"/>
  <c r="AQ630" i="13"/>
  <c r="AP630" i="13"/>
  <c r="AI627" i="13"/>
  <c r="AA579" i="13"/>
  <c r="BU645" i="13"/>
  <c r="BU634" i="13"/>
  <c r="BT644" i="13"/>
  <c r="BQ645" i="13"/>
  <c r="BI645" i="13"/>
  <c r="BI634" i="13"/>
  <c r="BH644" i="13"/>
  <c r="BE645" i="13"/>
  <c r="BE651" i="13"/>
  <c r="BK651" i="13"/>
  <c r="BQ651" i="13"/>
  <c r="BE639" i="13"/>
  <c r="BK639" i="13"/>
  <c r="BQ639" i="13"/>
  <c r="AE638" i="13"/>
  <c r="BR573" i="13"/>
  <c r="BG633" i="13"/>
  <c r="BM633" i="13"/>
  <c r="BS633" i="13"/>
  <c r="BD633" i="13"/>
  <c r="BJ633" i="13"/>
  <c r="BP633" i="13"/>
  <c r="BV633" i="13"/>
  <c r="BU585" i="13"/>
  <c r="BT585" i="13"/>
  <c r="BS609" i="13"/>
  <c r="BQ609" i="13"/>
  <c r="BI628" i="13"/>
  <c r="BH628" i="13"/>
  <c r="BG628" i="13"/>
  <c r="AX606" i="13"/>
  <c r="AS607" i="13"/>
  <c r="AP600" i="13"/>
  <c r="AT600" i="13"/>
  <c r="BU644" i="13"/>
  <c r="BU633" i="13"/>
  <c r="BR634" i="13"/>
  <c r="BQ644" i="13"/>
  <c r="BM645" i="13"/>
  <c r="BI644" i="13"/>
  <c r="BI633" i="13"/>
  <c r="BF634" i="13"/>
  <c r="BD650" i="13"/>
  <c r="BJ650" i="13"/>
  <c r="BP650" i="13"/>
  <c r="BV650" i="13"/>
  <c r="BG650" i="13"/>
  <c r="BM650" i="13"/>
  <c r="BS650" i="13"/>
  <c r="BD638" i="13"/>
  <c r="BJ638" i="13"/>
  <c r="BP638" i="13"/>
  <c r="BV638" i="13"/>
  <c r="BG638" i="13"/>
  <c r="BM638" i="13"/>
  <c r="BS638" i="13"/>
  <c r="AI653" i="13"/>
  <c r="AO653" i="13"/>
  <c r="AJ653" i="13"/>
  <c r="AP653" i="13"/>
  <c r="AK653" i="13"/>
  <c r="AQ653" i="13"/>
  <c r="AW653" i="13"/>
  <c r="AL653" i="13"/>
  <c r="AM653" i="13"/>
  <c r="AI641" i="13"/>
  <c r="AO641" i="13"/>
  <c r="AJ641" i="13"/>
  <c r="AP641" i="13"/>
  <c r="AK641" i="13"/>
  <c r="AQ641" i="13"/>
  <c r="AW641" i="13"/>
  <c r="AL641" i="13"/>
  <c r="AM641" i="13"/>
  <c r="AE640" i="13"/>
  <c r="T560" i="13"/>
  <c r="V560" i="13" s="1"/>
  <c r="BS573" i="13"/>
  <c r="BH609" i="13"/>
  <c r="BD566" i="13"/>
  <c r="BV573" i="13"/>
  <c r="BP597" i="13"/>
  <c r="BF621" i="13"/>
  <c r="BD628" i="13"/>
  <c r="AX630" i="13"/>
  <c r="AO630" i="13"/>
  <c r="AP623" i="13"/>
  <c r="AQ623" i="13"/>
  <c r="AS623" i="13"/>
  <c r="BV645" i="13"/>
  <c r="BR633" i="13"/>
  <c r="BJ645" i="13"/>
  <c r="BF633" i="13"/>
  <c r="BF649" i="13"/>
  <c r="BL649" i="13"/>
  <c r="BR649" i="13"/>
  <c r="BF637" i="13"/>
  <c r="BL637" i="13"/>
  <c r="BR637" i="13"/>
  <c r="AI652" i="13"/>
  <c r="AO652" i="13"/>
  <c r="AJ652" i="13"/>
  <c r="AP652" i="13"/>
  <c r="AV652" i="13"/>
  <c r="AK652" i="13"/>
  <c r="AL652" i="13"/>
  <c r="AR652" i="13"/>
  <c r="AM652" i="13"/>
  <c r="AS652" i="13"/>
  <c r="AY652" i="13"/>
  <c r="AI640" i="13"/>
  <c r="AO640" i="13"/>
  <c r="AJ640" i="13"/>
  <c r="AP640" i="13"/>
  <c r="AV640" i="13"/>
  <c r="AK640" i="13"/>
  <c r="AL640" i="13"/>
  <c r="AR640" i="13"/>
  <c r="AM640" i="13"/>
  <c r="AS640" i="13"/>
  <c r="AY640" i="13"/>
  <c r="BT568" i="13"/>
  <c r="BJ571" i="13"/>
  <c r="BD565" i="13"/>
  <c r="U568" i="13"/>
  <c r="AD568" i="13" s="1"/>
  <c r="BU573" i="13"/>
  <c r="BT573" i="13"/>
  <c r="BP585" i="13"/>
  <c r="BO597" i="13"/>
  <c r="BN585" i="13"/>
  <c r="BL626" i="13"/>
  <c r="BI626" i="13"/>
  <c r="BH626" i="13"/>
  <c r="BG626" i="13"/>
  <c r="AS630" i="13"/>
  <c r="AL623" i="13"/>
  <c r="AK624" i="13"/>
  <c r="AA630" i="13"/>
  <c r="AD630" i="13" s="1"/>
  <c r="BR645" i="13"/>
  <c r="BN633" i="13"/>
  <c r="BK634" i="13"/>
  <c r="BF645" i="13"/>
  <c r="BE641" i="13"/>
  <c r="BD651" i="13"/>
  <c r="BE648" i="13"/>
  <c r="BK648" i="13"/>
  <c r="BQ648" i="13"/>
  <c r="BH648" i="13"/>
  <c r="BN648" i="13"/>
  <c r="BT648" i="13"/>
  <c r="BE636" i="13"/>
  <c r="BK636" i="13"/>
  <c r="BQ636" i="13"/>
  <c r="BH636" i="13"/>
  <c r="BN636" i="13"/>
  <c r="BT636" i="13"/>
  <c r="AM582" i="13"/>
  <c r="AK582" i="13"/>
  <c r="BG645" i="13"/>
  <c r="BG644" i="13"/>
  <c r="BM644" i="13"/>
  <c r="BS644" i="13"/>
  <c r="BD644" i="13"/>
  <c r="BJ644" i="13"/>
  <c r="BP644" i="13"/>
  <c r="BV644" i="13"/>
  <c r="BS568" i="13"/>
  <c r="BJ561" i="13"/>
  <c r="BV628" i="13"/>
  <c r="BU628" i="13"/>
  <c r="BS585" i="13"/>
  <c r="BP580" i="13"/>
  <c r="BO592" i="13"/>
  <c r="BN573" i="13"/>
  <c r="BL573" i="13"/>
  <c r="BJ628" i="13"/>
  <c r="AN630" i="13"/>
  <c r="AN582" i="13"/>
  <c r="AY597" i="13"/>
  <c r="AR597" i="13"/>
  <c r="AA627" i="13"/>
  <c r="AD627" i="13" s="1"/>
  <c r="BS634" i="13"/>
  <c r="BR644" i="13"/>
  <c r="BK633" i="13"/>
  <c r="BG634" i="13"/>
  <c r="BF644" i="13"/>
  <c r="BG647" i="13"/>
  <c r="BM647" i="13"/>
  <c r="BS647" i="13"/>
  <c r="BR571" i="13"/>
  <c r="BJ559" i="13"/>
  <c r="AW565" i="13"/>
  <c r="T564" i="13"/>
  <c r="V564" i="13" s="1"/>
  <c r="BV627" i="13"/>
  <c r="BU627" i="13"/>
  <c r="BT629" i="13"/>
  <c r="BR590" i="13"/>
  <c r="BQ580" i="13"/>
  <c r="BP575" i="13"/>
  <c r="BO573" i="13"/>
  <c r="BN572" i="13"/>
  <c r="BL621" i="13"/>
  <c r="BK630" i="13"/>
  <c r="BJ627" i="13"/>
  <c r="BH616" i="13"/>
  <c r="BG615" i="13"/>
  <c r="BF573" i="13"/>
  <c r="AZ583" i="13"/>
  <c r="AX582" i="13"/>
  <c r="AV611" i="13"/>
  <c r="AU625" i="13"/>
  <c r="AT609" i="13"/>
  <c r="AS582" i="13"/>
  <c r="AQ624" i="13"/>
  <c r="AP622" i="13"/>
  <c r="AN579" i="13"/>
  <c r="AM607" i="13"/>
  <c r="AL615" i="13"/>
  <c r="AK622" i="13"/>
  <c r="AJ572" i="13"/>
  <c r="AO572" i="13"/>
  <c r="BP634" i="13"/>
  <c r="BE638" i="13"/>
  <c r="BD634" i="13"/>
  <c r="AP646" i="13"/>
  <c r="AP635" i="13"/>
  <c r="AJ646" i="13"/>
  <c r="AJ635" i="13"/>
  <c r="AA650" i="13"/>
  <c r="AA638" i="13"/>
  <c r="AM651" i="13"/>
  <c r="AM639" i="13"/>
  <c r="AO646" i="13"/>
  <c r="AO635" i="13"/>
  <c r="AI646" i="13"/>
  <c r="AI635" i="13"/>
  <c r="AR651" i="13"/>
  <c r="AR639" i="13"/>
  <c r="AL651" i="13"/>
  <c r="AL639" i="13"/>
  <c r="AA647" i="13"/>
  <c r="AD647" i="13" s="1"/>
  <c r="U645" i="13"/>
  <c r="U634" i="13"/>
  <c r="AQ651" i="13"/>
  <c r="AQ639" i="13"/>
  <c r="AK651" i="13"/>
  <c r="AK639" i="13"/>
  <c r="BR646" i="13"/>
  <c r="BR635" i="13"/>
  <c r="BL646" i="13"/>
  <c r="BL635" i="13"/>
  <c r="AM646" i="13"/>
  <c r="AM635" i="13"/>
  <c r="AP651" i="13"/>
  <c r="AP639" i="13"/>
  <c r="BU621" i="13"/>
  <c r="BE621" i="13"/>
  <c r="BT621" i="13"/>
  <c r="BR621" i="13"/>
  <c r="BQ621" i="13"/>
  <c r="BP621" i="13"/>
  <c r="BO621" i="13"/>
  <c r="BJ621" i="13"/>
  <c r="BI621" i="13"/>
  <c r="BG621" i="13"/>
  <c r="BH621" i="13"/>
  <c r="BN621" i="13"/>
  <c r="BM621" i="13"/>
  <c r="BV621" i="13"/>
  <c r="BD621" i="13"/>
  <c r="AZ621" i="13"/>
  <c r="BT620" i="13"/>
  <c r="AL619" i="13"/>
  <c r="AZ619" i="13"/>
  <c r="AT619" i="13"/>
  <c r="BT618" i="13"/>
  <c r="AT617" i="13"/>
  <c r="AT616" i="13"/>
  <c r="AX616" i="13"/>
  <c r="AU616" i="13"/>
  <c r="AI616" i="13"/>
  <c r="AM615" i="13"/>
  <c r="AX615" i="13"/>
  <c r="AT615" i="13"/>
  <c r="AZ615" i="13"/>
  <c r="AY615" i="13"/>
  <c r="AN615" i="13"/>
  <c r="AK615" i="13"/>
  <c r="AV615" i="13"/>
  <c r="AJ615" i="13"/>
  <c r="AP615" i="13"/>
  <c r="BH614" i="13"/>
  <c r="BG614" i="13"/>
  <c r="BV614" i="13"/>
  <c r="BP614" i="13"/>
  <c r="BN614" i="13"/>
  <c r="BJ614" i="13"/>
  <c r="BI614" i="13"/>
  <c r="BN613" i="13"/>
  <c r="BI613" i="13"/>
  <c r="AR611" i="13"/>
  <c r="BS611" i="13"/>
  <c r="AJ611" i="13"/>
  <c r="AI611" i="13"/>
  <c r="BK610" i="13"/>
  <c r="Z621" i="13"/>
  <c r="AB621" i="13" s="1"/>
  <c r="AE621" i="13" s="1"/>
  <c r="AW611" i="13"/>
  <c r="AI610" i="13"/>
  <c r="U621" i="13"/>
  <c r="AD621" i="13" s="1"/>
  <c r="AK621" i="13"/>
  <c r="U616" i="13"/>
  <c r="AD616" i="13" s="1"/>
  <c r="AK619" i="13"/>
  <c r="AS612" i="13"/>
  <c r="AS611" i="13"/>
  <c r="U610" i="13"/>
  <c r="AY612" i="13"/>
  <c r="AY611" i="13"/>
  <c r="AR616" i="13"/>
  <c r="AJ616" i="13"/>
  <c r="AN612" i="13"/>
  <c r="AO616" i="13"/>
  <c r="AM616" i="13"/>
  <c r="AA618" i="13"/>
  <c r="AD618" i="13" s="1"/>
  <c r="BM618" i="13"/>
  <c r="AU621" i="13"/>
  <c r="AT621" i="13"/>
  <c r="BM615" i="13"/>
  <c r="BA611" i="13"/>
  <c r="BA610" i="13"/>
  <c r="AR621" i="13"/>
  <c r="AX619" i="13"/>
  <c r="AW621" i="13"/>
  <c r="BN618" i="13"/>
  <c r="BA612" i="13"/>
  <c r="AL612" i="13"/>
  <c r="BU614" i="13"/>
  <c r="BQ615" i="13"/>
  <c r="AZ612" i="13"/>
  <c r="AY621" i="13"/>
  <c r="AW619" i="13"/>
  <c r="AV621" i="13"/>
  <c r="AS620" i="13"/>
  <c r="AR619" i="13"/>
  <c r="AQ612" i="13"/>
  <c r="AP621" i="13"/>
  <c r="BQ614" i="13"/>
  <c r="BK615" i="13"/>
  <c r="BD615" i="13"/>
  <c r="BA621" i="13"/>
  <c r="AZ611" i="13"/>
  <c r="AY619" i="13"/>
  <c r="AV619" i="13"/>
  <c r="AU612" i="13"/>
  <c r="AS619" i="13"/>
  <c r="AQ611" i="13"/>
  <c r="AP619" i="13"/>
  <c r="AN620" i="13"/>
  <c r="AJ619" i="13"/>
  <c r="AO611" i="13"/>
  <c r="AS621" i="13"/>
  <c r="AR620" i="13"/>
  <c r="AM619" i="13"/>
  <c r="AK612" i="13"/>
  <c r="BQ613" i="13"/>
  <c r="BK614" i="13"/>
  <c r="BA620" i="13"/>
  <c r="AX612" i="13"/>
  <c r="AU611" i="13"/>
  <c r="AT612" i="13"/>
  <c r="AN617" i="13"/>
  <c r="BL618" i="13"/>
  <c r="BU615" i="13"/>
  <c r="BR618" i="13"/>
  <c r="BP618" i="13"/>
  <c r="BK613" i="13"/>
  <c r="BJ618" i="13"/>
  <c r="BE614" i="13"/>
  <c r="BA619" i="13"/>
  <c r="AX611" i="13"/>
  <c r="AW612" i="13"/>
  <c r="AT611" i="13"/>
  <c r="AR612" i="13"/>
  <c r="AP611" i="13"/>
  <c r="AP620" i="13"/>
  <c r="AM620" i="13"/>
  <c r="AK620" i="13"/>
  <c r="BV616" i="13"/>
  <c r="BP616" i="13"/>
  <c r="BJ616" i="13"/>
  <c r="BH613" i="13"/>
  <c r="BG618" i="13"/>
  <c r="BE618" i="13"/>
  <c r="BD616" i="13"/>
  <c r="BE613" i="13"/>
  <c r="BR616" i="13"/>
  <c r="BV613" i="13"/>
  <c r="BT616" i="13"/>
  <c r="BR615" i="13"/>
  <c r="BP609" i="13"/>
  <c r="BO620" i="13"/>
  <c r="BM614" i="13"/>
  <c r="BL614" i="13"/>
  <c r="BJ613" i="13"/>
  <c r="BG613" i="13"/>
  <c r="BF614" i="13"/>
  <c r="BE609" i="13"/>
  <c r="BD613" i="13"/>
  <c r="AX620" i="13"/>
  <c r="BV609" i="13"/>
  <c r="BT615" i="13"/>
  <c r="BR614" i="13"/>
  <c r="BO618" i="13"/>
  <c r="BM613" i="13"/>
  <c r="BL613" i="13"/>
  <c r="BJ609" i="13"/>
  <c r="BI618" i="13"/>
  <c r="BF609" i="13"/>
  <c r="BD609" i="13"/>
  <c r="AY620" i="13"/>
  <c r="AJ620" i="13"/>
  <c r="BV617" i="13"/>
  <c r="BT614" i="13"/>
  <c r="BQ618" i="13"/>
  <c r="BO616" i="13"/>
  <c r="BI617" i="13"/>
  <c r="AW620" i="13"/>
  <c r="AU620" i="13"/>
  <c r="AL620" i="13"/>
  <c r="BU618" i="13"/>
  <c r="BT613" i="13"/>
  <c r="BQ617" i="13"/>
  <c r="BO615" i="13"/>
  <c r="BI616" i="13"/>
  <c r="AT620" i="13"/>
  <c r="BF617" i="13"/>
  <c r="BU616" i="13"/>
  <c r="BS618" i="13"/>
  <c r="BQ616" i="13"/>
  <c r="BO614" i="13"/>
  <c r="BI615" i="13"/>
  <c r="AV620" i="13"/>
  <c r="AQ620" i="13"/>
  <c r="AO620" i="13"/>
  <c r="BO613" i="13"/>
  <c r="AN614" i="13"/>
  <c r="AM611" i="13"/>
  <c r="AA614" i="13"/>
  <c r="AD614" i="13" s="1"/>
  <c r="AW614" i="13"/>
  <c r="AN611" i="13"/>
  <c r="AK611" i="13"/>
  <c r="T619" i="13"/>
  <c r="V619" i="13" s="1"/>
  <c r="T618" i="13"/>
  <c r="V618" i="13" s="1"/>
  <c r="AQ614" i="13"/>
  <c r="AD619" i="13"/>
  <c r="AM618" i="13"/>
  <c r="AL617" i="13"/>
  <c r="AK617" i="13"/>
  <c r="Z609" i="13"/>
  <c r="AB609" i="13" s="1"/>
  <c r="AK618" i="13"/>
  <c r="AW613" i="13"/>
  <c r="AT614" i="13"/>
  <c r="AM617" i="13"/>
  <c r="AL616" i="13"/>
  <c r="AK616" i="13"/>
  <c r="AI617" i="13"/>
  <c r="T620" i="13"/>
  <c r="V620" i="13" s="1"/>
  <c r="AZ618" i="13"/>
  <c r="AO617" i="13"/>
  <c r="AS617" i="13"/>
  <c r="BA618" i="13"/>
  <c r="AU618" i="13"/>
  <c r="AR618" i="13"/>
  <c r="AP617" i="13"/>
  <c r="AM614" i="13"/>
  <c r="AL613" i="13"/>
  <c r="AI614" i="13"/>
  <c r="Z620" i="13"/>
  <c r="AB620" i="13" s="1"/>
  <c r="AY617" i="13"/>
  <c r="AX618" i="13"/>
  <c r="AD620" i="13"/>
  <c r="AY613" i="13"/>
  <c r="BA617" i="13"/>
  <c r="AU617" i="13"/>
  <c r="AR617" i="13"/>
  <c r="AP616" i="13"/>
  <c r="AO614" i="13"/>
  <c r="AM613" i="13"/>
  <c r="Z619" i="13"/>
  <c r="AB619" i="13" s="1"/>
  <c r="AX614" i="13"/>
  <c r="AV614" i="13"/>
  <c r="AS614" i="13"/>
  <c r="AO613" i="13"/>
  <c r="T615" i="13"/>
  <c r="V615" i="13" s="1"/>
  <c r="AS618" i="13"/>
  <c r="AV617" i="13"/>
  <c r="AL614" i="13"/>
  <c r="AZ613" i="13"/>
  <c r="AX613" i="13"/>
  <c r="AQ618" i="13"/>
  <c r="AP614" i="13"/>
  <c r="BA614" i="13"/>
  <c r="AW618" i="13"/>
  <c r="AU614" i="13"/>
  <c r="AR614" i="13"/>
  <c r="AQ617" i="13"/>
  <c r="AJ618" i="13"/>
  <c r="AY618" i="13"/>
  <c r="AL618" i="13"/>
  <c r="AV618" i="13"/>
  <c r="AZ617" i="13"/>
  <c r="AY614" i="13"/>
  <c r="AX617" i="13"/>
  <c r="AP618" i="13"/>
  <c r="AZ614" i="13"/>
  <c r="AV613" i="13"/>
  <c r="BA613" i="13"/>
  <c r="AW617" i="13"/>
  <c r="AU613" i="13"/>
  <c r="AT618" i="13"/>
  <c r="AV609" i="13"/>
  <c r="AQ610" i="13"/>
  <c r="AK614" i="13"/>
  <c r="AD609" i="13"/>
  <c r="AM610" i="13"/>
  <c r="AJ610" i="13"/>
  <c r="BR613" i="13"/>
  <c r="BV619" i="13"/>
  <c r="BE616" i="13"/>
  <c r="AY610" i="13"/>
  <c r="AW610" i="13"/>
  <c r="AU610" i="13"/>
  <c r="AS610" i="13"/>
  <c r="AO619" i="13"/>
  <c r="AN619" i="13"/>
  <c r="AL610" i="13"/>
  <c r="AK610" i="13"/>
  <c r="BL612" i="13"/>
  <c r="BL611" i="13"/>
  <c r="AV610" i="13"/>
  <c r="AO610" i="13"/>
  <c r="AN610" i="13"/>
  <c r="BN620" i="13"/>
  <c r="BN619" i="13"/>
  <c r="BG610" i="13"/>
  <c r="BS616" i="13"/>
  <c r="BR609" i="13"/>
  <c r="BP613" i="13"/>
  <c r="BK618" i="13"/>
  <c r="BG609" i="13"/>
  <c r="BV618" i="13"/>
  <c r="BU613" i="13"/>
  <c r="BS615" i="13"/>
  <c r="BQ620" i="13"/>
  <c r="BD617" i="13"/>
  <c r="AY609" i="13"/>
  <c r="AW609" i="13"/>
  <c r="AU609" i="13"/>
  <c r="AS609" i="13"/>
  <c r="AO618" i="13"/>
  <c r="AN618" i="13"/>
  <c r="AK609" i="13"/>
  <c r="AZ610" i="13"/>
  <c r="AX610" i="13"/>
  <c r="AR610" i="13"/>
  <c r="AP610" i="13"/>
  <c r="AR609" i="13"/>
  <c r="AV608" i="13"/>
  <c r="AO608" i="13"/>
  <c r="BG608" i="13"/>
  <c r="BT607" i="13"/>
  <c r="AT607" i="13"/>
  <c r="AP607" i="13"/>
  <c r="AO607" i="13"/>
  <c r="AY607" i="13"/>
  <c r="BQ606" i="13"/>
  <c r="AY606" i="13"/>
  <c r="AT606" i="13"/>
  <c r="BA606" i="13"/>
  <c r="AZ606" i="13"/>
  <c r="AW606" i="13"/>
  <c r="AR606" i="13"/>
  <c r="AK606" i="13"/>
  <c r="BU606" i="13"/>
  <c r="AU606" i="13"/>
  <c r="BV606" i="13"/>
  <c r="BG606" i="13"/>
  <c r="AN606" i="13"/>
  <c r="BI606" i="13"/>
  <c r="AS606" i="13"/>
  <c r="AV606" i="13"/>
  <c r="AI606" i="13"/>
  <c r="AO605" i="13"/>
  <c r="AW605" i="13"/>
  <c r="AT605" i="13"/>
  <c r="AM605" i="13"/>
  <c r="AX605" i="13"/>
  <c r="AL605" i="13"/>
  <c r="AU605" i="13"/>
  <c r="AQ605" i="13"/>
  <c r="AJ605" i="13"/>
  <c r="AI605" i="13"/>
  <c r="BV605" i="13"/>
  <c r="AV604" i="13"/>
  <c r="AL604" i="13"/>
  <c r="BA604" i="13"/>
  <c r="AP604" i="13"/>
  <c r="AZ604" i="13"/>
  <c r="AY604" i="13"/>
  <c r="AI604" i="13"/>
  <c r="BS603" i="13"/>
  <c r="BJ603" i="13"/>
  <c r="BF603" i="13"/>
  <c r="BP603" i="13"/>
  <c r="BD603" i="13"/>
  <c r="BN603" i="13"/>
  <c r="BH603" i="13"/>
  <c r="BT603" i="13"/>
  <c r="BU603" i="13"/>
  <c r="BK603" i="13"/>
  <c r="BQ603" i="13"/>
  <c r="BA603" i="13"/>
  <c r="BV603" i="13"/>
  <c r="BR603" i="13"/>
  <c r="BI603" i="13"/>
  <c r="BV602" i="13"/>
  <c r="BH602" i="13"/>
  <c r="BM602" i="13"/>
  <c r="BL602" i="13"/>
  <c r="BP602" i="13"/>
  <c r="BI602" i="13"/>
  <c r="BG602" i="13"/>
  <c r="BU602" i="13"/>
  <c r="BT602" i="13"/>
  <c r="BJ602" i="13"/>
  <c r="AZ602" i="13"/>
  <c r="AY601" i="13"/>
  <c r="AW601" i="13"/>
  <c r="AX600" i="13"/>
  <c r="AK600" i="13"/>
  <c r="BR600" i="13"/>
  <c r="AY600" i="13"/>
  <c r="AQ600" i="13"/>
  <c r="AV600" i="13"/>
  <c r="AS600" i="13"/>
  <c r="BS599" i="13"/>
  <c r="BR599" i="13"/>
  <c r="AZ599" i="13"/>
  <c r="BD599" i="13"/>
  <c r="BI597" i="13"/>
  <c r="BS597" i="13"/>
  <c r="BN597" i="13"/>
  <c r="BJ597" i="13"/>
  <c r="BR597" i="13"/>
  <c r="BQ597" i="13"/>
  <c r="BG597" i="13"/>
  <c r="BU597" i="13"/>
  <c r="BT597" i="13"/>
  <c r="BF597" i="13"/>
  <c r="AW597" i="13"/>
  <c r="BU596" i="13"/>
  <c r="AV596" i="13"/>
  <c r="BA596" i="13"/>
  <c r="AX596" i="13"/>
  <c r="AW596" i="13"/>
  <c r="AS596" i="13"/>
  <c r="AL596" i="13"/>
  <c r="BD596" i="13"/>
  <c r="AN595" i="13"/>
  <c r="AX595" i="13"/>
  <c r="AM595" i="13"/>
  <c r="AZ595" i="13"/>
  <c r="BL594" i="13"/>
  <c r="BA594" i="13"/>
  <c r="AT594" i="13"/>
  <c r="AO594" i="13"/>
  <c r="AU594" i="13"/>
  <c r="BV594" i="13"/>
  <c r="AL594" i="13"/>
  <c r="AZ594" i="13"/>
  <c r="AX594" i="13"/>
  <c r="AR594" i="13"/>
  <c r="AW594" i="13"/>
  <c r="AJ594" i="13"/>
  <c r="AY594" i="13"/>
  <c r="AQ594" i="13"/>
  <c r="AN594" i="13"/>
  <c r="AI594" i="13"/>
  <c r="AS593" i="13"/>
  <c r="AZ593" i="13"/>
  <c r="AQ593" i="13"/>
  <c r="AU593" i="13"/>
  <c r="AT593" i="13"/>
  <c r="AP593" i="13"/>
  <c r="AN593" i="13"/>
  <c r="AL593" i="13"/>
  <c r="AY593" i="13"/>
  <c r="AW593" i="13"/>
  <c r="AV593" i="13"/>
  <c r="AX593" i="13"/>
  <c r="BA593" i="13"/>
  <c r="AJ593" i="13"/>
  <c r="AR593" i="13"/>
  <c r="AO593" i="13"/>
  <c r="AM593" i="13"/>
  <c r="AK593" i="13"/>
  <c r="BE592" i="13"/>
  <c r="AZ592" i="13"/>
  <c r="AR592" i="13"/>
  <c r="AM592" i="13"/>
  <c r="AJ592" i="13"/>
  <c r="BI592" i="13"/>
  <c r="AX592" i="13"/>
  <c r="AK592" i="13"/>
  <c r="AO592" i="13"/>
  <c r="BV592" i="13"/>
  <c r="BU592" i="13"/>
  <c r="BA592" i="13"/>
  <c r="AY592" i="13"/>
  <c r="AQ592" i="13"/>
  <c r="AU592" i="13"/>
  <c r="AI592" i="13"/>
  <c r="BI591" i="13"/>
  <c r="BM591" i="13"/>
  <c r="BO591" i="13"/>
  <c r="BG591" i="13"/>
  <c r="BA591" i="13"/>
  <c r="AX591" i="13"/>
  <c r="BP591" i="13"/>
  <c r="AN590" i="13"/>
  <c r="BS590" i="13"/>
  <c r="BH590" i="13"/>
  <c r="BT590" i="13"/>
  <c r="BF590" i="13"/>
  <c r="AV590" i="13"/>
  <c r="AT590" i="13"/>
  <c r="BM590" i="13"/>
  <c r="AK590" i="13"/>
  <c r="BE590" i="13"/>
  <c r="AM590" i="13"/>
  <c r="AZ590" i="13"/>
  <c r="AP590" i="13"/>
  <c r="AY590" i="13"/>
  <c r="BM589" i="13"/>
  <c r="AY589" i="13"/>
  <c r="BQ589" i="13"/>
  <c r="AV589" i="13"/>
  <c r="BN589" i="13"/>
  <c r="BH589" i="13"/>
  <c r="BD589" i="13"/>
  <c r="BF589" i="13"/>
  <c r="AQ588" i="13"/>
  <c r="AY588" i="13"/>
  <c r="AX588" i="13"/>
  <c r="AR588" i="13"/>
  <c r="AK588" i="13"/>
  <c r="AS588" i="13"/>
  <c r="AN588" i="13"/>
  <c r="AZ588" i="13"/>
  <c r="AW588" i="13"/>
  <c r="AL588" i="13"/>
  <c r="AP587" i="13"/>
  <c r="AS587" i="13"/>
  <c r="BR585" i="13"/>
  <c r="BQ585" i="13"/>
  <c r="AU585" i="13"/>
  <c r="BO585" i="13"/>
  <c r="AR584" i="13"/>
  <c r="AK584" i="13"/>
  <c r="BN583" i="13"/>
  <c r="BU583" i="13"/>
  <c r="BL583" i="13"/>
  <c r="BP583" i="13"/>
  <c r="AL583" i="13"/>
  <c r="AO583" i="13"/>
  <c r="BR582" i="13"/>
  <c r="AY582" i="13"/>
  <c r="AI582" i="13"/>
  <c r="BN582" i="13"/>
  <c r="AW581" i="13"/>
  <c r="BA581" i="13"/>
  <c r="AQ581" i="13"/>
  <c r="AN581" i="13"/>
  <c r="AV581" i="13"/>
  <c r="AK581" i="13"/>
  <c r="AY581" i="13"/>
  <c r="AU581" i="13"/>
  <c r="AS581" i="13"/>
  <c r="AL581" i="13"/>
  <c r="AO581" i="13"/>
  <c r="AT581" i="13"/>
  <c r="AJ581" i="13"/>
  <c r="AX581" i="13"/>
  <c r="AR581" i="13"/>
  <c r="AM581" i="13"/>
  <c r="AP581" i="13"/>
  <c r="AI581" i="13"/>
  <c r="AO580" i="13"/>
  <c r="AX580" i="13"/>
  <c r="AZ580" i="13"/>
  <c r="AI580" i="13"/>
  <c r="BT579" i="13"/>
  <c r="AY579" i="13"/>
  <c r="AZ579" i="13"/>
  <c r="BR579" i="13"/>
  <c r="BO579" i="13"/>
  <c r="BN579" i="13"/>
  <c r="BG579" i="13"/>
  <c r="BQ579" i="13"/>
  <c r="BP579" i="13"/>
  <c r="BR578" i="13"/>
  <c r="BK578" i="13"/>
  <c r="BU578" i="13"/>
  <c r="BT578" i="13"/>
  <c r="BS578" i="13"/>
  <c r="AI578" i="13"/>
  <c r="BQ578" i="13"/>
  <c r="BO578" i="13"/>
  <c r="AV578" i="13"/>
  <c r="AQ578" i="13"/>
  <c r="BL577" i="13"/>
  <c r="BH577" i="13"/>
  <c r="AU577" i="13"/>
  <c r="BN577" i="13"/>
  <c r="BV577" i="13"/>
  <c r="BG577" i="13"/>
  <c r="BU577" i="13"/>
  <c r="BP577" i="13"/>
  <c r="BO577" i="13"/>
  <c r="BS577" i="13"/>
  <c r="AW577" i="13"/>
  <c r="BE577" i="13"/>
  <c r="AY577" i="13"/>
  <c r="AV577" i="13"/>
  <c r="BM577" i="13"/>
  <c r="BK577" i="13"/>
  <c r="BA576" i="13"/>
  <c r="AY576" i="13"/>
  <c r="AW576" i="13"/>
  <c r="AR576" i="13"/>
  <c r="AZ576" i="13"/>
  <c r="BO576" i="13"/>
  <c r="AV576" i="13"/>
  <c r="AK576" i="13"/>
  <c r="AX576" i="13"/>
  <c r="AU576" i="13"/>
  <c r="AQ576" i="13"/>
  <c r="BK576" i="13"/>
  <c r="AS576" i="13"/>
  <c r="AT576" i="13"/>
  <c r="AN576" i="13"/>
  <c r="BO575" i="13"/>
  <c r="BE575" i="13"/>
  <c r="BA573" i="13"/>
  <c r="AS573" i="13"/>
  <c r="AQ573" i="13"/>
  <c r="AW573" i="13"/>
  <c r="AZ573" i="13"/>
  <c r="BH572" i="13"/>
  <c r="AY572" i="13"/>
  <c r="AU572" i="13"/>
  <c r="AM572" i="13"/>
  <c r="BF572" i="13"/>
  <c r="AZ572" i="13"/>
  <c r="AR601" i="13"/>
  <c r="AX601" i="13"/>
  <c r="AZ601" i="13"/>
  <c r="AU601" i="13"/>
  <c r="AV601" i="13"/>
  <c r="AR589" i="13"/>
  <c r="AO589" i="13"/>
  <c r="AW589" i="13"/>
  <c r="AZ589" i="13"/>
  <c r="AX589" i="13"/>
  <c r="AU589" i="13"/>
  <c r="AA590" i="13"/>
  <c r="AD590" i="13" s="1"/>
  <c r="Z590" i="13"/>
  <c r="AB590" i="13" s="1"/>
  <c r="AA578" i="13"/>
  <c r="Z578" i="13"/>
  <c r="AB578" i="13" s="1"/>
  <c r="AE578" i="13" s="1"/>
  <c r="AA602" i="13"/>
  <c r="AD602" i="13" s="1"/>
  <c r="AU599" i="13"/>
  <c r="AK599" i="13"/>
  <c r="AV599" i="13"/>
  <c r="AY599" i="13"/>
  <c r="AI599" i="13"/>
  <c r="AZ587" i="13"/>
  <c r="AX587" i="13"/>
  <c r="AU587" i="13"/>
  <c r="AY587" i="13"/>
  <c r="AQ587" i="13"/>
  <c r="AV587" i="13"/>
  <c r="AS575" i="13"/>
  <c r="AZ575" i="13"/>
  <c r="AX575" i="13"/>
  <c r="AY575" i="13"/>
  <c r="AU575" i="13"/>
  <c r="AX598" i="13"/>
  <c r="AU598" i="13"/>
  <c r="AJ598" i="13"/>
  <c r="AK598" i="13"/>
  <c r="AY598" i="13"/>
  <c r="AL598" i="13"/>
  <c r="AR598" i="13"/>
  <c r="AX586" i="13"/>
  <c r="AQ586" i="13"/>
  <c r="AK586" i="13"/>
  <c r="AU586" i="13"/>
  <c r="AY586" i="13"/>
  <c r="AO574" i="13"/>
  <c r="AS574" i="13"/>
  <c r="AR574" i="13"/>
  <c r="AX574" i="13"/>
  <c r="AY574" i="13"/>
  <c r="AU574" i="13"/>
  <c r="AQ574" i="13"/>
  <c r="AD595" i="13"/>
  <c r="Z595" i="13"/>
  <c r="AB595" i="13" s="1"/>
  <c r="U581" i="13"/>
  <c r="T593" i="13"/>
  <c r="V593" i="13" s="1"/>
  <c r="AX579" i="13"/>
  <c r="AW583" i="13"/>
  <c r="AT592" i="13"/>
  <c r="AS604" i="13"/>
  <c r="AS583" i="13"/>
  <c r="AR583" i="13"/>
  <c r="AP580" i="13"/>
  <c r="AO606" i="13"/>
  <c r="AO582" i="13"/>
  <c r="AN592" i="13"/>
  <c r="AM594" i="13"/>
  <c r="AL580" i="13"/>
  <c r="AJ607" i="13"/>
  <c r="AJ583" i="13"/>
  <c r="AI579" i="13"/>
  <c r="AA598" i="13"/>
  <c r="AA583" i="13"/>
  <c r="T607" i="13"/>
  <c r="V607" i="13" s="1"/>
  <c r="T592" i="13"/>
  <c r="V592" i="13" s="1"/>
  <c r="Z607" i="13"/>
  <c r="AB607" i="13" s="1"/>
  <c r="Z574" i="13"/>
  <c r="AB574" i="13" s="1"/>
  <c r="T605" i="13"/>
  <c r="V605" i="13" s="1"/>
  <c r="BA582" i="13"/>
  <c r="AZ603" i="13"/>
  <c r="AZ577" i="13"/>
  <c r="AW595" i="13"/>
  <c r="AW580" i="13"/>
  <c r="AV582" i="13"/>
  <c r="AT588" i="13"/>
  <c r="AS597" i="13"/>
  <c r="AS580" i="13"/>
  <c r="AR596" i="13"/>
  <c r="AR580" i="13"/>
  <c r="AQ606" i="13"/>
  <c r="AQ585" i="13"/>
  <c r="AP594" i="13"/>
  <c r="AP572" i="13"/>
  <c r="AO579" i="13"/>
  <c r="AN607" i="13"/>
  <c r="AN583" i="13"/>
  <c r="AL595" i="13"/>
  <c r="AK583" i="13"/>
  <c r="AJ604" i="13"/>
  <c r="AJ580" i="13"/>
  <c r="AI596" i="13"/>
  <c r="Z606" i="13"/>
  <c r="AB606" i="13" s="1"/>
  <c r="Z573" i="13"/>
  <c r="AB573" i="13" s="1"/>
  <c r="AE573" i="13" s="1"/>
  <c r="T604" i="13"/>
  <c r="V604" i="13" s="1"/>
  <c r="AD572" i="13"/>
  <c r="BA583" i="13"/>
  <c r="AV583" i="13"/>
  <c r="AQ607" i="13"/>
  <c r="AP595" i="13"/>
  <c r="BA595" i="13"/>
  <c r="AR595" i="13"/>
  <c r="AO595" i="13"/>
  <c r="AI595" i="13"/>
  <c r="BA580" i="13"/>
  <c r="AY583" i="13"/>
  <c r="AV595" i="13"/>
  <c r="AV580" i="13"/>
  <c r="AT583" i="13"/>
  <c r="AS595" i="13"/>
  <c r="AQ604" i="13"/>
  <c r="AQ583" i="13"/>
  <c r="AP592" i="13"/>
  <c r="AM583" i="13"/>
  <c r="AK597" i="13"/>
  <c r="BA607" i="13"/>
  <c r="AY595" i="13"/>
  <c r="AW607" i="13"/>
  <c r="AW592" i="13"/>
  <c r="AV594" i="13"/>
  <c r="AU597" i="13"/>
  <c r="AU583" i="13"/>
  <c r="AT582" i="13"/>
  <c r="AS594" i="13"/>
  <c r="AQ582" i="13"/>
  <c r="AN580" i="13"/>
  <c r="AL592" i="13"/>
  <c r="AK580" i="13"/>
  <c r="AJ595" i="13"/>
  <c r="AD604" i="13"/>
  <c r="AD580" i="13"/>
  <c r="AY580" i="13"/>
  <c r="AX583" i="13"/>
  <c r="AV607" i="13"/>
  <c r="AV592" i="13"/>
  <c r="AU595" i="13"/>
  <c r="AT597" i="13"/>
  <c r="AT580" i="13"/>
  <c r="AR607" i="13"/>
  <c r="AQ580" i="13"/>
  <c r="AD603" i="13"/>
  <c r="BU586" i="13"/>
  <c r="BN586" i="13"/>
  <c r="BJ598" i="13"/>
  <c r="BT580" i="13"/>
  <c r="BS594" i="13"/>
  <c r="BR605" i="13"/>
  <c r="BR586" i="13"/>
  <c r="BQ604" i="13"/>
  <c r="BK592" i="13"/>
  <c r="BG604" i="13"/>
  <c r="BF598" i="13"/>
  <c r="BE582" i="13"/>
  <c r="BT606" i="13"/>
  <c r="BQ577" i="13"/>
  <c r="BP586" i="13"/>
  <c r="BO574" i="13"/>
  <c r="BM582" i="13"/>
  <c r="BK607" i="13"/>
  <c r="BV607" i="13"/>
  <c r="BL607" i="13"/>
  <c r="BE595" i="13"/>
  <c r="BJ595" i="13"/>
  <c r="BP595" i="13"/>
  <c r="BG595" i="13"/>
  <c r="BU595" i="13"/>
  <c r="BR583" i="13"/>
  <c r="BH583" i="13"/>
  <c r="AS603" i="13"/>
  <c r="AI603" i="13"/>
  <c r="AV603" i="13"/>
  <c r="AL603" i="13"/>
  <c r="AU603" i="13"/>
  <c r="AR603" i="13"/>
  <c r="AM603" i="13"/>
  <c r="AP603" i="13"/>
  <c r="AQ603" i="13"/>
  <c r="AX603" i="13"/>
  <c r="AK603" i="13"/>
  <c r="AJ603" i="13"/>
  <c r="AJ591" i="13"/>
  <c r="AS591" i="13"/>
  <c r="AV591" i="13"/>
  <c r="AU591" i="13"/>
  <c r="AI591" i="13"/>
  <c r="AR591" i="13"/>
  <c r="AL591" i="13"/>
  <c r="AN591" i="13"/>
  <c r="AP591" i="13"/>
  <c r="AO591" i="13"/>
  <c r="AK579" i="13"/>
  <c r="AS579" i="13"/>
  <c r="AV579" i="13"/>
  <c r="AU579" i="13"/>
  <c r="AJ579" i="13"/>
  <c r="AR579" i="13"/>
  <c r="AT579" i="13"/>
  <c r="AM579" i="13"/>
  <c r="BK582" i="13"/>
  <c r="BQ593" i="13"/>
  <c r="BO586" i="13"/>
  <c r="BR598" i="13"/>
  <c r="BR574" i="13"/>
  <c r="BD602" i="13"/>
  <c r="BO602" i="13"/>
  <c r="BQ602" i="13"/>
  <c r="BK602" i="13"/>
  <c r="BR602" i="13"/>
  <c r="BS602" i="13"/>
  <c r="BE602" i="13"/>
  <c r="BF602" i="13"/>
  <c r="BD590" i="13"/>
  <c r="BI590" i="13"/>
  <c r="BK590" i="13"/>
  <c r="BU590" i="13"/>
  <c r="BV590" i="13"/>
  <c r="BQ590" i="13"/>
  <c r="BO590" i="13"/>
  <c r="BD578" i="13"/>
  <c r="BE578" i="13"/>
  <c r="BG578" i="13"/>
  <c r="BP578" i="13"/>
  <c r="BL578" i="13"/>
  <c r="BN578" i="13"/>
  <c r="BV578" i="13"/>
  <c r="AQ591" i="13"/>
  <c r="BH606" i="13"/>
  <c r="BK606" i="13"/>
  <c r="BR606" i="13"/>
  <c r="BP606" i="13"/>
  <c r="BH582" i="13"/>
  <c r="BV582" i="13"/>
  <c r="BP582" i="13"/>
  <c r="BT582" i="13"/>
  <c r="BD582" i="13"/>
  <c r="BU582" i="13"/>
  <c r="BS582" i="13"/>
  <c r="BJ582" i="13"/>
  <c r="BH581" i="13"/>
  <c r="BI581" i="13"/>
  <c r="BF582" i="13"/>
  <c r="BV604" i="13"/>
  <c r="BU604" i="13"/>
  <c r="BD604" i="13"/>
  <c r="BI604" i="13"/>
  <c r="BP604" i="13"/>
  <c r="BT604" i="13"/>
  <c r="BP592" i="13"/>
  <c r="BR592" i="13"/>
  <c r="BS592" i="13"/>
  <c r="BR580" i="13"/>
  <c r="BS580" i="13"/>
  <c r="BU580" i="13"/>
  <c r="BM606" i="13"/>
  <c r="BL606" i="13"/>
  <c r="BU574" i="13"/>
  <c r="BT592" i="13"/>
  <c r="BS604" i="13"/>
  <c r="BO580" i="13"/>
  <c r="BJ606" i="13"/>
  <c r="BI582" i="13"/>
  <c r="BE606" i="13"/>
  <c r="BU601" i="13"/>
  <c r="BE601" i="13"/>
  <c r="BF601" i="13"/>
  <c r="BV601" i="13"/>
  <c r="BS589" i="13"/>
  <c r="BE589" i="13"/>
  <c r="BG589" i="13"/>
  <c r="BO589" i="13"/>
  <c r="BJ589" i="13"/>
  <c r="BL589" i="13"/>
  <c r="BP589" i="13"/>
  <c r="BR589" i="13"/>
  <c r="BF577" i="13"/>
  <c r="BR577" i="13"/>
  <c r="BT577" i="13"/>
  <c r="BD577" i="13"/>
  <c r="AL599" i="13"/>
  <c r="AR599" i="13"/>
  <c r="BA599" i="13"/>
  <c r="AM599" i="13"/>
  <c r="AN599" i="13"/>
  <c r="AP599" i="13"/>
  <c r="AT599" i="13"/>
  <c r="AO599" i="13"/>
  <c r="AJ599" i="13"/>
  <c r="AS599" i="13"/>
  <c r="AW599" i="13"/>
  <c r="AR587" i="13"/>
  <c r="BA587" i="13"/>
  <c r="AL587" i="13"/>
  <c r="AI587" i="13"/>
  <c r="AT587" i="13"/>
  <c r="AM587" i="13"/>
  <c r="AN587" i="13"/>
  <c r="AK587" i="13"/>
  <c r="AW587" i="13"/>
  <c r="AR575" i="13"/>
  <c r="BA575" i="13"/>
  <c r="AJ575" i="13"/>
  <c r="AL575" i="13"/>
  <c r="AI575" i="13"/>
  <c r="AO575" i="13"/>
  <c r="AQ575" i="13"/>
  <c r="AP575" i="13"/>
  <c r="AW575" i="13"/>
  <c r="AK575" i="13"/>
  <c r="BH594" i="13"/>
  <c r="BO594" i="13"/>
  <c r="BQ594" i="13"/>
  <c r="BI594" i="13"/>
  <c r="BT594" i="13"/>
  <c r="BR593" i="13"/>
  <c r="BL593" i="13"/>
  <c r="BN606" i="13"/>
  <c r="BG594" i="13"/>
  <c r="BU598" i="13"/>
  <c r="BV581" i="13"/>
  <c r="BU594" i="13"/>
  <c r="BP594" i="13"/>
  <c r="BM594" i="13"/>
  <c r="BK604" i="13"/>
  <c r="BG582" i="13"/>
  <c r="AP579" i="13"/>
  <c r="AK591" i="13"/>
  <c r="AZ598" i="13"/>
  <c r="AM598" i="13"/>
  <c r="AN598" i="13"/>
  <c r="AP598" i="13"/>
  <c r="AT598" i="13"/>
  <c r="AO598" i="13"/>
  <c r="AQ598" i="13"/>
  <c r="AS598" i="13"/>
  <c r="AW598" i="13"/>
  <c r="AV598" i="13"/>
  <c r="AI598" i="13"/>
  <c r="AL586" i="13"/>
  <c r="AZ586" i="13"/>
  <c r="AI586" i="13"/>
  <c r="AT586" i="13"/>
  <c r="AM586" i="13"/>
  <c r="AN586" i="13"/>
  <c r="AO586" i="13"/>
  <c r="AP586" i="13"/>
  <c r="AW586" i="13"/>
  <c r="AS586" i="13"/>
  <c r="AV586" i="13"/>
  <c r="AJ586" i="13"/>
  <c r="AZ574" i="13"/>
  <c r="AJ574" i="13"/>
  <c r="AL574" i="13"/>
  <c r="AI574" i="13"/>
  <c r="AT574" i="13"/>
  <c r="AP574" i="13"/>
  <c r="AW574" i="13"/>
  <c r="AV574" i="13"/>
  <c r="AK574" i="13"/>
  <c r="BN598" i="13"/>
  <c r="BM598" i="13"/>
  <c r="BP605" i="13"/>
  <c r="BI605" i="13"/>
  <c r="BT605" i="13"/>
  <c r="BG592" i="13"/>
  <c r="BV580" i="13"/>
  <c r="BU593" i="13"/>
  <c r="BT589" i="13"/>
  <c r="BS601" i="13"/>
  <c r="BR594" i="13"/>
  <c r="BQ582" i="13"/>
  <c r="BP593" i="13"/>
  <c r="BO606" i="13"/>
  <c r="BN594" i="13"/>
  <c r="BI577" i="13"/>
  <c r="BE593" i="13"/>
  <c r="BR587" i="13"/>
  <c r="BN587" i="13"/>
  <c r="AL579" i="13"/>
  <c r="AM578" i="13"/>
  <c r="AK602" i="13"/>
  <c r="AJ602" i="13"/>
  <c r="AX590" i="13"/>
  <c r="AQ590" i="13"/>
  <c r="AN578" i="13"/>
  <c r="BV597" i="13"/>
  <c r="BP573" i="13"/>
  <c r="BM597" i="13"/>
  <c r="BL585" i="13"/>
  <c r="BJ585" i="13"/>
  <c r="BI579" i="13"/>
  <c r="AX602" i="13"/>
  <c r="AV597" i="13"/>
  <c r="AV585" i="13"/>
  <c r="AV573" i="13"/>
  <c r="AS585" i="13"/>
  <c r="AQ602" i="13"/>
  <c r="AO590" i="13"/>
  <c r="AM577" i="13"/>
  <c r="AL608" i="13"/>
  <c r="AK572" i="13"/>
  <c r="AO602" i="13"/>
  <c r="AN602" i="13"/>
  <c r="AL578" i="13"/>
  <c r="AQ597" i="13"/>
  <c r="AP602" i="13"/>
  <c r="AM602" i="13"/>
  <c r="AL590" i="13"/>
  <c r="AL577" i="13"/>
  <c r="AD607" i="13"/>
  <c r="BM585" i="13"/>
  <c r="BL597" i="13"/>
  <c r="BJ573" i="13"/>
  <c r="BF585" i="13"/>
  <c r="BD597" i="13"/>
  <c r="BA602" i="13"/>
  <c r="BA590" i="13"/>
  <c r="BA578" i="13"/>
  <c r="AT573" i="13"/>
  <c r="AR602" i="13"/>
  <c r="AR590" i="13"/>
  <c r="AR578" i="13"/>
  <c r="AQ596" i="13"/>
  <c r="AN584" i="13"/>
  <c r="AM601" i="13"/>
  <c r="AM584" i="13"/>
  <c r="AL589" i="13"/>
  <c r="AK608" i="13"/>
  <c r="AJ608" i="13"/>
  <c r="AJ578" i="13"/>
  <c r="AI590" i="13"/>
  <c r="AI572" i="13"/>
  <c r="AD592" i="13"/>
  <c r="AU602" i="13"/>
  <c r="AU590" i="13"/>
  <c r="AU578" i="13"/>
  <c r="AT585" i="13"/>
  <c r="AT572" i="13"/>
  <c r="AO596" i="13"/>
  <c r="AL602" i="13"/>
  <c r="AS578" i="13"/>
  <c r="AP596" i="13"/>
  <c r="AN596" i="13"/>
  <c r="BT591" i="13"/>
  <c r="BQ573" i="13"/>
  <c r="BN591" i="13"/>
  <c r="BM603" i="13"/>
  <c r="BM579" i="13"/>
  <c r="BK579" i="13"/>
  <c r="BH597" i="13"/>
  <c r="BG603" i="13"/>
  <c r="BD591" i="13"/>
  <c r="AW602" i="13"/>
  <c r="AW590" i="13"/>
  <c r="AW578" i="13"/>
  <c r="AT596" i="13"/>
  <c r="AS590" i="13"/>
  <c r="AL572" i="13"/>
  <c r="AE583" i="13"/>
  <c r="AW571" i="13"/>
  <c r="AJ570" i="13"/>
  <c r="BD570" i="13"/>
  <c r="BQ570" i="13"/>
  <c r="AZ570" i="13"/>
  <c r="BG570" i="13"/>
  <c r="AW570" i="13"/>
  <c r="AT570" i="13"/>
  <c r="AY569" i="13"/>
  <c r="BI568" i="13"/>
  <c r="BE566" i="13"/>
  <c r="BO565" i="13"/>
  <c r="BA562" i="13"/>
  <c r="AJ562" i="13"/>
  <c r="AV562" i="13"/>
  <c r="AQ562" i="13"/>
  <c r="BG560" i="13"/>
  <c r="BO560" i="13"/>
  <c r="BV560" i="13"/>
  <c r="BR560" i="13"/>
  <c r="BF560" i="13"/>
  <c r="BJ560" i="13"/>
  <c r="AX559" i="13"/>
  <c r="AJ559" i="13"/>
  <c r="BU559" i="13"/>
  <c r="AI559" i="13"/>
  <c r="BS559" i="13"/>
  <c r="BO559" i="13"/>
  <c r="BH559" i="13"/>
  <c r="BR559" i="13"/>
  <c r="AL559" i="13"/>
  <c r="AW568" i="13"/>
  <c r="AM568" i="13"/>
  <c r="AZ565" i="13"/>
  <c r="AT568" i="13"/>
  <c r="AA563" i="13"/>
  <c r="T562" i="13"/>
  <c r="V562" i="13" s="1"/>
  <c r="AZ563" i="13"/>
  <c r="AR566" i="13"/>
  <c r="AR565" i="13"/>
  <c r="BA568" i="13"/>
  <c r="AV568" i="13"/>
  <c r="AY568" i="13"/>
  <c r="AP563" i="13"/>
  <c r="AA570" i="13"/>
  <c r="AD570" i="13" s="1"/>
  <c r="AO568" i="13"/>
  <c r="AV566" i="13"/>
  <c r="BV570" i="13"/>
  <c r="BT563" i="13"/>
  <c r="BQ564" i="13"/>
  <c r="BM570" i="13"/>
  <c r="BD561" i="13"/>
  <c r="AY567" i="13"/>
  <c r="AV565" i="13"/>
  <c r="AM565" i="13"/>
  <c r="BV561" i="13"/>
  <c r="BT560" i="13"/>
  <c r="BQ560" i="13"/>
  <c r="BM564" i="13"/>
  <c r="BI570" i="13"/>
  <c r="AY565" i="13"/>
  <c r="AP565" i="13"/>
  <c r="AI567" i="13"/>
  <c r="AQ565" i="13"/>
  <c r="AL567" i="13"/>
  <c r="BS564" i="13"/>
  <c r="BI560" i="13"/>
  <c r="BE570" i="13"/>
  <c r="BA567" i="13"/>
  <c r="AL565" i="13"/>
  <c r="BO564" i="13"/>
  <c r="AJ567" i="13"/>
  <c r="AM566" i="13"/>
  <c r="BS561" i="13"/>
  <c r="BP560" i="13"/>
  <c r="BA566" i="13"/>
  <c r="AT567" i="13"/>
  <c r="AO567" i="13"/>
  <c r="AM567" i="13"/>
  <c r="BU570" i="13"/>
  <c r="BS560" i="13"/>
  <c r="BK570" i="13"/>
  <c r="BH561" i="13"/>
  <c r="BE561" i="13"/>
  <c r="BA565" i="13"/>
  <c r="AT566" i="13"/>
  <c r="AO566" i="13"/>
  <c r="AK567" i="13"/>
  <c r="BU561" i="13"/>
  <c r="BH560" i="13"/>
  <c r="BE560" i="13"/>
  <c r="AT565" i="13"/>
  <c r="AO565" i="13"/>
  <c r="AK566" i="13"/>
  <c r="AV567" i="13"/>
  <c r="AQ567" i="13"/>
  <c r="AJ565" i="13"/>
  <c r="AX565" i="13"/>
  <c r="BU560" i="13"/>
  <c r="BO570" i="13"/>
  <c r="BK560" i="13"/>
  <c r="AW567" i="13"/>
  <c r="AS565" i="13"/>
  <c r="AN565" i="13"/>
  <c r="AK565" i="13"/>
  <c r="AA625" i="13"/>
  <c r="Z625" i="13"/>
  <c r="AB625" i="13" s="1"/>
  <c r="AA613" i="13"/>
  <c r="Z613" i="13"/>
  <c r="AB613" i="13" s="1"/>
  <c r="AA589" i="13"/>
  <c r="AD589" i="13" s="1"/>
  <c r="Z589" i="13"/>
  <c r="AB589" i="13" s="1"/>
  <c r="AE598" i="13"/>
  <c r="U624" i="13"/>
  <c r="T624" i="13"/>
  <c r="V624" i="13" s="1"/>
  <c r="U612" i="13"/>
  <c r="T612" i="13"/>
  <c r="V612" i="13" s="1"/>
  <c r="U600" i="13"/>
  <c r="T600" i="13"/>
  <c r="V600" i="13" s="1"/>
  <c r="U588" i="13"/>
  <c r="T588" i="13"/>
  <c r="V588" i="13" s="1"/>
  <c r="U576" i="13"/>
  <c r="T576" i="13"/>
  <c r="V576" i="13" s="1"/>
  <c r="BE624" i="13"/>
  <c r="BG624" i="13"/>
  <c r="BI624" i="13"/>
  <c r="BK624" i="13"/>
  <c r="BN624" i="13"/>
  <c r="BV588" i="13"/>
  <c r="BN588" i="13"/>
  <c r="BV569" i="13"/>
  <c r="BU600" i="13"/>
  <c r="BL596" i="13"/>
  <c r="BG576" i="13"/>
  <c r="BU623" i="13"/>
  <c r="BD623" i="13"/>
  <c r="BF623" i="13"/>
  <c r="BH623" i="13"/>
  <c r="BM623" i="13"/>
  <c r="BE611" i="13"/>
  <c r="BG611" i="13"/>
  <c r="BI611" i="13"/>
  <c r="BK611" i="13"/>
  <c r="BU611" i="13"/>
  <c r="BM611" i="13"/>
  <c r="BU599" i="13"/>
  <c r="BE599" i="13"/>
  <c r="BG599" i="13"/>
  <c r="BI599" i="13"/>
  <c r="BK599" i="13"/>
  <c r="BM599" i="13"/>
  <c r="BU587" i="13"/>
  <c r="BE587" i="13"/>
  <c r="BG587" i="13"/>
  <c r="BI587" i="13"/>
  <c r="BK587" i="13"/>
  <c r="BD587" i="13"/>
  <c r="BF587" i="13"/>
  <c r="BH587" i="13"/>
  <c r="BJ587" i="13"/>
  <c r="BM587" i="13"/>
  <c r="BU575" i="13"/>
  <c r="BM575" i="13"/>
  <c r="AE594" i="13"/>
  <c r="Z577" i="13"/>
  <c r="AB577" i="13" s="1"/>
  <c r="BE612" i="13"/>
  <c r="BG612" i="13"/>
  <c r="BI612" i="13"/>
  <c r="BK612" i="13"/>
  <c r="BN612" i="13"/>
  <c r="BV576" i="13"/>
  <c r="BN576" i="13"/>
  <c r="BM569" i="13"/>
  <c r="AT569" i="13"/>
  <c r="AO569" i="13"/>
  <c r="BV565" i="13"/>
  <c r="BQ569" i="13"/>
  <c r="BM568" i="13"/>
  <c r="BK569" i="13"/>
  <c r="AK569" i="13"/>
  <c r="AJ561" i="13"/>
  <c r="BU612" i="13"/>
  <c r="BU572" i="13"/>
  <c r="BP612" i="13"/>
  <c r="BP599" i="13"/>
  <c r="BO588" i="13"/>
  <c r="BM612" i="13"/>
  <c r="BL624" i="13"/>
  <c r="BK608" i="13"/>
  <c r="BV600" i="13"/>
  <c r="BE600" i="13"/>
  <c r="BG600" i="13"/>
  <c r="BI600" i="13"/>
  <c r="BK600" i="13"/>
  <c r="BD600" i="13"/>
  <c r="BF600" i="13"/>
  <c r="BH600" i="13"/>
  <c r="BJ600" i="13"/>
  <c r="BN600" i="13"/>
  <c r="AM569" i="13"/>
  <c r="BR612" i="13"/>
  <c r="BR624" i="13"/>
  <c r="BR611" i="13"/>
  <c r="BM596" i="13"/>
  <c r="BI588" i="13"/>
  <c r="BH588" i="13"/>
  <c r="BG575" i="13"/>
  <c r="BF596" i="13"/>
  <c r="BF575" i="13"/>
  <c r="BE596" i="13"/>
  <c r="BD576" i="13"/>
  <c r="BT622" i="13"/>
  <c r="BL622" i="13"/>
  <c r="BT610" i="13"/>
  <c r="BD610" i="13"/>
  <c r="BF610" i="13"/>
  <c r="BH610" i="13"/>
  <c r="BL610" i="13"/>
  <c r="BE598" i="13"/>
  <c r="BG598" i="13"/>
  <c r="BI598" i="13"/>
  <c r="BK598" i="13"/>
  <c r="BT598" i="13"/>
  <c r="BL598" i="13"/>
  <c r="BT586" i="13"/>
  <c r="BE586" i="13"/>
  <c r="BG586" i="13"/>
  <c r="BI586" i="13"/>
  <c r="BK586" i="13"/>
  <c r="BL586" i="13"/>
  <c r="BL574" i="13"/>
  <c r="BT574" i="13"/>
  <c r="BE574" i="13"/>
  <c r="BG574" i="13"/>
  <c r="BI574" i="13"/>
  <c r="BK574" i="13"/>
  <c r="BD574" i="13"/>
  <c r="BF574" i="13"/>
  <c r="BH574" i="13"/>
  <c r="BJ574" i="13"/>
  <c r="BT569" i="13"/>
  <c r="BQ565" i="13"/>
  <c r="BO569" i="13"/>
  <c r="BM565" i="13"/>
  <c r="BK568" i="13"/>
  <c r="BI569" i="13"/>
  <c r="AY566" i="13"/>
  <c r="AW569" i="13"/>
  <c r="AQ566" i="13"/>
  <c r="AK568" i="13"/>
  <c r="AJ560" i="13"/>
  <c r="AA562" i="13"/>
  <c r="AD562" i="13" s="1"/>
  <c r="BU624" i="13"/>
  <c r="BU610" i="13"/>
  <c r="BU584" i="13"/>
  <c r="BS624" i="13"/>
  <c r="BS612" i="13"/>
  <c r="BS600" i="13"/>
  <c r="BS588" i="13"/>
  <c r="BS576" i="13"/>
  <c r="BR623" i="13"/>
  <c r="BR610" i="13"/>
  <c r="BQ629" i="13"/>
  <c r="BP624" i="13"/>
  <c r="BP611" i="13"/>
  <c r="BP598" i="13"/>
  <c r="BO587" i="13"/>
  <c r="BN599" i="13"/>
  <c r="BN584" i="13"/>
  <c r="BM610" i="13"/>
  <c r="BM595" i="13"/>
  <c r="BL623" i="13"/>
  <c r="BL608" i="13"/>
  <c r="BI584" i="13"/>
  <c r="BH608" i="13"/>
  <c r="BH586" i="13"/>
  <c r="BF595" i="13"/>
  <c r="BE576" i="13"/>
  <c r="BD575" i="13"/>
  <c r="AD626" i="13"/>
  <c r="BD564" i="13"/>
  <c r="BT576" i="13"/>
  <c r="BS586" i="13"/>
  <c r="BM624" i="13"/>
  <c r="BK622" i="13"/>
  <c r="BK588" i="13"/>
  <c r="BJ611" i="13"/>
  <c r="BF611" i="13"/>
  <c r="BD572" i="13"/>
  <c r="BI619" i="13"/>
  <c r="BQ619" i="13"/>
  <c r="BD619" i="13"/>
  <c r="BF619" i="13"/>
  <c r="BH619" i="13"/>
  <c r="BJ619" i="13"/>
  <c r="BO619" i="13"/>
  <c r="BK619" i="13"/>
  <c r="BI607" i="13"/>
  <c r="BQ607" i="13"/>
  <c r="BD607" i="13"/>
  <c r="BF607" i="13"/>
  <c r="BH607" i="13"/>
  <c r="BO607" i="13"/>
  <c r="BE607" i="13"/>
  <c r="BG607" i="13"/>
  <c r="BI595" i="13"/>
  <c r="BQ595" i="13"/>
  <c r="BO595" i="13"/>
  <c r="BI583" i="13"/>
  <c r="BQ583" i="13"/>
  <c r="BO583" i="13"/>
  <c r="T572" i="13"/>
  <c r="V572" i="13" s="1"/>
  <c r="BT562" i="13"/>
  <c r="BR570" i="13"/>
  <c r="BL570" i="13"/>
  <c r="BK559" i="13"/>
  <c r="BI559" i="13"/>
  <c r="BE565" i="13"/>
  <c r="BD562" i="13"/>
  <c r="AZ569" i="13"/>
  <c r="AX569" i="13"/>
  <c r="AW566" i="13"/>
  <c r="AU570" i="13"/>
  <c r="AT562" i="13"/>
  <c r="AQ561" i="13"/>
  <c r="AN569" i="13"/>
  <c r="AL571" i="13"/>
  <c r="AI568" i="13"/>
  <c r="T559" i="13"/>
  <c r="V559" i="13" s="1"/>
  <c r="BV587" i="13"/>
  <c r="BV574" i="13"/>
  <c r="BU620" i="13"/>
  <c r="BU607" i="13"/>
  <c r="BU581" i="13"/>
  <c r="BT588" i="13"/>
  <c r="BT575" i="13"/>
  <c r="BR619" i="13"/>
  <c r="BQ600" i="13"/>
  <c r="BQ587" i="13"/>
  <c r="BQ574" i="13"/>
  <c r="BP607" i="13"/>
  <c r="BP581" i="13"/>
  <c r="BO612" i="13"/>
  <c r="BO598" i="13"/>
  <c r="BO584" i="13"/>
  <c r="BN611" i="13"/>
  <c r="BN596" i="13"/>
  <c r="BM622" i="13"/>
  <c r="BM607" i="13"/>
  <c r="BM574" i="13"/>
  <c r="BL619" i="13"/>
  <c r="BL605" i="13"/>
  <c r="BL576" i="13"/>
  <c r="BK620" i="13"/>
  <c r="BK583" i="13"/>
  <c r="BJ610" i="13"/>
  <c r="BH622" i="13"/>
  <c r="BG623" i="13"/>
  <c r="BG588" i="13"/>
  <c r="BF588" i="13"/>
  <c r="BE629" i="13"/>
  <c r="BE610" i="13"/>
  <c r="BD612" i="13"/>
  <c r="Z601" i="13"/>
  <c r="AB601" i="13" s="1"/>
  <c r="U608" i="13"/>
  <c r="T608" i="13"/>
  <c r="V608" i="13" s="1"/>
  <c r="BG564" i="13"/>
  <c r="AU571" i="13"/>
  <c r="BS598" i="13"/>
  <c r="BM608" i="13"/>
  <c r="BM576" i="13"/>
  <c r="BL620" i="13"/>
  <c r="BH624" i="13"/>
  <c r="AX568" i="13"/>
  <c r="AU569" i="13"/>
  <c r="AQ560" i="13"/>
  <c r="BS572" i="13"/>
  <c r="BL575" i="13"/>
  <c r="BJ624" i="13"/>
  <c r="BH599" i="13"/>
  <c r="BG622" i="13"/>
  <c r="BF586" i="13"/>
  <c r="BG617" i="13"/>
  <c r="BH617" i="13"/>
  <c r="BJ617" i="13"/>
  <c r="BO617" i="13"/>
  <c r="BN617" i="13"/>
  <c r="BM617" i="13"/>
  <c r="BE617" i="13"/>
  <c r="BG581" i="13"/>
  <c r="BO581" i="13"/>
  <c r="BN581" i="13"/>
  <c r="BD581" i="13"/>
  <c r="BF581" i="13"/>
  <c r="BM581" i="13"/>
  <c r="BE581" i="13"/>
  <c r="BU569" i="13"/>
  <c r="BT559" i="13"/>
  <c r="BR565" i="13"/>
  <c r="BP570" i="13"/>
  <c r="BN570" i="13"/>
  <c r="BL568" i="13"/>
  <c r="BJ570" i="13"/>
  <c r="BH570" i="13"/>
  <c r="BF571" i="13"/>
  <c r="BE563" i="13"/>
  <c r="BD560" i="13"/>
  <c r="AZ567" i="13"/>
  <c r="AX567" i="13"/>
  <c r="AW559" i="13"/>
  <c r="AU568" i="13"/>
  <c r="AS570" i="13"/>
  <c r="AP568" i="13"/>
  <c r="AN567" i="13"/>
  <c r="AL569" i="13"/>
  <c r="AJ569" i="13"/>
  <c r="AI566" i="13"/>
  <c r="U561" i="13"/>
  <c r="BV623" i="13"/>
  <c r="BV611" i="13"/>
  <c r="BV598" i="13"/>
  <c r="BV572" i="13"/>
  <c r="BU605" i="13"/>
  <c r="BT612" i="13"/>
  <c r="BT599" i="13"/>
  <c r="BT572" i="13"/>
  <c r="BS619" i="13"/>
  <c r="BS607" i="13"/>
  <c r="BS595" i="13"/>
  <c r="BS583" i="13"/>
  <c r="BR617" i="13"/>
  <c r="BQ624" i="13"/>
  <c r="BQ611" i="13"/>
  <c r="BQ598" i="13"/>
  <c r="BQ572" i="13"/>
  <c r="BO624" i="13"/>
  <c r="BO610" i="13"/>
  <c r="BO596" i="13"/>
  <c r="BM588" i="13"/>
  <c r="BL617" i="13"/>
  <c r="BL588" i="13"/>
  <c r="BK617" i="13"/>
  <c r="BK581" i="13"/>
  <c r="BJ623" i="13"/>
  <c r="BJ607" i="13"/>
  <c r="BJ588" i="13"/>
  <c r="BH598" i="13"/>
  <c r="BG583" i="13"/>
  <c r="BE588" i="13"/>
  <c r="BD588" i="13"/>
  <c r="BF628" i="13"/>
  <c r="BN628" i="13"/>
  <c r="BM628" i="13"/>
  <c r="BL628" i="13"/>
  <c r="BF616" i="13"/>
  <c r="BN616" i="13"/>
  <c r="BM616" i="13"/>
  <c r="BL616" i="13"/>
  <c r="BG616" i="13"/>
  <c r="BF604" i="13"/>
  <c r="BH604" i="13"/>
  <c r="BJ604" i="13"/>
  <c r="BN604" i="13"/>
  <c r="BM604" i="13"/>
  <c r="BL604" i="13"/>
  <c r="BE604" i="13"/>
  <c r="BF592" i="13"/>
  <c r="BD592" i="13"/>
  <c r="BN592" i="13"/>
  <c r="BH592" i="13"/>
  <c r="BJ592" i="13"/>
  <c r="BM592" i="13"/>
  <c r="BL592" i="13"/>
  <c r="BF580" i="13"/>
  <c r="BN580" i="13"/>
  <c r="BD580" i="13"/>
  <c r="BM580" i="13"/>
  <c r="BH580" i="13"/>
  <c r="BJ580" i="13"/>
  <c r="BL580" i="13"/>
  <c r="BG580" i="13"/>
  <c r="BI580" i="13"/>
  <c r="BK580" i="13"/>
  <c r="BG569" i="13"/>
  <c r="BE569" i="13"/>
  <c r="BQ576" i="13"/>
  <c r="BO600" i="13"/>
  <c r="BJ612" i="13"/>
  <c r="BJ576" i="13"/>
  <c r="BF612" i="13"/>
  <c r="BJ620" i="13"/>
  <c r="BR620" i="13"/>
  <c r="BD620" i="13"/>
  <c r="BF620" i="13"/>
  <c r="BH620" i="13"/>
  <c r="BP620" i="13"/>
  <c r="BE620" i="13"/>
  <c r="BG620" i="13"/>
  <c r="BI620" i="13"/>
  <c r="BJ608" i="13"/>
  <c r="BR608" i="13"/>
  <c r="BP608" i="13"/>
  <c r="BJ596" i="13"/>
  <c r="BR596" i="13"/>
  <c r="BP596" i="13"/>
  <c r="BJ584" i="13"/>
  <c r="BK584" i="13"/>
  <c r="BR584" i="13"/>
  <c r="BP584" i="13"/>
  <c r="BD584" i="13"/>
  <c r="BF584" i="13"/>
  <c r="BH584" i="13"/>
  <c r="BJ572" i="13"/>
  <c r="BE572" i="13"/>
  <c r="BG572" i="13"/>
  <c r="BI572" i="13"/>
  <c r="BR572" i="13"/>
  <c r="BK572" i="13"/>
  <c r="BP572" i="13"/>
  <c r="U596" i="13"/>
  <c r="T596" i="13"/>
  <c r="V596" i="13" s="1"/>
  <c r="U584" i="13"/>
  <c r="T584" i="13"/>
  <c r="V584" i="13" s="1"/>
  <c r="BU608" i="13"/>
  <c r="BS622" i="13"/>
  <c r="BS574" i="13"/>
  <c r="BO599" i="13"/>
  <c r="BL569" i="13"/>
  <c r="BT600" i="13"/>
  <c r="BS620" i="13"/>
  <c r="BS596" i="13"/>
  <c r="BQ599" i="13"/>
  <c r="BP619" i="13"/>
  <c r="BN610" i="13"/>
  <c r="BG629" i="13"/>
  <c r="BO629" i="13"/>
  <c r="BN629" i="13"/>
  <c r="BM629" i="13"/>
  <c r="BG605" i="13"/>
  <c r="BD605" i="13"/>
  <c r="BF605" i="13"/>
  <c r="BO605" i="13"/>
  <c r="BH605" i="13"/>
  <c r="BJ605" i="13"/>
  <c r="BN605" i="13"/>
  <c r="BM605" i="13"/>
  <c r="BU568" i="13"/>
  <c r="BS571" i="13"/>
  <c r="BR564" i="13"/>
  <c r="BP565" i="13"/>
  <c r="BN569" i="13"/>
  <c r="BL565" i="13"/>
  <c r="BJ569" i="13"/>
  <c r="BH569" i="13"/>
  <c r="BF570" i="13"/>
  <c r="BE562" i="13"/>
  <c r="BD559" i="13"/>
  <c r="AZ566" i="13"/>
  <c r="AX566" i="13"/>
  <c r="AV571" i="13"/>
  <c r="AU567" i="13"/>
  <c r="AS566" i="13"/>
  <c r="AP567" i="13"/>
  <c r="AN566" i="13"/>
  <c r="AL568" i="13"/>
  <c r="AJ568" i="13"/>
  <c r="AI563" i="13"/>
  <c r="Z559" i="13"/>
  <c r="AB559" i="13" s="1"/>
  <c r="BV622" i="13"/>
  <c r="BV610" i="13"/>
  <c r="BV584" i="13"/>
  <c r="BU617" i="13"/>
  <c r="BT624" i="13"/>
  <c r="BT611" i="13"/>
  <c r="BT584" i="13"/>
  <c r="BR629" i="13"/>
  <c r="BQ623" i="13"/>
  <c r="BQ610" i="13"/>
  <c r="BQ584" i="13"/>
  <c r="BP617" i="13"/>
  <c r="BO623" i="13"/>
  <c r="BN623" i="13"/>
  <c r="BN608" i="13"/>
  <c r="BN575" i="13"/>
  <c r="BM619" i="13"/>
  <c r="BM586" i="13"/>
  <c r="BL587" i="13"/>
  <c r="BL572" i="13"/>
  <c r="BJ622" i="13"/>
  <c r="BJ586" i="13"/>
  <c r="BI576" i="13"/>
  <c r="BH576" i="13"/>
  <c r="BG619" i="13"/>
  <c r="BF624" i="13"/>
  <c r="BF583" i="13"/>
  <c r="BE584" i="13"/>
  <c r="BD608" i="13"/>
  <c r="BD586" i="13"/>
  <c r="AE579" i="13"/>
  <c r="BV575" i="13"/>
  <c r="BS610" i="13"/>
  <c r="BQ588" i="13"/>
  <c r="BQ575" i="13"/>
  <c r="BJ575" i="13"/>
  <c r="BR569" i="13"/>
  <c r="AS571" i="13"/>
  <c r="AN568" i="13"/>
  <c r="BV624" i="13"/>
  <c r="BV612" i="13"/>
  <c r="BV586" i="13"/>
  <c r="BU619" i="13"/>
  <c r="BT587" i="13"/>
  <c r="BS608" i="13"/>
  <c r="BS584" i="13"/>
  <c r="BQ612" i="13"/>
  <c r="BQ586" i="13"/>
  <c r="BO611" i="13"/>
  <c r="BF608" i="13"/>
  <c r="BD611" i="13"/>
  <c r="BG593" i="13"/>
  <c r="BO593" i="13"/>
  <c r="BD593" i="13"/>
  <c r="BF593" i="13"/>
  <c r="BN593" i="13"/>
  <c r="BH593" i="13"/>
  <c r="BJ593" i="13"/>
  <c r="BM593" i="13"/>
  <c r="BI593" i="13"/>
  <c r="BK593" i="13"/>
  <c r="BP564" i="13"/>
  <c r="BL564" i="13"/>
  <c r="BH568" i="13"/>
  <c r="BF569" i="13"/>
  <c r="AV570" i="13"/>
  <c r="AU566" i="13"/>
  <c r="AP566" i="13"/>
  <c r="AI562" i="13"/>
  <c r="BV596" i="13"/>
  <c r="BV583" i="13"/>
  <c r="BU629" i="13"/>
  <c r="BT623" i="13"/>
  <c r="BT596" i="13"/>
  <c r="BT583" i="13"/>
  <c r="BS629" i="13"/>
  <c r="BS617" i="13"/>
  <c r="BS605" i="13"/>
  <c r="BS593" i="13"/>
  <c r="BS581" i="13"/>
  <c r="BR576" i="13"/>
  <c r="BQ622" i="13"/>
  <c r="BQ596" i="13"/>
  <c r="BP629" i="13"/>
  <c r="BO622" i="13"/>
  <c r="BO608" i="13"/>
  <c r="BN622" i="13"/>
  <c r="BN607" i="13"/>
  <c r="BN574" i="13"/>
  <c r="BL629" i="13"/>
  <c r="BL600" i="13"/>
  <c r="BK596" i="13"/>
  <c r="BI610" i="13"/>
  <c r="BI575" i="13"/>
  <c r="BH596" i="13"/>
  <c r="BH575" i="13"/>
  <c r="BF622" i="13"/>
  <c r="BE623" i="13"/>
  <c r="BE605" i="13"/>
  <c r="BE583" i="13"/>
  <c r="AY559" i="13"/>
  <c r="AI569" i="13"/>
  <c r="U566" i="13"/>
  <c r="AD566" i="13" s="1"/>
  <c r="BP622" i="13"/>
  <c r="BE564" i="13"/>
  <c r="AZ568" i="13"/>
  <c r="BV599" i="13"/>
  <c r="BN595" i="13"/>
  <c r="BS569" i="13"/>
  <c r="BN564" i="13"/>
  <c r="BA569" i="13"/>
  <c r="AX560" i="13"/>
  <c r="AU561" i="13"/>
  <c r="AS560" i="13"/>
  <c r="AM571" i="13"/>
  <c r="AL566" i="13"/>
  <c r="AI561" i="13"/>
  <c r="BV620" i="13"/>
  <c r="BV608" i="13"/>
  <c r="BV595" i="13"/>
  <c r="BU576" i="13"/>
  <c r="BT608" i="13"/>
  <c r="BT595" i="13"/>
  <c r="BR588" i="13"/>
  <c r="BR575" i="13"/>
  <c r="BQ608" i="13"/>
  <c r="BQ581" i="13"/>
  <c r="BP576" i="13"/>
  <c r="BM600" i="13"/>
  <c r="BM584" i="13"/>
  <c r="BL599" i="13"/>
  <c r="BL584" i="13"/>
  <c r="BK629" i="13"/>
  <c r="BK595" i="13"/>
  <c r="BJ583" i="13"/>
  <c r="BH595" i="13"/>
  <c r="BG596" i="13"/>
  <c r="BF599" i="13"/>
  <c r="BE622" i="13"/>
  <c r="BD624" i="13"/>
  <c r="BD583" i="13"/>
  <c r="AQ625" i="13"/>
  <c r="AP625" i="13"/>
  <c r="AN625" i="13"/>
  <c r="AK625" i="13"/>
  <c r="AJ625" i="13"/>
  <c r="AI625" i="13"/>
  <c r="AQ613" i="13"/>
  <c r="AP613" i="13"/>
  <c r="AN613" i="13"/>
  <c r="AK613" i="13"/>
  <c r="AJ613" i="13"/>
  <c r="AI613" i="13"/>
  <c r="AQ601" i="13"/>
  <c r="AP601" i="13"/>
  <c r="AN601" i="13"/>
  <c r="AK601" i="13"/>
  <c r="AJ601" i="13"/>
  <c r="AI601" i="13"/>
  <c r="AQ589" i="13"/>
  <c r="AP589" i="13"/>
  <c r="AN589" i="13"/>
  <c r="AK589" i="13"/>
  <c r="AJ589" i="13"/>
  <c r="AI589" i="13"/>
  <c r="AQ577" i="13"/>
  <c r="AP577" i="13"/>
  <c r="AN577" i="13"/>
  <c r="AK577" i="13"/>
  <c r="AJ577" i="13"/>
  <c r="AI577" i="13"/>
  <c r="BE594" i="13"/>
  <c r="AL601" i="13"/>
  <c r="AO621" i="13"/>
  <c r="AN621" i="13"/>
  <c r="AM621" i="13"/>
  <c r="AL621" i="13"/>
  <c r="AX621" i="13"/>
  <c r="AJ621" i="13"/>
  <c r="AO609" i="13"/>
  <c r="AN609" i="13"/>
  <c r="AM609" i="13"/>
  <c r="AL609" i="13"/>
  <c r="AX609" i="13"/>
  <c r="AJ609" i="13"/>
  <c r="AO597" i="13"/>
  <c r="AN597" i="13"/>
  <c r="AM597" i="13"/>
  <c r="AL597" i="13"/>
  <c r="AX597" i="13"/>
  <c r="AJ597" i="13"/>
  <c r="AO585" i="13"/>
  <c r="AN585" i="13"/>
  <c r="AM585" i="13"/>
  <c r="AL585" i="13"/>
  <c r="AX585" i="13"/>
  <c r="AJ585" i="13"/>
  <c r="AO573" i="13"/>
  <c r="AN573" i="13"/>
  <c r="AM573" i="13"/>
  <c r="AL573" i="13"/>
  <c r="AX573" i="13"/>
  <c r="AJ573" i="13"/>
  <c r="AI573" i="13"/>
  <c r="AE582" i="13"/>
  <c r="AA629" i="13"/>
  <c r="Z629" i="13"/>
  <c r="AB629" i="13" s="1"/>
  <c r="AA617" i="13"/>
  <c r="Z617" i="13"/>
  <c r="AB617" i="13" s="1"/>
  <c r="AA605" i="13"/>
  <c r="AD605" i="13" s="1"/>
  <c r="Z605" i="13"/>
  <c r="AB605" i="13" s="1"/>
  <c r="AA593" i="13"/>
  <c r="AD593" i="13" s="1"/>
  <c r="Z593" i="13"/>
  <c r="AB593" i="13" s="1"/>
  <c r="AA581" i="13"/>
  <c r="Z581" i="13"/>
  <c r="AB581" i="13" s="1"/>
  <c r="BF594" i="13"/>
  <c r="BD594" i="13"/>
  <c r="AS625" i="13"/>
  <c r="AS613" i="13"/>
  <c r="AS601" i="13"/>
  <c r="AS589" i="13"/>
  <c r="AS577" i="13"/>
  <c r="AQ609" i="13"/>
  <c r="AP585" i="13"/>
  <c r="AI585" i="13"/>
  <c r="BF606" i="13"/>
  <c r="BD606" i="13"/>
  <c r="AT625" i="13"/>
  <c r="AT613" i="13"/>
  <c r="AT601" i="13"/>
  <c r="AT589" i="13"/>
  <c r="AT577" i="13"/>
  <c r="AQ621" i="13"/>
  <c r="AO601" i="13"/>
  <c r="AM589" i="13"/>
  <c r="AK573" i="13"/>
  <c r="AE610" i="13"/>
  <c r="BJ630" i="13"/>
  <c r="BJ591" i="13"/>
  <c r="BJ578" i="13"/>
  <c r="BI585" i="13"/>
  <c r="BH591" i="13"/>
  <c r="BH578" i="13"/>
  <c r="BG585" i="13"/>
  <c r="BF618" i="13"/>
  <c r="BF591" i="13"/>
  <c r="BF578" i="13"/>
  <c r="BE585" i="13"/>
  <c r="BD618" i="13"/>
  <c r="BD579" i="13"/>
  <c r="AP597" i="13"/>
  <c r="AK585" i="13"/>
  <c r="AI597" i="13"/>
  <c r="AI624" i="13"/>
  <c r="AI612" i="13"/>
  <c r="AI600" i="13"/>
  <c r="AI588" i="13"/>
  <c r="AI576" i="13"/>
  <c r="Z628" i="13"/>
  <c r="AB628" i="13" s="1"/>
  <c r="Z616" i="13"/>
  <c r="AB616" i="13" s="1"/>
  <c r="Z604" i="13"/>
  <c r="AB604" i="13" s="1"/>
  <c r="Z592" i="13"/>
  <c r="AB592" i="13" s="1"/>
  <c r="Z580" i="13"/>
  <c r="AB580" i="13" s="1"/>
  <c r="T623" i="13"/>
  <c r="V623" i="13" s="1"/>
  <c r="T611" i="13"/>
  <c r="V611" i="13" s="1"/>
  <c r="T599" i="13"/>
  <c r="V599" i="13" s="1"/>
  <c r="T587" i="13"/>
  <c r="V587" i="13" s="1"/>
  <c r="T575" i="13"/>
  <c r="V575" i="13" s="1"/>
  <c r="AJ624" i="13"/>
  <c r="AJ612" i="13"/>
  <c r="AJ600" i="13"/>
  <c r="AJ588" i="13"/>
  <c r="AJ576" i="13"/>
  <c r="AM624" i="13"/>
  <c r="AM612" i="13"/>
  <c r="AM600" i="13"/>
  <c r="AM588" i="13"/>
  <c r="AM576" i="13"/>
  <c r="AO624" i="13"/>
  <c r="AO612" i="13"/>
  <c r="AO600" i="13"/>
  <c r="AO588" i="13"/>
  <c r="AO576" i="13"/>
  <c r="AE561" i="13"/>
  <c r="AE569" i="13"/>
  <c r="AY571" i="13"/>
  <c r="AV561" i="13"/>
  <c r="AU560" i="13"/>
  <c r="AT561" i="13"/>
  <c r="AS559" i="13"/>
  <c r="AK571" i="13"/>
  <c r="BV568" i="13"/>
  <c r="BU566" i="13"/>
  <c r="BT561" i="13"/>
  <c r="BP567" i="13"/>
  <c r="BO568" i="13"/>
  <c r="BN568" i="13"/>
  <c r="BM566" i="13"/>
  <c r="BI562" i="13"/>
  <c r="BG565" i="13"/>
  <c r="BS565" i="13"/>
  <c r="BI565" i="13"/>
  <c r="BJ565" i="13"/>
  <c r="BH565" i="13"/>
  <c r="BT565" i="13"/>
  <c r="BU565" i="13"/>
  <c r="BA564" i="13"/>
  <c r="AY570" i="13"/>
  <c r="AW561" i="13"/>
  <c r="AV560" i="13"/>
  <c r="AU559" i="13"/>
  <c r="AT560" i="13"/>
  <c r="AR571" i="13"/>
  <c r="AQ564" i="13"/>
  <c r="Z571" i="13"/>
  <c r="AB571" i="13" s="1"/>
  <c r="AD571" i="13"/>
  <c r="AD559" i="13"/>
  <c r="BV567" i="13"/>
  <c r="BO567" i="13"/>
  <c r="BF565" i="13"/>
  <c r="BH564" i="13"/>
  <c r="BT564" i="13"/>
  <c r="BJ564" i="13"/>
  <c r="BV564" i="13"/>
  <c r="BK564" i="13"/>
  <c r="BI564" i="13"/>
  <c r="BU564" i="13"/>
  <c r="BA563" i="13"/>
  <c r="AV559" i="13"/>
  <c r="AT559" i="13"/>
  <c r="BE567" i="13"/>
  <c r="BQ567" i="13"/>
  <c r="BG567" i="13"/>
  <c r="BH567" i="13"/>
  <c r="BF567" i="13"/>
  <c r="BR567" i="13"/>
  <c r="BS567" i="13"/>
  <c r="Z560" i="13"/>
  <c r="AB560" i="13" s="1"/>
  <c r="AA560" i="13"/>
  <c r="AD560" i="13" s="1"/>
  <c r="T565" i="13"/>
  <c r="V565" i="13" s="1"/>
  <c r="U565" i="13"/>
  <c r="AD565" i="13" s="1"/>
  <c r="BU567" i="13"/>
  <c r="BM567" i="13"/>
  <c r="BI567" i="13"/>
  <c r="BF566" i="13"/>
  <c r="BR566" i="13"/>
  <c r="BH566" i="13"/>
  <c r="BI566" i="13"/>
  <c r="BG566" i="13"/>
  <c r="BS566" i="13"/>
  <c r="BT566" i="13"/>
  <c r="BV566" i="13"/>
  <c r="BQ566" i="13"/>
  <c r="BO566" i="13"/>
  <c r="BN566" i="13"/>
  <c r="BJ567" i="13"/>
  <c r="BI563" i="13"/>
  <c r="BU563" i="13"/>
  <c r="BK563" i="13"/>
  <c r="BL563" i="13"/>
  <c r="BJ563" i="13"/>
  <c r="BV563" i="13"/>
  <c r="AI564" i="13"/>
  <c r="AU564" i="13"/>
  <c r="AW564" i="13"/>
  <c r="AL564" i="13"/>
  <c r="AX564" i="13"/>
  <c r="AJ564" i="13"/>
  <c r="AV564" i="13"/>
  <c r="AK564" i="13"/>
  <c r="BM563" i="13"/>
  <c r="BJ566" i="13"/>
  <c r="BF563" i="13"/>
  <c r="BJ562" i="13"/>
  <c r="BV562" i="13"/>
  <c r="BL562" i="13"/>
  <c r="BM562" i="13"/>
  <c r="BK562" i="13"/>
  <c r="AR564" i="13"/>
  <c r="AN564" i="13"/>
  <c r="AJ563" i="13"/>
  <c r="AV563" i="13"/>
  <c r="AX563" i="13"/>
  <c r="AM563" i="13"/>
  <c r="AY563" i="13"/>
  <c r="AK563" i="13"/>
  <c r="AW563" i="13"/>
  <c r="AL563" i="13"/>
  <c r="Z568" i="13"/>
  <c r="AB568" i="13" s="1"/>
  <c r="BP563" i="13"/>
  <c r="BF562" i="13"/>
  <c r="BK561" i="13"/>
  <c r="BM561" i="13"/>
  <c r="BL561" i="13"/>
  <c r="AR563" i="13"/>
  <c r="AN563" i="13"/>
  <c r="AK562" i="13"/>
  <c r="AW562" i="13"/>
  <c r="AY562" i="13"/>
  <c r="AN562" i="13"/>
  <c r="AZ562" i="13"/>
  <c r="AL562" i="13"/>
  <c r="AX562" i="13"/>
  <c r="AM562" i="13"/>
  <c r="Z567" i="13"/>
  <c r="AB567" i="13" s="1"/>
  <c r="BQ563" i="13"/>
  <c r="BP562" i="13"/>
  <c r="BO563" i="13"/>
  <c r="BN563" i="13"/>
  <c r="BK567" i="13"/>
  <c r="BG563" i="13"/>
  <c r="BF561" i="13"/>
  <c r="AR562" i="13"/>
  <c r="AL561" i="13"/>
  <c r="AX561" i="13"/>
  <c r="AZ561" i="13"/>
  <c r="AO561" i="13"/>
  <c r="BA561" i="13"/>
  <c r="AM561" i="13"/>
  <c r="AY561" i="13"/>
  <c r="AN561" i="13"/>
  <c r="Z566" i="13"/>
  <c r="AB566" i="13" s="1"/>
  <c r="T571" i="13"/>
  <c r="V571" i="13" s="1"/>
  <c r="BR563" i="13"/>
  <c r="BQ562" i="13"/>
  <c r="BP561" i="13"/>
  <c r="BO562" i="13"/>
  <c r="BN562" i="13"/>
  <c r="BK566" i="13"/>
  <c r="BG562" i="13"/>
  <c r="AY564" i="13"/>
  <c r="AS564" i="13"/>
  <c r="AR561" i="13"/>
  <c r="AO564" i="13"/>
  <c r="AK561" i="13"/>
  <c r="AM560" i="13"/>
  <c r="AY560" i="13"/>
  <c r="BA560" i="13"/>
  <c r="AP560" i="13"/>
  <c r="AN560" i="13"/>
  <c r="AZ560" i="13"/>
  <c r="AO560" i="13"/>
  <c r="Z565" i="13"/>
  <c r="AB565" i="13" s="1"/>
  <c r="T570" i="13"/>
  <c r="V570" i="13" s="1"/>
  <c r="BR562" i="13"/>
  <c r="BQ561" i="13"/>
  <c r="BO561" i="13"/>
  <c r="BN561" i="13"/>
  <c r="BG561" i="13"/>
  <c r="AS563" i="13"/>
  <c r="AR560" i="13"/>
  <c r="AO563" i="13"/>
  <c r="AK560" i="13"/>
  <c r="AN571" i="13"/>
  <c r="AZ571" i="13"/>
  <c r="AQ571" i="13"/>
  <c r="AO571" i="13"/>
  <c r="BA571" i="13"/>
  <c r="AP571" i="13"/>
  <c r="AN559" i="13"/>
  <c r="AZ559" i="13"/>
  <c r="AQ559" i="13"/>
  <c r="AO559" i="13"/>
  <c r="BA559" i="13"/>
  <c r="AP559" i="13"/>
  <c r="BS563" i="13"/>
  <c r="BR561" i="13"/>
  <c r="BL567" i="13"/>
  <c r="BH563" i="13"/>
  <c r="AX571" i="13"/>
  <c r="AU563" i="13"/>
  <c r="AT564" i="13"/>
  <c r="AS562" i="13"/>
  <c r="AR559" i="13"/>
  <c r="AO562" i="13"/>
  <c r="AK559" i="13"/>
  <c r="AI571" i="13"/>
  <c r="AO570" i="13"/>
  <c r="BA570" i="13"/>
  <c r="AR570" i="13"/>
  <c r="AP570" i="13"/>
  <c r="AQ570" i="13"/>
  <c r="BT567" i="13"/>
  <c r="BS562" i="13"/>
  <c r="BL566" i="13"/>
  <c r="BH562" i="13"/>
  <c r="BD567" i="13"/>
  <c r="BD568" i="13"/>
  <c r="BP568" i="13"/>
  <c r="BF568" i="13"/>
  <c r="BR568" i="13"/>
  <c r="BG568" i="13"/>
  <c r="BE568" i="13"/>
  <c r="BQ568" i="13"/>
  <c r="AZ564" i="13"/>
  <c r="AX570" i="13"/>
  <c r="AU562" i="13"/>
  <c r="AT563" i="13"/>
  <c r="AS561" i="13"/>
  <c r="AP564" i="13"/>
  <c r="AN570" i="13"/>
  <c r="AL560" i="13"/>
  <c r="AJ571" i="13"/>
  <c r="AI570" i="13"/>
  <c r="AP569" i="13"/>
  <c r="AS569" i="13"/>
  <c r="AQ569" i="13"/>
  <c r="AR569" i="13"/>
  <c r="AS568" i="13"/>
  <c r="BP569" i="13"/>
  <c r="BN571" i="13"/>
  <c r="BN559" i="13"/>
  <c r="BM560" i="13"/>
  <c r="AU565" i="13"/>
  <c r="AS567" i="13"/>
  <c r="AR568" i="13"/>
  <c r="BN560" i="13"/>
  <c r="AD13" i="13" l="1"/>
  <c r="AE18" i="13"/>
  <c r="AD20" i="13"/>
  <c r="AD10" i="13"/>
  <c r="AD11" i="13"/>
  <c r="AD17" i="13"/>
  <c r="AE25" i="13"/>
  <c r="AE26" i="13"/>
  <c r="AE22" i="13"/>
  <c r="AE14" i="13"/>
  <c r="AD19" i="13"/>
  <c r="AD9" i="13"/>
  <c r="AE16" i="13"/>
  <c r="AD15" i="13"/>
  <c r="AD23" i="13"/>
  <c r="AE21" i="13"/>
  <c r="AE8" i="13"/>
  <c r="AE11" i="13"/>
  <c r="AE15" i="13"/>
  <c r="AD584" i="13"/>
  <c r="AE656" i="13"/>
  <c r="AD617" i="13"/>
  <c r="AD597" i="13"/>
  <c r="AD652" i="13"/>
  <c r="AD598" i="13"/>
  <c r="AD569" i="13"/>
  <c r="AE622" i="13"/>
  <c r="AD668" i="13"/>
  <c r="AD649" i="13"/>
  <c r="AD629" i="13"/>
  <c r="AD582" i="13"/>
  <c r="AE657" i="13"/>
  <c r="AD596" i="13"/>
  <c r="AD588" i="13"/>
  <c r="AE586" i="13"/>
  <c r="AE603" i="13"/>
  <c r="AD612" i="13"/>
  <c r="AD667" i="13"/>
  <c r="AD641" i="13"/>
  <c r="AE653" i="13"/>
  <c r="AD640" i="13"/>
  <c r="AD594" i="13"/>
  <c r="AE602" i="13"/>
  <c r="AE646" i="13"/>
  <c r="AE630" i="13"/>
  <c r="AD583" i="13"/>
  <c r="AD639" i="13"/>
  <c r="AD658" i="13"/>
  <c r="AD637" i="13"/>
  <c r="AD669" i="13"/>
  <c r="AD654" i="13"/>
  <c r="AD600" i="13"/>
  <c r="AD610" i="13"/>
  <c r="AD585" i="13"/>
  <c r="AD613" i="13"/>
  <c r="AD576" i="13"/>
  <c r="AD579" i="13"/>
  <c r="AD670" i="13"/>
  <c r="AD663" i="13"/>
  <c r="AD608" i="13"/>
  <c r="AD674" i="13"/>
  <c r="AD644" i="13"/>
  <c r="AE591" i="13"/>
  <c r="AE647" i="13"/>
  <c r="AD561" i="13"/>
  <c r="AD651" i="13"/>
  <c r="AD631" i="13"/>
  <c r="AD563" i="13"/>
  <c r="AD625" i="13"/>
  <c r="AE670" i="13"/>
  <c r="AE595" i="13"/>
  <c r="AE671" i="13"/>
  <c r="AD672" i="13"/>
  <c r="AD665" i="13"/>
  <c r="AE664" i="13"/>
  <c r="AE675" i="13"/>
  <c r="AE673" i="13"/>
  <c r="AD666" i="13"/>
  <c r="AE659" i="13"/>
  <c r="AE661" i="13"/>
  <c r="AE672" i="13"/>
  <c r="AE652" i="13"/>
  <c r="AE649" i="13"/>
  <c r="AE642" i="13"/>
  <c r="AE626" i="13"/>
  <c r="AD638" i="13"/>
  <c r="AE562" i="13"/>
  <c r="AE643" i="13"/>
  <c r="AD662" i="13"/>
  <c r="AE563" i="13"/>
  <c r="AE662" i="13"/>
  <c r="AD581" i="13"/>
  <c r="AE585" i="13"/>
  <c r="AE590" i="13"/>
  <c r="AE641" i="13"/>
  <c r="AE620" i="13"/>
  <c r="AD624" i="13"/>
  <c r="AE564" i="13"/>
  <c r="AE637" i="13"/>
  <c r="AE660" i="13"/>
  <c r="AD578" i="13"/>
  <c r="AE609" i="13"/>
  <c r="AE614" i="13"/>
  <c r="AE648" i="13"/>
  <c r="AE666" i="13"/>
  <c r="AE627" i="13"/>
  <c r="AE636" i="13"/>
  <c r="AD650" i="13"/>
  <c r="AE654" i="13"/>
  <c r="AE631" i="13"/>
  <c r="AE655" i="13"/>
  <c r="AE633" i="13"/>
  <c r="AE644" i="13"/>
  <c r="AD634" i="13"/>
  <c r="AE607" i="13"/>
  <c r="AE634" i="13"/>
  <c r="AD645" i="13"/>
  <c r="AE645" i="13"/>
  <c r="AE632" i="13"/>
  <c r="AE615" i="13"/>
  <c r="AE618" i="13"/>
  <c r="AE619" i="13"/>
  <c r="AE608" i="13"/>
  <c r="AE574" i="13"/>
  <c r="AE606" i="13"/>
  <c r="AE575" i="13"/>
  <c r="AE596" i="13"/>
  <c r="AE559" i="13"/>
  <c r="AE589" i="13"/>
  <c r="AE623" i="13"/>
  <c r="AE587" i="13"/>
  <c r="AE600" i="13"/>
  <c r="AE625" i="13"/>
  <c r="AE580" i="13"/>
  <c r="AE588" i="13"/>
  <c r="AE576" i="13"/>
  <c r="AE613" i="13"/>
  <c r="AE581" i="13"/>
  <c r="AE604" i="13"/>
  <c r="AE628" i="13"/>
  <c r="AE584" i="13"/>
  <c r="AE601" i="13"/>
  <c r="AE612" i="13"/>
  <c r="AE629" i="13"/>
  <c r="AE572" i="13"/>
  <c r="AE577" i="13"/>
  <c r="AE605" i="13"/>
  <c r="AE599" i="13"/>
  <c r="AE611" i="13"/>
  <c r="AE592" i="13"/>
  <c r="AE593" i="13"/>
  <c r="AE624" i="13"/>
  <c r="AE616" i="13"/>
  <c r="AE617" i="13"/>
  <c r="AE567" i="13"/>
  <c r="AE570" i="13"/>
  <c r="AE568" i="13"/>
  <c r="AE566" i="13"/>
  <c r="AE560" i="13"/>
  <c r="AE571" i="13"/>
  <c r="AE565" i="13"/>
  <c r="D24" i="19" l="1"/>
  <c r="F43" i="38" l="1"/>
  <c r="H43" i="38" s="1"/>
  <c r="I43" i="38" s="1"/>
  <c r="B43" i="38"/>
  <c r="F38" i="38"/>
  <c r="H38" i="38" s="1"/>
  <c r="I38" i="38" s="1"/>
  <c r="B38" i="38"/>
  <c r="F37" i="38"/>
  <c r="H37" i="38" s="1"/>
  <c r="I37" i="38" s="1"/>
  <c r="B37" i="38"/>
  <c r="F31" i="38"/>
  <c r="H31" i="38" s="1"/>
  <c r="I31" i="38" s="1"/>
  <c r="B31" i="38"/>
  <c r="F29" i="38"/>
  <c r="H29" i="38" s="1"/>
  <c r="I29" i="38" s="1"/>
  <c r="B29" i="38"/>
  <c r="F28" i="38"/>
  <c r="H28" i="38" s="1"/>
  <c r="I28" i="38" s="1"/>
  <c r="B28" i="38"/>
  <c r="F23" i="38"/>
  <c r="H23" i="38" s="1"/>
  <c r="I23" i="38" s="1"/>
  <c r="B23" i="38"/>
  <c r="F22" i="38"/>
  <c r="H22" i="38" s="1"/>
  <c r="I22" i="38" s="1"/>
  <c r="B22" i="38"/>
  <c r="D15" i="32"/>
  <c r="B15" i="32"/>
  <c r="P5" i="13"/>
  <c r="P6" i="13"/>
  <c r="P7"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216" i="13"/>
  <c r="P217" i="13"/>
  <c r="P218" i="13"/>
  <c r="P219" i="13"/>
  <c r="P220" i="13"/>
  <c r="P221" i="13"/>
  <c r="P222" i="13"/>
  <c r="P223" i="13"/>
  <c r="P224" i="13"/>
  <c r="P225" i="13"/>
  <c r="P226" i="13"/>
  <c r="P227" i="13"/>
  <c r="P228" i="13"/>
  <c r="P229" i="13"/>
  <c r="P230" i="13"/>
  <c r="P231" i="13"/>
  <c r="P232" i="13"/>
  <c r="P233" i="13"/>
  <c r="P234" i="13"/>
  <c r="P235" i="13"/>
  <c r="P236" i="13"/>
  <c r="P237" i="13"/>
  <c r="P238" i="13"/>
  <c r="P239" i="13"/>
  <c r="P240" i="13"/>
  <c r="P241" i="13"/>
  <c r="P242" i="13"/>
  <c r="P243" i="13"/>
  <c r="P244" i="13"/>
  <c r="P245" i="13"/>
  <c r="P246" i="13"/>
  <c r="P247" i="13"/>
  <c r="P248" i="13"/>
  <c r="P249" i="13"/>
  <c r="P250" i="13"/>
  <c r="P251" i="13"/>
  <c r="P272" i="13"/>
  <c r="P273" i="13"/>
  <c r="P274" i="13"/>
  <c r="P275" i="13"/>
  <c r="P276" i="13"/>
  <c r="P277" i="13"/>
  <c r="P278" i="13"/>
  <c r="P279" i="13"/>
  <c r="P280" i="13"/>
  <c r="P281" i="13"/>
  <c r="P282" i="13"/>
  <c r="P283" i="13"/>
  <c r="P284" i="13"/>
  <c r="P285" i="13"/>
  <c r="P286" i="13"/>
  <c r="P287" i="13"/>
  <c r="P288" i="13"/>
  <c r="P289" i="13"/>
  <c r="P290" i="13"/>
  <c r="P291" i="13"/>
  <c r="P292" i="13"/>
  <c r="P293" i="13"/>
  <c r="P294" i="13"/>
  <c r="P295" i="13"/>
  <c r="P296" i="13"/>
  <c r="P297" i="13"/>
  <c r="P298" i="13"/>
  <c r="P299" i="13"/>
  <c r="P300" i="13"/>
  <c r="P301" i="13"/>
  <c r="P302" i="13"/>
  <c r="P303" i="13"/>
  <c r="P304" i="13"/>
  <c r="P305" i="13"/>
  <c r="P306" i="13"/>
  <c r="P307" i="13"/>
  <c r="P308" i="13"/>
  <c r="P309" i="13"/>
  <c r="P310" i="13"/>
  <c r="P311" i="13"/>
  <c r="P312" i="13"/>
  <c r="P313" i="13"/>
  <c r="P314" i="13"/>
  <c r="P315" i="13"/>
  <c r="P316" i="13"/>
  <c r="P317" i="13"/>
  <c r="P318" i="13"/>
  <c r="P319" i="13"/>
  <c r="P320" i="13"/>
  <c r="P321" i="13"/>
  <c r="P322" i="13"/>
  <c r="P323" i="13"/>
  <c r="P324" i="13"/>
  <c r="P325" i="13"/>
  <c r="P326" i="13"/>
  <c r="P327" i="13"/>
  <c r="P328" i="13"/>
  <c r="P329" i="13"/>
  <c r="P330" i="13"/>
  <c r="P331" i="13"/>
  <c r="P332" i="13"/>
  <c r="P333" i="13"/>
  <c r="P334" i="13"/>
  <c r="P335" i="13"/>
  <c r="P336" i="13"/>
  <c r="P337" i="13"/>
  <c r="P338" i="13"/>
  <c r="P339" i="13"/>
  <c r="P340" i="13"/>
  <c r="P341" i="13"/>
  <c r="P342" i="13"/>
  <c r="P343" i="13"/>
  <c r="P344" i="13"/>
  <c r="P345" i="13"/>
  <c r="P346" i="13"/>
  <c r="P347" i="13"/>
  <c r="P348" i="13"/>
  <c r="P349" i="13"/>
  <c r="P350" i="13"/>
  <c r="P351" i="13"/>
  <c r="P352" i="13"/>
  <c r="P353" i="13"/>
  <c r="P354" i="13"/>
  <c r="P355" i="13"/>
  <c r="P356" i="13"/>
  <c r="P357" i="13"/>
  <c r="P358" i="13"/>
  <c r="P359" i="13"/>
  <c r="P360" i="13"/>
  <c r="P361" i="13"/>
  <c r="P362" i="13"/>
  <c r="P363" i="13"/>
  <c r="P364" i="13"/>
  <c r="P365" i="13"/>
  <c r="P366" i="13"/>
  <c r="P367" i="13"/>
  <c r="P368" i="13"/>
  <c r="P369" i="13"/>
  <c r="P370" i="13"/>
  <c r="P371" i="13"/>
  <c r="P372" i="13"/>
  <c r="P373" i="13"/>
  <c r="P374" i="13"/>
  <c r="P375" i="13"/>
  <c r="P376" i="13"/>
  <c r="P377" i="13"/>
  <c r="P378" i="13"/>
  <c r="P379" i="13"/>
  <c r="P380" i="13"/>
  <c r="P381" i="13"/>
  <c r="P382" i="13"/>
  <c r="P383" i="13"/>
  <c r="P384" i="13"/>
  <c r="P385" i="13"/>
  <c r="P386" i="13"/>
  <c r="P387" i="13"/>
  <c r="P388" i="13"/>
  <c r="P389" i="13"/>
  <c r="P390" i="13"/>
  <c r="P391" i="13"/>
  <c r="P392" i="13"/>
  <c r="P393" i="13"/>
  <c r="P394" i="13"/>
  <c r="P395" i="13"/>
  <c r="P396" i="13"/>
  <c r="P397" i="13"/>
  <c r="P398" i="13"/>
  <c r="P399" i="13"/>
  <c r="P400" i="13"/>
  <c r="P401" i="13"/>
  <c r="P402" i="13"/>
  <c r="P403" i="13"/>
  <c r="P404" i="13"/>
  <c r="P405" i="13"/>
  <c r="P406" i="13"/>
  <c r="P407" i="13"/>
  <c r="P408" i="13"/>
  <c r="P409" i="13"/>
  <c r="P410" i="13"/>
  <c r="P411" i="13"/>
  <c r="P412" i="13"/>
  <c r="P413" i="13"/>
  <c r="P414" i="13"/>
  <c r="P415" i="13"/>
  <c r="P416" i="13"/>
  <c r="P417" i="13"/>
  <c r="P418" i="13"/>
  <c r="P419" i="13"/>
  <c r="P420" i="13"/>
  <c r="P421" i="13"/>
  <c r="P422" i="13"/>
  <c r="P423" i="13"/>
  <c r="P424" i="13"/>
  <c r="P425" i="13"/>
  <c r="P426" i="13"/>
  <c r="P427" i="13"/>
  <c r="P428" i="13"/>
  <c r="P429" i="13"/>
  <c r="P430" i="13"/>
  <c r="P431" i="13"/>
  <c r="P432" i="13"/>
  <c r="P433" i="13"/>
  <c r="P434" i="13"/>
  <c r="P435" i="13"/>
  <c r="P436" i="13"/>
  <c r="P437" i="13"/>
  <c r="P438" i="13"/>
  <c r="P439" i="13"/>
  <c r="P440" i="13"/>
  <c r="P441" i="13"/>
  <c r="P442" i="13"/>
  <c r="P443" i="13"/>
  <c r="P444" i="13"/>
  <c r="P445" i="13"/>
  <c r="P446" i="13"/>
  <c r="P447" i="13"/>
  <c r="P448" i="13"/>
  <c r="P449" i="13"/>
  <c r="P450" i="13"/>
  <c r="P451" i="13"/>
  <c r="P452" i="13"/>
  <c r="P453" i="13"/>
  <c r="P454" i="13"/>
  <c r="P455" i="13"/>
  <c r="P456" i="13"/>
  <c r="Y558" i="13"/>
  <c r="Z558" i="13" s="1"/>
  <c r="AB558" i="13" s="1"/>
  <c r="S558" i="13"/>
  <c r="U558" i="13" s="1"/>
  <c r="Y557" i="13"/>
  <c r="S557" i="13"/>
  <c r="T557" i="13" s="1"/>
  <c r="V557" i="13" s="1"/>
  <c r="Y556" i="13"/>
  <c r="Z556" i="13" s="1"/>
  <c r="AB556" i="13" s="1"/>
  <c r="S556" i="13"/>
  <c r="U556" i="13" s="1"/>
  <c r="Y555" i="13"/>
  <c r="AA555" i="13" s="1"/>
  <c r="S555" i="13"/>
  <c r="U555" i="13" s="1"/>
  <c r="Y554" i="13"/>
  <c r="S554" i="13"/>
  <c r="U554" i="13" s="1"/>
  <c r="Y553" i="13"/>
  <c r="AA553" i="13" s="1"/>
  <c r="S553" i="13"/>
  <c r="Y552" i="13"/>
  <c r="Z552" i="13" s="1"/>
  <c r="AB552" i="13" s="1"/>
  <c r="S552" i="13"/>
  <c r="U552" i="13" s="1"/>
  <c r="Y551" i="13"/>
  <c r="S551" i="13"/>
  <c r="T551" i="13" s="1"/>
  <c r="V551" i="13" s="1"/>
  <c r="Y550" i="13"/>
  <c r="Z550" i="13" s="1"/>
  <c r="AB550" i="13" s="1"/>
  <c r="S550" i="13"/>
  <c r="U550" i="13" s="1"/>
  <c r="Y549" i="13"/>
  <c r="Z549" i="13" s="1"/>
  <c r="AB549" i="13" s="1"/>
  <c r="S549" i="13"/>
  <c r="U549" i="13" s="1"/>
  <c r="Y548" i="13"/>
  <c r="S548" i="13"/>
  <c r="Y547" i="13"/>
  <c r="AA547" i="13" s="1"/>
  <c r="S547" i="13"/>
  <c r="Y546" i="13"/>
  <c r="Z546" i="13" s="1"/>
  <c r="AB546" i="13" s="1"/>
  <c r="S546" i="13"/>
  <c r="U546" i="13" s="1"/>
  <c r="Y545" i="13"/>
  <c r="AA545" i="13" s="1"/>
  <c r="S545" i="13"/>
  <c r="T545" i="13" s="1"/>
  <c r="V545" i="13" s="1"/>
  <c r="Y544" i="13"/>
  <c r="AA544" i="13" s="1"/>
  <c r="S544" i="13"/>
  <c r="U544" i="13" s="1"/>
  <c r="Y543" i="13"/>
  <c r="Z543" i="13" s="1"/>
  <c r="AB543" i="13" s="1"/>
  <c r="S543" i="13"/>
  <c r="T543" i="13" s="1"/>
  <c r="V543" i="13" s="1"/>
  <c r="Y542" i="13"/>
  <c r="S542" i="13"/>
  <c r="T542" i="13" s="1"/>
  <c r="V542" i="13" s="1"/>
  <c r="Y541" i="13"/>
  <c r="AA541" i="13" s="1"/>
  <c r="S541" i="13"/>
  <c r="Y540" i="13"/>
  <c r="S540" i="13"/>
  <c r="U540" i="13" s="1"/>
  <c r="Y539" i="13"/>
  <c r="S539" i="13"/>
  <c r="Y538" i="13"/>
  <c r="Z538" i="13" s="1"/>
  <c r="AB538" i="13" s="1"/>
  <c r="S538" i="13"/>
  <c r="U538" i="13" s="1"/>
  <c r="Y537" i="13"/>
  <c r="Z537" i="13" s="1"/>
  <c r="AB537" i="13" s="1"/>
  <c r="S537" i="13"/>
  <c r="U537" i="13" s="1"/>
  <c r="Y536" i="13"/>
  <c r="S536" i="13"/>
  <c r="T536" i="13" s="1"/>
  <c r="V536" i="13" s="1"/>
  <c r="Y535" i="13"/>
  <c r="AA535" i="13" s="1"/>
  <c r="S535" i="13"/>
  <c r="Y534" i="13"/>
  <c r="Z534" i="13" s="1"/>
  <c r="AB534" i="13" s="1"/>
  <c r="S534" i="13"/>
  <c r="U534" i="13" s="1"/>
  <c r="Y533" i="13"/>
  <c r="AA533" i="13" s="1"/>
  <c r="S533" i="13"/>
  <c r="T533" i="13" s="1"/>
  <c r="V533" i="13" s="1"/>
  <c r="Y532" i="13"/>
  <c r="AA532" i="13" s="1"/>
  <c r="S532" i="13"/>
  <c r="T532" i="13" s="1"/>
  <c r="V532" i="13" s="1"/>
  <c r="Y531" i="13"/>
  <c r="Z531" i="13" s="1"/>
  <c r="AB531" i="13" s="1"/>
  <c r="S531" i="13"/>
  <c r="Y530" i="13"/>
  <c r="S530" i="13"/>
  <c r="T530" i="13" s="1"/>
  <c r="V530" i="13" s="1"/>
  <c r="Y529" i="13"/>
  <c r="AA529" i="13" s="1"/>
  <c r="S529" i="13"/>
  <c r="Y528" i="13"/>
  <c r="S528" i="13"/>
  <c r="U528" i="13" s="1"/>
  <c r="Y527" i="13"/>
  <c r="AA527" i="13" s="1"/>
  <c r="S527" i="13"/>
  <c r="Y526" i="13"/>
  <c r="AA526" i="13" s="1"/>
  <c r="S526" i="13"/>
  <c r="T526" i="13" s="1"/>
  <c r="V526" i="13" s="1"/>
  <c r="Y525" i="13"/>
  <c r="Z525" i="13" s="1"/>
  <c r="AB525" i="13" s="1"/>
  <c r="S525" i="13"/>
  <c r="T525" i="13" s="1"/>
  <c r="V525" i="13" s="1"/>
  <c r="Y524" i="13"/>
  <c r="S524" i="13"/>
  <c r="T524" i="13" s="1"/>
  <c r="V524" i="13" s="1"/>
  <c r="Y523" i="13"/>
  <c r="AA523" i="13" s="1"/>
  <c r="S523" i="13"/>
  <c r="Y522" i="13"/>
  <c r="Z522" i="13" s="1"/>
  <c r="AB522" i="13" s="1"/>
  <c r="S522" i="13"/>
  <c r="U522" i="13" s="1"/>
  <c r="Y521" i="13"/>
  <c r="AA521" i="13" s="1"/>
  <c r="S521" i="13"/>
  <c r="Y520" i="13"/>
  <c r="AA520" i="13" s="1"/>
  <c r="S520" i="13"/>
  <c r="Y519" i="13"/>
  <c r="Z519" i="13" s="1"/>
  <c r="AB519" i="13" s="1"/>
  <c r="S519" i="13"/>
  <c r="T519" i="13" s="1"/>
  <c r="V519" i="13" s="1"/>
  <c r="Y518" i="13"/>
  <c r="S518" i="13"/>
  <c r="T518" i="13" s="1"/>
  <c r="V518" i="13" s="1"/>
  <c r="Y517" i="13"/>
  <c r="AA517" i="13" s="1"/>
  <c r="S517" i="13"/>
  <c r="Y516" i="13"/>
  <c r="S516" i="13"/>
  <c r="U516" i="13" s="1"/>
  <c r="Y515" i="13"/>
  <c r="AA515" i="13" s="1"/>
  <c r="S515" i="13"/>
  <c r="Y514" i="13"/>
  <c r="AA514" i="13" s="1"/>
  <c r="S514" i="13"/>
  <c r="U514" i="13" s="1"/>
  <c r="Y513" i="13"/>
  <c r="Z513" i="13" s="1"/>
  <c r="AB513" i="13" s="1"/>
  <c r="S513" i="13"/>
  <c r="T513" i="13" s="1"/>
  <c r="V513" i="13" s="1"/>
  <c r="Y512" i="13"/>
  <c r="AA512" i="13" s="1"/>
  <c r="S512" i="13"/>
  <c r="Y511" i="13"/>
  <c r="S511" i="13"/>
  <c r="U511" i="13" s="1"/>
  <c r="Y510" i="13"/>
  <c r="Z510" i="13" s="1"/>
  <c r="AB510" i="13" s="1"/>
  <c r="S510" i="13"/>
  <c r="Y509" i="13"/>
  <c r="Z509" i="13" s="1"/>
  <c r="AB509" i="13" s="1"/>
  <c r="S509" i="13"/>
  <c r="T509" i="13" s="1"/>
  <c r="V509" i="13" s="1"/>
  <c r="Y508" i="13"/>
  <c r="AA508" i="13" s="1"/>
  <c r="S508" i="13"/>
  <c r="U508" i="13" s="1"/>
  <c r="Y507" i="13"/>
  <c r="S507" i="13"/>
  <c r="U507" i="13" s="1"/>
  <c r="Y506" i="13"/>
  <c r="S506" i="13"/>
  <c r="Y505" i="13"/>
  <c r="AA505" i="13" s="1"/>
  <c r="S505" i="13"/>
  <c r="U505" i="13" s="1"/>
  <c r="Y504" i="13"/>
  <c r="AA504" i="13" s="1"/>
  <c r="S504" i="13"/>
  <c r="Y503" i="13"/>
  <c r="Z503" i="13" s="1"/>
  <c r="AB503" i="13" s="1"/>
  <c r="S503" i="13"/>
  <c r="T503" i="13" s="1"/>
  <c r="V503" i="13" s="1"/>
  <c r="Y502" i="13"/>
  <c r="AA502" i="13" s="1"/>
  <c r="S502" i="13"/>
  <c r="U502" i="13" s="1"/>
  <c r="Y501" i="13"/>
  <c r="S501" i="13"/>
  <c r="U501" i="13" s="1"/>
  <c r="Y500" i="13"/>
  <c r="S500" i="13"/>
  <c r="Y499" i="13"/>
  <c r="AA499" i="13" s="1"/>
  <c r="S499" i="13"/>
  <c r="Y498" i="13"/>
  <c r="S498" i="13"/>
  <c r="T498" i="13" s="1"/>
  <c r="V498" i="13" s="1"/>
  <c r="Y497" i="13"/>
  <c r="AA497" i="13" s="1"/>
  <c r="S497" i="13"/>
  <c r="U497" i="13" s="1"/>
  <c r="Y496" i="13"/>
  <c r="AA496" i="13" s="1"/>
  <c r="S496" i="13"/>
  <c r="T496" i="13" s="1"/>
  <c r="V496" i="13" s="1"/>
  <c r="Y495" i="13"/>
  <c r="S495" i="13"/>
  <c r="U495" i="13" s="1"/>
  <c r="Y494" i="13"/>
  <c r="AA494" i="13" s="1"/>
  <c r="S494" i="13"/>
  <c r="Y493" i="13"/>
  <c r="S493" i="13"/>
  <c r="U493" i="13" s="1"/>
  <c r="Y492" i="13"/>
  <c r="Z492" i="13" s="1"/>
  <c r="AB492" i="13" s="1"/>
  <c r="S492" i="13"/>
  <c r="T492" i="13" s="1"/>
  <c r="V492" i="13" s="1"/>
  <c r="Y491" i="13"/>
  <c r="AA491" i="13" s="1"/>
  <c r="S491" i="13"/>
  <c r="U491" i="13" s="1"/>
  <c r="Y490" i="13"/>
  <c r="Z490" i="13" s="1"/>
  <c r="AB490" i="13" s="1"/>
  <c r="S490" i="13"/>
  <c r="Y489" i="13"/>
  <c r="S489" i="13"/>
  <c r="T489" i="13" s="1"/>
  <c r="V489" i="13" s="1"/>
  <c r="Y488" i="13"/>
  <c r="AA488" i="13" s="1"/>
  <c r="S488" i="13"/>
  <c r="Y487" i="13"/>
  <c r="S487" i="13"/>
  <c r="U487" i="13" s="1"/>
  <c r="Y486" i="13"/>
  <c r="Z486" i="13" s="1"/>
  <c r="AB486" i="13" s="1"/>
  <c r="S486" i="13"/>
  <c r="Y485" i="13"/>
  <c r="AA485" i="13" s="1"/>
  <c r="S485" i="13"/>
  <c r="T485" i="13" s="1"/>
  <c r="V485" i="13" s="1"/>
  <c r="Y484" i="13"/>
  <c r="Z484" i="13" s="1"/>
  <c r="AB484" i="13" s="1"/>
  <c r="S484" i="13"/>
  <c r="U484" i="13" s="1"/>
  <c r="Y483" i="13"/>
  <c r="S483" i="13"/>
  <c r="T483" i="13" s="1"/>
  <c r="V483" i="13" s="1"/>
  <c r="Y482" i="13"/>
  <c r="AA482" i="13" s="1"/>
  <c r="S482" i="13"/>
  <c r="Y481" i="13"/>
  <c r="AA481" i="13" s="1"/>
  <c r="S481" i="13"/>
  <c r="Y480" i="13"/>
  <c r="S480" i="13"/>
  <c r="T480" i="13" s="1"/>
  <c r="V480" i="13" s="1"/>
  <c r="Y479" i="13"/>
  <c r="AA479" i="13" s="1"/>
  <c r="S479" i="13"/>
  <c r="T479" i="13" s="1"/>
  <c r="V479" i="13" s="1"/>
  <c r="Y478" i="13"/>
  <c r="Z478" i="13" s="1"/>
  <c r="AB478" i="13" s="1"/>
  <c r="S478" i="13"/>
  <c r="U478" i="13" s="1"/>
  <c r="Y477" i="13"/>
  <c r="S477" i="13"/>
  <c r="T477" i="13" s="1"/>
  <c r="V477" i="13" s="1"/>
  <c r="Y476" i="13"/>
  <c r="S476" i="13"/>
  <c r="Y475" i="13"/>
  <c r="Z475" i="13" s="1"/>
  <c r="AB475" i="13" s="1"/>
  <c r="S475" i="13"/>
  <c r="U475" i="13" s="1"/>
  <c r="Y474" i="13"/>
  <c r="Z474" i="13" s="1"/>
  <c r="AB474" i="13" s="1"/>
  <c r="S474" i="13"/>
  <c r="U474" i="13" s="1"/>
  <c r="Y473" i="13"/>
  <c r="Z473" i="13" s="1"/>
  <c r="AB473" i="13" s="1"/>
  <c r="S473" i="13"/>
  <c r="T473" i="13" s="1"/>
  <c r="V473" i="13" s="1"/>
  <c r="Y472" i="13"/>
  <c r="Z472" i="13" s="1"/>
  <c r="AB472" i="13" s="1"/>
  <c r="S472" i="13"/>
  <c r="U472" i="13" s="1"/>
  <c r="Y471" i="13"/>
  <c r="S471" i="13"/>
  <c r="T471" i="13" s="1"/>
  <c r="V471" i="13" s="1"/>
  <c r="Y470" i="13"/>
  <c r="AA470" i="13" s="1"/>
  <c r="S470" i="13"/>
  <c r="Y469" i="13"/>
  <c r="AA469" i="13" s="1"/>
  <c r="S469" i="13"/>
  <c r="U469" i="13" s="1"/>
  <c r="Y468" i="13"/>
  <c r="Z468" i="13" s="1"/>
  <c r="AB468" i="13" s="1"/>
  <c r="S468" i="13"/>
  <c r="U468" i="13" s="1"/>
  <c r="Y467" i="13"/>
  <c r="S467" i="13"/>
  <c r="Y466" i="13"/>
  <c r="Z466" i="13" s="1"/>
  <c r="AB466" i="13" s="1"/>
  <c r="S466" i="13"/>
  <c r="U466" i="13" s="1"/>
  <c r="Y465" i="13"/>
  <c r="S465" i="13"/>
  <c r="T465" i="13" s="1"/>
  <c r="V465" i="13" s="1"/>
  <c r="Y464" i="13"/>
  <c r="AA464" i="13" s="1"/>
  <c r="S464" i="13"/>
  <c r="U464" i="13" s="1"/>
  <c r="Y463" i="13"/>
  <c r="Z463" i="13" s="1"/>
  <c r="AB463" i="13" s="1"/>
  <c r="S463" i="13"/>
  <c r="T463" i="13" s="1"/>
  <c r="V463" i="13" s="1"/>
  <c r="Y462" i="13"/>
  <c r="S462" i="13"/>
  <c r="U462" i="13" s="1"/>
  <c r="Y461" i="13"/>
  <c r="S461" i="13"/>
  <c r="Y460" i="13"/>
  <c r="AA460" i="13" s="1"/>
  <c r="S460" i="13"/>
  <c r="U460" i="13" s="1"/>
  <c r="Y459" i="13"/>
  <c r="AA459" i="13" s="1"/>
  <c r="S459" i="13"/>
  <c r="T459" i="13" s="1"/>
  <c r="V459" i="13" s="1"/>
  <c r="Y458" i="13"/>
  <c r="Z458" i="13" s="1"/>
  <c r="AB458" i="13" s="1"/>
  <c r="S458" i="13"/>
  <c r="Y457" i="13"/>
  <c r="Z457" i="13" s="1"/>
  <c r="AB457" i="13" s="1"/>
  <c r="S457" i="13"/>
  <c r="T457" i="13" s="1"/>
  <c r="V457" i="13" s="1"/>
  <c r="Y456" i="13"/>
  <c r="S456" i="13"/>
  <c r="U456" i="13" s="1"/>
  <c r="Y455" i="13"/>
  <c r="AA455" i="13" s="1"/>
  <c r="S455" i="13"/>
  <c r="Y454" i="13"/>
  <c r="Z454" i="13" s="1"/>
  <c r="AB454" i="13" s="1"/>
  <c r="S454" i="13"/>
  <c r="U454" i="13" s="1"/>
  <c r="Y453" i="13"/>
  <c r="AA453" i="13" s="1"/>
  <c r="S453" i="13"/>
  <c r="U453" i="13" s="1"/>
  <c r="Y452" i="13"/>
  <c r="S452" i="13"/>
  <c r="U452" i="13" s="1"/>
  <c r="Y451" i="13"/>
  <c r="Z451" i="13" s="1"/>
  <c r="AB451" i="13" s="1"/>
  <c r="S451" i="13"/>
  <c r="T451" i="13" s="1"/>
  <c r="V451" i="13" s="1"/>
  <c r="Y450" i="13"/>
  <c r="Z450" i="13" s="1"/>
  <c r="AB450" i="13" s="1"/>
  <c r="S450" i="13"/>
  <c r="U450" i="13" s="1"/>
  <c r="Y449" i="13"/>
  <c r="S449" i="13"/>
  <c r="U449" i="13" s="1"/>
  <c r="Y448" i="13"/>
  <c r="AA448" i="13" s="1"/>
  <c r="S448" i="13"/>
  <c r="T448" i="13" s="1"/>
  <c r="V448" i="13" s="1"/>
  <c r="Y447" i="13"/>
  <c r="S447" i="13"/>
  <c r="U447" i="13" s="1"/>
  <c r="Y446" i="13"/>
  <c r="AA446" i="13" s="1"/>
  <c r="S446" i="13"/>
  <c r="T446" i="13" s="1"/>
  <c r="V446" i="13" s="1"/>
  <c r="Y445" i="13"/>
  <c r="AA445" i="13" s="1"/>
  <c r="S445" i="13"/>
  <c r="U445" i="13" s="1"/>
  <c r="Y444" i="13"/>
  <c r="AA444" i="13" s="1"/>
  <c r="S444" i="13"/>
  <c r="T444" i="13" s="1"/>
  <c r="V444" i="13" s="1"/>
  <c r="Y443" i="13"/>
  <c r="Z443" i="13" s="1"/>
  <c r="AB443" i="13" s="1"/>
  <c r="S443" i="13"/>
  <c r="U443" i="13" s="1"/>
  <c r="Y442" i="13"/>
  <c r="AA442" i="13" s="1"/>
  <c r="S442" i="13"/>
  <c r="T442" i="13" s="1"/>
  <c r="V442" i="13" s="1"/>
  <c r="Y441" i="13"/>
  <c r="S441" i="13"/>
  <c r="U441" i="13" s="1"/>
  <c r="Y440" i="13"/>
  <c r="AA440" i="13" s="1"/>
  <c r="S440" i="13"/>
  <c r="Y439" i="13"/>
  <c r="S439" i="13"/>
  <c r="Y438" i="13"/>
  <c r="Z438" i="13" s="1"/>
  <c r="AB438" i="13" s="1"/>
  <c r="S438" i="13"/>
  <c r="T438" i="13" s="1"/>
  <c r="V438" i="13" s="1"/>
  <c r="Y437" i="13"/>
  <c r="S437" i="13"/>
  <c r="U437" i="13" s="1"/>
  <c r="Y436" i="13"/>
  <c r="AA436" i="13" s="1"/>
  <c r="S436" i="13"/>
  <c r="T436" i="13" s="1"/>
  <c r="V436" i="13" s="1"/>
  <c r="Y435" i="13"/>
  <c r="Z435" i="13" s="1"/>
  <c r="AB435" i="13" s="1"/>
  <c r="S435" i="13"/>
  <c r="U435" i="13" s="1"/>
  <c r="Y434" i="13"/>
  <c r="AA434" i="13" s="1"/>
  <c r="S434" i="13"/>
  <c r="Y433" i="13"/>
  <c r="AA433" i="13" s="1"/>
  <c r="S433" i="13"/>
  <c r="U433" i="13" s="1"/>
  <c r="Y432" i="13"/>
  <c r="Z432" i="13" s="1"/>
  <c r="AB432" i="13" s="1"/>
  <c r="S432" i="13"/>
  <c r="Y431" i="13"/>
  <c r="AA431" i="13" s="1"/>
  <c r="S431" i="13"/>
  <c r="T431" i="13" s="1"/>
  <c r="V431" i="13" s="1"/>
  <c r="Y430" i="13"/>
  <c r="AA430" i="13" s="1"/>
  <c r="S430" i="13"/>
  <c r="T430" i="13" s="1"/>
  <c r="V430" i="13" s="1"/>
  <c r="Y429" i="13"/>
  <c r="Z429" i="13" s="1"/>
  <c r="AB429" i="13" s="1"/>
  <c r="S429" i="13"/>
  <c r="U429" i="13" s="1"/>
  <c r="Y428" i="13"/>
  <c r="S428" i="13"/>
  <c r="T428" i="13" s="1"/>
  <c r="V428" i="13" s="1"/>
  <c r="Y427" i="13"/>
  <c r="AA427" i="13" s="1"/>
  <c r="S427" i="13"/>
  <c r="Y426" i="13"/>
  <c r="AA426" i="13" s="1"/>
  <c r="S426" i="13"/>
  <c r="U426" i="13" s="1"/>
  <c r="Y425" i="13"/>
  <c r="Z425" i="13" s="1"/>
  <c r="AB425" i="13" s="1"/>
  <c r="S425" i="13"/>
  <c r="U425" i="13" s="1"/>
  <c r="Y424" i="13"/>
  <c r="Z424" i="13" s="1"/>
  <c r="AB424" i="13" s="1"/>
  <c r="S424" i="13"/>
  <c r="U424" i="13" s="1"/>
  <c r="Y423" i="13"/>
  <c r="Z423" i="13" s="1"/>
  <c r="AB423" i="13" s="1"/>
  <c r="S423" i="13"/>
  <c r="T423" i="13" s="1"/>
  <c r="V423" i="13" s="1"/>
  <c r="Y422" i="13"/>
  <c r="AA422" i="13" s="1"/>
  <c r="S422" i="13"/>
  <c r="T422" i="13" s="1"/>
  <c r="V422" i="13" s="1"/>
  <c r="Y421" i="13"/>
  <c r="S421" i="13"/>
  <c r="U421" i="13" s="1"/>
  <c r="Y420" i="13"/>
  <c r="AA420" i="13" s="1"/>
  <c r="S420" i="13"/>
  <c r="Y419" i="13"/>
  <c r="AA419" i="13" s="1"/>
  <c r="S419" i="13"/>
  <c r="U419" i="13" s="1"/>
  <c r="Y418" i="13"/>
  <c r="Z418" i="13" s="1"/>
  <c r="AB418" i="13" s="1"/>
  <c r="S418" i="13"/>
  <c r="U418" i="13" s="1"/>
  <c r="Y417" i="13"/>
  <c r="Z417" i="13" s="1"/>
  <c r="AB417" i="13" s="1"/>
  <c r="S417" i="13"/>
  <c r="U417" i="13" s="1"/>
  <c r="Y416" i="13"/>
  <c r="AA416" i="13" s="1"/>
  <c r="S416" i="13"/>
  <c r="Y415" i="13"/>
  <c r="AA415" i="13" s="1"/>
  <c r="S415" i="13"/>
  <c r="U415" i="13" s="1"/>
  <c r="Y414" i="13"/>
  <c r="Z414" i="13" s="1"/>
  <c r="AB414" i="13" s="1"/>
  <c r="S414" i="13"/>
  <c r="U414" i="13" s="1"/>
  <c r="Y413" i="13"/>
  <c r="AA413" i="13" s="1"/>
  <c r="S413" i="13"/>
  <c r="Y412" i="13"/>
  <c r="Z412" i="13" s="1"/>
  <c r="AB412" i="13" s="1"/>
  <c r="S412" i="13"/>
  <c r="T412" i="13" s="1"/>
  <c r="V412" i="13" s="1"/>
  <c r="Y411" i="13"/>
  <c r="S411" i="13"/>
  <c r="U411" i="13" s="1"/>
  <c r="Y410" i="13"/>
  <c r="S410" i="13"/>
  <c r="T410" i="13" s="1"/>
  <c r="V410" i="13" s="1"/>
  <c r="Y409" i="13"/>
  <c r="S409" i="13"/>
  <c r="U409" i="13" s="1"/>
  <c r="Y408" i="13"/>
  <c r="AA408" i="13" s="1"/>
  <c r="S408" i="13"/>
  <c r="U408" i="13" s="1"/>
  <c r="Y407" i="13"/>
  <c r="Z407" i="13" s="1"/>
  <c r="AB407" i="13" s="1"/>
  <c r="S407" i="13"/>
  <c r="U407" i="13" s="1"/>
  <c r="Y406" i="13"/>
  <c r="Z406" i="13" s="1"/>
  <c r="AB406" i="13" s="1"/>
  <c r="S406" i="13"/>
  <c r="Y405" i="13"/>
  <c r="Z405" i="13" s="1"/>
  <c r="AB405" i="13" s="1"/>
  <c r="S405" i="13"/>
  <c r="U405" i="13" s="1"/>
  <c r="Y404" i="13"/>
  <c r="AA404" i="13" s="1"/>
  <c r="S404" i="13"/>
  <c r="T404" i="13" s="1"/>
  <c r="V404" i="13" s="1"/>
  <c r="Y403" i="13"/>
  <c r="S403" i="13"/>
  <c r="U403" i="13" s="1"/>
  <c r="Y402" i="13"/>
  <c r="AA402" i="13" s="1"/>
  <c r="S402" i="13"/>
  <c r="T402" i="13" s="1"/>
  <c r="V402" i="13" s="1"/>
  <c r="Y401" i="13"/>
  <c r="AA401" i="13" s="1"/>
  <c r="S401" i="13"/>
  <c r="T401" i="13" s="1"/>
  <c r="V401" i="13" s="1"/>
  <c r="Y400" i="13"/>
  <c r="AA400" i="13" s="1"/>
  <c r="S400" i="13"/>
  <c r="Y399" i="13"/>
  <c r="Z399" i="13" s="1"/>
  <c r="AB399" i="13" s="1"/>
  <c r="S399" i="13"/>
  <c r="Y398" i="13"/>
  <c r="AA398" i="13" s="1"/>
  <c r="S398" i="13"/>
  <c r="Y397" i="13"/>
  <c r="S397" i="13"/>
  <c r="U397" i="13" s="1"/>
  <c r="Y396" i="13"/>
  <c r="S396" i="13"/>
  <c r="U396" i="13" s="1"/>
  <c r="Y395" i="13"/>
  <c r="AA395" i="13" s="1"/>
  <c r="S395" i="13"/>
  <c r="T395" i="13" s="1"/>
  <c r="V395" i="13" s="1"/>
  <c r="Y394" i="13"/>
  <c r="Z394" i="13" s="1"/>
  <c r="AB394" i="13" s="1"/>
  <c r="S394" i="13"/>
  <c r="T394" i="13" s="1"/>
  <c r="V394" i="13" s="1"/>
  <c r="Y393" i="13"/>
  <c r="AA393" i="13" s="1"/>
  <c r="S393" i="13"/>
  <c r="T393" i="13" s="1"/>
  <c r="V393" i="13" s="1"/>
  <c r="Y392" i="13"/>
  <c r="S392" i="13"/>
  <c r="Y391" i="13"/>
  <c r="Z391" i="13" s="1"/>
  <c r="AB391" i="13" s="1"/>
  <c r="S391" i="13"/>
  <c r="Y390" i="13"/>
  <c r="S390" i="13"/>
  <c r="Y389" i="13"/>
  <c r="AA389" i="13" s="1"/>
  <c r="S389" i="13"/>
  <c r="U389" i="13" s="1"/>
  <c r="Y388" i="13"/>
  <c r="Z388" i="13" s="1"/>
  <c r="AB388" i="13" s="1"/>
  <c r="S388" i="13"/>
  <c r="U388" i="13" s="1"/>
  <c r="Y387" i="13"/>
  <c r="S387" i="13"/>
  <c r="T387" i="13" s="1"/>
  <c r="V387" i="13" s="1"/>
  <c r="Y386" i="13"/>
  <c r="AA386" i="13" s="1"/>
  <c r="S386" i="13"/>
  <c r="Y385" i="13"/>
  <c r="AA385" i="13" s="1"/>
  <c r="S385" i="13"/>
  <c r="U385" i="13" s="1"/>
  <c r="Y384" i="13"/>
  <c r="AA384" i="13" s="1"/>
  <c r="S384" i="13"/>
  <c r="U384" i="13" s="1"/>
  <c r="Y383" i="13"/>
  <c r="AA383" i="13" s="1"/>
  <c r="S383" i="13"/>
  <c r="T383" i="13" s="1"/>
  <c r="V383" i="13" s="1"/>
  <c r="Y382" i="13"/>
  <c r="Z382" i="13" s="1"/>
  <c r="AB382" i="13" s="1"/>
  <c r="S382" i="13"/>
  <c r="T382" i="13" s="1"/>
  <c r="V382" i="13" s="1"/>
  <c r="Y381" i="13"/>
  <c r="Z381" i="13" s="1"/>
  <c r="AB381" i="13" s="1"/>
  <c r="S381" i="13"/>
  <c r="T381" i="13" s="1"/>
  <c r="V381" i="13" s="1"/>
  <c r="Y380" i="13"/>
  <c r="AA380" i="13" s="1"/>
  <c r="S380" i="13"/>
  <c r="T380" i="13" s="1"/>
  <c r="V380" i="13" s="1"/>
  <c r="Y379" i="13"/>
  <c r="AA379" i="13" s="1"/>
  <c r="S379" i="13"/>
  <c r="T379" i="13" s="1"/>
  <c r="V379" i="13" s="1"/>
  <c r="Y378" i="13"/>
  <c r="AA378" i="13" s="1"/>
  <c r="S378" i="13"/>
  <c r="U378" i="13" s="1"/>
  <c r="Y377" i="13"/>
  <c r="S377" i="13"/>
  <c r="U377" i="13" s="1"/>
  <c r="Y376" i="13"/>
  <c r="AA376" i="13" s="1"/>
  <c r="S376" i="13"/>
  <c r="Y375" i="13"/>
  <c r="AA375" i="13" s="1"/>
  <c r="S375" i="13"/>
  <c r="Y374" i="13"/>
  <c r="Z374" i="13" s="1"/>
  <c r="AB374" i="13" s="1"/>
  <c r="S374" i="13"/>
  <c r="T374" i="13" s="1"/>
  <c r="V374" i="13" s="1"/>
  <c r="Y373" i="13"/>
  <c r="AA373" i="13" s="1"/>
  <c r="S373" i="13"/>
  <c r="T373" i="13" s="1"/>
  <c r="V373" i="13" s="1"/>
  <c r="Y372" i="13"/>
  <c r="AA372" i="13" s="1"/>
  <c r="S372" i="13"/>
  <c r="U372" i="13" s="1"/>
  <c r="Y371" i="13"/>
  <c r="S371" i="13"/>
  <c r="U371" i="13" s="1"/>
  <c r="Y370" i="13"/>
  <c r="AA370" i="13" s="1"/>
  <c r="S370" i="13"/>
  <c r="Y369" i="13"/>
  <c r="Z369" i="13" s="1"/>
  <c r="AB369" i="13" s="1"/>
  <c r="S369" i="13"/>
  <c r="U369" i="13" s="1"/>
  <c r="Y368" i="13"/>
  <c r="Z368" i="13" s="1"/>
  <c r="AB368" i="13" s="1"/>
  <c r="S368" i="13"/>
  <c r="T368" i="13" s="1"/>
  <c r="V368" i="13" s="1"/>
  <c r="Y367" i="13"/>
  <c r="AA367" i="13" s="1"/>
  <c r="S367" i="13"/>
  <c r="T367" i="13" s="1"/>
  <c r="V367" i="13" s="1"/>
  <c r="Y366" i="13"/>
  <c r="AA366" i="13" s="1"/>
  <c r="S366" i="13"/>
  <c r="U366" i="13" s="1"/>
  <c r="Y365" i="13"/>
  <c r="S365" i="13"/>
  <c r="Y364" i="13"/>
  <c r="AA364" i="13" s="1"/>
  <c r="S364" i="13"/>
  <c r="U364" i="13" s="1"/>
  <c r="Y363" i="13"/>
  <c r="AA363" i="13" s="1"/>
  <c r="S363" i="13"/>
  <c r="T363" i="13" s="1"/>
  <c r="V363" i="13" s="1"/>
  <c r="Y362" i="13"/>
  <c r="Z362" i="13" s="1"/>
  <c r="AB362" i="13" s="1"/>
  <c r="S362" i="13"/>
  <c r="U362" i="13" s="1"/>
  <c r="Y361" i="13"/>
  <c r="S361" i="13"/>
  <c r="T361" i="13" s="1"/>
  <c r="V361" i="13" s="1"/>
  <c r="Y360" i="13"/>
  <c r="AA360" i="13" s="1"/>
  <c r="S360" i="13"/>
  <c r="Y359" i="13"/>
  <c r="AA359" i="13" s="1"/>
  <c r="S359" i="13"/>
  <c r="U359" i="13" s="1"/>
  <c r="Y358" i="13"/>
  <c r="AA358" i="13" s="1"/>
  <c r="S358" i="13"/>
  <c r="Y357" i="13"/>
  <c r="AA357" i="13" s="1"/>
  <c r="S357" i="13"/>
  <c r="T357" i="13" s="1"/>
  <c r="V357" i="13" s="1"/>
  <c r="Y356" i="13"/>
  <c r="Z356" i="13" s="1"/>
  <c r="AB356" i="13" s="1"/>
  <c r="S356" i="13"/>
  <c r="U356" i="13" s="1"/>
  <c r="Y355" i="13"/>
  <c r="S355" i="13"/>
  <c r="T355" i="13" s="1"/>
  <c r="V355" i="13" s="1"/>
  <c r="Y354" i="13"/>
  <c r="S354" i="13"/>
  <c r="Y353" i="13"/>
  <c r="S353" i="13"/>
  <c r="Y352" i="13"/>
  <c r="S352" i="13"/>
  <c r="Y351" i="13"/>
  <c r="AA351" i="13" s="1"/>
  <c r="S351" i="13"/>
  <c r="Y350" i="13"/>
  <c r="Z350" i="13" s="1"/>
  <c r="AB350" i="13" s="1"/>
  <c r="S350" i="13"/>
  <c r="T350" i="13" s="1"/>
  <c r="V350" i="13" s="1"/>
  <c r="Y349" i="13"/>
  <c r="S349" i="13"/>
  <c r="T349" i="13" s="1"/>
  <c r="V349" i="13" s="1"/>
  <c r="Y348" i="13"/>
  <c r="AA348" i="13" s="1"/>
  <c r="S348" i="13"/>
  <c r="Y347" i="13"/>
  <c r="Z347" i="13" s="1"/>
  <c r="AB347" i="13" s="1"/>
  <c r="S347" i="13"/>
  <c r="U347" i="13" s="1"/>
  <c r="Y346" i="13"/>
  <c r="Z346" i="13" s="1"/>
  <c r="AB346" i="13" s="1"/>
  <c r="S346" i="13"/>
  <c r="Y345" i="13"/>
  <c r="AA345" i="13" s="1"/>
  <c r="S345" i="13"/>
  <c r="Y344" i="13"/>
  <c r="S344" i="13"/>
  <c r="U344" i="13" s="1"/>
  <c r="Y343" i="13"/>
  <c r="S343" i="13"/>
  <c r="T343" i="13" s="1"/>
  <c r="V343" i="13" s="1"/>
  <c r="Y342" i="13"/>
  <c r="Z342" i="13" s="1"/>
  <c r="AB342" i="13" s="1"/>
  <c r="S342" i="13"/>
  <c r="Y341" i="13"/>
  <c r="Z341" i="13" s="1"/>
  <c r="AB341" i="13" s="1"/>
  <c r="S341" i="13"/>
  <c r="U341" i="13" s="1"/>
  <c r="Y340" i="13"/>
  <c r="S340" i="13"/>
  <c r="U340" i="13" s="1"/>
  <c r="Y339" i="13"/>
  <c r="Z339" i="13" s="1"/>
  <c r="AB339" i="13" s="1"/>
  <c r="S339" i="13"/>
  <c r="U339" i="13" s="1"/>
  <c r="Y338" i="13"/>
  <c r="Z338" i="13" s="1"/>
  <c r="AB338" i="13" s="1"/>
  <c r="S338" i="13"/>
  <c r="U338" i="13" s="1"/>
  <c r="Y337" i="13"/>
  <c r="AA337" i="13" s="1"/>
  <c r="S337" i="13"/>
  <c r="T337" i="13" s="1"/>
  <c r="V337" i="13" s="1"/>
  <c r="Y336" i="13"/>
  <c r="S336" i="13"/>
  <c r="U336" i="13" s="1"/>
  <c r="Y335" i="13"/>
  <c r="Z335" i="13" s="1"/>
  <c r="AB335" i="13" s="1"/>
  <c r="S335" i="13"/>
  <c r="Y334" i="13"/>
  <c r="S334" i="13"/>
  <c r="U334" i="13" s="1"/>
  <c r="Y333" i="13"/>
  <c r="AA333" i="13" s="1"/>
  <c r="S333" i="13"/>
  <c r="T333" i="13" s="1"/>
  <c r="V333" i="13" s="1"/>
  <c r="Y332" i="13"/>
  <c r="Z332" i="13" s="1"/>
  <c r="AB332" i="13" s="1"/>
  <c r="S332" i="13"/>
  <c r="Y331" i="13"/>
  <c r="AA331" i="13" s="1"/>
  <c r="S331" i="13"/>
  <c r="Y330" i="13"/>
  <c r="AA330" i="13" s="1"/>
  <c r="S330" i="13"/>
  <c r="U330" i="13" s="1"/>
  <c r="Y329" i="13"/>
  <c r="S329" i="13"/>
  <c r="U329" i="13" s="1"/>
  <c r="Y328" i="13"/>
  <c r="Z328" i="13" s="1"/>
  <c r="AB328" i="13" s="1"/>
  <c r="S328" i="13"/>
  <c r="Y327" i="13"/>
  <c r="AA327" i="13" s="1"/>
  <c r="S327" i="13"/>
  <c r="Y326" i="13"/>
  <c r="S326" i="13"/>
  <c r="U326" i="13" s="1"/>
  <c r="Y325" i="13"/>
  <c r="S325" i="13"/>
  <c r="T325" i="13" s="1"/>
  <c r="V325" i="13" s="1"/>
  <c r="Y324" i="13"/>
  <c r="AA324" i="13" s="1"/>
  <c r="S324" i="13"/>
  <c r="Y323" i="13"/>
  <c r="AA323" i="13" s="1"/>
  <c r="S323" i="13"/>
  <c r="T323" i="13" s="1"/>
  <c r="V323" i="13" s="1"/>
  <c r="Y322" i="13"/>
  <c r="S322" i="13"/>
  <c r="T322" i="13" s="1"/>
  <c r="V322" i="13" s="1"/>
  <c r="Y321" i="13"/>
  <c r="Z321" i="13" s="1"/>
  <c r="AB321" i="13" s="1"/>
  <c r="S321" i="13"/>
  <c r="T321" i="13" s="1"/>
  <c r="V321" i="13" s="1"/>
  <c r="Y320" i="13"/>
  <c r="Z320" i="13" s="1"/>
  <c r="AB320" i="13" s="1"/>
  <c r="S320" i="13"/>
  <c r="U320" i="13" s="1"/>
  <c r="Y319" i="13"/>
  <c r="AA319" i="13" s="1"/>
  <c r="S319" i="13"/>
  <c r="T319" i="13" s="1"/>
  <c r="V319" i="13" s="1"/>
  <c r="Y318" i="13"/>
  <c r="Z318" i="13" s="1"/>
  <c r="AB318" i="13" s="1"/>
  <c r="S318" i="13"/>
  <c r="Y317" i="13"/>
  <c r="AA317" i="13" s="1"/>
  <c r="S317" i="13"/>
  <c r="Y316" i="13"/>
  <c r="AA316" i="13" s="1"/>
  <c r="S316" i="13"/>
  <c r="Y315" i="13"/>
  <c r="AA315" i="13" s="1"/>
  <c r="S315" i="13"/>
  <c r="T315" i="13" s="1"/>
  <c r="V315" i="13" s="1"/>
  <c r="Y314" i="13"/>
  <c r="Z314" i="13" s="1"/>
  <c r="AB314" i="13" s="1"/>
  <c r="S314" i="13"/>
  <c r="Y313" i="13"/>
  <c r="AA313" i="13" s="1"/>
  <c r="S313" i="13"/>
  <c r="Y312" i="13"/>
  <c r="S312" i="13"/>
  <c r="U312" i="13" s="1"/>
  <c r="Y311" i="13"/>
  <c r="Z311" i="13" s="1"/>
  <c r="AB311" i="13" s="1"/>
  <c r="S311" i="13"/>
  <c r="U311" i="13" s="1"/>
  <c r="Y310" i="13"/>
  <c r="AA310" i="13" s="1"/>
  <c r="S310" i="13"/>
  <c r="Y309" i="13"/>
  <c r="AA309" i="13" s="1"/>
  <c r="S309" i="13"/>
  <c r="Y308" i="13"/>
  <c r="S308" i="13"/>
  <c r="T308" i="13" s="1"/>
  <c r="V308" i="13" s="1"/>
  <c r="Y307" i="13"/>
  <c r="S307" i="13"/>
  <c r="T307" i="13" s="1"/>
  <c r="V307" i="13" s="1"/>
  <c r="Y306" i="13"/>
  <c r="Z306" i="13" s="1"/>
  <c r="AB306" i="13" s="1"/>
  <c r="S306" i="13"/>
  <c r="Y305" i="13"/>
  <c r="AA305" i="13" s="1"/>
  <c r="S305" i="13"/>
  <c r="U305" i="13" s="1"/>
  <c r="Y304" i="13"/>
  <c r="Z304" i="13" s="1"/>
  <c r="AB304" i="13" s="1"/>
  <c r="S304" i="13"/>
  <c r="T304" i="13" s="1"/>
  <c r="V304" i="13" s="1"/>
  <c r="Y303" i="13"/>
  <c r="Z303" i="13" s="1"/>
  <c r="AB303" i="13" s="1"/>
  <c r="S303" i="13"/>
  <c r="T303" i="13" s="1"/>
  <c r="V303" i="13" s="1"/>
  <c r="Y302" i="13"/>
  <c r="Z302" i="13" s="1"/>
  <c r="AB302" i="13" s="1"/>
  <c r="S302" i="13"/>
  <c r="U302" i="13" s="1"/>
  <c r="Y301" i="13"/>
  <c r="S301" i="13"/>
  <c r="T301" i="13" s="1"/>
  <c r="V301" i="13" s="1"/>
  <c r="Y300" i="13"/>
  <c r="S300" i="13"/>
  <c r="Y299" i="13"/>
  <c r="Z299" i="13" s="1"/>
  <c r="AB299" i="13" s="1"/>
  <c r="S299" i="13"/>
  <c r="U299" i="13" s="1"/>
  <c r="Y298" i="13"/>
  <c r="Z298" i="13" s="1"/>
  <c r="AB298" i="13" s="1"/>
  <c r="S298" i="13"/>
  <c r="U298" i="13" s="1"/>
  <c r="Y297" i="13"/>
  <c r="Z297" i="13" s="1"/>
  <c r="AB297" i="13" s="1"/>
  <c r="S297" i="13"/>
  <c r="T297" i="13" s="1"/>
  <c r="V297" i="13" s="1"/>
  <c r="Y296" i="13"/>
  <c r="Z296" i="13" s="1"/>
  <c r="AB296" i="13" s="1"/>
  <c r="S296" i="13"/>
  <c r="U296" i="13" s="1"/>
  <c r="Y295" i="13"/>
  <c r="S295" i="13"/>
  <c r="T295" i="13" s="1"/>
  <c r="V295" i="13" s="1"/>
  <c r="Y294" i="13"/>
  <c r="AA294" i="13" s="1"/>
  <c r="S294" i="13"/>
  <c r="Y293" i="13"/>
  <c r="AA293" i="13" s="1"/>
  <c r="S293" i="13"/>
  <c r="U293" i="13" s="1"/>
  <c r="Y292" i="13"/>
  <c r="Z292" i="13" s="1"/>
  <c r="AB292" i="13" s="1"/>
  <c r="S292" i="13"/>
  <c r="U292" i="13" s="1"/>
  <c r="Y291" i="13"/>
  <c r="AA291" i="13" s="1"/>
  <c r="S291" i="13"/>
  <c r="T291" i="13" s="1"/>
  <c r="V291" i="13" s="1"/>
  <c r="Y290" i="13"/>
  <c r="Z290" i="13" s="1"/>
  <c r="AB290" i="13" s="1"/>
  <c r="S290" i="13"/>
  <c r="U290" i="13" s="1"/>
  <c r="Y289" i="13"/>
  <c r="S289" i="13"/>
  <c r="T289" i="13" s="1"/>
  <c r="V289" i="13" s="1"/>
  <c r="Y288" i="13"/>
  <c r="AA288" i="13" s="1"/>
  <c r="S288" i="13"/>
  <c r="Y287" i="13"/>
  <c r="AA287" i="13" s="1"/>
  <c r="S287" i="13"/>
  <c r="U287" i="13" s="1"/>
  <c r="Y286" i="13"/>
  <c r="S286" i="13"/>
  <c r="U286" i="13" s="1"/>
  <c r="Y285" i="13"/>
  <c r="AA285" i="13" s="1"/>
  <c r="S285" i="13"/>
  <c r="Y284" i="13"/>
  <c r="Z284" i="13" s="1"/>
  <c r="AB284" i="13" s="1"/>
  <c r="S284" i="13"/>
  <c r="U284" i="13" s="1"/>
  <c r="Y283" i="13"/>
  <c r="S283" i="13"/>
  <c r="T283" i="13" s="1"/>
  <c r="V283" i="13" s="1"/>
  <c r="Y282" i="13"/>
  <c r="AA282" i="13" s="1"/>
  <c r="S282" i="13"/>
  <c r="Y281" i="13"/>
  <c r="AA281" i="13" s="1"/>
  <c r="S281" i="13"/>
  <c r="U281" i="13" s="1"/>
  <c r="Y280" i="13"/>
  <c r="AA280" i="13" s="1"/>
  <c r="S280" i="13"/>
  <c r="Y279" i="13"/>
  <c r="Z279" i="13" s="1"/>
  <c r="AB279" i="13" s="1"/>
  <c r="S279" i="13"/>
  <c r="T279" i="13" s="1"/>
  <c r="V279" i="13" s="1"/>
  <c r="Y278" i="13"/>
  <c r="S278" i="13"/>
  <c r="U278" i="13" s="1"/>
  <c r="Y277" i="13"/>
  <c r="S277" i="13"/>
  <c r="T277" i="13" s="1"/>
  <c r="V277" i="13" s="1"/>
  <c r="Y276" i="13"/>
  <c r="AA276" i="13" s="1"/>
  <c r="S276" i="13"/>
  <c r="U276" i="13" s="1"/>
  <c r="Y275" i="13"/>
  <c r="AA275" i="13" s="1"/>
  <c r="S275" i="13"/>
  <c r="Y274" i="13"/>
  <c r="AA274" i="13" s="1"/>
  <c r="S274" i="13"/>
  <c r="T274" i="13" s="1"/>
  <c r="V274" i="13" s="1"/>
  <c r="Y273" i="13"/>
  <c r="AA273" i="13" s="1"/>
  <c r="S273" i="13"/>
  <c r="T273" i="13" s="1"/>
  <c r="V273" i="13" s="1"/>
  <c r="Y272" i="13"/>
  <c r="Z272" i="13" s="1"/>
  <c r="AB272" i="13" s="1"/>
  <c r="S272" i="13"/>
  <c r="T272" i="13" s="1"/>
  <c r="V272" i="13" s="1"/>
  <c r="Y251" i="13"/>
  <c r="AA251" i="13" s="1"/>
  <c r="S251" i="13"/>
  <c r="T251" i="13" s="1"/>
  <c r="V251" i="13" s="1"/>
  <c r="Y250" i="13"/>
  <c r="Z250" i="13" s="1"/>
  <c r="AB250" i="13" s="1"/>
  <c r="S250" i="13"/>
  <c r="U250" i="13" s="1"/>
  <c r="Y249" i="13"/>
  <c r="AA249" i="13" s="1"/>
  <c r="S249" i="13"/>
  <c r="U249" i="13" s="1"/>
  <c r="Y248" i="13"/>
  <c r="AA248" i="13" s="1"/>
  <c r="S248" i="13"/>
  <c r="U248" i="13" s="1"/>
  <c r="Y247" i="13"/>
  <c r="Z247" i="13" s="1"/>
  <c r="AB247" i="13" s="1"/>
  <c r="S247" i="13"/>
  <c r="T247" i="13" s="1"/>
  <c r="V247" i="13" s="1"/>
  <c r="Y246" i="13"/>
  <c r="Z246" i="13" s="1"/>
  <c r="AB246" i="13" s="1"/>
  <c r="S246" i="13"/>
  <c r="Y245" i="13"/>
  <c r="S245" i="13"/>
  <c r="T245" i="13" s="1"/>
  <c r="V245" i="13" s="1"/>
  <c r="Y244" i="13"/>
  <c r="AA244" i="13" s="1"/>
  <c r="S244" i="13"/>
  <c r="Y243" i="13"/>
  <c r="AA243" i="13" s="1"/>
  <c r="S243" i="13"/>
  <c r="U243" i="13" s="1"/>
  <c r="Y242" i="13"/>
  <c r="AA242" i="13" s="1"/>
  <c r="S242" i="13"/>
  <c r="U242" i="13" s="1"/>
  <c r="Y241" i="13"/>
  <c r="AA241" i="13" s="1"/>
  <c r="S241" i="13"/>
  <c r="U241" i="13" s="1"/>
  <c r="Y240" i="13"/>
  <c r="Z240" i="13" s="1"/>
  <c r="AB240" i="13" s="1"/>
  <c r="S240" i="13"/>
  <c r="T240" i="13" s="1"/>
  <c r="V240" i="13" s="1"/>
  <c r="Y239" i="13"/>
  <c r="S239" i="13"/>
  <c r="T239" i="13" s="1"/>
  <c r="V239" i="13" s="1"/>
  <c r="Y238" i="13"/>
  <c r="AA238" i="13" s="1"/>
  <c r="S238" i="13"/>
  <c r="Y237" i="13"/>
  <c r="AA237" i="13" s="1"/>
  <c r="S237" i="13"/>
  <c r="U237" i="13" s="1"/>
  <c r="Y236" i="13"/>
  <c r="S236" i="13"/>
  <c r="U236" i="13" s="1"/>
  <c r="Y235" i="13"/>
  <c r="AA235" i="13" s="1"/>
  <c r="S235" i="13"/>
  <c r="T235" i="13" s="1"/>
  <c r="V235" i="13" s="1"/>
  <c r="Y234" i="13"/>
  <c r="Z234" i="13" s="1"/>
  <c r="AB234" i="13" s="1"/>
  <c r="S234" i="13"/>
  <c r="U234" i="13" s="1"/>
  <c r="Y233" i="13"/>
  <c r="S233" i="13"/>
  <c r="T233" i="13" s="1"/>
  <c r="V233" i="13" s="1"/>
  <c r="Y232" i="13"/>
  <c r="AA232" i="13" s="1"/>
  <c r="S232" i="13"/>
  <c r="Y231" i="13"/>
  <c r="AA231" i="13" s="1"/>
  <c r="S231" i="13"/>
  <c r="U231" i="13" s="1"/>
  <c r="Y230" i="13"/>
  <c r="AA230" i="13" s="1"/>
  <c r="S230" i="13"/>
  <c r="T230" i="13" s="1"/>
  <c r="V230" i="13" s="1"/>
  <c r="Y229" i="13"/>
  <c r="S229" i="13"/>
  <c r="U229" i="13" s="1"/>
  <c r="Y228" i="13"/>
  <c r="Z228" i="13" s="1"/>
  <c r="AB228" i="13" s="1"/>
  <c r="S228" i="13"/>
  <c r="T228" i="13" s="1"/>
  <c r="V228" i="13" s="1"/>
  <c r="Y227" i="13"/>
  <c r="S227" i="13"/>
  <c r="T227" i="13" s="1"/>
  <c r="V227" i="13" s="1"/>
  <c r="Y226" i="13"/>
  <c r="AA226" i="13" s="1"/>
  <c r="S226" i="13"/>
  <c r="Y225" i="13"/>
  <c r="AA225" i="13" s="1"/>
  <c r="S225" i="13"/>
  <c r="U225" i="13" s="1"/>
  <c r="Y224" i="13"/>
  <c r="S224" i="13"/>
  <c r="U224" i="13" s="1"/>
  <c r="Y223" i="13"/>
  <c r="AA223" i="13" s="1"/>
  <c r="S223" i="13"/>
  <c r="T223" i="13" s="1"/>
  <c r="V223" i="13" s="1"/>
  <c r="Y222" i="13"/>
  <c r="Z222" i="13" s="1"/>
  <c r="AB222" i="13" s="1"/>
  <c r="S222" i="13"/>
  <c r="U222" i="13" s="1"/>
  <c r="Y221" i="13"/>
  <c r="S221" i="13"/>
  <c r="T221" i="13" s="1"/>
  <c r="V221" i="13" s="1"/>
  <c r="Y220" i="13"/>
  <c r="AA220" i="13" s="1"/>
  <c r="S220" i="13"/>
  <c r="Y219" i="13"/>
  <c r="AA219" i="13" s="1"/>
  <c r="S219" i="13"/>
  <c r="U219" i="13" s="1"/>
  <c r="Y218" i="13"/>
  <c r="AA218" i="13" s="1"/>
  <c r="S218" i="13"/>
  <c r="Y217" i="13"/>
  <c r="Z217" i="13" s="1"/>
  <c r="AB217" i="13" s="1"/>
  <c r="S217" i="13"/>
  <c r="U217" i="13" s="1"/>
  <c r="Y216" i="13"/>
  <c r="Z216" i="13" s="1"/>
  <c r="AB216" i="13" s="1"/>
  <c r="S216" i="13"/>
  <c r="U216" i="13" s="1"/>
  <c r="Y172" i="13"/>
  <c r="AA172" i="13" s="1"/>
  <c r="S172" i="13"/>
  <c r="Y171" i="13"/>
  <c r="AA171" i="13" s="1"/>
  <c r="S171" i="13"/>
  <c r="U171" i="13" s="1"/>
  <c r="Y170" i="13"/>
  <c r="S170" i="13"/>
  <c r="U170" i="13" s="1"/>
  <c r="Y169" i="13"/>
  <c r="AA169" i="13" s="1"/>
  <c r="S169" i="13"/>
  <c r="T169" i="13" s="1"/>
  <c r="V169" i="13" s="1"/>
  <c r="Y168" i="13"/>
  <c r="Z168" i="13" s="1"/>
  <c r="AB168" i="13" s="1"/>
  <c r="S168" i="13"/>
  <c r="U168" i="13" s="1"/>
  <c r="Y167" i="13"/>
  <c r="S167" i="13"/>
  <c r="T167" i="13" s="1"/>
  <c r="V167" i="13" s="1"/>
  <c r="Y166" i="13"/>
  <c r="AA166" i="13" s="1"/>
  <c r="S166" i="13"/>
  <c r="Y165" i="13"/>
  <c r="Z165" i="13" s="1"/>
  <c r="AB165" i="13" s="1"/>
  <c r="S165" i="13"/>
  <c r="U165" i="13" s="1"/>
  <c r="Y164" i="13"/>
  <c r="AA164" i="13" s="1"/>
  <c r="S164" i="13"/>
  <c r="T164" i="13" s="1"/>
  <c r="V164" i="13" s="1"/>
  <c r="Y163" i="13"/>
  <c r="AA163" i="13" s="1"/>
  <c r="S163" i="13"/>
  <c r="U163" i="13" s="1"/>
  <c r="Y162" i="13"/>
  <c r="Z162" i="13" s="1"/>
  <c r="AB162" i="13" s="1"/>
  <c r="S162" i="13"/>
  <c r="U162" i="13" s="1"/>
  <c r="Y161" i="13"/>
  <c r="S161" i="13"/>
  <c r="T161" i="13" s="1"/>
  <c r="V161" i="13" s="1"/>
  <c r="Y160" i="13"/>
  <c r="AA160" i="13" s="1"/>
  <c r="S160" i="13"/>
  <c r="Y159" i="13"/>
  <c r="AA159" i="13" s="1"/>
  <c r="S159" i="13"/>
  <c r="U159" i="13" s="1"/>
  <c r="Y158" i="13"/>
  <c r="Z158" i="13" s="1"/>
  <c r="AB158" i="13" s="1"/>
  <c r="S158" i="13"/>
  <c r="U158" i="13" s="1"/>
  <c r="Y157" i="13"/>
  <c r="AA157" i="13" s="1"/>
  <c r="S157" i="13"/>
  <c r="U157" i="13" s="1"/>
  <c r="Y156" i="13"/>
  <c r="Z156" i="13" s="1"/>
  <c r="AB156" i="13" s="1"/>
  <c r="S156" i="13"/>
  <c r="U156" i="13" s="1"/>
  <c r="Y155" i="13"/>
  <c r="S155" i="13"/>
  <c r="T155" i="13" s="1"/>
  <c r="V155" i="13" s="1"/>
  <c r="Y154" i="13"/>
  <c r="AA154" i="13" s="1"/>
  <c r="S154" i="13"/>
  <c r="Y153" i="13"/>
  <c r="AA153" i="13" s="1"/>
  <c r="S153" i="13"/>
  <c r="U153" i="13" s="1"/>
  <c r="Y152" i="13"/>
  <c r="AA152" i="13" s="1"/>
  <c r="S152" i="13"/>
  <c r="T152" i="13" s="1"/>
  <c r="V152" i="13" s="1"/>
  <c r="Y151" i="13"/>
  <c r="AA151" i="13" s="1"/>
  <c r="S151" i="13"/>
  <c r="T151" i="13" s="1"/>
  <c r="V151" i="13" s="1"/>
  <c r="Y150" i="13"/>
  <c r="Z150" i="13" s="1"/>
  <c r="AB150" i="13" s="1"/>
  <c r="S150" i="13"/>
  <c r="U150" i="13" s="1"/>
  <c r="Y149" i="13"/>
  <c r="S149" i="13"/>
  <c r="U149" i="13" s="1"/>
  <c r="Y148" i="13"/>
  <c r="S148" i="13"/>
  <c r="Y147" i="13"/>
  <c r="AA147" i="13" s="1"/>
  <c r="S147" i="13"/>
  <c r="U147" i="13" s="1"/>
  <c r="Y146" i="13"/>
  <c r="AA146" i="13" s="1"/>
  <c r="S146" i="13"/>
  <c r="T146" i="13" s="1"/>
  <c r="V146" i="13" s="1"/>
  <c r="Y145" i="13"/>
  <c r="AA145" i="13" s="1"/>
  <c r="S145" i="13"/>
  <c r="T145" i="13" s="1"/>
  <c r="V145" i="13" s="1"/>
  <c r="Y144" i="13"/>
  <c r="AA144" i="13" s="1"/>
  <c r="S144" i="13"/>
  <c r="T144" i="13" s="1"/>
  <c r="V144" i="13" s="1"/>
  <c r="Y143" i="13"/>
  <c r="S143" i="13"/>
  <c r="U143" i="13" s="1"/>
  <c r="Y142" i="13"/>
  <c r="AA142" i="13" s="1"/>
  <c r="S142" i="13"/>
  <c r="Y141" i="13"/>
  <c r="AA141" i="13" s="1"/>
  <c r="S141" i="13"/>
  <c r="U141" i="13" s="1"/>
  <c r="Y140" i="13"/>
  <c r="Z140" i="13" s="1"/>
  <c r="AB140" i="13" s="1"/>
  <c r="S140" i="13"/>
  <c r="U140" i="13" s="1"/>
  <c r="Y139" i="13"/>
  <c r="Z139" i="13" s="1"/>
  <c r="AB139" i="13" s="1"/>
  <c r="S139" i="13"/>
  <c r="U139" i="13" s="1"/>
  <c r="Y138" i="13"/>
  <c r="AA138" i="13" s="1"/>
  <c r="S138" i="13"/>
  <c r="T138" i="13" s="1"/>
  <c r="V138" i="13" s="1"/>
  <c r="Y137" i="13"/>
  <c r="S137" i="13"/>
  <c r="U137" i="13" s="1"/>
  <c r="Y136" i="13"/>
  <c r="AA136" i="13" s="1"/>
  <c r="S136" i="13"/>
  <c r="Y135" i="13"/>
  <c r="Z135" i="13" s="1"/>
  <c r="AB135" i="13" s="1"/>
  <c r="S135" i="13"/>
  <c r="U135" i="13" s="1"/>
  <c r="Y134" i="13"/>
  <c r="S134" i="13"/>
  <c r="U134" i="13" s="1"/>
  <c r="Y133" i="13"/>
  <c r="AA133" i="13" s="1"/>
  <c r="S133" i="13"/>
  <c r="T133" i="13" s="1"/>
  <c r="V133" i="13" s="1"/>
  <c r="Y132" i="13"/>
  <c r="AA132" i="13" s="1"/>
  <c r="S132" i="13"/>
  <c r="T132" i="13" s="1"/>
  <c r="V132" i="13" s="1"/>
  <c r="Y131" i="13"/>
  <c r="S131" i="13"/>
  <c r="U131" i="13" s="1"/>
  <c r="Y130" i="13"/>
  <c r="AA130" i="13" s="1"/>
  <c r="S130" i="13"/>
  <c r="Y129" i="13"/>
  <c r="AA129" i="13" s="1"/>
  <c r="S129" i="13"/>
  <c r="U129" i="13" s="1"/>
  <c r="Y128" i="13"/>
  <c r="S128" i="13"/>
  <c r="U128" i="13" s="1"/>
  <c r="Y127" i="13"/>
  <c r="AA127" i="13" s="1"/>
  <c r="S127" i="13"/>
  <c r="U127" i="13" s="1"/>
  <c r="Y126" i="13"/>
  <c r="AA126" i="13" s="1"/>
  <c r="S126" i="13"/>
  <c r="U126" i="13" s="1"/>
  <c r="Y125" i="13"/>
  <c r="S125" i="13"/>
  <c r="U125" i="13" s="1"/>
  <c r="Y124" i="13"/>
  <c r="AA124" i="13" s="1"/>
  <c r="S124" i="13"/>
  <c r="Y123" i="13"/>
  <c r="AA123" i="13" s="1"/>
  <c r="S123" i="13"/>
  <c r="U123" i="13" s="1"/>
  <c r="Y122" i="13"/>
  <c r="Z122" i="13" s="1"/>
  <c r="AB122" i="13" s="1"/>
  <c r="S122" i="13"/>
  <c r="U122" i="13" s="1"/>
  <c r="Y121" i="13"/>
  <c r="Z121" i="13" s="1"/>
  <c r="AB121" i="13" s="1"/>
  <c r="S121" i="13"/>
  <c r="U121" i="13" s="1"/>
  <c r="Y120" i="13"/>
  <c r="AA120" i="13" s="1"/>
  <c r="S120" i="13"/>
  <c r="U120" i="13" s="1"/>
  <c r="Y119" i="13"/>
  <c r="S119" i="13"/>
  <c r="U119" i="13" s="1"/>
  <c r="Y118" i="13"/>
  <c r="AA118" i="13" s="1"/>
  <c r="S118" i="13"/>
  <c r="Y117" i="13"/>
  <c r="AA117" i="13" s="1"/>
  <c r="S117" i="13"/>
  <c r="U117" i="13" s="1"/>
  <c r="Y116" i="13"/>
  <c r="Z116" i="13" s="1"/>
  <c r="AB116" i="13" s="1"/>
  <c r="S116" i="13"/>
  <c r="U116" i="13" s="1"/>
  <c r="Y115" i="13"/>
  <c r="Z115" i="13" s="1"/>
  <c r="AB115" i="13" s="1"/>
  <c r="S115" i="13"/>
  <c r="U115" i="13" s="1"/>
  <c r="Y114" i="13"/>
  <c r="AA114" i="13" s="1"/>
  <c r="S114" i="13"/>
  <c r="T114" i="13" s="1"/>
  <c r="V114" i="13" s="1"/>
  <c r="Y113" i="13"/>
  <c r="S113" i="13"/>
  <c r="U113" i="13" s="1"/>
  <c r="Y112" i="13"/>
  <c r="AA112" i="13" s="1"/>
  <c r="S112" i="13"/>
  <c r="Y111" i="13"/>
  <c r="AA111" i="13" s="1"/>
  <c r="S111" i="13"/>
  <c r="U111" i="13" s="1"/>
  <c r="Y110" i="13"/>
  <c r="AA110" i="13" s="1"/>
  <c r="S110" i="13"/>
  <c r="T110" i="13" s="1"/>
  <c r="V110" i="13" s="1"/>
  <c r="Y109" i="13"/>
  <c r="Z109" i="13" s="1"/>
  <c r="AB109" i="13" s="1"/>
  <c r="S109" i="13"/>
  <c r="T109" i="13" s="1"/>
  <c r="V109" i="13" s="1"/>
  <c r="Y108" i="13"/>
  <c r="Z108" i="13" s="1"/>
  <c r="AB108" i="13" s="1"/>
  <c r="S108" i="13"/>
  <c r="U108" i="13" s="1"/>
  <c r="Y107" i="13"/>
  <c r="AA107" i="13" s="1"/>
  <c r="S107" i="13"/>
  <c r="T107" i="13" s="1"/>
  <c r="V107" i="13" s="1"/>
  <c r="Y106" i="13"/>
  <c r="AA106" i="13" s="1"/>
  <c r="S106" i="13"/>
  <c r="U106" i="13" s="1"/>
  <c r="Y105" i="13"/>
  <c r="AA105" i="13" s="1"/>
  <c r="S105" i="13"/>
  <c r="Y104" i="13"/>
  <c r="AA104" i="13" s="1"/>
  <c r="S104" i="13"/>
  <c r="U104" i="13" s="1"/>
  <c r="Y103" i="13"/>
  <c r="Z103" i="13" s="1"/>
  <c r="AB103" i="13" s="1"/>
  <c r="S103" i="13"/>
  <c r="U103" i="13" s="1"/>
  <c r="Y102" i="13"/>
  <c r="Z102" i="13" s="1"/>
  <c r="AB102" i="13" s="1"/>
  <c r="S102" i="13"/>
  <c r="U102" i="13" s="1"/>
  <c r="Y101" i="13"/>
  <c r="AA101" i="13" s="1"/>
  <c r="S101" i="13"/>
  <c r="T101" i="13" s="1"/>
  <c r="V101" i="13" s="1"/>
  <c r="Y100" i="13"/>
  <c r="S100" i="13"/>
  <c r="U100" i="13" s="1"/>
  <c r="Y99" i="13"/>
  <c r="AA99" i="13" s="1"/>
  <c r="S99" i="13"/>
  <c r="U99" i="13" s="1"/>
  <c r="Y71" i="13"/>
  <c r="AA71" i="13" s="1"/>
  <c r="S71" i="13"/>
  <c r="T71" i="13" s="1"/>
  <c r="V71" i="13" s="1"/>
  <c r="Y70" i="13"/>
  <c r="S70" i="13"/>
  <c r="U70" i="13" s="1"/>
  <c r="Y69" i="13"/>
  <c r="Z69" i="13" s="1"/>
  <c r="AB69" i="13" s="1"/>
  <c r="S69" i="13"/>
  <c r="U69" i="13" s="1"/>
  <c r="Y68" i="13"/>
  <c r="AA68" i="13" s="1"/>
  <c r="S68" i="13"/>
  <c r="T68" i="13" s="1"/>
  <c r="V68" i="13" s="1"/>
  <c r="Y67" i="13"/>
  <c r="AA67" i="13" s="1"/>
  <c r="S67" i="13"/>
  <c r="U67" i="13" s="1"/>
  <c r="Y66" i="13"/>
  <c r="Z66" i="13" s="1"/>
  <c r="AB66" i="13" s="1"/>
  <c r="S66" i="13"/>
  <c r="U66" i="13" s="1"/>
  <c r="Y65" i="13"/>
  <c r="Z65" i="13" s="1"/>
  <c r="AB65" i="13" s="1"/>
  <c r="S65" i="13"/>
  <c r="U65" i="13" s="1"/>
  <c r="Y64" i="13"/>
  <c r="Z64" i="13" s="1"/>
  <c r="AB64" i="13" s="1"/>
  <c r="S64" i="13"/>
  <c r="U64" i="13" s="1"/>
  <c r="Y63" i="13"/>
  <c r="Z63" i="13" s="1"/>
  <c r="AB63" i="13" s="1"/>
  <c r="S63" i="13"/>
  <c r="U63" i="13" s="1"/>
  <c r="Y62" i="13"/>
  <c r="AA62" i="13" s="1"/>
  <c r="S62" i="13"/>
  <c r="T62" i="13" s="1"/>
  <c r="V62" i="13" s="1"/>
  <c r="Y61" i="13"/>
  <c r="S61" i="13"/>
  <c r="U61" i="13" s="1"/>
  <c r="Y60" i="13"/>
  <c r="AA60" i="13" s="1"/>
  <c r="S60" i="13"/>
  <c r="U60" i="13" s="1"/>
  <c r="Y59" i="13"/>
  <c r="Z59" i="13" s="1"/>
  <c r="AB59" i="13" s="1"/>
  <c r="S59" i="13"/>
  <c r="U59" i="13" s="1"/>
  <c r="Y58" i="13"/>
  <c r="AA58" i="13" s="1"/>
  <c r="S58" i="13"/>
  <c r="U58" i="13" s="1"/>
  <c r="Y57" i="13"/>
  <c r="Z57" i="13" s="1"/>
  <c r="AB57" i="13" s="1"/>
  <c r="S57" i="13"/>
  <c r="T57" i="13" s="1"/>
  <c r="V57" i="13" s="1"/>
  <c r="Y56" i="13"/>
  <c r="AA56" i="13" s="1"/>
  <c r="S56" i="13"/>
  <c r="T56" i="13" s="1"/>
  <c r="V56" i="13" s="1"/>
  <c r="Y55" i="13"/>
  <c r="AA55" i="13" s="1"/>
  <c r="S55" i="13"/>
  <c r="U55" i="13" s="1"/>
  <c r="Y54" i="13"/>
  <c r="AA54" i="13" s="1"/>
  <c r="S54" i="13"/>
  <c r="T54" i="13" s="1"/>
  <c r="V54" i="13" s="1"/>
  <c r="Y53" i="13"/>
  <c r="AA53" i="13" s="1"/>
  <c r="S53" i="13"/>
  <c r="T53" i="13" s="1"/>
  <c r="V53" i="13" s="1"/>
  <c r="Y52" i="13"/>
  <c r="AA52" i="13" s="1"/>
  <c r="S52" i="13"/>
  <c r="U52" i="13" s="1"/>
  <c r="Y51" i="13"/>
  <c r="Z51" i="13" s="1"/>
  <c r="AB51" i="13" s="1"/>
  <c r="S51" i="13"/>
  <c r="U51" i="13" s="1"/>
  <c r="Y50" i="13"/>
  <c r="AA50" i="13" s="1"/>
  <c r="S50" i="13"/>
  <c r="T50" i="13" s="1"/>
  <c r="V50" i="13" s="1"/>
  <c r="Y49" i="13"/>
  <c r="AA49" i="13" s="1"/>
  <c r="S49" i="13"/>
  <c r="U49" i="13" s="1"/>
  <c r="Y48" i="13"/>
  <c r="S48" i="13"/>
  <c r="U48" i="13" s="1"/>
  <c r="Y47" i="13"/>
  <c r="Z47" i="13" s="1"/>
  <c r="AB47" i="13" s="1"/>
  <c r="S47" i="13"/>
  <c r="U47" i="13" s="1"/>
  <c r="Y46" i="13"/>
  <c r="AA46" i="13" s="1"/>
  <c r="S46" i="13"/>
  <c r="T46" i="13" s="1"/>
  <c r="V46" i="13" s="1"/>
  <c r="Y45" i="13"/>
  <c r="Z45" i="13" s="1"/>
  <c r="AB45" i="13" s="1"/>
  <c r="S45" i="13"/>
  <c r="U45" i="13" s="1"/>
  <c r="Y44" i="13"/>
  <c r="AA44" i="13" s="1"/>
  <c r="S44" i="13"/>
  <c r="U44" i="13" s="1"/>
  <c r="Y43" i="13"/>
  <c r="AA43" i="13" s="1"/>
  <c r="S43" i="13"/>
  <c r="U43" i="13" s="1"/>
  <c r="Y42" i="13"/>
  <c r="Z42" i="13" s="1"/>
  <c r="AB42" i="13" s="1"/>
  <c r="S42" i="13"/>
  <c r="U42" i="13" s="1"/>
  <c r="Y41" i="13"/>
  <c r="Z41" i="13" s="1"/>
  <c r="AB41" i="13" s="1"/>
  <c r="S41" i="13"/>
  <c r="U41" i="13" s="1"/>
  <c r="Y40" i="13"/>
  <c r="AA40" i="13" s="1"/>
  <c r="S40" i="13"/>
  <c r="T40" i="13" s="1"/>
  <c r="V40" i="13" s="1"/>
  <c r="Y39" i="13"/>
  <c r="S39" i="13"/>
  <c r="U39" i="13" s="1"/>
  <c r="Y38" i="13"/>
  <c r="AA38" i="13" s="1"/>
  <c r="S38" i="13"/>
  <c r="U38" i="13" s="1"/>
  <c r="Y37" i="13"/>
  <c r="AA37" i="13" s="1"/>
  <c r="S37" i="13"/>
  <c r="U37" i="13" s="1"/>
  <c r="Y36" i="13"/>
  <c r="Z36" i="13" s="1"/>
  <c r="AB36" i="13" s="1"/>
  <c r="S36" i="13"/>
  <c r="U36" i="13" s="1"/>
  <c r="Y35" i="13"/>
  <c r="Z35" i="13" s="1"/>
  <c r="AB35" i="13" s="1"/>
  <c r="S35" i="13"/>
  <c r="U35" i="13" s="1"/>
  <c r="Y34" i="13"/>
  <c r="AA34" i="13" s="1"/>
  <c r="S34" i="13"/>
  <c r="T34" i="13" s="1"/>
  <c r="V34" i="13" s="1"/>
  <c r="Y33" i="13"/>
  <c r="Z33" i="13" s="1"/>
  <c r="AB33" i="13" s="1"/>
  <c r="S33" i="13"/>
  <c r="U33" i="13" s="1"/>
  <c r="Y32" i="13"/>
  <c r="AA32" i="13" s="1"/>
  <c r="S32" i="13"/>
  <c r="U32" i="13" s="1"/>
  <c r="Y31" i="13"/>
  <c r="AA31" i="13" s="1"/>
  <c r="S31" i="13"/>
  <c r="U31" i="13" s="1"/>
  <c r="Y30" i="13"/>
  <c r="S30" i="13"/>
  <c r="U30" i="13" s="1"/>
  <c r="Y29" i="13"/>
  <c r="Z29" i="13" s="1"/>
  <c r="AB29" i="13" s="1"/>
  <c r="S29" i="13"/>
  <c r="U29" i="13" s="1"/>
  <c r="Y28" i="13"/>
  <c r="AA28" i="13" s="1"/>
  <c r="S28" i="13"/>
  <c r="T28" i="13" s="1"/>
  <c r="V28" i="13" s="1"/>
  <c r="Y27" i="13"/>
  <c r="Z27" i="13" s="1"/>
  <c r="AB27" i="13" s="1"/>
  <c r="S27" i="13"/>
  <c r="U27" i="13" s="1"/>
  <c r="Y7" i="13"/>
  <c r="AA7" i="13" s="1"/>
  <c r="S7" i="13"/>
  <c r="U7" i="13" s="1"/>
  <c r="Y6" i="13"/>
  <c r="Z6" i="13" s="1"/>
  <c r="AB6" i="13" s="1"/>
  <c r="S6" i="13"/>
  <c r="U6" i="13" s="1"/>
  <c r="B39" i="38"/>
  <c r="F39" i="38"/>
  <c r="H39" i="38" s="1"/>
  <c r="I39" i="38" s="1"/>
  <c r="B40" i="38"/>
  <c r="B41" i="38"/>
  <c r="F40" i="38"/>
  <c r="H40" i="38" s="1"/>
  <c r="I40" i="38" s="1"/>
  <c r="F41" i="38"/>
  <c r="H41" i="38" s="1"/>
  <c r="I41" i="38" s="1"/>
  <c r="B42" i="38"/>
  <c r="F42" i="38"/>
  <c r="H42" i="38" s="1"/>
  <c r="I42" i="38" s="1"/>
  <c r="B24" i="38"/>
  <c r="B25" i="38"/>
  <c r="B26" i="38"/>
  <c r="B27" i="38"/>
  <c r="F24" i="38"/>
  <c r="H24" i="38" s="1"/>
  <c r="I24" i="38" s="1"/>
  <c r="F25" i="38"/>
  <c r="H25" i="38" s="1"/>
  <c r="I25" i="38" s="1"/>
  <c r="F26" i="38"/>
  <c r="H26" i="38" s="1"/>
  <c r="I26" i="38" s="1"/>
  <c r="F27" i="38"/>
  <c r="H27" i="38" s="1"/>
  <c r="I27" i="38" s="1"/>
  <c r="B30" i="38"/>
  <c r="B32" i="38"/>
  <c r="F30" i="38"/>
  <c r="H30" i="38" s="1"/>
  <c r="I30" i="38" s="1"/>
  <c r="F32" i="38"/>
  <c r="H32" i="38" s="1"/>
  <c r="I32" i="38" s="1"/>
  <c r="B33" i="38"/>
  <c r="B34" i="38"/>
  <c r="F33" i="38"/>
  <c r="H33" i="38" s="1"/>
  <c r="I33" i="38" s="1"/>
  <c r="F34" i="38"/>
  <c r="H34" i="38" s="1"/>
  <c r="I34" i="38" s="1"/>
  <c r="B35" i="38"/>
  <c r="F35" i="38"/>
  <c r="H35" i="38" s="1"/>
  <c r="I35" i="38" s="1"/>
  <c r="B36" i="38"/>
  <c r="F36" i="38"/>
  <c r="H36" i="38" s="1"/>
  <c r="I36" i="38" s="1"/>
  <c r="B33" i="19"/>
  <c r="B32" i="19"/>
  <c r="B31" i="19"/>
  <c r="B30" i="19"/>
  <c r="B10" i="19"/>
  <c r="B9" i="19"/>
  <c r="B8" i="19"/>
  <c r="C7" i="19"/>
  <c r="B7" i="19"/>
  <c r="B538" i="13"/>
  <c r="B537" i="13"/>
  <c r="B536" i="13"/>
  <c r="B535" i="13"/>
  <c r="B534" i="13"/>
  <c r="B533" i="13"/>
  <c r="B532" i="13"/>
  <c r="B531" i="13"/>
  <c r="B530" i="13"/>
  <c r="B529" i="13"/>
  <c r="B528" i="13"/>
  <c r="B527" i="13"/>
  <c r="B526" i="13"/>
  <c r="B525" i="13"/>
  <c r="B524" i="13"/>
  <c r="B523" i="13"/>
  <c r="B522" i="13"/>
  <c r="B521" i="13"/>
  <c r="B520" i="13"/>
  <c r="B519" i="13"/>
  <c r="B518" i="13"/>
  <c r="B517" i="13"/>
  <c r="B516" i="13"/>
  <c r="B515" i="13"/>
  <c r="B514" i="13"/>
  <c r="B513" i="13"/>
  <c r="B512" i="13"/>
  <c r="B511" i="13"/>
  <c r="B510" i="13"/>
  <c r="B509" i="13"/>
  <c r="B508" i="13"/>
  <c r="B507" i="13"/>
  <c r="B506" i="13"/>
  <c r="B505" i="13"/>
  <c r="B504" i="13"/>
  <c r="B503" i="13"/>
  <c r="B502" i="13"/>
  <c r="B501" i="13"/>
  <c r="B500" i="13"/>
  <c r="B499" i="13"/>
  <c r="B498" i="13"/>
  <c r="B497" i="13"/>
  <c r="B496" i="13"/>
  <c r="B495" i="13"/>
  <c r="B494" i="13"/>
  <c r="B493" i="13"/>
  <c r="B492" i="13"/>
  <c r="B491" i="13"/>
  <c r="B490" i="13"/>
  <c r="B489" i="13"/>
  <c r="B488" i="13"/>
  <c r="B487" i="13"/>
  <c r="B486" i="13"/>
  <c r="B485" i="13"/>
  <c r="B484" i="13"/>
  <c r="B483" i="13"/>
  <c r="B482" i="13"/>
  <c r="B481" i="13"/>
  <c r="B480" i="13"/>
  <c r="B479" i="13"/>
  <c r="B478" i="13"/>
  <c r="B477" i="13"/>
  <c r="B476" i="13"/>
  <c r="B475" i="13"/>
  <c r="B474" i="13"/>
  <c r="B473" i="13"/>
  <c r="B472" i="13"/>
  <c r="B471" i="13"/>
  <c r="B470" i="13"/>
  <c r="B469" i="13"/>
  <c r="B468" i="13"/>
  <c r="B467" i="13"/>
  <c r="B466" i="13"/>
  <c r="B465" i="13"/>
  <c r="B464" i="13"/>
  <c r="B463" i="13"/>
  <c r="B462" i="13"/>
  <c r="B461" i="13"/>
  <c r="B460" i="13"/>
  <c r="B459" i="13"/>
  <c r="B458" i="13"/>
  <c r="B457" i="13"/>
  <c r="B456" i="13"/>
  <c r="B455" i="13"/>
  <c r="B454" i="13"/>
  <c r="B453" i="13"/>
  <c r="B452" i="13"/>
  <c r="B451" i="13"/>
  <c r="B450" i="13"/>
  <c r="B449" i="13"/>
  <c r="B448" i="13"/>
  <c r="B447" i="13"/>
  <c r="B446" i="13"/>
  <c r="B445" i="13"/>
  <c r="B444" i="13"/>
  <c r="B443" i="13"/>
  <c r="B442" i="13"/>
  <c r="C442" i="13"/>
  <c r="C443" i="13"/>
  <c r="C444" i="13"/>
  <c r="C445" i="13"/>
  <c r="C446" i="13"/>
  <c r="C447" i="13"/>
  <c r="C448" i="13"/>
  <c r="C449" i="13"/>
  <c r="C450" i="13"/>
  <c r="C451" i="13"/>
  <c r="C452" i="13"/>
  <c r="C453" i="13"/>
  <c r="C454" i="13"/>
  <c r="C455" i="13"/>
  <c r="C456" i="13"/>
  <c r="C457" i="13"/>
  <c r="C458" i="13"/>
  <c r="C459" i="13"/>
  <c r="C460" i="13"/>
  <c r="C461" i="13"/>
  <c r="C462" i="13"/>
  <c r="C463" i="13"/>
  <c r="C464" i="13"/>
  <c r="C465" i="13"/>
  <c r="C466" i="13"/>
  <c r="C467" i="13"/>
  <c r="C468" i="13"/>
  <c r="C469" i="13"/>
  <c r="C470" i="13"/>
  <c r="C471" i="13"/>
  <c r="C472" i="13"/>
  <c r="C473" i="13"/>
  <c r="C474" i="13"/>
  <c r="D442" i="13"/>
  <c r="D443" i="13"/>
  <c r="D444" i="13"/>
  <c r="D445" i="13"/>
  <c r="D446" i="13"/>
  <c r="D447" i="13"/>
  <c r="D448" i="13"/>
  <c r="D449" i="13"/>
  <c r="D450" i="13"/>
  <c r="D451" i="13"/>
  <c r="D452" i="13"/>
  <c r="D453" i="13"/>
  <c r="D454" i="13"/>
  <c r="D455" i="13"/>
  <c r="D456" i="13"/>
  <c r="D457" i="13"/>
  <c r="D458" i="13"/>
  <c r="D459" i="13"/>
  <c r="D460" i="13"/>
  <c r="D461" i="13"/>
  <c r="D462" i="13"/>
  <c r="D463" i="13"/>
  <c r="D464" i="13"/>
  <c r="D465" i="13"/>
  <c r="D466" i="13"/>
  <c r="D467" i="13"/>
  <c r="D468" i="13"/>
  <c r="D469" i="13"/>
  <c r="D470" i="13"/>
  <c r="D471" i="13"/>
  <c r="D472" i="13"/>
  <c r="D473" i="13"/>
  <c r="D474"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K442" i="13"/>
  <c r="K443" i="13"/>
  <c r="K444" i="13"/>
  <c r="K445" i="13"/>
  <c r="K446" i="13"/>
  <c r="K447" i="13"/>
  <c r="K448" i="13"/>
  <c r="K449" i="13"/>
  <c r="K450" i="13"/>
  <c r="K451" i="13"/>
  <c r="K452" i="13"/>
  <c r="K453" i="13"/>
  <c r="K454" i="13"/>
  <c r="K455" i="13"/>
  <c r="K456" i="13"/>
  <c r="K457" i="13"/>
  <c r="K458" i="13"/>
  <c r="K459" i="13"/>
  <c r="K460" i="13"/>
  <c r="K461" i="13"/>
  <c r="K462" i="13"/>
  <c r="K463" i="13"/>
  <c r="K464" i="13"/>
  <c r="K465" i="13"/>
  <c r="K466" i="13"/>
  <c r="K467" i="13"/>
  <c r="K468" i="13"/>
  <c r="K469" i="13"/>
  <c r="K470" i="13"/>
  <c r="K471" i="13"/>
  <c r="K472" i="13"/>
  <c r="K473" i="13"/>
  <c r="K474" i="13"/>
  <c r="P457" i="13"/>
  <c r="P458" i="13"/>
  <c r="P459" i="13"/>
  <c r="P460" i="13"/>
  <c r="P461" i="13"/>
  <c r="P462" i="13"/>
  <c r="P463" i="13"/>
  <c r="P464" i="13"/>
  <c r="P465" i="13"/>
  <c r="P466" i="13"/>
  <c r="P467" i="13"/>
  <c r="P468" i="13"/>
  <c r="P469" i="13"/>
  <c r="P470" i="13"/>
  <c r="P471" i="13"/>
  <c r="P472" i="13"/>
  <c r="P473" i="13"/>
  <c r="P474" i="13"/>
  <c r="AH442" i="13"/>
  <c r="AI442" i="13" s="1"/>
  <c r="AH443" i="13"/>
  <c r="AI443" i="13" s="1"/>
  <c r="AH444" i="13"/>
  <c r="AH445" i="13"/>
  <c r="AM445" i="13" s="1"/>
  <c r="AH446" i="13"/>
  <c r="AI446" i="13" s="1"/>
  <c r="AH447" i="13"/>
  <c r="AI447" i="13" s="1"/>
  <c r="AH448" i="13"/>
  <c r="AN448" i="13" s="1"/>
  <c r="AH449" i="13"/>
  <c r="AN449" i="13" s="1"/>
  <c r="AH450" i="13"/>
  <c r="AI450" i="13" s="1"/>
  <c r="AH451" i="13"/>
  <c r="AI451" i="13" s="1"/>
  <c r="AH452" i="13"/>
  <c r="AI452" i="13" s="1"/>
  <c r="AH453" i="13"/>
  <c r="AQ453" i="13" s="1"/>
  <c r="AH454" i="13"/>
  <c r="AV454" i="13" s="1"/>
  <c r="AH455" i="13"/>
  <c r="AJ455" i="13" s="1"/>
  <c r="AH456" i="13"/>
  <c r="AK456" i="13" s="1"/>
  <c r="AH457" i="13"/>
  <c r="AQ457" i="13" s="1"/>
  <c r="AH458" i="13"/>
  <c r="AM458" i="13" s="1"/>
  <c r="AH459" i="13"/>
  <c r="AI459" i="13" s="1"/>
  <c r="AH460" i="13"/>
  <c r="AI460" i="13" s="1"/>
  <c r="AH461" i="13"/>
  <c r="AQ461" i="13" s="1"/>
  <c r="AH462" i="13"/>
  <c r="AJ462" i="13" s="1"/>
  <c r="AH463" i="13"/>
  <c r="AI463" i="13" s="1"/>
  <c r="AH464" i="13"/>
  <c r="AH465" i="13"/>
  <c r="AH466" i="13"/>
  <c r="AI466" i="13" s="1"/>
  <c r="AH467" i="13"/>
  <c r="AJ467" i="13" s="1"/>
  <c r="AH468" i="13"/>
  <c r="BA468" i="13" s="1"/>
  <c r="AH469" i="13"/>
  <c r="AX469" i="13" s="1"/>
  <c r="AH470" i="13"/>
  <c r="AI470" i="13" s="1"/>
  <c r="AH471" i="13"/>
  <c r="AI471" i="13" s="1"/>
  <c r="AH472" i="13"/>
  <c r="AN472" i="13" s="1"/>
  <c r="AH473" i="13"/>
  <c r="AS473" i="13" s="1"/>
  <c r="AH474" i="13"/>
  <c r="AI474" i="13" s="1"/>
  <c r="BC442" i="13"/>
  <c r="BG442" i="13" s="1"/>
  <c r="BC443" i="13"/>
  <c r="BQ443" i="13" s="1"/>
  <c r="BC444" i="13"/>
  <c r="BU444" i="13" s="1"/>
  <c r="BC445" i="13"/>
  <c r="BV445" i="13" s="1"/>
  <c r="BC446" i="13"/>
  <c r="BC447" i="13"/>
  <c r="BC448" i="13"/>
  <c r="BC449" i="13"/>
  <c r="BC450" i="13"/>
  <c r="BQ450" i="13" s="1"/>
  <c r="BC451" i="13"/>
  <c r="BS451" i="13" s="1"/>
  <c r="BC452" i="13"/>
  <c r="BC453" i="13"/>
  <c r="BO453" i="13" s="1"/>
  <c r="BC454" i="13"/>
  <c r="BM454" i="13" s="1"/>
  <c r="BC455" i="13"/>
  <c r="BC456" i="13"/>
  <c r="BH456" i="13" s="1"/>
  <c r="BC457" i="13"/>
  <c r="BM457" i="13" s="1"/>
  <c r="BC458" i="13"/>
  <c r="BO458" i="13" s="1"/>
  <c r="BC459" i="13"/>
  <c r="BC460" i="13"/>
  <c r="BT460" i="13" s="1"/>
  <c r="BC461" i="13"/>
  <c r="BG461" i="13" s="1"/>
  <c r="BC462" i="13"/>
  <c r="BC463" i="13"/>
  <c r="BR463" i="13" s="1"/>
  <c r="BC464" i="13"/>
  <c r="BS464" i="13" s="1"/>
  <c r="BC465" i="13"/>
  <c r="BC466" i="13"/>
  <c r="BC467" i="13"/>
  <c r="BJ467" i="13" s="1"/>
  <c r="BC468" i="13"/>
  <c r="BI468" i="13" s="1"/>
  <c r="BC469" i="13"/>
  <c r="BG469" i="13" s="1"/>
  <c r="BC470" i="13"/>
  <c r="BQ470" i="13" s="1"/>
  <c r="BC471" i="13"/>
  <c r="BC472" i="13"/>
  <c r="BR472" i="13" s="1"/>
  <c r="BC473" i="13"/>
  <c r="BC474" i="13"/>
  <c r="C475" i="13"/>
  <c r="C476" i="13"/>
  <c r="C477" i="13"/>
  <c r="C478" i="13"/>
  <c r="C479" i="13"/>
  <c r="C480" i="13"/>
  <c r="C481" i="13"/>
  <c r="C482" i="13"/>
  <c r="C483" i="13"/>
  <c r="C484" i="13"/>
  <c r="C485" i="13"/>
  <c r="C486" i="13"/>
  <c r="C487" i="13"/>
  <c r="C488" i="13"/>
  <c r="C489" i="13"/>
  <c r="C490" i="13"/>
  <c r="C491" i="13"/>
  <c r="C492" i="13"/>
  <c r="C493" i="13"/>
  <c r="C494" i="13"/>
  <c r="C495" i="13"/>
  <c r="C496" i="13"/>
  <c r="C497" i="13"/>
  <c r="C498" i="13"/>
  <c r="C499" i="13"/>
  <c r="C500" i="13"/>
  <c r="C501" i="13"/>
  <c r="C502" i="13"/>
  <c r="C503" i="13"/>
  <c r="C504" i="13"/>
  <c r="C505" i="13"/>
  <c r="C506" i="13"/>
  <c r="C507" i="13"/>
  <c r="C508" i="13"/>
  <c r="C509" i="13"/>
  <c r="C510" i="13"/>
  <c r="C511" i="13"/>
  <c r="C512" i="13"/>
  <c r="C513" i="13"/>
  <c r="C514" i="13"/>
  <c r="C515" i="13"/>
  <c r="C516" i="13"/>
  <c r="D475" i="13"/>
  <c r="D476" i="13"/>
  <c r="D477" i="13"/>
  <c r="D478" i="13"/>
  <c r="D479" i="13"/>
  <c r="D480" i="13"/>
  <c r="D481" i="13"/>
  <c r="D482" i="13"/>
  <c r="D483" i="13"/>
  <c r="D484" i="13"/>
  <c r="D485" i="13"/>
  <c r="D486" i="13"/>
  <c r="D487" i="13"/>
  <c r="D488" i="13"/>
  <c r="D489" i="13"/>
  <c r="D490" i="13"/>
  <c r="D491" i="13"/>
  <c r="D492" i="13"/>
  <c r="D493" i="13"/>
  <c r="D494" i="13"/>
  <c r="D495" i="13"/>
  <c r="D496" i="13"/>
  <c r="D497" i="13"/>
  <c r="D498" i="13"/>
  <c r="D499" i="13"/>
  <c r="D500" i="13"/>
  <c r="D501" i="13"/>
  <c r="D502" i="13"/>
  <c r="D503" i="13"/>
  <c r="D504" i="13"/>
  <c r="D505" i="13"/>
  <c r="D506" i="13"/>
  <c r="D507" i="13"/>
  <c r="D508" i="13"/>
  <c r="D509" i="13"/>
  <c r="D510" i="13"/>
  <c r="D511" i="13"/>
  <c r="D512" i="13"/>
  <c r="D513" i="13"/>
  <c r="D514" i="13"/>
  <c r="D515" i="13"/>
  <c r="D516"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K475" i="13"/>
  <c r="K476" i="13"/>
  <c r="K477" i="13"/>
  <c r="K478" i="13"/>
  <c r="K479" i="13"/>
  <c r="K480" i="13"/>
  <c r="K481" i="13"/>
  <c r="K482" i="13"/>
  <c r="K483" i="13"/>
  <c r="K484" i="13"/>
  <c r="K485" i="13"/>
  <c r="K486" i="13"/>
  <c r="K487" i="13"/>
  <c r="K488" i="13"/>
  <c r="K489" i="13"/>
  <c r="K490" i="13"/>
  <c r="K491" i="13"/>
  <c r="K492" i="13"/>
  <c r="K493" i="13"/>
  <c r="K494" i="13"/>
  <c r="K495" i="13"/>
  <c r="K496" i="13"/>
  <c r="K497" i="13"/>
  <c r="K498" i="13"/>
  <c r="K499" i="13"/>
  <c r="K500" i="13"/>
  <c r="K501" i="13"/>
  <c r="K502" i="13"/>
  <c r="K503" i="13"/>
  <c r="K504" i="13"/>
  <c r="K505" i="13"/>
  <c r="K506" i="13"/>
  <c r="K507" i="13"/>
  <c r="K508" i="13"/>
  <c r="K509" i="13"/>
  <c r="K510" i="13"/>
  <c r="K511" i="13"/>
  <c r="K512" i="13"/>
  <c r="K513" i="13"/>
  <c r="K514" i="13"/>
  <c r="K515" i="13"/>
  <c r="K516" i="13"/>
  <c r="P475" i="13"/>
  <c r="P476" i="13"/>
  <c r="P477" i="13"/>
  <c r="P478" i="13"/>
  <c r="P479" i="13"/>
  <c r="P480" i="13"/>
  <c r="P481" i="13"/>
  <c r="P482" i="13"/>
  <c r="P483" i="13"/>
  <c r="P484" i="13"/>
  <c r="P485" i="13"/>
  <c r="P486" i="13"/>
  <c r="P487" i="13"/>
  <c r="P488" i="13"/>
  <c r="P489" i="13"/>
  <c r="P490" i="13"/>
  <c r="P491" i="13"/>
  <c r="P492" i="13"/>
  <c r="P493" i="13"/>
  <c r="P494" i="13"/>
  <c r="P495" i="13"/>
  <c r="P496" i="13"/>
  <c r="P497" i="13"/>
  <c r="P498" i="13"/>
  <c r="P499" i="13"/>
  <c r="P500" i="13"/>
  <c r="P501" i="13"/>
  <c r="P502" i="13"/>
  <c r="P503" i="13"/>
  <c r="P504" i="13"/>
  <c r="P505" i="13"/>
  <c r="P506" i="13"/>
  <c r="P507" i="13"/>
  <c r="P508" i="13"/>
  <c r="P509" i="13"/>
  <c r="P510" i="13"/>
  <c r="P511" i="13"/>
  <c r="P512" i="13"/>
  <c r="P513" i="13"/>
  <c r="P514" i="13"/>
  <c r="P515" i="13"/>
  <c r="P516" i="13"/>
  <c r="AH475" i="13"/>
  <c r="AX475" i="13" s="1"/>
  <c r="AH476" i="13"/>
  <c r="AV476" i="13" s="1"/>
  <c r="AH477" i="13"/>
  <c r="AU477" i="13" s="1"/>
  <c r="AH478" i="13"/>
  <c r="AS478" i="13" s="1"/>
  <c r="AH479" i="13"/>
  <c r="AZ479" i="13" s="1"/>
  <c r="AH480" i="13"/>
  <c r="AU480" i="13" s="1"/>
  <c r="AH481" i="13"/>
  <c r="AJ481" i="13" s="1"/>
  <c r="AH482" i="13"/>
  <c r="AK482" i="13" s="1"/>
  <c r="AH483" i="13"/>
  <c r="AV483" i="13" s="1"/>
  <c r="AH484" i="13"/>
  <c r="AU484" i="13" s="1"/>
  <c r="AH485" i="13"/>
  <c r="AL485" i="13" s="1"/>
  <c r="AH486" i="13"/>
  <c r="AP486" i="13" s="1"/>
  <c r="AH487" i="13"/>
  <c r="AH488" i="13"/>
  <c r="AQ488" i="13" s="1"/>
  <c r="AH489" i="13"/>
  <c r="AY489" i="13" s="1"/>
  <c r="AH490" i="13"/>
  <c r="AS490" i="13" s="1"/>
  <c r="AH491" i="13"/>
  <c r="AH492" i="13"/>
  <c r="AT492" i="13" s="1"/>
  <c r="AH493" i="13"/>
  <c r="AH494" i="13"/>
  <c r="AY494" i="13" s="1"/>
  <c r="AH495" i="13"/>
  <c r="AZ495" i="13" s="1"/>
  <c r="AH496" i="13"/>
  <c r="AP496" i="13" s="1"/>
  <c r="AH497" i="13"/>
  <c r="AZ497" i="13" s="1"/>
  <c r="AH498" i="13"/>
  <c r="AT498" i="13" s="1"/>
  <c r="AH499" i="13"/>
  <c r="AV499" i="13" s="1"/>
  <c r="AH500" i="13"/>
  <c r="AO500" i="13" s="1"/>
  <c r="AH501" i="13"/>
  <c r="AW501" i="13" s="1"/>
  <c r="AH502" i="13"/>
  <c r="BA502" i="13" s="1"/>
  <c r="AH503" i="13"/>
  <c r="AV503" i="13" s="1"/>
  <c r="AH504" i="13"/>
  <c r="AP504" i="13" s="1"/>
  <c r="AH505" i="13"/>
  <c r="AK505" i="13" s="1"/>
  <c r="AH506" i="13"/>
  <c r="AQ506" i="13" s="1"/>
  <c r="AH507" i="13"/>
  <c r="AX507" i="13" s="1"/>
  <c r="AH508" i="13"/>
  <c r="AL508" i="13" s="1"/>
  <c r="AH509" i="13"/>
  <c r="AP509" i="13" s="1"/>
  <c r="AH510" i="13"/>
  <c r="AZ510" i="13" s="1"/>
  <c r="AH511" i="13"/>
  <c r="AX511" i="13" s="1"/>
  <c r="AH512" i="13"/>
  <c r="AT512" i="13" s="1"/>
  <c r="AH513" i="13"/>
  <c r="AW513" i="13" s="1"/>
  <c r="AH514" i="13"/>
  <c r="AN514" i="13" s="1"/>
  <c r="AH515" i="13"/>
  <c r="AZ515" i="13" s="1"/>
  <c r="AH516" i="13"/>
  <c r="BC475" i="13"/>
  <c r="BP475" i="13" s="1"/>
  <c r="BC476" i="13"/>
  <c r="BI476" i="13" s="1"/>
  <c r="BC477" i="13"/>
  <c r="BK477" i="13" s="1"/>
  <c r="BC478" i="13"/>
  <c r="BP478" i="13" s="1"/>
  <c r="BC479" i="13"/>
  <c r="BN479" i="13" s="1"/>
  <c r="BC480" i="13"/>
  <c r="BK480" i="13" s="1"/>
  <c r="BC481" i="13"/>
  <c r="BI481" i="13" s="1"/>
  <c r="BC482" i="13"/>
  <c r="BI482" i="13" s="1"/>
  <c r="BC483" i="13"/>
  <c r="BF483" i="13" s="1"/>
  <c r="BC484" i="13"/>
  <c r="BM484" i="13" s="1"/>
  <c r="BC485" i="13"/>
  <c r="BK485" i="13" s="1"/>
  <c r="BC486" i="13"/>
  <c r="BC487" i="13"/>
  <c r="BE487" i="13" s="1"/>
  <c r="BC488" i="13"/>
  <c r="BQ488" i="13" s="1"/>
  <c r="BC489" i="13"/>
  <c r="BO489" i="13" s="1"/>
  <c r="BC490" i="13"/>
  <c r="BI490" i="13" s="1"/>
  <c r="BC491" i="13"/>
  <c r="BC492" i="13"/>
  <c r="BD492" i="13" s="1"/>
  <c r="BC493" i="13"/>
  <c r="BK493" i="13" s="1"/>
  <c r="BC494" i="13"/>
  <c r="BC495" i="13"/>
  <c r="BI495" i="13" s="1"/>
  <c r="BC496" i="13"/>
  <c r="BH496" i="13" s="1"/>
  <c r="BC497" i="13"/>
  <c r="BE497" i="13" s="1"/>
  <c r="BC498" i="13"/>
  <c r="BC499" i="13"/>
  <c r="BL499" i="13" s="1"/>
  <c r="BC500" i="13"/>
  <c r="BE500" i="13" s="1"/>
  <c r="BC501" i="13"/>
  <c r="BK501" i="13" s="1"/>
  <c r="BC502" i="13"/>
  <c r="BI502" i="13" s="1"/>
  <c r="BC503" i="13"/>
  <c r="BJ503" i="13" s="1"/>
  <c r="BC504" i="13"/>
  <c r="BI504" i="13" s="1"/>
  <c r="BC505" i="13"/>
  <c r="BO505" i="13" s="1"/>
  <c r="BC506" i="13"/>
  <c r="BI506" i="13" s="1"/>
  <c r="BC507" i="13"/>
  <c r="BC508" i="13"/>
  <c r="BK508" i="13" s="1"/>
  <c r="BC509" i="13"/>
  <c r="BK509" i="13" s="1"/>
  <c r="BC510" i="13"/>
  <c r="BC511" i="13"/>
  <c r="BE511" i="13" s="1"/>
  <c r="BC512" i="13"/>
  <c r="BT512" i="13" s="1"/>
  <c r="BC513" i="13"/>
  <c r="BI513" i="13" s="1"/>
  <c r="BC514" i="13"/>
  <c r="BC515" i="13"/>
  <c r="BI515" i="13" s="1"/>
  <c r="BC516" i="13"/>
  <c r="BG516" i="13" s="1"/>
  <c r="C517" i="13"/>
  <c r="C518" i="13"/>
  <c r="C519" i="13"/>
  <c r="C520" i="13"/>
  <c r="C521" i="13"/>
  <c r="C522" i="13"/>
  <c r="C523" i="13"/>
  <c r="C524" i="13"/>
  <c r="C525" i="13"/>
  <c r="C526" i="13"/>
  <c r="C527" i="13"/>
  <c r="C528" i="13"/>
  <c r="C529" i="13"/>
  <c r="C530" i="13"/>
  <c r="C531" i="13"/>
  <c r="C532" i="13"/>
  <c r="C533" i="13"/>
  <c r="C534" i="13"/>
  <c r="C535" i="13"/>
  <c r="C536" i="13"/>
  <c r="C537" i="13"/>
  <c r="D517" i="13"/>
  <c r="D518" i="13"/>
  <c r="D519" i="13"/>
  <c r="D520" i="13"/>
  <c r="D521" i="13"/>
  <c r="D522" i="13"/>
  <c r="D523" i="13"/>
  <c r="D524" i="13"/>
  <c r="D525" i="13"/>
  <c r="D526" i="13"/>
  <c r="D527" i="13"/>
  <c r="D528" i="13"/>
  <c r="D529" i="13"/>
  <c r="D530" i="13"/>
  <c r="D531" i="13"/>
  <c r="D532" i="13"/>
  <c r="D533" i="13"/>
  <c r="D534" i="13"/>
  <c r="D535" i="13"/>
  <c r="D536" i="13"/>
  <c r="D537" i="13"/>
  <c r="E517" i="13"/>
  <c r="E518" i="13"/>
  <c r="E519" i="13"/>
  <c r="E520" i="13"/>
  <c r="E521" i="13"/>
  <c r="E522" i="13"/>
  <c r="E523" i="13"/>
  <c r="E524" i="13"/>
  <c r="E525" i="13"/>
  <c r="E526" i="13"/>
  <c r="E527" i="13"/>
  <c r="E528" i="13"/>
  <c r="E529" i="13"/>
  <c r="E530" i="13"/>
  <c r="E531" i="13"/>
  <c r="E532" i="13"/>
  <c r="E533" i="13"/>
  <c r="E534" i="13"/>
  <c r="E535" i="13"/>
  <c r="E536" i="13"/>
  <c r="E537" i="13"/>
  <c r="K517" i="13"/>
  <c r="K518" i="13"/>
  <c r="K519" i="13"/>
  <c r="K520" i="13"/>
  <c r="K521" i="13"/>
  <c r="K522" i="13"/>
  <c r="K523" i="13"/>
  <c r="K524" i="13"/>
  <c r="K525" i="13"/>
  <c r="K526" i="13"/>
  <c r="K527" i="13"/>
  <c r="K528" i="13"/>
  <c r="K529" i="13"/>
  <c r="K530" i="13"/>
  <c r="K531" i="13"/>
  <c r="K532" i="13"/>
  <c r="K533" i="13"/>
  <c r="K534" i="13"/>
  <c r="K535" i="13"/>
  <c r="K536" i="13"/>
  <c r="K537" i="13"/>
  <c r="P517" i="13"/>
  <c r="P518" i="13"/>
  <c r="P519" i="13"/>
  <c r="P520" i="13"/>
  <c r="P521" i="13"/>
  <c r="P522" i="13"/>
  <c r="P523" i="13"/>
  <c r="P524" i="13"/>
  <c r="P525" i="13"/>
  <c r="P526" i="13"/>
  <c r="P527" i="13"/>
  <c r="P528" i="13"/>
  <c r="P529" i="13"/>
  <c r="P530" i="13"/>
  <c r="P531" i="13"/>
  <c r="P532" i="13"/>
  <c r="P533" i="13"/>
  <c r="P534" i="13"/>
  <c r="P535" i="13"/>
  <c r="P536" i="13"/>
  <c r="P537" i="13"/>
  <c r="AH517" i="13"/>
  <c r="AN517" i="13" s="1"/>
  <c r="AH518" i="13"/>
  <c r="AI518" i="13" s="1"/>
  <c r="AH519" i="13"/>
  <c r="AR519" i="13" s="1"/>
  <c r="AH520" i="13"/>
  <c r="AK520" i="13" s="1"/>
  <c r="AH521" i="13"/>
  <c r="AV521" i="13" s="1"/>
  <c r="AH522" i="13"/>
  <c r="AI522" i="13" s="1"/>
  <c r="AH523" i="13"/>
  <c r="AR523" i="13" s="1"/>
  <c r="AH524" i="13"/>
  <c r="AK524" i="13" s="1"/>
  <c r="AH525" i="13"/>
  <c r="AM525" i="13" s="1"/>
  <c r="AH526" i="13"/>
  <c r="AI526" i="13" s="1"/>
  <c r="AH527" i="13"/>
  <c r="AQ527" i="13" s="1"/>
  <c r="AH528" i="13"/>
  <c r="AJ528" i="13" s="1"/>
  <c r="AH529" i="13"/>
  <c r="AM529" i="13" s="1"/>
  <c r="AH530" i="13"/>
  <c r="AI530" i="13" s="1"/>
  <c r="AH531" i="13"/>
  <c r="AR531" i="13" s="1"/>
  <c r="AH532" i="13"/>
  <c r="AK532" i="13" s="1"/>
  <c r="AH533" i="13"/>
  <c r="AN533" i="13" s="1"/>
  <c r="AH534" i="13"/>
  <c r="AI534" i="13" s="1"/>
  <c r="AH535" i="13"/>
  <c r="AR535" i="13" s="1"/>
  <c r="AH536" i="13"/>
  <c r="AH537" i="13"/>
  <c r="AZ537" i="13" s="1"/>
  <c r="BC517" i="13"/>
  <c r="BO517" i="13" s="1"/>
  <c r="BC518" i="13"/>
  <c r="BK518" i="13" s="1"/>
  <c r="BC519" i="13"/>
  <c r="BM519" i="13" s="1"/>
  <c r="BC520" i="13"/>
  <c r="BM520" i="13" s="1"/>
  <c r="BC521" i="13"/>
  <c r="BK521" i="13" s="1"/>
  <c r="BC522" i="13"/>
  <c r="BE522" i="13" s="1"/>
  <c r="BC523" i="13"/>
  <c r="BG523" i="13" s="1"/>
  <c r="BC524" i="13"/>
  <c r="BT524" i="13" s="1"/>
  <c r="BC525" i="13"/>
  <c r="BI525" i="13" s="1"/>
  <c r="BC526" i="13"/>
  <c r="BE526" i="13" s="1"/>
  <c r="BC527" i="13"/>
  <c r="BI527" i="13" s="1"/>
  <c r="BC528" i="13"/>
  <c r="BM528" i="13" s="1"/>
  <c r="BC529" i="13"/>
  <c r="BQ529" i="13" s="1"/>
  <c r="BC530" i="13"/>
  <c r="BE530" i="13" s="1"/>
  <c r="BC531" i="13"/>
  <c r="BK531" i="13" s="1"/>
  <c r="BC532" i="13"/>
  <c r="BP532" i="13" s="1"/>
  <c r="BC533" i="13"/>
  <c r="BJ533" i="13" s="1"/>
  <c r="BC534" i="13"/>
  <c r="BE534" i="13" s="1"/>
  <c r="BC535" i="13"/>
  <c r="BE535" i="13" s="1"/>
  <c r="BC536" i="13"/>
  <c r="BM536" i="13" s="1"/>
  <c r="BC537" i="13"/>
  <c r="BR537" i="13" s="1"/>
  <c r="B539" i="13"/>
  <c r="B441" i="13"/>
  <c r="B440" i="13"/>
  <c r="B439" i="13"/>
  <c r="B438" i="13"/>
  <c r="B437" i="13"/>
  <c r="B436" i="13"/>
  <c r="B435" i="13"/>
  <c r="B434" i="13"/>
  <c r="B433" i="13"/>
  <c r="B432" i="13"/>
  <c r="B431" i="13"/>
  <c r="B430" i="13"/>
  <c r="B429" i="13"/>
  <c r="B428" i="13"/>
  <c r="B427" i="13"/>
  <c r="B426" i="13"/>
  <c r="B425" i="13"/>
  <c r="B424" i="13"/>
  <c r="B423" i="13"/>
  <c r="B422" i="13"/>
  <c r="B421" i="13"/>
  <c r="B420" i="13"/>
  <c r="B419" i="13"/>
  <c r="B418" i="13"/>
  <c r="B417" i="13"/>
  <c r="B416" i="13"/>
  <c r="B415" i="13"/>
  <c r="B414" i="13"/>
  <c r="B413" i="13"/>
  <c r="B412" i="13"/>
  <c r="B411" i="13"/>
  <c r="B410" i="13"/>
  <c r="B409" i="13"/>
  <c r="B408" i="13"/>
  <c r="B407" i="13"/>
  <c r="B406" i="13"/>
  <c r="B405" i="13"/>
  <c r="B404" i="13"/>
  <c r="B403" i="13"/>
  <c r="B402" i="13"/>
  <c r="B401" i="13"/>
  <c r="B400" i="13"/>
  <c r="B399" i="13"/>
  <c r="B398" i="13"/>
  <c r="B397" i="13"/>
  <c r="B396" i="13"/>
  <c r="B395" i="13"/>
  <c r="B394" i="13"/>
  <c r="B393" i="13"/>
  <c r="B392" i="13"/>
  <c r="B391" i="13"/>
  <c r="B390" i="13"/>
  <c r="B389" i="13"/>
  <c r="B388" i="13"/>
  <c r="C388" i="13"/>
  <c r="C389" i="13"/>
  <c r="C390" i="13"/>
  <c r="C391" i="13"/>
  <c r="C392" i="13"/>
  <c r="C393" i="13"/>
  <c r="C394" i="13"/>
  <c r="C395" i="13"/>
  <c r="C396" i="13"/>
  <c r="C397" i="13"/>
  <c r="C398" i="13"/>
  <c r="C399" i="13"/>
  <c r="C400" i="13"/>
  <c r="C401" i="13"/>
  <c r="C402" i="13"/>
  <c r="C403" i="13"/>
  <c r="C404" i="13"/>
  <c r="C405" i="13"/>
  <c r="C406" i="13"/>
  <c r="C407" i="13"/>
  <c r="C408" i="13"/>
  <c r="C409" i="13"/>
  <c r="C410" i="13"/>
  <c r="C411" i="13"/>
  <c r="C412" i="13"/>
  <c r="C413" i="13"/>
  <c r="C414" i="13"/>
  <c r="C415" i="13"/>
  <c r="C416" i="13"/>
  <c r="C417" i="13"/>
  <c r="C418" i="13"/>
  <c r="C419" i="13"/>
  <c r="C420" i="13"/>
  <c r="C421" i="13"/>
  <c r="C422" i="13"/>
  <c r="C423" i="13"/>
  <c r="C424" i="13"/>
  <c r="D388" i="13"/>
  <c r="D389" i="13"/>
  <c r="D390" i="13"/>
  <c r="D391" i="13"/>
  <c r="D392" i="13"/>
  <c r="D393" i="13"/>
  <c r="D394" i="13"/>
  <c r="D395" i="13"/>
  <c r="D396" i="13"/>
  <c r="D397" i="13"/>
  <c r="D398" i="13"/>
  <c r="D399" i="13"/>
  <c r="D400" i="13"/>
  <c r="D401" i="13"/>
  <c r="D402" i="13"/>
  <c r="D403" i="13"/>
  <c r="D404" i="13"/>
  <c r="D405" i="13"/>
  <c r="D406" i="13"/>
  <c r="D407" i="13"/>
  <c r="D408" i="13"/>
  <c r="D409" i="13"/>
  <c r="D410" i="13"/>
  <c r="D411" i="13"/>
  <c r="D412" i="13"/>
  <c r="D413" i="13"/>
  <c r="D414" i="13"/>
  <c r="D415" i="13"/>
  <c r="D416" i="13"/>
  <c r="D417" i="13"/>
  <c r="D418" i="13"/>
  <c r="D419" i="13"/>
  <c r="D420" i="13"/>
  <c r="D421" i="13"/>
  <c r="D422" i="13"/>
  <c r="D423" i="13"/>
  <c r="D424"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K388" i="13"/>
  <c r="K389" i="13"/>
  <c r="K390" i="13"/>
  <c r="K391" i="13"/>
  <c r="K392" i="13"/>
  <c r="K393" i="13"/>
  <c r="K394" i="13"/>
  <c r="K395" i="13"/>
  <c r="K396" i="13"/>
  <c r="K397" i="13"/>
  <c r="K398" i="13"/>
  <c r="K399" i="13"/>
  <c r="K400" i="13"/>
  <c r="K401" i="13"/>
  <c r="K402" i="13"/>
  <c r="K403" i="13"/>
  <c r="K404" i="13"/>
  <c r="K405" i="13"/>
  <c r="K406" i="13"/>
  <c r="K407" i="13"/>
  <c r="K408" i="13"/>
  <c r="K409" i="13"/>
  <c r="K410" i="13"/>
  <c r="K411" i="13"/>
  <c r="K412" i="13"/>
  <c r="K413" i="13"/>
  <c r="K414" i="13"/>
  <c r="K415" i="13"/>
  <c r="K416" i="13"/>
  <c r="K417" i="13"/>
  <c r="K418" i="13"/>
  <c r="K419" i="13"/>
  <c r="K420" i="13"/>
  <c r="K421" i="13"/>
  <c r="K422" i="13"/>
  <c r="K423" i="13"/>
  <c r="K424" i="13"/>
  <c r="AH388" i="13"/>
  <c r="AR388" i="13" s="1"/>
  <c r="AH389" i="13"/>
  <c r="AI389" i="13" s="1"/>
  <c r="AH390" i="13"/>
  <c r="AP390" i="13" s="1"/>
  <c r="AH391" i="13"/>
  <c r="AW391" i="13" s="1"/>
  <c r="AH392" i="13"/>
  <c r="AH393" i="13"/>
  <c r="AN393" i="13" s="1"/>
  <c r="AH394" i="13"/>
  <c r="AN394" i="13" s="1"/>
  <c r="AH395" i="13"/>
  <c r="AV395" i="13" s="1"/>
  <c r="AH396" i="13"/>
  <c r="AZ396" i="13" s="1"/>
  <c r="AH397" i="13"/>
  <c r="AI397" i="13" s="1"/>
  <c r="AH398" i="13"/>
  <c r="AW398" i="13" s="1"/>
  <c r="AH399" i="13"/>
  <c r="AP399" i="13" s="1"/>
  <c r="AH400" i="13"/>
  <c r="AH401" i="13"/>
  <c r="AI401" i="13" s="1"/>
  <c r="AH402" i="13"/>
  <c r="AY402" i="13" s="1"/>
  <c r="AH403" i="13"/>
  <c r="AJ403" i="13" s="1"/>
  <c r="AH404" i="13"/>
  <c r="AI404" i="13" s="1"/>
  <c r="AH405" i="13"/>
  <c r="AI405" i="13" s="1"/>
  <c r="AH406" i="13"/>
  <c r="AP406" i="13" s="1"/>
  <c r="AH407" i="13"/>
  <c r="AI407" i="13" s="1"/>
  <c r="AH408" i="13"/>
  <c r="AH409" i="13"/>
  <c r="AI409" i="13" s="1"/>
  <c r="AH410" i="13"/>
  <c r="AX410" i="13" s="1"/>
  <c r="AH411" i="13"/>
  <c r="AK411" i="13" s="1"/>
  <c r="AH412" i="13"/>
  <c r="AK412" i="13" s="1"/>
  <c r="AH413" i="13"/>
  <c r="AM413" i="13" s="1"/>
  <c r="AH414" i="13"/>
  <c r="AQ414" i="13" s="1"/>
  <c r="AH415" i="13"/>
  <c r="AX415" i="13" s="1"/>
  <c r="AH416" i="13"/>
  <c r="AH417" i="13"/>
  <c r="AJ417" i="13" s="1"/>
  <c r="AH418" i="13"/>
  <c r="AH419" i="13"/>
  <c r="AO419" i="13" s="1"/>
  <c r="AH420" i="13"/>
  <c r="AH421" i="13"/>
  <c r="AP421" i="13" s="1"/>
  <c r="AH422" i="13"/>
  <c r="AJ422" i="13" s="1"/>
  <c r="AH423" i="13"/>
  <c r="AP423" i="13" s="1"/>
  <c r="AH424" i="13"/>
  <c r="BA424" i="13" s="1"/>
  <c r="BC388" i="13"/>
  <c r="BQ388" i="13" s="1"/>
  <c r="BC389" i="13"/>
  <c r="BT389" i="13" s="1"/>
  <c r="BC390" i="13"/>
  <c r="BF390" i="13" s="1"/>
  <c r="BC391" i="13"/>
  <c r="BC392" i="13"/>
  <c r="BC393" i="13"/>
  <c r="BC394" i="13"/>
  <c r="BN394" i="13" s="1"/>
  <c r="BC395" i="13"/>
  <c r="BC396" i="13"/>
  <c r="BU396" i="13" s="1"/>
  <c r="BC397" i="13"/>
  <c r="BM397" i="13" s="1"/>
  <c r="BC398" i="13"/>
  <c r="BC399" i="13"/>
  <c r="BF399" i="13" s="1"/>
  <c r="BC400" i="13"/>
  <c r="BF400" i="13" s="1"/>
  <c r="BC401" i="13"/>
  <c r="BC402" i="13"/>
  <c r="BE402" i="13" s="1"/>
  <c r="BC403" i="13"/>
  <c r="BN403" i="13" s="1"/>
  <c r="BC404" i="13"/>
  <c r="BI404" i="13" s="1"/>
  <c r="BC405" i="13"/>
  <c r="BJ405" i="13" s="1"/>
  <c r="BC406" i="13"/>
  <c r="BC407" i="13"/>
  <c r="BP407" i="13" s="1"/>
  <c r="BC408" i="13"/>
  <c r="BS408" i="13" s="1"/>
  <c r="BC409" i="13"/>
  <c r="BV409" i="13" s="1"/>
  <c r="BC410" i="13"/>
  <c r="BC411" i="13"/>
  <c r="BC412" i="13"/>
  <c r="BM412" i="13" s="1"/>
  <c r="BC413" i="13"/>
  <c r="BJ413" i="13" s="1"/>
  <c r="BC414" i="13"/>
  <c r="BN414" i="13" s="1"/>
  <c r="BC415" i="13"/>
  <c r="BV415" i="13" s="1"/>
  <c r="BC416" i="13"/>
  <c r="BJ416" i="13" s="1"/>
  <c r="BC417" i="13"/>
  <c r="BH417" i="13" s="1"/>
  <c r="BC418" i="13"/>
  <c r="BE418" i="13" s="1"/>
  <c r="BC419" i="13"/>
  <c r="BI419" i="13" s="1"/>
  <c r="BC420" i="13"/>
  <c r="BI420" i="13" s="1"/>
  <c r="BC421" i="13"/>
  <c r="BC422" i="13"/>
  <c r="BH422" i="13" s="1"/>
  <c r="BC423" i="13"/>
  <c r="BC424" i="13"/>
  <c r="BJ424" i="13" s="1"/>
  <c r="C425" i="13"/>
  <c r="C426" i="13"/>
  <c r="C427" i="13"/>
  <c r="C428" i="13"/>
  <c r="C429" i="13"/>
  <c r="C430" i="13"/>
  <c r="C431" i="13"/>
  <c r="C432" i="13"/>
  <c r="C433" i="13"/>
  <c r="C434" i="13"/>
  <c r="C435" i="13"/>
  <c r="C436" i="13"/>
  <c r="C437" i="13"/>
  <c r="C438" i="13"/>
  <c r="C439" i="13"/>
  <c r="C440" i="13"/>
  <c r="C441" i="13"/>
  <c r="C538" i="13"/>
  <c r="C539" i="13"/>
  <c r="D425" i="13"/>
  <c r="D426" i="13"/>
  <c r="D427" i="13"/>
  <c r="D428" i="13"/>
  <c r="D429" i="13"/>
  <c r="D430" i="13"/>
  <c r="D431" i="13"/>
  <c r="D432" i="13"/>
  <c r="D433" i="13"/>
  <c r="D434" i="13"/>
  <c r="D435" i="13"/>
  <c r="D436" i="13"/>
  <c r="D437" i="13"/>
  <c r="D438" i="13"/>
  <c r="D439" i="13"/>
  <c r="D440" i="13"/>
  <c r="D441" i="13"/>
  <c r="D538" i="13"/>
  <c r="D539" i="13"/>
  <c r="E425" i="13"/>
  <c r="E426" i="13"/>
  <c r="E427" i="13"/>
  <c r="E428" i="13"/>
  <c r="E429" i="13"/>
  <c r="E430" i="13"/>
  <c r="E431" i="13"/>
  <c r="E432" i="13"/>
  <c r="E433" i="13"/>
  <c r="E434" i="13"/>
  <c r="E435" i="13"/>
  <c r="E436" i="13"/>
  <c r="E437" i="13"/>
  <c r="E438" i="13"/>
  <c r="E439" i="13"/>
  <c r="E440" i="13"/>
  <c r="E441" i="13"/>
  <c r="E538" i="13"/>
  <c r="E539" i="13"/>
  <c r="K425" i="13"/>
  <c r="K426" i="13"/>
  <c r="K427" i="13"/>
  <c r="K428" i="13"/>
  <c r="K429" i="13"/>
  <c r="K430" i="13"/>
  <c r="K431" i="13"/>
  <c r="K432" i="13"/>
  <c r="K433" i="13"/>
  <c r="K434" i="13"/>
  <c r="K435" i="13"/>
  <c r="K436" i="13"/>
  <c r="K437" i="13"/>
  <c r="K438" i="13"/>
  <c r="K439" i="13"/>
  <c r="K440" i="13"/>
  <c r="K441" i="13"/>
  <c r="K538" i="13"/>
  <c r="K539" i="13"/>
  <c r="P538" i="13"/>
  <c r="P539" i="13"/>
  <c r="AH425" i="13"/>
  <c r="AH426" i="13"/>
  <c r="AK426" i="13" s="1"/>
  <c r="AH427" i="13"/>
  <c r="AI427" i="13" s="1"/>
  <c r="AH428" i="13"/>
  <c r="AK428" i="13" s="1"/>
  <c r="AH429" i="13"/>
  <c r="AH430" i="13"/>
  <c r="AK430" i="13" s="1"/>
  <c r="AH431" i="13"/>
  <c r="AW431" i="13" s="1"/>
  <c r="AH432" i="13"/>
  <c r="AI432" i="13" s="1"/>
  <c r="AH433" i="13"/>
  <c r="AH434" i="13"/>
  <c r="AH435" i="13"/>
  <c r="AH436" i="13"/>
  <c r="AP436" i="13" s="1"/>
  <c r="AH437" i="13"/>
  <c r="AH438" i="13"/>
  <c r="AW438" i="13" s="1"/>
  <c r="AH439" i="13"/>
  <c r="AH440" i="13"/>
  <c r="AN440" i="13" s="1"/>
  <c r="AH441" i="13"/>
  <c r="AH538" i="13"/>
  <c r="AW538" i="13" s="1"/>
  <c r="AH539" i="13"/>
  <c r="AK539" i="13" s="1"/>
  <c r="BC425" i="13"/>
  <c r="BN425" i="13" s="1"/>
  <c r="BC426" i="13"/>
  <c r="BM426" i="13" s="1"/>
  <c r="BC427" i="13"/>
  <c r="BU427" i="13" s="1"/>
  <c r="BC428" i="13"/>
  <c r="BI428" i="13" s="1"/>
  <c r="BC429" i="13"/>
  <c r="BJ429" i="13" s="1"/>
  <c r="BC430" i="13"/>
  <c r="BG430" i="13" s="1"/>
  <c r="BC431" i="13"/>
  <c r="BT431" i="13" s="1"/>
  <c r="BC432" i="13"/>
  <c r="BH432" i="13" s="1"/>
  <c r="BC433" i="13"/>
  <c r="BG433" i="13" s="1"/>
  <c r="BC434" i="13"/>
  <c r="BM434" i="13" s="1"/>
  <c r="BC435" i="13"/>
  <c r="BJ435" i="13" s="1"/>
  <c r="BC436" i="13"/>
  <c r="BC437" i="13"/>
  <c r="BC438" i="13"/>
  <c r="BR438" i="13" s="1"/>
  <c r="BC439" i="13"/>
  <c r="BF439" i="13" s="1"/>
  <c r="BC440" i="13"/>
  <c r="BN440" i="13" s="1"/>
  <c r="BC441" i="13"/>
  <c r="BT441" i="13" s="1"/>
  <c r="BC538" i="13"/>
  <c r="BK538" i="13" s="1"/>
  <c r="BC539" i="13"/>
  <c r="BI539" i="13" s="1"/>
  <c r="AH346" i="13"/>
  <c r="AJ346" i="13" s="1"/>
  <c r="B316" i="13"/>
  <c r="C316" i="13"/>
  <c r="D316" i="13"/>
  <c r="E316" i="13"/>
  <c r="K316" i="13"/>
  <c r="AH316" i="13"/>
  <c r="AT316" i="13" s="1"/>
  <c r="BC316" i="13"/>
  <c r="BO316" i="13" s="1"/>
  <c r="B327" i="13"/>
  <c r="B326" i="13"/>
  <c r="B325" i="13"/>
  <c r="B324" i="13"/>
  <c r="B323" i="13"/>
  <c r="B322" i="13"/>
  <c r="B321" i="13"/>
  <c r="C321" i="13"/>
  <c r="C322" i="13"/>
  <c r="C323" i="13"/>
  <c r="C324" i="13"/>
  <c r="C325" i="13"/>
  <c r="C326" i="13"/>
  <c r="C327" i="13"/>
  <c r="D321" i="13"/>
  <c r="D322" i="13"/>
  <c r="D323" i="13"/>
  <c r="D324" i="13"/>
  <c r="D325" i="13"/>
  <c r="D326" i="13"/>
  <c r="D327" i="13"/>
  <c r="E321" i="13"/>
  <c r="E322" i="13"/>
  <c r="E323" i="13"/>
  <c r="E324" i="13"/>
  <c r="E325" i="13"/>
  <c r="E326" i="13"/>
  <c r="E327" i="13"/>
  <c r="K321" i="13"/>
  <c r="K322" i="13"/>
  <c r="K323" i="13"/>
  <c r="K324" i="13"/>
  <c r="K325" i="13"/>
  <c r="K326" i="13"/>
  <c r="K327" i="13"/>
  <c r="AH321" i="13"/>
  <c r="AH322" i="13"/>
  <c r="AK322" i="13" s="1"/>
  <c r="AH323" i="13"/>
  <c r="AO323" i="13" s="1"/>
  <c r="AH324" i="13"/>
  <c r="AN324" i="13" s="1"/>
  <c r="AH325" i="13"/>
  <c r="AH326" i="13"/>
  <c r="AK326" i="13" s="1"/>
  <c r="AH327" i="13"/>
  <c r="BC321" i="13"/>
  <c r="BK321" i="13" s="1"/>
  <c r="BC322" i="13"/>
  <c r="BS322" i="13" s="1"/>
  <c r="BC323" i="13"/>
  <c r="BC324" i="13"/>
  <c r="BG324" i="13" s="1"/>
  <c r="BC325" i="13"/>
  <c r="BC326" i="13"/>
  <c r="BM326" i="13" s="1"/>
  <c r="BC327" i="13"/>
  <c r="B320" i="13"/>
  <c r="B319" i="13"/>
  <c r="B318" i="13"/>
  <c r="B317" i="13"/>
  <c r="B315" i="13"/>
  <c r="B314" i="13"/>
  <c r="B313" i="13"/>
  <c r="C313" i="13"/>
  <c r="C314" i="13"/>
  <c r="C315" i="13"/>
  <c r="C317" i="13"/>
  <c r="C318" i="13"/>
  <c r="C319" i="13"/>
  <c r="C320" i="13"/>
  <c r="D313" i="13"/>
  <c r="D314" i="13"/>
  <c r="D315" i="13"/>
  <c r="D317" i="13"/>
  <c r="D318" i="13"/>
  <c r="D319" i="13"/>
  <c r="D320" i="13"/>
  <c r="E313" i="13"/>
  <c r="E314" i="13"/>
  <c r="E315" i="13"/>
  <c r="E317" i="13"/>
  <c r="E318" i="13"/>
  <c r="E319" i="13"/>
  <c r="E320" i="13"/>
  <c r="K313" i="13"/>
  <c r="K314" i="13"/>
  <c r="K315" i="13"/>
  <c r="K317" i="13"/>
  <c r="K318" i="13"/>
  <c r="K319" i="13"/>
  <c r="K320" i="13"/>
  <c r="AH313" i="13"/>
  <c r="AH314" i="13"/>
  <c r="AU314" i="13" s="1"/>
  <c r="AH315" i="13"/>
  <c r="AY315" i="13" s="1"/>
  <c r="AH317" i="13"/>
  <c r="AZ317" i="13" s="1"/>
  <c r="AH318" i="13"/>
  <c r="AK318" i="13" s="1"/>
  <c r="AH319" i="13"/>
  <c r="AH320" i="13"/>
  <c r="AO320" i="13" s="1"/>
  <c r="BC313" i="13"/>
  <c r="BK313" i="13" s="1"/>
  <c r="BC314" i="13"/>
  <c r="BS314" i="13" s="1"/>
  <c r="BC315" i="13"/>
  <c r="BC317" i="13"/>
  <c r="BI317" i="13" s="1"/>
  <c r="BC318" i="13"/>
  <c r="BK318" i="13" s="1"/>
  <c r="BC319" i="13"/>
  <c r="BN319" i="13" s="1"/>
  <c r="BC320" i="13"/>
  <c r="BO320" i="13" s="1"/>
  <c r="B298" i="13"/>
  <c r="B297" i="13"/>
  <c r="B296" i="13"/>
  <c r="B295" i="13"/>
  <c r="B294" i="13"/>
  <c r="B293" i="13"/>
  <c r="B292" i="13"/>
  <c r="B291" i="13"/>
  <c r="B290" i="13"/>
  <c r="B289" i="13"/>
  <c r="B288" i="13"/>
  <c r="B287" i="13"/>
  <c r="B286" i="13"/>
  <c r="B285" i="13"/>
  <c r="B284" i="13"/>
  <c r="B283" i="13"/>
  <c r="B282" i="13"/>
  <c r="C282" i="13"/>
  <c r="C283" i="13"/>
  <c r="C284" i="13"/>
  <c r="C285" i="13"/>
  <c r="C286" i="13"/>
  <c r="C287" i="13"/>
  <c r="C288" i="13"/>
  <c r="C289" i="13"/>
  <c r="C290" i="13"/>
  <c r="C291" i="13"/>
  <c r="D282" i="13"/>
  <c r="D283" i="13"/>
  <c r="D284" i="13"/>
  <c r="D285" i="13"/>
  <c r="D286" i="13"/>
  <c r="D287" i="13"/>
  <c r="D288" i="13"/>
  <c r="D289" i="13"/>
  <c r="D290" i="13"/>
  <c r="D291" i="13"/>
  <c r="E282" i="13"/>
  <c r="E283" i="13"/>
  <c r="E284" i="13"/>
  <c r="E285" i="13"/>
  <c r="E286" i="13"/>
  <c r="E287" i="13"/>
  <c r="E288" i="13"/>
  <c r="E289" i="13"/>
  <c r="E290" i="13"/>
  <c r="E291" i="13"/>
  <c r="K282" i="13"/>
  <c r="K283" i="13"/>
  <c r="K284" i="13"/>
  <c r="K285" i="13"/>
  <c r="K286" i="13"/>
  <c r="K287" i="13"/>
  <c r="K288" i="13"/>
  <c r="K289" i="13"/>
  <c r="K290" i="13"/>
  <c r="K291" i="13"/>
  <c r="AH282" i="13"/>
  <c r="AI282" i="13" s="1"/>
  <c r="AH283" i="13"/>
  <c r="AH284" i="13"/>
  <c r="AX284" i="13" s="1"/>
  <c r="AH285" i="13"/>
  <c r="AR285" i="13" s="1"/>
  <c r="AH286" i="13"/>
  <c r="AO286" i="13" s="1"/>
  <c r="AH287" i="13"/>
  <c r="AH288" i="13"/>
  <c r="AU288" i="13" s="1"/>
  <c r="AH289" i="13"/>
  <c r="AH290" i="13"/>
  <c r="AH291" i="13"/>
  <c r="AJ291" i="13" s="1"/>
  <c r="BC282" i="13"/>
  <c r="BI282" i="13" s="1"/>
  <c r="BC283" i="13"/>
  <c r="BK283" i="13" s="1"/>
  <c r="BC284" i="13"/>
  <c r="BN284" i="13" s="1"/>
  <c r="BC285" i="13"/>
  <c r="BC286" i="13"/>
  <c r="BC287" i="13"/>
  <c r="BG287" i="13" s="1"/>
  <c r="BC288" i="13"/>
  <c r="BD288" i="13" s="1"/>
  <c r="BC289" i="13"/>
  <c r="BO289" i="13" s="1"/>
  <c r="BC290" i="13"/>
  <c r="BH290" i="13" s="1"/>
  <c r="BC291" i="13"/>
  <c r="BP291" i="13" s="1"/>
  <c r="C292" i="13"/>
  <c r="C293" i="13"/>
  <c r="C294" i="13"/>
  <c r="C295" i="13"/>
  <c r="C296" i="13"/>
  <c r="D292" i="13"/>
  <c r="D293" i="13"/>
  <c r="D294" i="13"/>
  <c r="D295" i="13"/>
  <c r="D296" i="13"/>
  <c r="E292" i="13"/>
  <c r="E293" i="13"/>
  <c r="E294" i="13"/>
  <c r="E295" i="13"/>
  <c r="E296" i="13"/>
  <c r="K292" i="13"/>
  <c r="K293" i="13"/>
  <c r="K294" i="13"/>
  <c r="K295" i="13"/>
  <c r="K296" i="13"/>
  <c r="AH292" i="13"/>
  <c r="AH293" i="13"/>
  <c r="AH294" i="13"/>
  <c r="AI294" i="13" s="1"/>
  <c r="AH295" i="13"/>
  <c r="AL295" i="13" s="1"/>
  <c r="AH296" i="13"/>
  <c r="BC292" i="13"/>
  <c r="BJ292" i="13" s="1"/>
  <c r="BC293" i="13"/>
  <c r="BO293" i="13" s="1"/>
  <c r="BC294" i="13"/>
  <c r="BC295" i="13"/>
  <c r="BJ295" i="13" s="1"/>
  <c r="BC296" i="13"/>
  <c r="C297" i="13"/>
  <c r="C298" i="13"/>
  <c r="D297" i="13"/>
  <c r="D298" i="13"/>
  <c r="E297" i="13"/>
  <c r="E298" i="13"/>
  <c r="K297" i="13"/>
  <c r="K298" i="13"/>
  <c r="AH297" i="13"/>
  <c r="AU297" i="13" s="1"/>
  <c r="AH298" i="13"/>
  <c r="AI298" i="13" s="1"/>
  <c r="BC297" i="13"/>
  <c r="BF297" i="13" s="1"/>
  <c r="BC298" i="13"/>
  <c r="BS298" i="13" s="1"/>
  <c r="B239" i="13"/>
  <c r="B238" i="13"/>
  <c r="B237" i="13"/>
  <c r="C238" i="13"/>
  <c r="D238" i="13"/>
  <c r="E238" i="13"/>
  <c r="K238" i="13"/>
  <c r="AH238" i="13"/>
  <c r="AJ238" i="13" s="1"/>
  <c r="BC238" i="13"/>
  <c r="C237" i="13"/>
  <c r="D237" i="13"/>
  <c r="E237" i="13"/>
  <c r="K237" i="13"/>
  <c r="AH237" i="13"/>
  <c r="BC237" i="13"/>
  <c r="BE237" i="13" s="1"/>
  <c r="C239" i="13"/>
  <c r="D239" i="13"/>
  <c r="E239" i="13"/>
  <c r="K239" i="13"/>
  <c r="AH239" i="13"/>
  <c r="AK239" i="13" s="1"/>
  <c r="BC239" i="13"/>
  <c r="BF239" i="13" s="1"/>
  <c r="B250" i="13"/>
  <c r="C250" i="13"/>
  <c r="D250" i="13"/>
  <c r="E250" i="13"/>
  <c r="K250" i="13"/>
  <c r="AH250" i="13"/>
  <c r="AK250" i="13" s="1"/>
  <c r="BC250" i="13"/>
  <c r="BF250" i="13" s="1"/>
  <c r="B248" i="13"/>
  <c r="B247" i="13"/>
  <c r="B246" i="13"/>
  <c r="B245" i="13"/>
  <c r="B244" i="13"/>
  <c r="B243" i="13"/>
  <c r="B242" i="13"/>
  <c r="B241" i="13"/>
  <c r="C242" i="13"/>
  <c r="C243" i="13"/>
  <c r="C244" i="13"/>
  <c r="C245" i="13"/>
  <c r="C246" i="13"/>
  <c r="D242" i="13"/>
  <c r="D243" i="13"/>
  <c r="D244" i="13"/>
  <c r="D245" i="13"/>
  <c r="D246" i="13"/>
  <c r="E242" i="13"/>
  <c r="E243" i="13"/>
  <c r="E244" i="13"/>
  <c r="E245" i="13"/>
  <c r="E246" i="13"/>
  <c r="K242" i="13"/>
  <c r="K243" i="13"/>
  <c r="K244" i="13"/>
  <c r="K245" i="13"/>
  <c r="K246" i="13"/>
  <c r="AH242" i="13"/>
  <c r="AJ242" i="13" s="1"/>
  <c r="AH243" i="13"/>
  <c r="AI243" i="13" s="1"/>
  <c r="AH244" i="13"/>
  <c r="AK244" i="13" s="1"/>
  <c r="AH245" i="13"/>
  <c r="AK245" i="13" s="1"/>
  <c r="AH246" i="13"/>
  <c r="AJ246" i="13" s="1"/>
  <c r="BC242" i="13"/>
  <c r="BE242" i="13" s="1"/>
  <c r="BC243" i="13"/>
  <c r="BD243" i="13" s="1"/>
  <c r="BC244" i="13"/>
  <c r="BE244" i="13" s="1"/>
  <c r="BC245" i="13"/>
  <c r="BF245" i="13" s="1"/>
  <c r="BC246" i="13"/>
  <c r="BE246" i="13" s="1"/>
  <c r="C241" i="13"/>
  <c r="C247" i="13"/>
  <c r="C248" i="13"/>
  <c r="D241" i="13"/>
  <c r="D247" i="13"/>
  <c r="D248" i="13"/>
  <c r="E241" i="13"/>
  <c r="E247" i="13"/>
  <c r="E248" i="13"/>
  <c r="K241" i="13"/>
  <c r="K247" i="13"/>
  <c r="K248" i="13"/>
  <c r="AH241" i="13"/>
  <c r="AI241" i="13" s="1"/>
  <c r="AH247" i="13"/>
  <c r="AK247" i="13" s="1"/>
  <c r="AH248" i="13"/>
  <c r="AJ248" i="13" s="1"/>
  <c r="BC241" i="13"/>
  <c r="BD241" i="13" s="1"/>
  <c r="BC247" i="13"/>
  <c r="BF247" i="13" s="1"/>
  <c r="BC248" i="13"/>
  <c r="BF248" i="13" s="1"/>
  <c r="B249" i="13"/>
  <c r="B240" i="13"/>
  <c r="B236" i="13"/>
  <c r="B235" i="13"/>
  <c r="B234" i="13"/>
  <c r="B233" i="13"/>
  <c r="B232" i="13"/>
  <c r="B231" i="13"/>
  <c r="B230" i="13"/>
  <c r="B229" i="13"/>
  <c r="B228" i="13"/>
  <c r="B227" i="13"/>
  <c r="B226" i="13"/>
  <c r="B225" i="13"/>
  <c r="C225" i="13"/>
  <c r="C226" i="13"/>
  <c r="C227" i="13"/>
  <c r="C228" i="13"/>
  <c r="C229" i="13"/>
  <c r="C230" i="13"/>
  <c r="C231" i="13"/>
  <c r="C232" i="13"/>
  <c r="D225" i="13"/>
  <c r="D226" i="13"/>
  <c r="D227" i="13"/>
  <c r="D228" i="13"/>
  <c r="D229" i="13"/>
  <c r="D230" i="13"/>
  <c r="D231" i="13"/>
  <c r="D232" i="13"/>
  <c r="E225" i="13"/>
  <c r="E226" i="13"/>
  <c r="E227" i="13"/>
  <c r="E228" i="13"/>
  <c r="E229" i="13"/>
  <c r="E230" i="13"/>
  <c r="E231" i="13"/>
  <c r="E232" i="13"/>
  <c r="K225" i="13"/>
  <c r="K226" i="13"/>
  <c r="K227" i="13"/>
  <c r="K228" i="13"/>
  <c r="K229" i="13"/>
  <c r="K230" i="13"/>
  <c r="K231" i="13"/>
  <c r="K232" i="13"/>
  <c r="AH225" i="13"/>
  <c r="AV225" i="13" s="1"/>
  <c r="AH226" i="13"/>
  <c r="AU226" i="13" s="1"/>
  <c r="AH227" i="13"/>
  <c r="AI227" i="13" s="1"/>
  <c r="AH228" i="13"/>
  <c r="AI228" i="13" s="1"/>
  <c r="AH229" i="13"/>
  <c r="AH230" i="13"/>
  <c r="AQ230" i="13" s="1"/>
  <c r="AH231" i="13"/>
  <c r="AQ231" i="13" s="1"/>
  <c r="AH232" i="13"/>
  <c r="AI232" i="13" s="1"/>
  <c r="BC225" i="13"/>
  <c r="BF225" i="13" s="1"/>
  <c r="BC226" i="13"/>
  <c r="BK226" i="13" s="1"/>
  <c r="BC227" i="13"/>
  <c r="BT227" i="13" s="1"/>
  <c r="BC228" i="13"/>
  <c r="BI228" i="13" s="1"/>
  <c r="BC229" i="13"/>
  <c r="BN229" i="13" s="1"/>
  <c r="BC230" i="13"/>
  <c r="BH230" i="13" s="1"/>
  <c r="BC231" i="13"/>
  <c r="BE231" i="13" s="1"/>
  <c r="BC232" i="13"/>
  <c r="BI232" i="13" s="1"/>
  <c r="C233" i="13"/>
  <c r="C234" i="13"/>
  <c r="C235" i="13"/>
  <c r="C236" i="13"/>
  <c r="D233" i="13"/>
  <c r="D234" i="13"/>
  <c r="D235" i="13"/>
  <c r="D236" i="13"/>
  <c r="E233" i="13"/>
  <c r="E234" i="13"/>
  <c r="E235" i="13"/>
  <c r="E236" i="13"/>
  <c r="K233" i="13"/>
  <c r="K234" i="13"/>
  <c r="K235" i="13"/>
  <c r="K236" i="13"/>
  <c r="AH233" i="13"/>
  <c r="AJ233" i="13" s="1"/>
  <c r="AH234" i="13"/>
  <c r="AH235" i="13"/>
  <c r="AK235" i="13" s="1"/>
  <c r="AH236" i="13"/>
  <c r="AJ236" i="13" s="1"/>
  <c r="BC233" i="13"/>
  <c r="BE233" i="13" s="1"/>
  <c r="BC234" i="13"/>
  <c r="BQ234" i="13" s="1"/>
  <c r="BC235" i="13"/>
  <c r="BE235" i="13" s="1"/>
  <c r="BC236" i="13"/>
  <c r="BD236" i="13" s="1"/>
  <c r="C240" i="13"/>
  <c r="C249" i="13"/>
  <c r="D240" i="13"/>
  <c r="D249" i="13"/>
  <c r="E240" i="13"/>
  <c r="E249" i="13"/>
  <c r="K240" i="13"/>
  <c r="K249" i="13"/>
  <c r="AH240" i="13"/>
  <c r="AI240" i="13" s="1"/>
  <c r="AH249" i="13"/>
  <c r="AI249" i="13" s="1"/>
  <c r="BC240" i="13"/>
  <c r="BD240" i="13" s="1"/>
  <c r="BC249" i="13"/>
  <c r="BE249" i="13" s="1"/>
  <c r="B171" i="13"/>
  <c r="B170" i="13"/>
  <c r="B172" i="13"/>
  <c r="B169" i="13"/>
  <c r="C169" i="13"/>
  <c r="D169" i="13"/>
  <c r="E169" i="13"/>
  <c r="K169" i="13"/>
  <c r="AH169" i="13"/>
  <c r="AJ169" i="13" s="1"/>
  <c r="BC169" i="13"/>
  <c r="BE169" i="13" s="1"/>
  <c r="C170" i="13"/>
  <c r="D170" i="13"/>
  <c r="E170" i="13"/>
  <c r="K170" i="13"/>
  <c r="AH170" i="13"/>
  <c r="AJ170" i="13" s="1"/>
  <c r="BC170" i="13"/>
  <c r="BE170" i="13" s="1"/>
  <c r="C171" i="13"/>
  <c r="D171" i="13"/>
  <c r="E171" i="13"/>
  <c r="K171" i="13"/>
  <c r="AH171" i="13"/>
  <c r="AJ171" i="13" s="1"/>
  <c r="BC171" i="13"/>
  <c r="BF171" i="13" s="1"/>
  <c r="B168" i="13"/>
  <c r="B167" i="13"/>
  <c r="B166" i="13"/>
  <c r="B165" i="13"/>
  <c r="B164" i="13"/>
  <c r="C168" i="13"/>
  <c r="D168" i="13"/>
  <c r="E168" i="13"/>
  <c r="K168" i="13"/>
  <c r="AH168" i="13"/>
  <c r="AO168" i="13" s="1"/>
  <c r="BC168" i="13"/>
  <c r="BH168" i="13" s="1"/>
  <c r="C164" i="13"/>
  <c r="C165" i="13"/>
  <c r="D164" i="13"/>
  <c r="D165" i="13"/>
  <c r="E164" i="13"/>
  <c r="E165" i="13"/>
  <c r="K164" i="13"/>
  <c r="K165" i="13"/>
  <c r="AH164" i="13"/>
  <c r="AN164" i="13" s="1"/>
  <c r="AH165" i="13"/>
  <c r="AI165" i="13" s="1"/>
  <c r="BC164" i="13"/>
  <c r="BE164" i="13" s="1"/>
  <c r="BC165" i="13"/>
  <c r="BI165" i="13" s="1"/>
  <c r="C166" i="13"/>
  <c r="D166" i="13"/>
  <c r="E166" i="13"/>
  <c r="K166" i="13"/>
  <c r="AH166" i="13"/>
  <c r="BC166" i="13"/>
  <c r="BH166" i="13" s="1"/>
  <c r="C167" i="13"/>
  <c r="D167" i="13"/>
  <c r="E167" i="13"/>
  <c r="K167" i="13"/>
  <c r="AH167" i="13"/>
  <c r="AL167" i="13" s="1"/>
  <c r="BC167" i="13"/>
  <c r="BH167" i="13" s="1"/>
  <c r="B540" i="13"/>
  <c r="B387" i="13"/>
  <c r="B386" i="13"/>
  <c r="B385" i="13"/>
  <c r="B384" i="13"/>
  <c r="B383" i="13"/>
  <c r="B382" i="13"/>
  <c r="B381" i="13"/>
  <c r="B380" i="13"/>
  <c r="B379" i="13"/>
  <c r="B378" i="13"/>
  <c r="B377" i="13"/>
  <c r="B376" i="13"/>
  <c r="B375" i="13"/>
  <c r="B374" i="13"/>
  <c r="B373" i="13"/>
  <c r="B372" i="13"/>
  <c r="B371" i="13"/>
  <c r="B370" i="13"/>
  <c r="B369" i="13"/>
  <c r="B368" i="13"/>
  <c r="B367" i="13"/>
  <c r="B366" i="13"/>
  <c r="B365" i="13"/>
  <c r="B364" i="13"/>
  <c r="B363" i="13"/>
  <c r="B362" i="13"/>
  <c r="B361" i="13"/>
  <c r="B360" i="13"/>
  <c r="B359" i="13"/>
  <c r="B358" i="13"/>
  <c r="B357" i="13"/>
  <c r="B356" i="13"/>
  <c r="B355" i="13"/>
  <c r="B354" i="13"/>
  <c r="B353" i="13"/>
  <c r="B352" i="13"/>
  <c r="B351" i="13"/>
  <c r="B350" i="13"/>
  <c r="B349" i="13"/>
  <c r="B348" i="13"/>
  <c r="B347" i="13"/>
  <c r="B346" i="13"/>
  <c r="B345" i="13"/>
  <c r="B344" i="13"/>
  <c r="B343" i="13"/>
  <c r="B342" i="13"/>
  <c r="B341" i="13"/>
  <c r="B340" i="13"/>
  <c r="B339" i="13"/>
  <c r="B338" i="13"/>
  <c r="B337" i="13"/>
  <c r="B336" i="13"/>
  <c r="B335" i="13"/>
  <c r="C335" i="13"/>
  <c r="C336" i="13"/>
  <c r="C337" i="13"/>
  <c r="C338" i="13"/>
  <c r="C339" i="13"/>
  <c r="C340" i="13"/>
  <c r="C341" i="13"/>
  <c r="C342" i="13"/>
  <c r="C343" i="13"/>
  <c r="C344" i="13"/>
  <c r="C345" i="13"/>
  <c r="C346" i="13"/>
  <c r="C347" i="13"/>
  <c r="C348" i="13"/>
  <c r="C349" i="13"/>
  <c r="C350" i="13"/>
  <c r="C351" i="13"/>
  <c r="C352" i="13"/>
  <c r="C353" i="13"/>
  <c r="C354" i="13"/>
  <c r="C355" i="13"/>
  <c r="C356" i="13"/>
  <c r="C357" i="13"/>
  <c r="C358" i="13"/>
  <c r="C359" i="13"/>
  <c r="C360" i="13"/>
  <c r="C361" i="13"/>
  <c r="C362" i="13"/>
  <c r="C363" i="13"/>
  <c r="C364" i="13"/>
  <c r="C365" i="13"/>
  <c r="C366" i="13"/>
  <c r="C367" i="13"/>
  <c r="C368" i="13"/>
  <c r="C369" i="13"/>
  <c r="C370" i="13"/>
  <c r="D335" i="13"/>
  <c r="D336" i="13"/>
  <c r="D337" i="13"/>
  <c r="D338" i="13"/>
  <c r="D339" i="13"/>
  <c r="D340" i="13"/>
  <c r="D341" i="13"/>
  <c r="D342" i="13"/>
  <c r="D343" i="13"/>
  <c r="D344" i="13"/>
  <c r="D345" i="13"/>
  <c r="D346" i="13"/>
  <c r="D347" i="13"/>
  <c r="D348" i="13"/>
  <c r="D349" i="13"/>
  <c r="D350" i="13"/>
  <c r="D351" i="13"/>
  <c r="D352" i="13"/>
  <c r="D353" i="13"/>
  <c r="D354" i="13"/>
  <c r="D355" i="13"/>
  <c r="D356" i="13"/>
  <c r="D357" i="13"/>
  <c r="D358" i="13"/>
  <c r="D359" i="13"/>
  <c r="D360" i="13"/>
  <c r="D361" i="13"/>
  <c r="D362" i="13"/>
  <c r="D363" i="13"/>
  <c r="D364" i="13"/>
  <c r="D365" i="13"/>
  <c r="D366" i="13"/>
  <c r="D367" i="13"/>
  <c r="D368" i="13"/>
  <c r="D369" i="13"/>
  <c r="D370"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K335" i="13"/>
  <c r="K336" i="13"/>
  <c r="K337" i="13"/>
  <c r="K338" i="13"/>
  <c r="K339" i="13"/>
  <c r="K340" i="13"/>
  <c r="K341" i="13"/>
  <c r="K342" i="13"/>
  <c r="K343" i="13"/>
  <c r="K344" i="13"/>
  <c r="K345" i="13"/>
  <c r="K346" i="13"/>
  <c r="K347" i="13"/>
  <c r="K348" i="13"/>
  <c r="K349" i="13"/>
  <c r="K350" i="13"/>
  <c r="K351" i="13"/>
  <c r="K352" i="13"/>
  <c r="K353" i="13"/>
  <c r="K354" i="13"/>
  <c r="K355" i="13"/>
  <c r="K356" i="13"/>
  <c r="K357" i="13"/>
  <c r="K358" i="13"/>
  <c r="K359" i="13"/>
  <c r="K360" i="13"/>
  <c r="K361" i="13"/>
  <c r="K362" i="13"/>
  <c r="K363" i="13"/>
  <c r="K364" i="13"/>
  <c r="K365" i="13"/>
  <c r="K366" i="13"/>
  <c r="K367" i="13"/>
  <c r="K368" i="13"/>
  <c r="K369" i="13"/>
  <c r="K370" i="13"/>
  <c r="AH335" i="13"/>
  <c r="BA335" i="13" s="1"/>
  <c r="AH336" i="13"/>
  <c r="AK336" i="13" s="1"/>
  <c r="AH337" i="13"/>
  <c r="AQ337" i="13" s="1"/>
  <c r="AH338" i="13"/>
  <c r="AJ338" i="13" s="1"/>
  <c r="AH339" i="13"/>
  <c r="AL339" i="13" s="1"/>
  <c r="AH340" i="13"/>
  <c r="AZ340" i="13" s="1"/>
  <c r="AH341" i="13"/>
  <c r="AL341" i="13" s="1"/>
  <c r="AH342" i="13"/>
  <c r="AH343" i="13"/>
  <c r="AR343" i="13" s="1"/>
  <c r="AH344" i="13"/>
  <c r="AY344" i="13" s="1"/>
  <c r="AH345" i="13"/>
  <c r="AP345" i="13" s="1"/>
  <c r="AH347" i="13"/>
  <c r="AU347" i="13" s="1"/>
  <c r="AH348" i="13"/>
  <c r="AX348" i="13" s="1"/>
  <c r="AH349" i="13"/>
  <c r="AV349" i="13" s="1"/>
  <c r="AH350" i="13"/>
  <c r="AW350" i="13" s="1"/>
  <c r="AH351" i="13"/>
  <c r="AU351" i="13" s="1"/>
  <c r="AH352" i="13"/>
  <c r="AT352" i="13" s="1"/>
  <c r="AH353" i="13"/>
  <c r="AU353" i="13" s="1"/>
  <c r="AH354" i="13"/>
  <c r="AW354" i="13" s="1"/>
  <c r="AH355" i="13"/>
  <c r="BA355" i="13" s="1"/>
  <c r="AH356" i="13"/>
  <c r="AP356" i="13" s="1"/>
  <c r="AH357" i="13"/>
  <c r="BA357" i="13" s="1"/>
  <c r="AH358" i="13"/>
  <c r="AI358" i="13" s="1"/>
  <c r="AH359" i="13"/>
  <c r="AL359" i="13" s="1"/>
  <c r="AH360" i="13"/>
  <c r="AW360" i="13" s="1"/>
  <c r="AH361" i="13"/>
  <c r="AS361" i="13" s="1"/>
  <c r="AH362" i="13"/>
  <c r="AM362" i="13" s="1"/>
  <c r="AH363" i="13"/>
  <c r="AI363" i="13" s="1"/>
  <c r="AH364" i="13"/>
  <c r="AM364" i="13" s="1"/>
  <c r="AH365" i="13"/>
  <c r="AJ365" i="13" s="1"/>
  <c r="AH366" i="13"/>
  <c r="AX366" i="13" s="1"/>
  <c r="AH367" i="13"/>
  <c r="AV367" i="13" s="1"/>
  <c r="AH368" i="13"/>
  <c r="AL368" i="13" s="1"/>
  <c r="AH369" i="13"/>
  <c r="AO369" i="13" s="1"/>
  <c r="AH370" i="13"/>
  <c r="AY370" i="13" s="1"/>
  <c r="BC335" i="13"/>
  <c r="BD335" i="13" s="1"/>
  <c r="BC336" i="13"/>
  <c r="BG336" i="13" s="1"/>
  <c r="BC337" i="13"/>
  <c r="BD337" i="13" s="1"/>
  <c r="BC338" i="13"/>
  <c r="BV338" i="13" s="1"/>
  <c r="BC339" i="13"/>
  <c r="BE339" i="13" s="1"/>
  <c r="BC340" i="13"/>
  <c r="BU340" i="13" s="1"/>
  <c r="BC341" i="13"/>
  <c r="BM341" i="13" s="1"/>
  <c r="BC342" i="13"/>
  <c r="BV342" i="13" s="1"/>
  <c r="BC343" i="13"/>
  <c r="BG343" i="13" s="1"/>
  <c r="BC344" i="13"/>
  <c r="BG344" i="13" s="1"/>
  <c r="BC345" i="13"/>
  <c r="BC346" i="13"/>
  <c r="BC347" i="13"/>
  <c r="BD347" i="13" s="1"/>
  <c r="BC348" i="13"/>
  <c r="BU348" i="13" s="1"/>
  <c r="BC349" i="13"/>
  <c r="BK349" i="13" s="1"/>
  <c r="BC350" i="13"/>
  <c r="BD350" i="13" s="1"/>
  <c r="BC351" i="13"/>
  <c r="BG351" i="13" s="1"/>
  <c r="BC352" i="13"/>
  <c r="BK352" i="13" s="1"/>
  <c r="BC353" i="13"/>
  <c r="BC354" i="13"/>
  <c r="BE354" i="13" s="1"/>
  <c r="BC355" i="13"/>
  <c r="BO355" i="13" s="1"/>
  <c r="BC356" i="13"/>
  <c r="BD356" i="13" s="1"/>
  <c r="BC357" i="13"/>
  <c r="BJ357" i="13" s="1"/>
  <c r="BC358" i="13"/>
  <c r="BD358" i="13" s="1"/>
  <c r="BC359" i="13"/>
  <c r="BD359" i="13" s="1"/>
  <c r="BC360" i="13"/>
  <c r="BD360" i="13" s="1"/>
  <c r="BC361" i="13"/>
  <c r="BO361" i="13" s="1"/>
  <c r="BC362" i="13"/>
  <c r="BI362" i="13" s="1"/>
  <c r="BC363" i="13"/>
  <c r="BD363" i="13" s="1"/>
  <c r="BC364" i="13"/>
  <c r="BC365" i="13"/>
  <c r="BE365" i="13" s="1"/>
  <c r="BC366" i="13"/>
  <c r="BD366" i="13" s="1"/>
  <c r="BC367" i="13"/>
  <c r="BG367" i="13" s="1"/>
  <c r="BC368" i="13"/>
  <c r="BI368" i="13" s="1"/>
  <c r="BC369" i="13"/>
  <c r="BF369" i="13" s="1"/>
  <c r="BC370" i="13"/>
  <c r="BD370" i="13" s="1"/>
  <c r="C371" i="13"/>
  <c r="C372" i="13"/>
  <c r="C373" i="13"/>
  <c r="C374" i="13"/>
  <c r="C375" i="13"/>
  <c r="C376" i="13"/>
  <c r="C377" i="13"/>
  <c r="C378" i="13"/>
  <c r="C379" i="13"/>
  <c r="C380" i="13"/>
  <c r="C381" i="13"/>
  <c r="C382" i="13"/>
  <c r="C383" i="13"/>
  <c r="C384" i="13"/>
  <c r="C385" i="13"/>
  <c r="C386" i="13"/>
  <c r="C387" i="13"/>
  <c r="C540" i="13"/>
  <c r="D371" i="13"/>
  <c r="D372" i="13"/>
  <c r="D373" i="13"/>
  <c r="D374" i="13"/>
  <c r="D375" i="13"/>
  <c r="D376" i="13"/>
  <c r="D377" i="13"/>
  <c r="D378" i="13"/>
  <c r="D379" i="13"/>
  <c r="D380" i="13"/>
  <c r="D381" i="13"/>
  <c r="D382" i="13"/>
  <c r="D383" i="13"/>
  <c r="D384" i="13"/>
  <c r="D385" i="13"/>
  <c r="D386" i="13"/>
  <c r="D387" i="13"/>
  <c r="D540" i="13"/>
  <c r="E371" i="13"/>
  <c r="E372" i="13"/>
  <c r="E373" i="13"/>
  <c r="E374" i="13"/>
  <c r="E375" i="13"/>
  <c r="E376" i="13"/>
  <c r="E377" i="13"/>
  <c r="E378" i="13"/>
  <c r="E379" i="13"/>
  <c r="E380" i="13"/>
  <c r="E381" i="13"/>
  <c r="E382" i="13"/>
  <c r="E383" i="13"/>
  <c r="E384" i="13"/>
  <c r="E385" i="13"/>
  <c r="E386" i="13"/>
  <c r="E387" i="13"/>
  <c r="E540" i="13"/>
  <c r="K371" i="13"/>
  <c r="K372" i="13"/>
  <c r="K373" i="13"/>
  <c r="K374" i="13"/>
  <c r="K375" i="13"/>
  <c r="K376" i="13"/>
  <c r="K377" i="13"/>
  <c r="K378" i="13"/>
  <c r="K379" i="13"/>
  <c r="K380" i="13"/>
  <c r="K381" i="13"/>
  <c r="K382" i="13"/>
  <c r="K383" i="13"/>
  <c r="K384" i="13"/>
  <c r="K385" i="13"/>
  <c r="K386" i="13"/>
  <c r="K387" i="13"/>
  <c r="K540" i="13"/>
  <c r="P540" i="13"/>
  <c r="AH371" i="13"/>
  <c r="AH372" i="13"/>
  <c r="AZ372" i="13" s="1"/>
  <c r="AH373" i="13"/>
  <c r="AQ373" i="13" s="1"/>
  <c r="AH374" i="13"/>
  <c r="AJ374" i="13" s="1"/>
  <c r="AH375" i="13"/>
  <c r="AQ375" i="13" s="1"/>
  <c r="AH376" i="13"/>
  <c r="AT376" i="13" s="1"/>
  <c r="AH377" i="13"/>
  <c r="AL377" i="13" s="1"/>
  <c r="AH378" i="13"/>
  <c r="AU378" i="13" s="1"/>
  <c r="AH379" i="13"/>
  <c r="AP379" i="13" s="1"/>
  <c r="AH380" i="13"/>
  <c r="AX380" i="13" s="1"/>
  <c r="AH381" i="13"/>
  <c r="AL381" i="13" s="1"/>
  <c r="AH382" i="13"/>
  <c r="AJ382" i="13" s="1"/>
  <c r="AH383" i="13"/>
  <c r="AU383" i="13" s="1"/>
  <c r="AH384" i="13"/>
  <c r="AI384" i="13" s="1"/>
  <c r="AH385" i="13"/>
  <c r="AS385" i="13" s="1"/>
  <c r="AH386" i="13"/>
  <c r="AH387" i="13"/>
  <c r="AH540" i="13"/>
  <c r="AZ540" i="13" s="1"/>
  <c r="BC371" i="13"/>
  <c r="BD371" i="13" s="1"/>
  <c r="BC372" i="13"/>
  <c r="BE372" i="13" s="1"/>
  <c r="BC373" i="13"/>
  <c r="BF373" i="13" s="1"/>
  <c r="BC374" i="13"/>
  <c r="BM374" i="13" s="1"/>
  <c r="BC375" i="13"/>
  <c r="BF375" i="13" s="1"/>
  <c r="BC376" i="13"/>
  <c r="BO376" i="13" s="1"/>
  <c r="BC377" i="13"/>
  <c r="BE377" i="13" s="1"/>
  <c r="BC378" i="13"/>
  <c r="BI378" i="13" s="1"/>
  <c r="BC379" i="13"/>
  <c r="BI379" i="13" s="1"/>
  <c r="BC380" i="13"/>
  <c r="BE380" i="13" s="1"/>
  <c r="BC381" i="13"/>
  <c r="BC382" i="13"/>
  <c r="BO382" i="13" s="1"/>
  <c r="BC383" i="13"/>
  <c r="BH383" i="13" s="1"/>
  <c r="BC384" i="13"/>
  <c r="BS384" i="13" s="1"/>
  <c r="BC385" i="13"/>
  <c r="BK385" i="13" s="1"/>
  <c r="BC386" i="13"/>
  <c r="BI386" i="13" s="1"/>
  <c r="BC387" i="13"/>
  <c r="BG387" i="13" s="1"/>
  <c r="BC540" i="13"/>
  <c r="BH540" i="13" s="1"/>
  <c r="B28" i="22" l="1"/>
  <c r="B29" i="22"/>
  <c r="B30" i="22"/>
  <c r="B27" i="22"/>
  <c r="B31" i="22"/>
  <c r="B40" i="22"/>
  <c r="B41" i="22"/>
  <c r="B37" i="22"/>
  <c r="B38" i="22"/>
  <c r="B39" i="22"/>
  <c r="B32" i="22"/>
  <c r="B36" i="22"/>
  <c r="B33" i="22"/>
  <c r="B34" i="22"/>
  <c r="B35" i="22"/>
  <c r="BD432" i="13"/>
  <c r="T549" i="13"/>
  <c r="V549" i="13" s="1"/>
  <c r="T162" i="13"/>
  <c r="V162" i="13" s="1"/>
  <c r="AE162" i="13" s="1"/>
  <c r="AA424" i="13"/>
  <c r="AD424" i="13" s="1"/>
  <c r="AA346" i="13"/>
  <c r="U503" i="13"/>
  <c r="Z243" i="13"/>
  <c r="AB243" i="13" s="1"/>
  <c r="U459" i="13"/>
  <c r="AD459" i="13" s="1"/>
  <c r="U343" i="13"/>
  <c r="T290" i="13"/>
  <c r="V290" i="13" s="1"/>
  <c r="AE290" i="13" s="1"/>
  <c r="AA36" i="13"/>
  <c r="AD36" i="13" s="1"/>
  <c r="U228" i="13"/>
  <c r="AA347" i="13"/>
  <c r="AD347" i="13" s="1"/>
  <c r="Z171" i="13"/>
  <c r="AB171" i="13" s="1"/>
  <c r="U496" i="13"/>
  <c r="AD496" i="13" s="1"/>
  <c r="AA115" i="13"/>
  <c r="AD115" i="13" s="1"/>
  <c r="T437" i="13"/>
  <c r="V437" i="13" s="1"/>
  <c r="Z504" i="13"/>
  <c r="AB504" i="13" s="1"/>
  <c r="Z129" i="13"/>
  <c r="AB129" i="13" s="1"/>
  <c r="AA158" i="13"/>
  <c r="AD158" i="13" s="1"/>
  <c r="AA335" i="13"/>
  <c r="Z163" i="13"/>
  <c r="AB163" i="13" s="1"/>
  <c r="AA341" i="13"/>
  <c r="AD341" i="13" s="1"/>
  <c r="U423" i="13"/>
  <c r="AT473" i="13"/>
  <c r="AO474" i="13"/>
  <c r="AA550" i="13"/>
  <c r="AD550" i="13" s="1"/>
  <c r="T555" i="13"/>
  <c r="V555" i="13" s="1"/>
  <c r="AD555" i="13"/>
  <c r="AA165" i="13"/>
  <c r="AD165" i="13" s="1"/>
  <c r="AA250" i="13"/>
  <c r="AD250" i="13" s="1"/>
  <c r="T338" i="13"/>
  <c r="V338" i="13" s="1"/>
  <c r="AE338" i="13" s="1"/>
  <c r="U438" i="13"/>
  <c r="U543" i="13"/>
  <c r="U525" i="13"/>
  <c r="AA556" i="13"/>
  <c r="AD556" i="13" s="1"/>
  <c r="Z157" i="13"/>
  <c r="AB157" i="13" s="1"/>
  <c r="T554" i="13"/>
  <c r="V554" i="13" s="1"/>
  <c r="Z241" i="13"/>
  <c r="AB241" i="13" s="1"/>
  <c r="T299" i="13"/>
  <c r="V299" i="13" s="1"/>
  <c r="AE299" i="13" s="1"/>
  <c r="T407" i="13"/>
  <c r="V407" i="13" s="1"/>
  <c r="AE407" i="13" s="1"/>
  <c r="AA418" i="13"/>
  <c r="AD418" i="13" s="1"/>
  <c r="Z52" i="13"/>
  <c r="AB52" i="13" s="1"/>
  <c r="T126" i="13"/>
  <c r="V126" i="13" s="1"/>
  <c r="U272" i="13"/>
  <c r="AD505" i="13"/>
  <c r="AA297" i="13"/>
  <c r="AA217" i="13"/>
  <c r="AD217" i="13" s="1"/>
  <c r="U322" i="13"/>
  <c r="AA432" i="13"/>
  <c r="U145" i="13"/>
  <c r="AD145" i="13" s="1"/>
  <c r="AA399" i="13"/>
  <c r="AA42" i="13"/>
  <c r="AD42" i="13" s="1"/>
  <c r="T296" i="13"/>
  <c r="V296" i="13" s="1"/>
  <c r="AE296" i="13" s="1"/>
  <c r="T491" i="13"/>
  <c r="V491" i="13" s="1"/>
  <c r="T508" i="13"/>
  <c r="V508" i="13" s="1"/>
  <c r="U240" i="13"/>
  <c r="U152" i="13"/>
  <c r="AD152" i="13" s="1"/>
  <c r="Z389" i="13"/>
  <c r="AB389" i="13" s="1"/>
  <c r="U465" i="13"/>
  <c r="AY451" i="13"/>
  <c r="U138" i="13"/>
  <c r="AD138" i="13" s="1"/>
  <c r="AA279" i="13"/>
  <c r="Z512" i="13"/>
  <c r="AB512" i="13" s="1"/>
  <c r="Z34" i="13"/>
  <c r="AB34" i="13" s="1"/>
  <c r="AE34" i="13" s="1"/>
  <c r="Z100" i="13"/>
  <c r="AB100" i="13" s="1"/>
  <c r="AA100" i="13"/>
  <c r="AD100" i="13" s="1"/>
  <c r="AA334" i="13"/>
  <c r="AD334" i="13" s="1"/>
  <c r="Z334" i="13"/>
  <c r="AB334" i="13" s="1"/>
  <c r="T390" i="13"/>
  <c r="V390" i="13" s="1"/>
  <c r="U390" i="13"/>
  <c r="U515" i="13"/>
  <c r="AD515" i="13" s="1"/>
  <c r="T515" i="13"/>
  <c r="V515" i="13" s="1"/>
  <c r="Z128" i="13"/>
  <c r="AB128" i="13" s="1"/>
  <c r="AA128" i="13"/>
  <c r="AD128" i="13" s="1"/>
  <c r="Z237" i="13"/>
  <c r="AB237" i="13" s="1"/>
  <c r="Z278" i="13"/>
  <c r="AB278" i="13" s="1"/>
  <c r="AA278" i="13"/>
  <c r="AD278" i="13" s="1"/>
  <c r="U57" i="13"/>
  <c r="T150" i="13"/>
  <c r="V150" i="13" s="1"/>
  <c r="AE150" i="13" s="1"/>
  <c r="T222" i="13"/>
  <c r="V222" i="13" s="1"/>
  <c r="AE222" i="13" s="1"/>
  <c r="Z39" i="13"/>
  <c r="AB39" i="13" s="1"/>
  <c r="AA39" i="13"/>
  <c r="AD39" i="13" s="1"/>
  <c r="AA61" i="13"/>
  <c r="AD61" i="13" s="1"/>
  <c r="Z61" i="13"/>
  <c r="AB61" i="13" s="1"/>
  <c r="AA30" i="13"/>
  <c r="AD30" i="13" s="1"/>
  <c r="Z30" i="13"/>
  <c r="AB30" i="13" s="1"/>
  <c r="AA134" i="13"/>
  <c r="AD134" i="13" s="1"/>
  <c r="Z134" i="13"/>
  <c r="AB134" i="13" s="1"/>
  <c r="AA170" i="13"/>
  <c r="AD170" i="13" s="1"/>
  <c r="Z170" i="13"/>
  <c r="AB170" i="13" s="1"/>
  <c r="AA312" i="13"/>
  <c r="AD312" i="13" s="1"/>
  <c r="Z312" i="13"/>
  <c r="AB312" i="13" s="1"/>
  <c r="U490" i="13"/>
  <c r="T490" i="13"/>
  <c r="V490" i="13" s="1"/>
  <c r="AE490" i="13" s="1"/>
  <c r="Z516" i="13"/>
  <c r="AB516" i="13" s="1"/>
  <c r="AA516" i="13"/>
  <c r="AD516" i="13" s="1"/>
  <c r="T558" i="13"/>
  <c r="V558" i="13" s="1"/>
  <c r="AE558" i="13" s="1"/>
  <c r="T218" i="13"/>
  <c r="V218" i="13" s="1"/>
  <c r="U218" i="13"/>
  <c r="AD218" i="13" s="1"/>
  <c r="T280" i="13"/>
  <c r="V280" i="13" s="1"/>
  <c r="U280" i="13"/>
  <c r="AD280" i="13" s="1"/>
  <c r="U351" i="13"/>
  <c r="AD351" i="13" s="1"/>
  <c r="T351" i="13"/>
  <c r="V351" i="13" s="1"/>
  <c r="Z409" i="13"/>
  <c r="AB409" i="13" s="1"/>
  <c r="AA409" i="13"/>
  <c r="AD409" i="13" s="1"/>
  <c r="AA48" i="13"/>
  <c r="AD48" i="13" s="1"/>
  <c r="Z48" i="13"/>
  <c r="AB48" i="13" s="1"/>
  <c r="AA70" i="13"/>
  <c r="AD70" i="13" s="1"/>
  <c r="Z70" i="13"/>
  <c r="AB70" i="13" s="1"/>
  <c r="U109" i="13"/>
  <c r="Z146" i="13"/>
  <c r="AB146" i="13" s="1"/>
  <c r="AE146" i="13" s="1"/>
  <c r="U314" i="13"/>
  <c r="T314" i="13"/>
  <c r="V314" i="13" s="1"/>
  <c r="AE314" i="13" s="1"/>
  <c r="U399" i="13"/>
  <c r="T399" i="13"/>
  <c r="V399" i="13" s="1"/>
  <c r="AE399" i="13" s="1"/>
  <c r="AA467" i="13"/>
  <c r="Z467" i="13"/>
  <c r="AB467" i="13" s="1"/>
  <c r="AA534" i="13"/>
  <c r="AD534" i="13" s="1"/>
  <c r="Z540" i="13"/>
  <c r="AB540" i="13" s="1"/>
  <c r="AA540" i="13"/>
  <c r="AD540" i="13" s="1"/>
  <c r="AA224" i="13"/>
  <c r="AD224" i="13" s="1"/>
  <c r="Z224" i="13"/>
  <c r="AB224" i="13" s="1"/>
  <c r="U332" i="13"/>
  <c r="T332" i="13"/>
  <c r="V332" i="13" s="1"/>
  <c r="AE332" i="13" s="1"/>
  <c r="U358" i="13"/>
  <c r="AD358" i="13" s="1"/>
  <c r="T358" i="13"/>
  <c r="V358" i="13" s="1"/>
  <c r="T486" i="13"/>
  <c r="V486" i="13" s="1"/>
  <c r="AE486" i="13" s="1"/>
  <c r="U486" i="13"/>
  <c r="AA65" i="13"/>
  <c r="AD65" i="13" s="1"/>
  <c r="AA229" i="13"/>
  <c r="AD229" i="13" s="1"/>
  <c r="Z229" i="13"/>
  <c r="AB229" i="13" s="1"/>
  <c r="T105" i="13"/>
  <c r="V105" i="13" s="1"/>
  <c r="U105" i="13"/>
  <c r="AD105" i="13" s="1"/>
  <c r="T400" i="13"/>
  <c r="V400" i="13" s="1"/>
  <c r="U400" i="13"/>
  <c r="AD400" i="13" s="1"/>
  <c r="T411" i="13"/>
  <c r="V411" i="13" s="1"/>
  <c r="U458" i="13"/>
  <c r="T458" i="13"/>
  <c r="V458" i="13" s="1"/>
  <c r="AE458" i="13" s="1"/>
  <c r="BA444" i="13"/>
  <c r="AZ444" i="13"/>
  <c r="AW444" i="13"/>
  <c r="T122" i="13"/>
  <c r="V122" i="13" s="1"/>
  <c r="AE122" i="13" s="1"/>
  <c r="AA148" i="13"/>
  <c r="Z148" i="13"/>
  <c r="AB148" i="13" s="1"/>
  <c r="Z225" i="13"/>
  <c r="AB225" i="13" s="1"/>
  <c r="AA236" i="13"/>
  <c r="AD236" i="13" s="1"/>
  <c r="Z236" i="13"/>
  <c r="AB236" i="13" s="1"/>
  <c r="U246" i="13"/>
  <c r="T246" i="13"/>
  <c r="V246" i="13" s="1"/>
  <c r="AE246" i="13" s="1"/>
  <c r="U304" i="13"/>
  <c r="T316" i="13"/>
  <c r="V316" i="13" s="1"/>
  <c r="U316" i="13"/>
  <c r="AD316" i="13" s="1"/>
  <c r="AA487" i="13"/>
  <c r="AD487" i="13" s="1"/>
  <c r="Z487" i="13"/>
  <c r="AB487" i="13" s="1"/>
  <c r="Z498" i="13"/>
  <c r="AB498" i="13" s="1"/>
  <c r="AE498" i="13" s="1"/>
  <c r="AA498" i="13"/>
  <c r="U531" i="13"/>
  <c r="T531" i="13"/>
  <c r="V531" i="13" s="1"/>
  <c r="AE531" i="13" s="1"/>
  <c r="T548" i="13"/>
  <c r="V548" i="13" s="1"/>
  <c r="U548" i="13"/>
  <c r="T552" i="13"/>
  <c r="V552" i="13" s="1"/>
  <c r="AE552" i="13" s="1"/>
  <c r="Z28" i="13"/>
  <c r="AB28" i="13" s="1"/>
  <c r="AE28" i="13" s="1"/>
  <c r="Z46" i="13"/>
  <c r="AB46" i="13" s="1"/>
  <c r="AE46" i="13" s="1"/>
  <c r="AA51" i="13"/>
  <c r="AD51" i="13" s="1"/>
  <c r="AA59" i="13"/>
  <c r="AD59" i="13" s="1"/>
  <c r="T69" i="13"/>
  <c r="V69" i="13" s="1"/>
  <c r="AE69" i="13" s="1"/>
  <c r="Z99" i="13"/>
  <c r="AB99" i="13" s="1"/>
  <c r="U133" i="13"/>
  <c r="AD133" i="13" s="1"/>
  <c r="Z141" i="13"/>
  <c r="AB141" i="13" s="1"/>
  <c r="T248" i="13"/>
  <c r="V248" i="13" s="1"/>
  <c r="Z275" i="13"/>
  <c r="AB275" i="13" s="1"/>
  <c r="T298" i="13"/>
  <c r="V298" i="13" s="1"/>
  <c r="AE298" i="13" s="1"/>
  <c r="U361" i="13"/>
  <c r="U402" i="13"/>
  <c r="AD402" i="13" s="1"/>
  <c r="AA406" i="13"/>
  <c r="T419" i="13"/>
  <c r="V419" i="13" s="1"/>
  <c r="T462" i="13"/>
  <c r="V462" i="13" s="1"/>
  <c r="Z470" i="13"/>
  <c r="AB470" i="13" s="1"/>
  <c r="AA475" i="13"/>
  <c r="AD475" i="13" s="1"/>
  <c r="U551" i="13"/>
  <c r="U557" i="13"/>
  <c r="BS476" i="13"/>
  <c r="AA33" i="13"/>
  <c r="AD33" i="13" s="1"/>
  <c r="U56" i="13"/>
  <c r="AD56" i="13" s="1"/>
  <c r="AA64" i="13"/>
  <c r="AD64" i="13" s="1"/>
  <c r="T104" i="13"/>
  <c r="V104" i="13" s="1"/>
  <c r="AA116" i="13"/>
  <c r="AD116" i="13" s="1"/>
  <c r="AA121" i="13"/>
  <c r="AD121" i="13" s="1"/>
  <c r="U146" i="13"/>
  <c r="AD146" i="13" s="1"/>
  <c r="AA228" i="13"/>
  <c r="T284" i="13"/>
  <c r="V284" i="13" s="1"/>
  <c r="AE284" i="13" s="1"/>
  <c r="AA321" i="13"/>
  <c r="AA338" i="13"/>
  <c r="AD338" i="13" s="1"/>
  <c r="U357" i="13"/>
  <c r="AD357" i="13" s="1"/>
  <c r="Z433" i="13"/>
  <c r="AB433" i="13" s="1"/>
  <c r="AA486" i="13"/>
  <c r="AD508" i="13"/>
  <c r="AA525" i="13"/>
  <c r="T534" i="13"/>
  <c r="V534" i="13" s="1"/>
  <c r="AE534" i="13" s="1"/>
  <c r="AA109" i="13"/>
  <c r="U114" i="13"/>
  <c r="AD114" i="13" s="1"/>
  <c r="U235" i="13"/>
  <c r="AD235" i="13" s="1"/>
  <c r="Z249" i="13"/>
  <c r="AB249" i="13" s="1"/>
  <c r="U277" i="13"/>
  <c r="T340" i="13"/>
  <c r="V340" i="13" s="1"/>
  <c r="U363" i="13"/>
  <c r="AD363" i="13" s="1"/>
  <c r="T408" i="13"/>
  <c r="V408" i="13" s="1"/>
  <c r="T445" i="13"/>
  <c r="V445" i="13" s="1"/>
  <c r="T460" i="13"/>
  <c r="V460" i="13" s="1"/>
  <c r="AA463" i="13"/>
  <c r="T505" i="13"/>
  <c r="V505" i="13" s="1"/>
  <c r="U509" i="13"/>
  <c r="T546" i="13"/>
  <c r="V546" i="13" s="1"/>
  <c r="AE546" i="13" s="1"/>
  <c r="AA549" i="13"/>
  <c r="AD549" i="13" s="1"/>
  <c r="AA552" i="13"/>
  <c r="AD552" i="13" s="1"/>
  <c r="Z555" i="13"/>
  <c r="AB555" i="13" s="1"/>
  <c r="T6" i="13"/>
  <c r="V6" i="13" s="1"/>
  <c r="AE6" i="13" s="1"/>
  <c r="U53" i="13"/>
  <c r="AD53" i="13" s="1"/>
  <c r="Z118" i="13"/>
  <c r="AB118" i="13" s="1"/>
  <c r="AA122" i="13"/>
  <c r="AD122" i="13" s="1"/>
  <c r="T127" i="13"/>
  <c r="V127" i="13" s="1"/>
  <c r="U164" i="13"/>
  <c r="AD164" i="13" s="1"/>
  <c r="Z218" i="13"/>
  <c r="AB218" i="13" s="1"/>
  <c r="U230" i="13"/>
  <c r="AD230" i="13" s="1"/>
  <c r="Z242" i="13"/>
  <c r="AB242" i="13" s="1"/>
  <c r="Z273" i="13"/>
  <c r="AB273" i="13" s="1"/>
  <c r="AE273" i="13" s="1"/>
  <c r="AA296" i="13"/>
  <c r="AD296" i="13" s="1"/>
  <c r="AA328" i="13"/>
  <c r="Z400" i="13"/>
  <c r="AB400" i="13" s="1"/>
  <c r="Z431" i="13"/>
  <c r="AB431" i="13" s="1"/>
  <c r="AE431" i="13" s="1"/>
  <c r="AA435" i="13"/>
  <c r="AD435" i="13" s="1"/>
  <c r="AA450" i="13"/>
  <c r="AD450" i="13" s="1"/>
  <c r="AA451" i="13"/>
  <c r="AA492" i="13"/>
  <c r="Z497" i="13"/>
  <c r="AB497" i="13" s="1"/>
  <c r="T514" i="13"/>
  <c r="V514" i="13" s="1"/>
  <c r="Z527" i="13"/>
  <c r="AB527" i="13" s="1"/>
  <c r="Z101" i="13"/>
  <c r="AB101" i="13" s="1"/>
  <c r="AE101" i="13" s="1"/>
  <c r="T140" i="13"/>
  <c r="V140" i="13" s="1"/>
  <c r="AE140" i="13" s="1"/>
  <c r="U144" i="13"/>
  <c r="AD144" i="13" s="1"/>
  <c r="Z147" i="13"/>
  <c r="AB147" i="13" s="1"/>
  <c r="U169" i="13"/>
  <c r="AD169" i="13" s="1"/>
  <c r="U223" i="13"/>
  <c r="AD223" i="13" s="1"/>
  <c r="Z235" i="13"/>
  <c r="AB235" i="13" s="1"/>
  <c r="AE235" i="13" s="1"/>
  <c r="AA246" i="13"/>
  <c r="Z305" i="13"/>
  <c r="AB305" i="13" s="1"/>
  <c r="U333" i="13"/>
  <c r="AD333" i="13" s="1"/>
  <c r="AA369" i="13"/>
  <c r="AD369" i="13" s="1"/>
  <c r="U381" i="13"/>
  <c r="Z386" i="13"/>
  <c r="AB386" i="13" s="1"/>
  <c r="T405" i="13"/>
  <c r="V405" i="13" s="1"/>
  <c r="AE405" i="13" s="1"/>
  <c r="AA417" i="13"/>
  <c r="AD417" i="13" s="1"/>
  <c r="Z460" i="13"/>
  <c r="AB460" i="13" s="1"/>
  <c r="T464" i="13"/>
  <c r="V464" i="13" s="1"/>
  <c r="AA473" i="13"/>
  <c r="AA484" i="13"/>
  <c r="AD484" i="13" s="1"/>
  <c r="Z505" i="13"/>
  <c r="AB505" i="13" s="1"/>
  <c r="AA531" i="13"/>
  <c r="T550" i="13"/>
  <c r="V550" i="13" s="1"/>
  <c r="AE550" i="13" s="1"/>
  <c r="AZ456" i="13"/>
  <c r="Z40" i="13"/>
  <c r="AB40" i="13" s="1"/>
  <c r="AE40" i="13" s="1"/>
  <c r="Z58" i="13"/>
  <c r="AB58" i="13" s="1"/>
  <c r="U71" i="13"/>
  <c r="AD71" i="13" s="1"/>
  <c r="Z106" i="13"/>
  <c r="AB106" i="13" s="1"/>
  <c r="Z110" i="13"/>
  <c r="AB110" i="13" s="1"/>
  <c r="AE110" i="13" s="1"/>
  <c r="Z151" i="13"/>
  <c r="AB151" i="13" s="1"/>
  <c r="AE151" i="13" s="1"/>
  <c r="T278" i="13"/>
  <c r="V278" i="13" s="1"/>
  <c r="U301" i="13"/>
  <c r="U315" i="13"/>
  <c r="AD315" i="13" s="1"/>
  <c r="T320" i="13"/>
  <c r="V320" i="13" s="1"/>
  <c r="AE320" i="13" s="1"/>
  <c r="T329" i="13"/>
  <c r="V329" i="13" s="1"/>
  <c r="Z337" i="13"/>
  <c r="AB337" i="13" s="1"/>
  <c r="AE337" i="13" s="1"/>
  <c r="U350" i="13"/>
  <c r="U355" i="13"/>
  <c r="Z359" i="13"/>
  <c r="AB359" i="13" s="1"/>
  <c r="Z408" i="13"/>
  <c r="AB408" i="13" s="1"/>
  <c r="AA412" i="13"/>
  <c r="T452" i="13"/>
  <c r="V452" i="13" s="1"/>
  <c r="Z514" i="13"/>
  <c r="AB514" i="13" s="1"/>
  <c r="Z553" i="13"/>
  <c r="AB553" i="13" s="1"/>
  <c r="AA6" i="13"/>
  <c r="AD6" i="13" s="1"/>
  <c r="AA27" i="13"/>
  <c r="AD27" i="13" s="1"/>
  <c r="AA45" i="13"/>
  <c r="AD45" i="13" s="1"/>
  <c r="U132" i="13"/>
  <c r="AD132" i="13" s="1"/>
  <c r="AA140" i="13"/>
  <c r="AD140" i="13" s="1"/>
  <c r="T216" i="13"/>
  <c r="V216" i="13" s="1"/>
  <c r="AE216" i="13" s="1"/>
  <c r="U247" i="13"/>
  <c r="Z324" i="13"/>
  <c r="AB324" i="13" s="1"/>
  <c r="U401" i="13"/>
  <c r="AD401" i="13" s="1"/>
  <c r="Z427" i="13"/>
  <c r="AB427" i="13" s="1"/>
  <c r="Z446" i="13"/>
  <c r="AB446" i="13" s="1"/>
  <c r="AE446" i="13" s="1"/>
  <c r="AA457" i="13"/>
  <c r="Z469" i="13"/>
  <c r="AB469" i="13" s="1"/>
  <c r="U498" i="13"/>
  <c r="AA510" i="13"/>
  <c r="T528" i="13"/>
  <c r="V528" i="13" s="1"/>
  <c r="Z547" i="13"/>
  <c r="AB547" i="13" s="1"/>
  <c r="U519" i="13"/>
  <c r="AA503" i="13"/>
  <c r="T516" i="13"/>
  <c r="V516" i="13" s="1"/>
  <c r="Z529" i="13"/>
  <c r="AB529" i="13" s="1"/>
  <c r="Z532" i="13"/>
  <c r="AB532" i="13" s="1"/>
  <c r="AE532" i="13" s="1"/>
  <c r="AA538" i="13"/>
  <c r="AD538" i="13" s="1"/>
  <c r="AA513" i="13"/>
  <c r="AA519" i="13"/>
  <c r="Z526" i="13"/>
  <c r="AB526" i="13" s="1"/>
  <c r="AE526" i="13" s="1"/>
  <c r="U536" i="13"/>
  <c r="Z545" i="13"/>
  <c r="AB545" i="13" s="1"/>
  <c r="AE545" i="13" s="1"/>
  <c r="T538" i="13"/>
  <c r="V538" i="13" s="1"/>
  <c r="AE538" i="13" s="1"/>
  <c r="Z541" i="13"/>
  <c r="AB541" i="13" s="1"/>
  <c r="Z544" i="13"/>
  <c r="AB544" i="13" s="1"/>
  <c r="AA509" i="13"/>
  <c r="U513" i="13"/>
  <c r="U526" i="13"/>
  <c r="AD526" i="13" s="1"/>
  <c r="Z535" i="13"/>
  <c r="AB535" i="13" s="1"/>
  <c r="U542" i="13"/>
  <c r="U524" i="13"/>
  <c r="U530" i="13"/>
  <c r="AL512" i="13"/>
  <c r="AA522" i="13"/>
  <c r="AD522" i="13" s="1"/>
  <c r="U532" i="13"/>
  <c r="AD532" i="13" s="1"/>
  <c r="T502" i="13"/>
  <c r="V502" i="13" s="1"/>
  <c r="Z520" i="13"/>
  <c r="AB520" i="13" s="1"/>
  <c r="Z533" i="13"/>
  <c r="AB533" i="13" s="1"/>
  <c r="AE533" i="13" s="1"/>
  <c r="T537" i="13"/>
  <c r="V537" i="13" s="1"/>
  <c r="AE537" i="13" s="1"/>
  <c r="T540" i="13"/>
  <c r="V540" i="13" s="1"/>
  <c r="AA543" i="13"/>
  <c r="U518" i="13"/>
  <c r="AA537" i="13"/>
  <c r="AD537" i="13" s="1"/>
  <c r="T544" i="13"/>
  <c r="V544" i="13" s="1"/>
  <c r="AX473" i="13"/>
  <c r="AK463" i="13"/>
  <c r="AZ457" i="13"/>
  <c r="AZ453" i="13"/>
  <c r="BA451" i="13"/>
  <c r="T456" i="13"/>
  <c r="V456" i="13" s="1"/>
  <c r="T497" i="13"/>
  <c r="V497" i="13" s="1"/>
  <c r="Z464" i="13"/>
  <c r="AB464" i="13" s="1"/>
  <c r="T468" i="13"/>
  <c r="V468" i="13" s="1"/>
  <c r="AE468" i="13" s="1"/>
  <c r="U471" i="13"/>
  <c r="T474" i="13"/>
  <c r="V474" i="13" s="1"/>
  <c r="AE474" i="13" s="1"/>
  <c r="U477" i="13"/>
  <c r="U480" i="13"/>
  <c r="T484" i="13"/>
  <c r="V484" i="13" s="1"/>
  <c r="AE484" i="13" s="1"/>
  <c r="T487" i="13"/>
  <c r="V487" i="13" s="1"/>
  <c r="AA490" i="13"/>
  <c r="T493" i="13"/>
  <c r="V493" i="13" s="1"/>
  <c r="AA458" i="13"/>
  <c r="BA471" i="13"/>
  <c r="Z453" i="13"/>
  <c r="AB453" i="13" s="1"/>
  <c r="U457" i="13"/>
  <c r="Z459" i="13"/>
  <c r="AB459" i="13" s="1"/>
  <c r="AE459" i="13" s="1"/>
  <c r="T472" i="13"/>
  <c r="V472" i="13" s="1"/>
  <c r="AE472" i="13" s="1"/>
  <c r="AA474" i="13"/>
  <c r="AD474" i="13" s="1"/>
  <c r="T478" i="13"/>
  <c r="V478" i="13" s="1"/>
  <c r="AE478" i="13" s="1"/>
  <c r="AZ472" i="13"/>
  <c r="T469" i="13"/>
  <c r="V469" i="13" s="1"/>
  <c r="Z481" i="13"/>
  <c r="AB481" i="13" s="1"/>
  <c r="Z491" i="13"/>
  <c r="AB491" i="13" s="1"/>
  <c r="U463" i="13"/>
  <c r="T466" i="13"/>
  <c r="V466" i="13" s="1"/>
  <c r="AE466" i="13" s="1"/>
  <c r="AA472" i="13"/>
  <c r="AD472" i="13" s="1"/>
  <c r="T475" i="13"/>
  <c r="V475" i="13" s="1"/>
  <c r="AE475" i="13" s="1"/>
  <c r="AA478" i="13"/>
  <c r="AD478" i="13" s="1"/>
  <c r="Z485" i="13"/>
  <c r="AB485" i="13" s="1"/>
  <c r="AE485" i="13" s="1"/>
  <c r="AA454" i="13"/>
  <c r="AD454" i="13" s="1"/>
  <c r="AA466" i="13"/>
  <c r="AD466" i="13" s="1"/>
  <c r="U473" i="13"/>
  <c r="U479" i="13"/>
  <c r="AD479" i="13" s="1"/>
  <c r="U489" i="13"/>
  <c r="U492" i="13"/>
  <c r="Z479" i="13"/>
  <c r="AB479" i="13" s="1"/>
  <c r="AE479" i="13" s="1"/>
  <c r="U483" i="13"/>
  <c r="AV453" i="13"/>
  <c r="AS456" i="13"/>
  <c r="BN489" i="13"/>
  <c r="AU452" i="13"/>
  <c r="AD491" i="13"/>
  <c r="AY466" i="13"/>
  <c r="AX466" i="13"/>
  <c r="BA463" i="13"/>
  <c r="AY444" i="13"/>
  <c r="T435" i="13"/>
  <c r="V435" i="13" s="1"/>
  <c r="AE435" i="13" s="1"/>
  <c r="T441" i="13"/>
  <c r="V441" i="13" s="1"/>
  <c r="AA443" i="13"/>
  <c r="AD443" i="13" s="1"/>
  <c r="U446" i="13"/>
  <c r="AD446" i="13" s="1"/>
  <c r="T449" i="13"/>
  <c r="V449" i="13" s="1"/>
  <c r="U444" i="13"/>
  <c r="AD444" i="13" s="1"/>
  <c r="U442" i="13"/>
  <c r="AD442" i="13" s="1"/>
  <c r="Z444" i="13"/>
  <c r="AB444" i="13" s="1"/>
  <c r="AE444" i="13" s="1"/>
  <c r="T447" i="13"/>
  <c r="V447" i="13" s="1"/>
  <c r="T450" i="13"/>
  <c r="V450" i="13" s="1"/>
  <c r="AE450" i="13" s="1"/>
  <c r="U436" i="13"/>
  <c r="AD436" i="13" s="1"/>
  <c r="AA438" i="13"/>
  <c r="Z442" i="13"/>
  <c r="AB442" i="13" s="1"/>
  <c r="AE442" i="13" s="1"/>
  <c r="T433" i="13"/>
  <c r="V433" i="13" s="1"/>
  <c r="Z436" i="13"/>
  <c r="AB436" i="13" s="1"/>
  <c r="AE436" i="13" s="1"/>
  <c r="U431" i="13"/>
  <c r="AD431" i="13" s="1"/>
  <c r="T443" i="13"/>
  <c r="V443" i="13" s="1"/>
  <c r="AE443" i="13" s="1"/>
  <c r="Z445" i="13"/>
  <c r="AB445" i="13" s="1"/>
  <c r="Z448" i="13"/>
  <c r="AB448" i="13" s="1"/>
  <c r="AE448" i="13" s="1"/>
  <c r="Z434" i="13"/>
  <c r="AB434" i="13" s="1"/>
  <c r="Z413" i="13"/>
  <c r="AB413" i="13" s="1"/>
  <c r="T417" i="13"/>
  <c r="V417" i="13" s="1"/>
  <c r="AE417" i="13" s="1"/>
  <c r="Z422" i="13"/>
  <c r="AB422" i="13" s="1"/>
  <c r="AE422" i="13" s="1"/>
  <c r="T429" i="13"/>
  <c r="V429" i="13" s="1"/>
  <c r="AE429" i="13" s="1"/>
  <c r="Z398" i="13"/>
  <c r="AB398" i="13" s="1"/>
  <c r="AA407" i="13"/>
  <c r="AD407" i="13" s="1"/>
  <c r="T426" i="13"/>
  <c r="V426" i="13" s="1"/>
  <c r="U404" i="13"/>
  <c r="AD404" i="13" s="1"/>
  <c r="Z419" i="13"/>
  <c r="AB419" i="13" s="1"/>
  <c r="T415" i="13"/>
  <c r="V415" i="13" s="1"/>
  <c r="T418" i="13"/>
  <c r="V418" i="13" s="1"/>
  <c r="AE418" i="13" s="1"/>
  <c r="Z420" i="13"/>
  <c r="AB420" i="13" s="1"/>
  <c r="AA423" i="13"/>
  <c r="Z430" i="13"/>
  <c r="AB430" i="13" s="1"/>
  <c r="AE430" i="13" s="1"/>
  <c r="Z415" i="13"/>
  <c r="AB415" i="13" s="1"/>
  <c r="Z426" i="13"/>
  <c r="AB426" i="13" s="1"/>
  <c r="U430" i="13"/>
  <c r="AD430" i="13" s="1"/>
  <c r="Z402" i="13"/>
  <c r="AB402" i="13" s="1"/>
  <c r="AE402" i="13" s="1"/>
  <c r="T409" i="13"/>
  <c r="V409" i="13" s="1"/>
  <c r="Z416" i="13"/>
  <c r="AB416" i="13" s="1"/>
  <c r="U422" i="13"/>
  <c r="AD422" i="13" s="1"/>
  <c r="BD377" i="13"/>
  <c r="Z384" i="13"/>
  <c r="AB384" i="13" s="1"/>
  <c r="T388" i="13"/>
  <c r="V388" i="13" s="1"/>
  <c r="AE388" i="13" s="1"/>
  <c r="AA394" i="13"/>
  <c r="Z370" i="13"/>
  <c r="AB370" i="13" s="1"/>
  <c r="U382" i="13"/>
  <c r="U368" i="13"/>
  <c r="AA382" i="13"/>
  <c r="Z395" i="13"/>
  <c r="AB395" i="13" s="1"/>
  <c r="AE395" i="13" s="1"/>
  <c r="U374" i="13"/>
  <c r="AA374" i="13"/>
  <c r="U379" i="13"/>
  <c r="AD379" i="13" s="1"/>
  <c r="AA391" i="13"/>
  <c r="U395" i="13"/>
  <c r="AD395" i="13" s="1"/>
  <c r="Z375" i="13"/>
  <c r="AB375" i="13" s="1"/>
  <c r="AA368" i="13"/>
  <c r="U380" i="13"/>
  <c r="AD380" i="13" s="1"/>
  <c r="U383" i="13"/>
  <c r="AD383" i="13" s="1"/>
  <c r="U393" i="13"/>
  <c r="AD393" i="13" s="1"/>
  <c r="T385" i="13"/>
  <c r="V385" i="13" s="1"/>
  <c r="AA388" i="13"/>
  <c r="AD388" i="13" s="1"/>
  <c r="U373" i="13"/>
  <c r="AD373" i="13" s="1"/>
  <c r="Z383" i="13"/>
  <c r="AB383" i="13" s="1"/>
  <c r="AE383" i="13" s="1"/>
  <c r="T397" i="13"/>
  <c r="V397" i="13" s="1"/>
  <c r="T372" i="13"/>
  <c r="V372" i="13" s="1"/>
  <c r="T389" i="13"/>
  <c r="V389" i="13" s="1"/>
  <c r="U387" i="13"/>
  <c r="U394" i="13"/>
  <c r="BD339" i="13"/>
  <c r="BD338" i="13"/>
  <c r="Z345" i="13"/>
  <c r="AB345" i="13" s="1"/>
  <c r="AA332" i="13"/>
  <c r="T341" i="13"/>
  <c r="V341" i="13" s="1"/>
  <c r="AE341" i="13" s="1"/>
  <c r="T344" i="13"/>
  <c r="V344" i="13" s="1"/>
  <c r="T347" i="13"/>
  <c r="V347" i="13" s="1"/>
  <c r="AE347" i="13" s="1"/>
  <c r="Z357" i="13"/>
  <c r="AB357" i="13" s="1"/>
  <c r="AE357" i="13" s="1"/>
  <c r="U367" i="13"/>
  <c r="AD367" i="13" s="1"/>
  <c r="AA350" i="13"/>
  <c r="Z360" i="13"/>
  <c r="AB360" i="13" s="1"/>
  <c r="Z363" i="13"/>
  <c r="AB363" i="13" s="1"/>
  <c r="AE363" i="13" s="1"/>
  <c r="Z330" i="13"/>
  <c r="AB330" i="13" s="1"/>
  <c r="Z367" i="13"/>
  <c r="AB367" i="13" s="1"/>
  <c r="AE367" i="13" s="1"/>
  <c r="T339" i="13"/>
  <c r="V339" i="13" s="1"/>
  <c r="AE339" i="13" s="1"/>
  <c r="U349" i="13"/>
  <c r="Z333" i="13"/>
  <c r="AB333" i="13" s="1"/>
  <c r="AE333" i="13" s="1"/>
  <c r="Z348" i="13"/>
  <c r="AB348" i="13" s="1"/>
  <c r="Z351" i="13"/>
  <c r="AB351" i="13" s="1"/>
  <c r="T356" i="13"/>
  <c r="V356" i="13" s="1"/>
  <c r="AE356" i="13" s="1"/>
  <c r="Z358" i="13"/>
  <c r="AB358" i="13" s="1"/>
  <c r="Z364" i="13"/>
  <c r="AB364" i="13" s="1"/>
  <c r="Z331" i="13"/>
  <c r="AB331" i="13" s="1"/>
  <c r="AA339" i="13"/>
  <c r="AD339" i="13" s="1"/>
  <c r="T334" i="13"/>
  <c r="V334" i="13" s="1"/>
  <c r="AA356" i="13"/>
  <c r="AD356" i="13" s="1"/>
  <c r="T359" i="13"/>
  <c r="V359" i="13" s="1"/>
  <c r="T362" i="13"/>
  <c r="V362" i="13" s="1"/>
  <c r="AE362" i="13" s="1"/>
  <c r="AD359" i="13"/>
  <c r="AA362" i="13"/>
  <c r="AD362" i="13" s="1"/>
  <c r="T366" i="13"/>
  <c r="V366" i="13" s="1"/>
  <c r="T336" i="13"/>
  <c r="V336" i="13" s="1"/>
  <c r="AA342" i="13"/>
  <c r="AD364" i="13"/>
  <c r="BD340" i="13"/>
  <c r="T305" i="13"/>
  <c r="V305" i="13" s="1"/>
  <c r="T311" i="13"/>
  <c r="V311" i="13" s="1"/>
  <c r="AE311" i="13" s="1"/>
  <c r="T326" i="13"/>
  <c r="V326" i="13" s="1"/>
  <c r="Z317" i="13"/>
  <c r="AB317" i="13" s="1"/>
  <c r="AA299" i="13"/>
  <c r="AD299" i="13" s="1"/>
  <c r="U303" i="13"/>
  <c r="AA311" i="13"/>
  <c r="AD311" i="13" s="1"/>
  <c r="AA320" i="13"/>
  <c r="AD320" i="13" s="1"/>
  <c r="U323" i="13"/>
  <c r="AD323" i="13" s="1"/>
  <c r="U295" i="13"/>
  <c r="AA303" i="13"/>
  <c r="Z309" i="13"/>
  <c r="AB309" i="13" s="1"/>
  <c r="Z315" i="13"/>
  <c r="AB315" i="13" s="1"/>
  <c r="AE315" i="13" s="1"/>
  <c r="AA318" i="13"/>
  <c r="U321" i="13"/>
  <c r="Z327" i="13"/>
  <c r="AB327" i="13" s="1"/>
  <c r="U297" i="13"/>
  <c r="U308" i="13"/>
  <c r="T312" i="13"/>
  <c r="V312" i="13" s="1"/>
  <c r="AA302" i="13"/>
  <c r="AD302" i="13" s="1"/>
  <c r="AA306" i="13"/>
  <c r="U319" i="13"/>
  <c r="AD319" i="13" s="1"/>
  <c r="AA298" i="13"/>
  <c r="AD298" i="13" s="1"/>
  <c r="T302" i="13"/>
  <c r="V302" i="13" s="1"/>
  <c r="AE302" i="13" s="1"/>
  <c r="U307" i="13"/>
  <c r="Z310" i="13"/>
  <c r="AB310" i="13" s="1"/>
  <c r="Z319" i="13"/>
  <c r="AB319" i="13" s="1"/>
  <c r="AE319" i="13" s="1"/>
  <c r="U325" i="13"/>
  <c r="AA304" i="13"/>
  <c r="Z316" i="13"/>
  <c r="AB316" i="13" s="1"/>
  <c r="T242" i="13"/>
  <c r="V242" i="13" s="1"/>
  <c r="U245" i="13"/>
  <c r="AA247" i="13"/>
  <c r="T250" i="13"/>
  <c r="V250" i="13" s="1"/>
  <c r="AE250" i="13" s="1"/>
  <c r="U273" i="13"/>
  <c r="AD273" i="13" s="1"/>
  <c r="U279" i="13"/>
  <c r="Z281" i="13"/>
  <c r="AB281" i="13" s="1"/>
  <c r="AA284" i="13"/>
  <c r="AD284" i="13" s="1"/>
  <c r="Z287" i="13"/>
  <c r="AB287" i="13" s="1"/>
  <c r="AA290" i="13"/>
  <c r="AD290" i="13" s="1"/>
  <c r="Z293" i="13"/>
  <c r="AB293" i="13" s="1"/>
  <c r="Z276" i="13"/>
  <c r="AB276" i="13" s="1"/>
  <c r="Z285" i="13"/>
  <c r="AB285" i="13" s="1"/>
  <c r="Z291" i="13"/>
  <c r="AB291" i="13" s="1"/>
  <c r="AE291" i="13" s="1"/>
  <c r="Z282" i="13"/>
  <c r="AB282" i="13" s="1"/>
  <c r="Z288" i="13"/>
  <c r="AB288" i="13" s="1"/>
  <c r="U283" i="13"/>
  <c r="T286" i="13"/>
  <c r="V286" i="13" s="1"/>
  <c r="U289" i="13"/>
  <c r="T292" i="13"/>
  <c r="V292" i="13" s="1"/>
  <c r="AE292" i="13" s="1"/>
  <c r="Z248" i="13"/>
  <c r="AB248" i="13" s="1"/>
  <c r="U251" i="13"/>
  <c r="AD251" i="13" s="1"/>
  <c r="U274" i="13"/>
  <c r="AD274" i="13" s="1"/>
  <c r="T287" i="13"/>
  <c r="V287" i="13" s="1"/>
  <c r="T293" i="13"/>
  <c r="V293" i="13" s="1"/>
  <c r="AD287" i="13"/>
  <c r="AD293" i="13"/>
  <c r="T217" i="13"/>
  <c r="V217" i="13" s="1"/>
  <c r="AE217" i="13" s="1"/>
  <c r="AA222" i="13"/>
  <c r="AD222" i="13" s="1"/>
  <c r="T236" i="13"/>
  <c r="V236" i="13" s="1"/>
  <c r="U239" i="13"/>
  <c r="Z169" i="13"/>
  <c r="AB169" i="13" s="1"/>
  <c r="AE169" i="13" s="1"/>
  <c r="Z219" i="13"/>
  <c r="AB219" i="13" s="1"/>
  <c r="Z230" i="13"/>
  <c r="AB230" i="13" s="1"/>
  <c r="AE230" i="13" s="1"/>
  <c r="T234" i="13"/>
  <c r="V234" i="13" s="1"/>
  <c r="AE234" i="13" s="1"/>
  <c r="U167" i="13"/>
  <c r="T170" i="13"/>
  <c r="V170" i="13" s="1"/>
  <c r="T229" i="13"/>
  <c r="V229" i="13" s="1"/>
  <c r="AA234" i="13"/>
  <c r="AD234" i="13" s="1"/>
  <c r="Z164" i="13"/>
  <c r="AB164" i="13" s="1"/>
  <c r="AE164" i="13" s="1"/>
  <c r="T168" i="13"/>
  <c r="V168" i="13" s="1"/>
  <c r="AE168" i="13" s="1"/>
  <c r="Z223" i="13"/>
  <c r="AB223" i="13" s="1"/>
  <c r="AE223" i="13" s="1"/>
  <c r="Z231" i="13"/>
  <c r="AB231" i="13" s="1"/>
  <c r="AA162" i="13"/>
  <c r="AD162" i="13" s="1"/>
  <c r="U221" i="13"/>
  <c r="AA240" i="13"/>
  <c r="T163" i="13"/>
  <c r="V163" i="13" s="1"/>
  <c r="AA168" i="13"/>
  <c r="AD168" i="13" s="1"/>
  <c r="T224" i="13"/>
  <c r="V224" i="13" s="1"/>
  <c r="U227" i="13"/>
  <c r="T241" i="13"/>
  <c r="V241" i="13" s="1"/>
  <c r="AA216" i="13"/>
  <c r="AD216" i="13" s="1"/>
  <c r="U233" i="13"/>
  <c r="T116" i="13"/>
  <c r="V116" i="13" s="1"/>
  <c r="AE116" i="13" s="1"/>
  <c r="T158" i="13"/>
  <c r="V158" i="13" s="1"/>
  <c r="AE158" i="13" s="1"/>
  <c r="T156" i="13"/>
  <c r="V156" i="13" s="1"/>
  <c r="AE156" i="13" s="1"/>
  <c r="U161" i="13"/>
  <c r="T120" i="13"/>
  <c r="V120" i="13" s="1"/>
  <c r="T129" i="13"/>
  <c r="V129" i="13" s="1"/>
  <c r="T139" i="13"/>
  <c r="V139" i="13" s="1"/>
  <c r="AE139" i="13" s="1"/>
  <c r="T141" i="13"/>
  <c r="V141" i="13" s="1"/>
  <c r="Z152" i="13"/>
  <c r="AB152" i="13" s="1"/>
  <c r="AE152" i="13" s="1"/>
  <c r="AA135" i="13"/>
  <c r="AD135" i="13" s="1"/>
  <c r="AA150" i="13"/>
  <c r="AD150" i="13" s="1"/>
  <c r="T117" i="13"/>
  <c r="V117" i="13" s="1"/>
  <c r="T121" i="13"/>
  <c r="V121" i="13" s="1"/>
  <c r="AE121" i="13" s="1"/>
  <c r="Z133" i="13"/>
  <c r="AB133" i="13" s="1"/>
  <c r="AE133" i="13" s="1"/>
  <c r="Z136" i="13"/>
  <c r="AB136" i="13" s="1"/>
  <c r="AA139" i="13"/>
  <c r="AD139" i="13" s="1"/>
  <c r="Z145" i="13"/>
  <c r="AB145" i="13" s="1"/>
  <c r="AE145" i="13" s="1"/>
  <c r="U151" i="13"/>
  <c r="AD151" i="13" s="1"/>
  <c r="Z153" i="13"/>
  <c r="AB153" i="13" s="1"/>
  <c r="T115" i="13"/>
  <c r="V115" i="13" s="1"/>
  <c r="AE115" i="13" s="1"/>
  <c r="Z127" i="13"/>
  <c r="AB127" i="13" s="1"/>
  <c r="T157" i="13"/>
  <c r="V157" i="13" s="1"/>
  <c r="T135" i="13"/>
  <c r="V135" i="13" s="1"/>
  <c r="AE135" i="13" s="1"/>
  <c r="AA156" i="13"/>
  <c r="AD156" i="13" s="1"/>
  <c r="Z159" i="13"/>
  <c r="AB159" i="13" s="1"/>
  <c r="U155" i="13"/>
  <c r="Z68" i="13"/>
  <c r="AB68" i="13" s="1"/>
  <c r="AE68" i="13" s="1"/>
  <c r="U101" i="13"/>
  <c r="AD101" i="13" s="1"/>
  <c r="AA103" i="13"/>
  <c r="AD103" i="13" s="1"/>
  <c r="U110" i="13"/>
  <c r="AD110" i="13" s="1"/>
  <c r="U62" i="13"/>
  <c r="AD62" i="13" s="1"/>
  <c r="T108" i="13"/>
  <c r="V108" i="13" s="1"/>
  <c r="AE108" i="13" s="1"/>
  <c r="Z53" i="13"/>
  <c r="AB53" i="13" s="1"/>
  <c r="AE53" i="13" s="1"/>
  <c r="T60" i="13"/>
  <c r="V60" i="13" s="1"/>
  <c r="T63" i="13"/>
  <c r="V63" i="13" s="1"/>
  <c r="AE63" i="13" s="1"/>
  <c r="T102" i="13"/>
  <c r="V102" i="13" s="1"/>
  <c r="AE102" i="13" s="1"/>
  <c r="T55" i="13"/>
  <c r="V55" i="13" s="1"/>
  <c r="AA66" i="13"/>
  <c r="AD66" i="13" s="1"/>
  <c r="AA69" i="13"/>
  <c r="AD69" i="13" s="1"/>
  <c r="T111" i="13"/>
  <c r="V111" i="13" s="1"/>
  <c r="U54" i="13"/>
  <c r="AD54" i="13" s="1"/>
  <c r="Z60" i="13"/>
  <c r="AB60" i="13" s="1"/>
  <c r="T67" i="13"/>
  <c r="V67" i="13" s="1"/>
  <c r="T70" i="13"/>
  <c r="V70" i="13" s="1"/>
  <c r="AA102" i="13"/>
  <c r="AD102" i="13" s="1"/>
  <c r="Z54" i="13"/>
  <c r="AB54" i="13" s="1"/>
  <c r="AE54" i="13" s="1"/>
  <c r="Z67" i="13"/>
  <c r="AB67" i="13" s="1"/>
  <c r="T103" i="13"/>
  <c r="V103" i="13" s="1"/>
  <c r="AE103" i="13" s="1"/>
  <c r="Z112" i="13"/>
  <c r="AB112" i="13" s="1"/>
  <c r="AD58" i="13"/>
  <c r="T32" i="13"/>
  <c r="V32" i="13" s="1"/>
  <c r="T38" i="13"/>
  <c r="V38" i="13" s="1"/>
  <c r="T44" i="13"/>
  <c r="V44" i="13" s="1"/>
  <c r="T29" i="13"/>
  <c r="V29" i="13" s="1"/>
  <c r="AE29" i="13" s="1"/>
  <c r="T35" i="13"/>
  <c r="V35" i="13" s="1"/>
  <c r="AE35" i="13" s="1"/>
  <c r="T41" i="13"/>
  <c r="V41" i="13" s="1"/>
  <c r="AE41" i="13" s="1"/>
  <c r="T47" i="13"/>
  <c r="V47" i="13" s="1"/>
  <c r="AE47" i="13" s="1"/>
  <c r="Z50" i="13"/>
  <c r="AB50" i="13" s="1"/>
  <c r="AE50" i="13" s="1"/>
  <c r="T51" i="13"/>
  <c r="V51" i="13" s="1"/>
  <c r="AE51" i="13" s="1"/>
  <c r="AA29" i="13"/>
  <c r="AD29" i="13" s="1"/>
  <c r="T33" i="13"/>
  <c r="V33" i="13" s="1"/>
  <c r="AE33" i="13" s="1"/>
  <c r="AA35" i="13"/>
  <c r="AD35" i="13" s="1"/>
  <c r="T39" i="13"/>
  <c r="V39" i="13" s="1"/>
  <c r="AA41" i="13"/>
  <c r="AD41" i="13" s="1"/>
  <c r="T45" i="13"/>
  <c r="V45" i="13" s="1"/>
  <c r="AE45" i="13" s="1"/>
  <c r="AA47" i="13"/>
  <c r="AD47" i="13" s="1"/>
  <c r="T27" i="13"/>
  <c r="V27" i="13" s="1"/>
  <c r="AE27" i="13" s="1"/>
  <c r="T52" i="13"/>
  <c r="V52" i="13" s="1"/>
  <c r="U28" i="13"/>
  <c r="AD28" i="13" s="1"/>
  <c r="U34" i="13"/>
  <c r="AD34" i="13" s="1"/>
  <c r="U40" i="13"/>
  <c r="AD40" i="13" s="1"/>
  <c r="U46" i="13"/>
  <c r="AD46" i="13" s="1"/>
  <c r="B25" i="22"/>
  <c r="B22" i="22"/>
  <c r="B23" i="22"/>
  <c r="B24" i="22"/>
  <c r="B26" i="22"/>
  <c r="BO512" i="13"/>
  <c r="BD336" i="13"/>
  <c r="BD518" i="13"/>
  <c r="BD342" i="13"/>
  <c r="BD341" i="13"/>
  <c r="AD469" i="13"/>
  <c r="BU489" i="13"/>
  <c r="AZ460" i="13"/>
  <c r="AY472" i="13"/>
  <c r="AX447" i="13"/>
  <c r="AW447" i="13"/>
  <c r="AR456" i="13"/>
  <c r="AD330" i="13"/>
  <c r="AD460" i="13"/>
  <c r="BA460" i="13"/>
  <c r="AZ459" i="13"/>
  <c r="AX456" i="13"/>
  <c r="AX443" i="13"/>
  <c r="AV447" i="13"/>
  <c r="AQ443" i="13"/>
  <c r="AD55" i="13"/>
  <c r="AD67" i="13"/>
  <c r="BA459" i="13"/>
  <c r="BA443" i="13"/>
  <c r="AZ447" i="13"/>
  <c r="AY452" i="13"/>
  <c r="AY443" i="13"/>
  <c r="AX452" i="13"/>
  <c r="AW468" i="13"/>
  <c r="AV456" i="13"/>
  <c r="AU466" i="13"/>
  <c r="AP462" i="13"/>
  <c r="AD378" i="13"/>
  <c r="AD464" i="13"/>
  <c r="AD502" i="13"/>
  <c r="BV492" i="13"/>
  <c r="BH516" i="13"/>
  <c r="BD469" i="13"/>
  <c r="AR471" i="13"/>
  <c r="AP463" i="13"/>
  <c r="AO459" i="13"/>
  <c r="AZ446" i="13"/>
  <c r="AY463" i="13"/>
  <c r="AX450" i="13"/>
  <c r="AW455" i="13"/>
  <c r="AT463" i="13"/>
  <c r="AY459" i="13"/>
  <c r="AR455" i="13"/>
  <c r="AP450" i="13"/>
  <c r="AO446" i="13"/>
  <c r="AM459" i="13"/>
  <c r="BA442" i="13"/>
  <c r="AX455" i="13"/>
  <c r="AV455" i="13"/>
  <c r="AV446" i="13"/>
  <c r="AT456" i="13"/>
  <c r="AS455" i="13"/>
  <c r="AR450" i="13"/>
  <c r="BA450" i="13"/>
  <c r="AZ450" i="13"/>
  <c r="AY455" i="13"/>
  <c r="AY450" i="13"/>
  <c r="AU450" i="13"/>
  <c r="AT455" i="13"/>
  <c r="AQ455" i="13"/>
  <c r="AN455" i="13"/>
  <c r="AM455" i="13"/>
  <c r="AD372" i="13"/>
  <c r="BA455" i="13"/>
  <c r="AZ455" i="13"/>
  <c r="AY446" i="13"/>
  <c r="AU455" i="13"/>
  <c r="AQ450" i="13"/>
  <c r="AP455" i="13"/>
  <c r="AM446" i="13"/>
  <c r="AD248" i="13"/>
  <c r="AD117" i="13"/>
  <c r="AD120" i="13"/>
  <c r="AD276" i="13"/>
  <c r="AD426" i="13"/>
  <c r="AD60" i="13"/>
  <c r="AD111" i="13"/>
  <c r="AD385" i="13"/>
  <c r="AD99" i="13"/>
  <c r="AD106" i="13"/>
  <c r="AD305" i="13"/>
  <c r="AD384" i="13"/>
  <c r="AD32" i="13"/>
  <c r="AD281" i="13"/>
  <c r="AD366" i="13"/>
  <c r="AD408" i="13"/>
  <c r="AD453" i="13"/>
  <c r="AD104" i="13"/>
  <c r="AD129" i="13"/>
  <c r="AD415" i="13"/>
  <c r="AD433" i="13"/>
  <c r="AD445" i="13"/>
  <c r="AM456" i="13"/>
  <c r="AI456" i="13"/>
  <c r="AD38" i="13"/>
  <c r="AD44" i="13"/>
  <c r="AD52" i="13"/>
  <c r="AD123" i="13"/>
  <c r="AD126" i="13"/>
  <c r="AD141" i="13"/>
  <c r="AD242" i="13"/>
  <c r="BD226" i="13"/>
  <c r="AQ456" i="13"/>
  <c r="AP451" i="13"/>
  <c r="AO455" i="13"/>
  <c r="AL455" i="13"/>
  <c r="AQ454" i="13"/>
  <c r="AE247" i="13"/>
  <c r="AE519" i="13"/>
  <c r="AE228" i="13"/>
  <c r="AE350" i="13"/>
  <c r="AE240" i="13"/>
  <c r="AD7" i="13"/>
  <c r="AD31" i="13"/>
  <c r="AD49" i="13"/>
  <c r="AD37" i="13"/>
  <c r="AE57" i="13"/>
  <c r="AD43" i="13"/>
  <c r="AE109" i="13"/>
  <c r="U118" i="13"/>
  <c r="AD118" i="13" s="1"/>
  <c r="T118" i="13"/>
  <c r="V118" i="13" s="1"/>
  <c r="AA137" i="13"/>
  <c r="AD137" i="13" s="1"/>
  <c r="Z137" i="13"/>
  <c r="AB137" i="13" s="1"/>
  <c r="U154" i="13"/>
  <c r="AD154" i="13" s="1"/>
  <c r="T154" i="13"/>
  <c r="V154" i="13" s="1"/>
  <c r="U160" i="13"/>
  <c r="AD160" i="13" s="1"/>
  <c r="T160" i="13"/>
  <c r="V160" i="13" s="1"/>
  <c r="U166" i="13"/>
  <c r="AD166" i="13" s="1"/>
  <c r="T166" i="13"/>
  <c r="V166" i="13" s="1"/>
  <c r="U172" i="13"/>
  <c r="AD172" i="13" s="1"/>
  <c r="T172" i="13"/>
  <c r="V172" i="13" s="1"/>
  <c r="U220" i="13"/>
  <c r="AD220" i="13" s="1"/>
  <c r="T220" i="13"/>
  <c r="V220" i="13" s="1"/>
  <c r="U226" i="13"/>
  <c r="AD226" i="13" s="1"/>
  <c r="T226" i="13"/>
  <c r="V226" i="13" s="1"/>
  <c r="U232" i="13"/>
  <c r="AD232" i="13" s="1"/>
  <c r="T232" i="13"/>
  <c r="V232" i="13" s="1"/>
  <c r="U238" i="13"/>
  <c r="AD238" i="13" s="1"/>
  <c r="T238" i="13"/>
  <c r="V238" i="13" s="1"/>
  <c r="U244" i="13"/>
  <c r="AD244" i="13" s="1"/>
  <c r="T244" i="13"/>
  <c r="V244" i="13" s="1"/>
  <c r="AE272" i="13"/>
  <c r="U294" i="13"/>
  <c r="AD294" i="13" s="1"/>
  <c r="T294" i="13"/>
  <c r="V294" i="13" s="1"/>
  <c r="AE304" i="13"/>
  <c r="AA340" i="13"/>
  <c r="AD340" i="13" s="1"/>
  <c r="Z340" i="13"/>
  <c r="AB340" i="13" s="1"/>
  <c r="AA361" i="13"/>
  <c r="Z361" i="13"/>
  <c r="AB361" i="13" s="1"/>
  <c r="Z7" i="13"/>
  <c r="AB7" i="13" s="1"/>
  <c r="T30" i="13"/>
  <c r="V30" i="13" s="1"/>
  <c r="Z31" i="13"/>
  <c r="AB31" i="13" s="1"/>
  <c r="T36" i="13"/>
  <c r="V36" i="13" s="1"/>
  <c r="Z37" i="13"/>
  <c r="AB37" i="13" s="1"/>
  <c r="T42" i="13"/>
  <c r="V42" i="13" s="1"/>
  <c r="Z43" i="13"/>
  <c r="AB43" i="13" s="1"/>
  <c r="T48" i="13"/>
  <c r="V48" i="13" s="1"/>
  <c r="Z49" i="13"/>
  <c r="AB49" i="13" s="1"/>
  <c r="Z56" i="13"/>
  <c r="AB56" i="13" s="1"/>
  <c r="AA57" i="13"/>
  <c r="T58" i="13"/>
  <c r="V58" i="13" s="1"/>
  <c r="T59" i="13"/>
  <c r="V59" i="13" s="1"/>
  <c r="T66" i="13"/>
  <c r="V66" i="13" s="1"/>
  <c r="Z71" i="13"/>
  <c r="AB71" i="13" s="1"/>
  <c r="T100" i="13"/>
  <c r="V100" i="13" s="1"/>
  <c r="Z105" i="13"/>
  <c r="AB105" i="13" s="1"/>
  <c r="U107" i="13"/>
  <c r="AD107" i="13" s="1"/>
  <c r="U112" i="13"/>
  <c r="AD112" i="13" s="1"/>
  <c r="T112" i="13"/>
  <c r="V112" i="13" s="1"/>
  <c r="Z123" i="13"/>
  <c r="AB123" i="13" s="1"/>
  <c r="Z130" i="13"/>
  <c r="AB130" i="13" s="1"/>
  <c r="T134" i="13"/>
  <c r="V134" i="13" s="1"/>
  <c r="U148" i="13"/>
  <c r="T148" i="13"/>
  <c r="V148" i="13" s="1"/>
  <c r="T153" i="13"/>
  <c r="V153" i="13" s="1"/>
  <c r="T159" i="13"/>
  <c r="V159" i="13" s="1"/>
  <c r="T165" i="13"/>
  <c r="V165" i="13" s="1"/>
  <c r="AE165" i="13" s="1"/>
  <c r="T171" i="13"/>
  <c r="V171" i="13" s="1"/>
  <c r="T219" i="13"/>
  <c r="V219" i="13" s="1"/>
  <c r="T225" i="13"/>
  <c r="V225" i="13" s="1"/>
  <c r="T231" i="13"/>
  <c r="V231" i="13" s="1"/>
  <c r="T237" i="13"/>
  <c r="V237" i="13" s="1"/>
  <c r="T243" i="13"/>
  <c r="V243" i="13" s="1"/>
  <c r="T249" i="13"/>
  <c r="V249" i="13" s="1"/>
  <c r="AA283" i="13"/>
  <c r="Z283" i="13"/>
  <c r="AB283" i="13" s="1"/>
  <c r="Z286" i="13"/>
  <c r="AB286" i="13" s="1"/>
  <c r="AA286" i="13"/>
  <c r="AD286" i="13" s="1"/>
  <c r="U291" i="13"/>
  <c r="AD291" i="13" s="1"/>
  <c r="BR469" i="13"/>
  <c r="T7" i="13"/>
  <c r="V7" i="13" s="1"/>
  <c r="T31" i="13"/>
  <c r="V31" i="13" s="1"/>
  <c r="Z32" i="13"/>
  <c r="AB32" i="13" s="1"/>
  <c r="T37" i="13"/>
  <c r="V37" i="13" s="1"/>
  <c r="Z38" i="13"/>
  <c r="AB38" i="13" s="1"/>
  <c r="T43" i="13"/>
  <c r="V43" i="13" s="1"/>
  <c r="Z44" i="13"/>
  <c r="AB44" i="13" s="1"/>
  <c r="T49" i="13"/>
  <c r="V49" i="13" s="1"/>
  <c r="U50" i="13"/>
  <c r="AD50" i="13" s="1"/>
  <c r="Z55" i="13"/>
  <c r="AB55" i="13" s="1"/>
  <c r="Z62" i="13"/>
  <c r="AB62" i="13" s="1"/>
  <c r="AA63" i="13"/>
  <c r="AD63" i="13" s="1"/>
  <c r="T64" i="13"/>
  <c r="V64" i="13" s="1"/>
  <c r="T65" i="13"/>
  <c r="V65" i="13" s="1"/>
  <c r="T99" i="13"/>
  <c r="V99" i="13" s="1"/>
  <c r="Z104" i="13"/>
  <c r="AB104" i="13" s="1"/>
  <c r="T106" i="13"/>
  <c r="V106" i="13" s="1"/>
  <c r="Z111" i="13"/>
  <c r="AB111" i="13" s="1"/>
  <c r="Z117" i="13"/>
  <c r="AB117" i="13" s="1"/>
  <c r="Z124" i="13"/>
  <c r="AB124" i="13" s="1"/>
  <c r="T128" i="13"/>
  <c r="V128" i="13" s="1"/>
  <c r="AA131" i="13"/>
  <c r="AD131" i="13" s="1"/>
  <c r="Z131" i="13"/>
  <c r="AB131" i="13" s="1"/>
  <c r="T147" i="13"/>
  <c r="V147" i="13" s="1"/>
  <c r="AA149" i="13"/>
  <c r="AD149" i="13" s="1"/>
  <c r="Z149" i="13"/>
  <c r="AB149" i="13" s="1"/>
  <c r="Z154" i="13"/>
  <c r="AB154" i="13" s="1"/>
  <c r="AA155" i="13"/>
  <c r="Z155" i="13"/>
  <c r="AB155" i="13" s="1"/>
  <c r="AD157" i="13"/>
  <c r="Z160" i="13"/>
  <c r="AB160" i="13" s="1"/>
  <c r="AA161" i="13"/>
  <c r="Z161" i="13"/>
  <c r="AB161" i="13" s="1"/>
  <c r="AD163" i="13"/>
  <c r="Z166" i="13"/>
  <c r="AB166" i="13" s="1"/>
  <c r="AA167" i="13"/>
  <c r="Z167" i="13"/>
  <c r="AB167" i="13" s="1"/>
  <c r="Z172" i="13"/>
  <c r="AB172" i="13" s="1"/>
  <c r="Z220" i="13"/>
  <c r="AB220" i="13" s="1"/>
  <c r="AA221" i="13"/>
  <c r="Z221" i="13"/>
  <c r="AB221" i="13" s="1"/>
  <c r="Z226" i="13"/>
  <c r="AB226" i="13" s="1"/>
  <c r="AA227" i="13"/>
  <c r="Z227" i="13"/>
  <c r="AB227" i="13" s="1"/>
  <c r="Z232" i="13"/>
  <c r="AB232" i="13" s="1"/>
  <c r="AA233" i="13"/>
  <c r="Z233" i="13"/>
  <c r="AB233" i="13" s="1"/>
  <c r="Z238" i="13"/>
  <c r="AB238" i="13" s="1"/>
  <c r="AA239" i="13"/>
  <c r="Z239" i="13"/>
  <c r="AB239" i="13" s="1"/>
  <c r="AD241" i="13"/>
  <c r="Z244" i="13"/>
  <c r="AB244" i="13" s="1"/>
  <c r="AA245" i="13"/>
  <c r="Z245" i="13"/>
  <c r="AB245" i="13" s="1"/>
  <c r="Z274" i="13"/>
  <c r="AB274" i="13" s="1"/>
  <c r="Z326" i="13"/>
  <c r="AB326" i="13" s="1"/>
  <c r="AA326" i="13"/>
  <c r="AD326" i="13" s="1"/>
  <c r="BD234" i="13"/>
  <c r="BQ441" i="13"/>
  <c r="BE467" i="13"/>
  <c r="AA125" i="13"/>
  <c r="AD125" i="13" s="1"/>
  <c r="Z125" i="13"/>
  <c r="AB125" i="13" s="1"/>
  <c r="U136" i="13"/>
  <c r="AD136" i="13" s="1"/>
  <c r="T136" i="13"/>
  <c r="V136" i="13" s="1"/>
  <c r="U142" i="13"/>
  <c r="AD142" i="13" s="1"/>
  <c r="T142" i="13"/>
  <c r="V142" i="13" s="1"/>
  <c r="T276" i="13"/>
  <c r="V276" i="13" s="1"/>
  <c r="AE279" i="13"/>
  <c r="Z280" i="13"/>
  <c r="AB280" i="13" s="1"/>
  <c r="U288" i="13"/>
  <c r="AD288" i="13" s="1"/>
  <c r="T288" i="13"/>
  <c r="V288" i="13" s="1"/>
  <c r="T313" i="13"/>
  <c r="V313" i="13" s="1"/>
  <c r="U313" i="13"/>
  <c r="AD313" i="13" s="1"/>
  <c r="U318" i="13"/>
  <c r="T318" i="13"/>
  <c r="V318" i="13" s="1"/>
  <c r="T331" i="13"/>
  <c r="V331" i="13" s="1"/>
  <c r="U331" i="13"/>
  <c r="AD331" i="13" s="1"/>
  <c r="AA397" i="13"/>
  <c r="AD397" i="13" s="1"/>
  <c r="Z397" i="13"/>
  <c r="AB397" i="13" s="1"/>
  <c r="BF429" i="13"/>
  <c r="AA119" i="13"/>
  <c r="AD119" i="13" s="1"/>
  <c r="Z119" i="13"/>
  <c r="AB119" i="13" s="1"/>
  <c r="AD127" i="13"/>
  <c r="U130" i="13"/>
  <c r="AD130" i="13" s="1"/>
  <c r="T130" i="13"/>
  <c r="V130" i="13" s="1"/>
  <c r="AA143" i="13"/>
  <c r="AD143" i="13" s="1"/>
  <c r="Z143" i="13"/>
  <c r="AB143" i="13" s="1"/>
  <c r="AD153" i="13"/>
  <c r="AD159" i="13"/>
  <c r="AD171" i="13"/>
  <c r="AD219" i="13"/>
  <c r="AD225" i="13"/>
  <c r="AD231" i="13"/>
  <c r="AD237" i="13"/>
  <c r="AD243" i="13"/>
  <c r="AD249" i="13"/>
  <c r="U275" i="13"/>
  <c r="AD275" i="13" s="1"/>
  <c r="T275" i="13"/>
  <c r="V275" i="13" s="1"/>
  <c r="AA300" i="13"/>
  <c r="Z300" i="13"/>
  <c r="AB300" i="13" s="1"/>
  <c r="U317" i="13"/>
  <c r="AD317" i="13" s="1"/>
  <c r="T317" i="13"/>
  <c r="V317" i="13" s="1"/>
  <c r="AA325" i="13"/>
  <c r="Z325" i="13"/>
  <c r="AB325" i="13" s="1"/>
  <c r="U345" i="13"/>
  <c r="AD345" i="13" s="1"/>
  <c r="T345" i="13"/>
  <c r="V345" i="13" s="1"/>
  <c r="U346" i="13"/>
  <c r="T346" i="13"/>
  <c r="V346" i="13" s="1"/>
  <c r="AA353" i="13"/>
  <c r="Z353" i="13"/>
  <c r="AB353" i="13" s="1"/>
  <c r="AE374" i="13"/>
  <c r="U376" i="13"/>
  <c r="AD376" i="13" s="1"/>
  <c r="T376" i="13"/>
  <c r="V376" i="13" s="1"/>
  <c r="BD230" i="13"/>
  <c r="T61" i="13"/>
  <c r="V61" i="13" s="1"/>
  <c r="U68" i="13"/>
  <c r="AD68" i="13" s="1"/>
  <c r="Z107" i="13"/>
  <c r="AB107" i="13" s="1"/>
  <c r="AA108" i="13"/>
  <c r="AD108" i="13" s="1"/>
  <c r="AA113" i="13"/>
  <c r="AD113" i="13" s="1"/>
  <c r="Z113" i="13"/>
  <c r="AB113" i="13" s="1"/>
  <c r="T123" i="13"/>
  <c r="V123" i="13" s="1"/>
  <c r="U124" i="13"/>
  <c r="AD124" i="13" s="1"/>
  <c r="T124" i="13"/>
  <c r="V124" i="13" s="1"/>
  <c r="Z142" i="13"/>
  <c r="AB142" i="13" s="1"/>
  <c r="AD147" i="13"/>
  <c r="T281" i="13"/>
  <c r="V281" i="13" s="1"/>
  <c r="T285" i="13"/>
  <c r="V285" i="13" s="1"/>
  <c r="U285" i="13"/>
  <c r="AD285" i="13" s="1"/>
  <c r="AA292" i="13"/>
  <c r="AD292" i="13" s="1"/>
  <c r="Z308" i="13"/>
  <c r="AB308" i="13" s="1"/>
  <c r="AA308" i="13"/>
  <c r="U335" i="13"/>
  <c r="T335" i="13"/>
  <c r="V335" i="13" s="1"/>
  <c r="AA336" i="13"/>
  <c r="AD336" i="13" s="1"/>
  <c r="Z336" i="13"/>
  <c r="AB336" i="13" s="1"/>
  <c r="AA277" i="13"/>
  <c r="Z277" i="13"/>
  <c r="AB277" i="13" s="1"/>
  <c r="U282" i="13"/>
  <c r="AD282" i="13" s="1"/>
  <c r="T282" i="13"/>
  <c r="V282" i="13" s="1"/>
  <c r="AA322" i="13"/>
  <c r="Z322" i="13"/>
  <c r="AB322" i="13" s="1"/>
  <c r="AA343" i="13"/>
  <c r="Z343" i="13"/>
  <c r="AB343" i="13" s="1"/>
  <c r="U352" i="13"/>
  <c r="T352" i="13"/>
  <c r="V352" i="13" s="1"/>
  <c r="U354" i="13"/>
  <c r="T354" i="13"/>
  <c r="V354" i="13" s="1"/>
  <c r="U375" i="13"/>
  <c r="AD375" i="13" s="1"/>
  <c r="T375" i="13"/>
  <c r="V375" i="13" s="1"/>
  <c r="U406" i="13"/>
  <c r="T406" i="13"/>
  <c r="V406" i="13" s="1"/>
  <c r="T113" i="13"/>
  <c r="V113" i="13" s="1"/>
  <c r="Z114" i="13"/>
  <c r="AB114" i="13" s="1"/>
  <c r="T119" i="13"/>
  <c r="V119" i="13" s="1"/>
  <c r="Z120" i="13"/>
  <c r="AB120" i="13" s="1"/>
  <c r="T125" i="13"/>
  <c r="V125" i="13" s="1"/>
  <c r="Z126" i="13"/>
  <c r="AB126" i="13" s="1"/>
  <c r="T131" i="13"/>
  <c r="V131" i="13" s="1"/>
  <c r="Z132" i="13"/>
  <c r="AB132" i="13" s="1"/>
  <c r="T137" i="13"/>
  <c r="V137" i="13" s="1"/>
  <c r="Z138" i="13"/>
  <c r="AB138" i="13" s="1"/>
  <c r="T143" i="13"/>
  <c r="V143" i="13" s="1"/>
  <c r="Z144" i="13"/>
  <c r="AB144" i="13" s="1"/>
  <c r="T149" i="13"/>
  <c r="V149" i="13" s="1"/>
  <c r="Z251" i="13"/>
  <c r="AB251" i="13" s="1"/>
  <c r="AA272" i="13"/>
  <c r="Z294" i="13"/>
  <c r="AB294" i="13" s="1"/>
  <c r="AA301" i="13"/>
  <c r="Z301" i="13"/>
  <c r="AB301" i="13" s="1"/>
  <c r="AA307" i="13"/>
  <c r="Z307" i="13"/>
  <c r="AB307" i="13" s="1"/>
  <c r="U309" i="13"/>
  <c r="AD309" i="13" s="1"/>
  <c r="T309" i="13"/>
  <c r="V309" i="13" s="1"/>
  <c r="Z323" i="13"/>
  <c r="AB323" i="13" s="1"/>
  <c r="U327" i="13"/>
  <c r="AD327" i="13" s="1"/>
  <c r="T327" i="13"/>
  <c r="V327" i="13" s="1"/>
  <c r="U328" i="13"/>
  <c r="T328" i="13"/>
  <c r="V328" i="13" s="1"/>
  <c r="AA352" i="13"/>
  <c r="Z352" i="13"/>
  <c r="AB352" i="13" s="1"/>
  <c r="AA354" i="13"/>
  <c r="Z354" i="13"/>
  <c r="AB354" i="13" s="1"/>
  <c r="AE368" i="13"/>
  <c r="AA295" i="13"/>
  <c r="Z295" i="13"/>
  <c r="AB295" i="13" s="1"/>
  <c r="AE303" i="13"/>
  <c r="U306" i="13"/>
  <c r="T306" i="13"/>
  <c r="V306" i="13" s="1"/>
  <c r="U310" i="13"/>
  <c r="AD310" i="13" s="1"/>
  <c r="T310" i="13"/>
  <c r="V310" i="13" s="1"/>
  <c r="Z344" i="13"/>
  <c r="AB344" i="13" s="1"/>
  <c r="AA344" i="13"/>
  <c r="AD344" i="13" s="1"/>
  <c r="AA289" i="13"/>
  <c r="Z289" i="13"/>
  <c r="AB289" i="13" s="1"/>
  <c r="AE297" i="13"/>
  <c r="U300" i="13"/>
  <c r="T300" i="13"/>
  <c r="V300" i="13" s="1"/>
  <c r="U324" i="13"/>
  <c r="AD324" i="13" s="1"/>
  <c r="T324" i="13"/>
  <c r="V324" i="13" s="1"/>
  <c r="AA329" i="13"/>
  <c r="AD329" i="13" s="1"/>
  <c r="Z329" i="13"/>
  <c r="AB329" i="13" s="1"/>
  <c r="U342" i="13"/>
  <c r="T342" i="13"/>
  <c r="V342" i="13" s="1"/>
  <c r="U353" i="13"/>
  <c r="T353" i="13"/>
  <c r="V353" i="13" s="1"/>
  <c r="AA365" i="13"/>
  <c r="Z365" i="13"/>
  <c r="AB365" i="13" s="1"/>
  <c r="AA390" i="13"/>
  <c r="Z390" i="13"/>
  <c r="AB390" i="13" s="1"/>
  <c r="U348" i="13"/>
  <c r="AD348" i="13" s="1"/>
  <c r="T348" i="13"/>
  <c r="V348" i="13" s="1"/>
  <c r="U370" i="13"/>
  <c r="AD370" i="13" s="1"/>
  <c r="T370" i="13"/>
  <c r="V370" i="13" s="1"/>
  <c r="AA377" i="13"/>
  <c r="AD377" i="13" s="1"/>
  <c r="Z377" i="13"/>
  <c r="AB377" i="13" s="1"/>
  <c r="Z411" i="13"/>
  <c r="AB411" i="13" s="1"/>
  <c r="AA411" i="13"/>
  <c r="AD411" i="13" s="1"/>
  <c r="U510" i="13"/>
  <c r="T510" i="13"/>
  <c r="V510" i="13" s="1"/>
  <c r="AA557" i="13"/>
  <c r="Z557" i="13"/>
  <c r="AB557" i="13" s="1"/>
  <c r="Z313" i="13"/>
  <c r="AB313" i="13" s="1"/>
  <c r="AA314" i="13"/>
  <c r="T330" i="13"/>
  <c r="V330" i="13" s="1"/>
  <c r="U337" i="13"/>
  <c r="AD337" i="13" s="1"/>
  <c r="AA349" i="13"/>
  <c r="Z349" i="13"/>
  <c r="AB349" i="13" s="1"/>
  <c r="T369" i="13"/>
  <c r="V369" i="13" s="1"/>
  <c r="AA371" i="13"/>
  <c r="AD371" i="13" s="1"/>
  <c r="Z371" i="13"/>
  <c r="AB371" i="13" s="1"/>
  <c r="Z376" i="13"/>
  <c r="AB376" i="13" s="1"/>
  <c r="AE381" i="13"/>
  <c r="AD389" i="13"/>
  <c r="U391" i="13"/>
  <c r="T391" i="13"/>
  <c r="V391" i="13" s="1"/>
  <c r="AA392" i="13"/>
  <c r="Z392" i="13"/>
  <c r="AB392" i="13" s="1"/>
  <c r="AA396" i="13"/>
  <c r="AD396" i="13" s="1"/>
  <c r="Z396" i="13"/>
  <c r="AB396" i="13" s="1"/>
  <c r="Z421" i="13"/>
  <c r="AB421" i="13" s="1"/>
  <c r="AA421" i="13"/>
  <c r="AD421" i="13" s="1"/>
  <c r="AE321" i="13"/>
  <c r="AA355" i="13"/>
  <c r="Z355" i="13"/>
  <c r="AB355" i="13" s="1"/>
  <c r="T364" i="13"/>
  <c r="V364" i="13" s="1"/>
  <c r="U365" i="13"/>
  <c r="T365" i="13"/>
  <c r="V365" i="13" s="1"/>
  <c r="AE382" i="13"/>
  <c r="T420" i="13"/>
  <c r="V420" i="13" s="1"/>
  <c r="U420" i="13"/>
  <c r="AD420" i="13" s="1"/>
  <c r="U360" i="13"/>
  <c r="AD360" i="13" s="1"/>
  <c r="T360" i="13"/>
  <c r="V360" i="13" s="1"/>
  <c r="U386" i="13"/>
  <c r="AD386" i="13" s="1"/>
  <c r="T386" i="13"/>
  <c r="V386" i="13" s="1"/>
  <c r="AE394" i="13"/>
  <c r="T413" i="13"/>
  <c r="V413" i="13" s="1"/>
  <c r="U413" i="13"/>
  <c r="AD413" i="13" s="1"/>
  <c r="Z439" i="13"/>
  <c r="AB439" i="13" s="1"/>
  <c r="AA439" i="13"/>
  <c r="AE451" i="13"/>
  <c r="AA461" i="13"/>
  <c r="Z461" i="13"/>
  <c r="AB461" i="13" s="1"/>
  <c r="AA506" i="13"/>
  <c r="Z506" i="13"/>
  <c r="AB506" i="13" s="1"/>
  <c r="Z366" i="13"/>
  <c r="AB366" i="13" s="1"/>
  <c r="T371" i="13"/>
  <c r="V371" i="13" s="1"/>
  <c r="Z372" i="13"/>
  <c r="AB372" i="13" s="1"/>
  <c r="T377" i="13"/>
  <c r="V377" i="13" s="1"/>
  <c r="Z378" i="13"/>
  <c r="AB378" i="13" s="1"/>
  <c r="T384" i="13"/>
  <c r="V384" i="13" s="1"/>
  <c r="Z385" i="13"/>
  <c r="AB385" i="13" s="1"/>
  <c r="AA387" i="13"/>
  <c r="Z387" i="13"/>
  <c r="AB387" i="13" s="1"/>
  <c r="T398" i="13"/>
  <c r="V398" i="13" s="1"/>
  <c r="U398" i="13"/>
  <c r="AD398" i="13" s="1"/>
  <c r="AA414" i="13"/>
  <c r="AD414" i="13" s="1"/>
  <c r="U428" i="13"/>
  <c r="AE438" i="13"/>
  <c r="AE457" i="13"/>
  <c r="AE463" i="13"/>
  <c r="Z373" i="13"/>
  <c r="AB373" i="13" s="1"/>
  <c r="T378" i="13"/>
  <c r="V378" i="13" s="1"/>
  <c r="Z379" i="13"/>
  <c r="AB379" i="13" s="1"/>
  <c r="U392" i="13"/>
  <c r="T392" i="13"/>
  <c r="V392" i="13" s="1"/>
  <c r="T416" i="13"/>
  <c r="V416" i="13" s="1"/>
  <c r="U416" i="13"/>
  <c r="AD416" i="13" s="1"/>
  <c r="T425" i="13"/>
  <c r="V425" i="13" s="1"/>
  <c r="U448" i="13"/>
  <c r="AD448" i="13" s="1"/>
  <c r="Z380" i="13"/>
  <c r="AB380" i="13" s="1"/>
  <c r="AA381" i="13"/>
  <c r="AA403" i="13"/>
  <c r="AD403" i="13" s="1"/>
  <c r="Z403" i="13"/>
  <c r="AB403" i="13" s="1"/>
  <c r="Z404" i="13"/>
  <c r="AB404" i="13" s="1"/>
  <c r="AA405" i="13"/>
  <c r="AD405" i="13" s="1"/>
  <c r="U410" i="13"/>
  <c r="AE412" i="13"/>
  <c r="AD419" i="13"/>
  <c r="Z441" i="13"/>
  <c r="AB441" i="13" s="1"/>
  <c r="AA441" i="13"/>
  <c r="AD441" i="13" s="1"/>
  <c r="Z452" i="13"/>
  <c r="AB452" i="13" s="1"/>
  <c r="AA452" i="13"/>
  <c r="AD452" i="13" s="1"/>
  <c r="U521" i="13"/>
  <c r="AD521" i="13" s="1"/>
  <c r="T521" i="13"/>
  <c r="V521" i="13" s="1"/>
  <c r="AA410" i="13"/>
  <c r="Z410" i="13"/>
  <c r="AB410" i="13" s="1"/>
  <c r="AA428" i="13"/>
  <c r="Z428" i="13"/>
  <c r="AB428" i="13" s="1"/>
  <c r="U432" i="13"/>
  <c r="T432" i="13"/>
  <c r="V432" i="13" s="1"/>
  <c r="T434" i="13"/>
  <c r="V434" i="13" s="1"/>
  <c r="U434" i="13"/>
  <c r="AD434" i="13" s="1"/>
  <c r="Z456" i="13"/>
  <c r="AB456" i="13" s="1"/>
  <c r="AA456" i="13"/>
  <c r="AD456" i="13" s="1"/>
  <c r="AA476" i="13"/>
  <c r="Z476" i="13"/>
  <c r="AB476" i="13" s="1"/>
  <c r="Z393" i="13"/>
  <c r="AB393" i="13" s="1"/>
  <c r="T396" i="13"/>
  <c r="V396" i="13" s="1"/>
  <c r="Z401" i="13"/>
  <c r="AB401" i="13" s="1"/>
  <c r="T403" i="13"/>
  <c r="V403" i="13" s="1"/>
  <c r="T414" i="13"/>
  <c r="V414" i="13" s="1"/>
  <c r="T421" i="13"/>
  <c r="V421" i="13" s="1"/>
  <c r="T424" i="13"/>
  <c r="V424" i="13" s="1"/>
  <c r="AA425" i="13"/>
  <c r="AD425" i="13" s="1"/>
  <c r="U427" i="13"/>
  <c r="AD427" i="13" s="1"/>
  <c r="T427" i="13"/>
  <c r="V427" i="13" s="1"/>
  <c r="T440" i="13"/>
  <c r="V440" i="13" s="1"/>
  <c r="U440" i="13"/>
  <c r="AD440" i="13" s="1"/>
  <c r="Z447" i="13"/>
  <c r="AB447" i="13" s="1"/>
  <c r="AA447" i="13"/>
  <c r="AD447" i="13" s="1"/>
  <c r="U412" i="13"/>
  <c r="AE423" i="13"/>
  <c r="AA437" i="13"/>
  <c r="AD437" i="13" s="1"/>
  <c r="Z437" i="13"/>
  <c r="AB437" i="13" s="1"/>
  <c r="U439" i="13"/>
  <c r="T439" i="13"/>
  <c r="V439" i="13" s="1"/>
  <c r="Z449" i="13"/>
  <c r="AB449" i="13" s="1"/>
  <c r="AA449" i="13"/>
  <c r="AD449" i="13" s="1"/>
  <c r="T453" i="13"/>
  <c r="V453" i="13" s="1"/>
  <c r="T455" i="13"/>
  <c r="V455" i="13" s="1"/>
  <c r="U455" i="13"/>
  <c r="AD455" i="13" s="1"/>
  <c r="AA468" i="13"/>
  <c r="AD468" i="13" s="1"/>
  <c r="U470" i="13"/>
  <c r="AD470" i="13" s="1"/>
  <c r="T470" i="13"/>
  <c r="V470" i="13" s="1"/>
  <c r="U481" i="13"/>
  <c r="AD481" i="13" s="1"/>
  <c r="T481" i="13"/>
  <c r="V481" i="13" s="1"/>
  <c r="U461" i="13"/>
  <c r="T461" i="13"/>
  <c r="V461" i="13" s="1"/>
  <c r="AA462" i="13"/>
  <c r="AD462" i="13" s="1"/>
  <c r="Z462" i="13"/>
  <c r="AB462" i="13" s="1"/>
  <c r="T467" i="13"/>
  <c r="V467" i="13" s="1"/>
  <c r="U467" i="13"/>
  <c r="AA483" i="13"/>
  <c r="Z483" i="13"/>
  <c r="AB483" i="13" s="1"/>
  <c r="U504" i="13"/>
  <c r="AD504" i="13" s="1"/>
  <c r="T504" i="13"/>
  <c r="V504" i="13" s="1"/>
  <c r="AA429" i="13"/>
  <c r="AD429" i="13" s="1"/>
  <c r="Z440" i="13"/>
  <c r="AB440" i="13" s="1"/>
  <c r="U451" i="13"/>
  <c r="T454" i="13"/>
  <c r="V454" i="13" s="1"/>
  <c r="Z455" i="13"/>
  <c r="AB455" i="13" s="1"/>
  <c r="Z480" i="13"/>
  <c r="AB480" i="13" s="1"/>
  <c r="AA480" i="13"/>
  <c r="Z488" i="13"/>
  <c r="AB488" i="13" s="1"/>
  <c r="AE513" i="13"/>
  <c r="U553" i="13"/>
  <c r="AD553" i="13" s="1"/>
  <c r="T553" i="13"/>
  <c r="V553" i="13" s="1"/>
  <c r="AE543" i="13"/>
  <c r="AA551" i="13"/>
  <c r="Z551" i="13"/>
  <c r="AB551" i="13" s="1"/>
  <c r="AA493" i="13"/>
  <c r="AD493" i="13" s="1"/>
  <c r="Z493" i="13"/>
  <c r="AB493" i="13" s="1"/>
  <c r="AA542" i="13"/>
  <c r="Z542" i="13"/>
  <c r="AB542" i="13" s="1"/>
  <c r="AA465" i="13"/>
  <c r="Z465" i="13"/>
  <c r="AB465" i="13" s="1"/>
  <c r="U482" i="13"/>
  <c r="AD482" i="13" s="1"/>
  <c r="T482" i="13"/>
  <c r="V482" i="13" s="1"/>
  <c r="U485" i="13"/>
  <c r="AD485" i="13" s="1"/>
  <c r="Z511" i="13"/>
  <c r="AB511" i="13" s="1"/>
  <c r="AA511" i="13"/>
  <c r="AD511" i="13" s="1"/>
  <c r="AA477" i="13"/>
  <c r="Z477" i="13"/>
  <c r="AB477" i="13" s="1"/>
  <c r="AA489" i="13"/>
  <c r="Z489" i="13"/>
  <c r="AB489" i="13" s="1"/>
  <c r="AE492" i="13"/>
  <c r="U499" i="13"/>
  <c r="AD499" i="13" s="1"/>
  <c r="T499" i="13"/>
  <c r="V499" i="13" s="1"/>
  <c r="AA500" i="13"/>
  <c r="Z500" i="13"/>
  <c r="AB500" i="13" s="1"/>
  <c r="U494" i="13"/>
  <c r="AD494" i="13" s="1"/>
  <c r="T494" i="13"/>
  <c r="V494" i="13" s="1"/>
  <c r="AA495" i="13"/>
  <c r="AD495" i="13" s="1"/>
  <c r="Z495" i="13"/>
  <c r="AB495" i="13" s="1"/>
  <c r="AE525" i="13"/>
  <c r="T539" i="13"/>
  <c r="V539" i="13" s="1"/>
  <c r="U539" i="13"/>
  <c r="AA471" i="13"/>
  <c r="Z471" i="13"/>
  <c r="AB471" i="13" s="1"/>
  <c r="AE473" i="13"/>
  <c r="U476" i="13"/>
  <c r="T476" i="13"/>
  <c r="V476" i="13" s="1"/>
  <c r="Z482" i="13"/>
  <c r="AB482" i="13" s="1"/>
  <c r="U488" i="13"/>
  <c r="AD488" i="13" s="1"/>
  <c r="T488" i="13"/>
  <c r="V488" i="13" s="1"/>
  <c r="Z499" i="13"/>
  <c r="AB499" i="13" s="1"/>
  <c r="U506" i="13"/>
  <c r="T506" i="13"/>
  <c r="V506" i="13" s="1"/>
  <c r="AE509" i="13"/>
  <c r="AA546" i="13"/>
  <c r="AD546" i="13" s="1"/>
  <c r="AA507" i="13"/>
  <c r="AD507" i="13" s="1"/>
  <c r="Z507" i="13"/>
  <c r="AB507" i="13" s="1"/>
  <c r="AD514" i="13"/>
  <c r="U520" i="13"/>
  <c r="AD520" i="13" s="1"/>
  <c r="T520" i="13"/>
  <c r="V520" i="13" s="1"/>
  <c r="U529" i="13"/>
  <c r="AD529" i="13" s="1"/>
  <c r="T529" i="13"/>
  <c r="V529" i="13" s="1"/>
  <c r="Z494" i="13"/>
  <c r="AB494" i="13" s="1"/>
  <c r="AA501" i="13"/>
  <c r="AD501" i="13" s="1"/>
  <c r="Z501" i="13"/>
  <c r="AB501" i="13" s="1"/>
  <c r="T511" i="13"/>
  <c r="V511" i="13" s="1"/>
  <c r="U512" i="13"/>
  <c r="AD512" i="13" s="1"/>
  <c r="T512" i="13"/>
  <c r="V512" i="13" s="1"/>
  <c r="Z515" i="13"/>
  <c r="AB515" i="13" s="1"/>
  <c r="Z517" i="13"/>
  <c r="AB517" i="13" s="1"/>
  <c r="AA524" i="13"/>
  <c r="Z524" i="13"/>
  <c r="AB524" i="13" s="1"/>
  <c r="U527" i="13"/>
  <c r="AD527" i="13" s="1"/>
  <c r="T527" i="13"/>
  <c r="V527" i="13" s="1"/>
  <c r="AA539" i="13"/>
  <c r="Z539" i="13"/>
  <c r="AB539" i="13" s="1"/>
  <c r="AE549" i="13"/>
  <c r="AA554" i="13"/>
  <c r="AD554" i="13" s="1"/>
  <c r="Z554" i="13"/>
  <c r="AB554" i="13" s="1"/>
  <c r="AD497" i="13"/>
  <c r="U500" i="13"/>
  <c r="T500" i="13"/>
  <c r="V500" i="13" s="1"/>
  <c r="AE503" i="13"/>
  <c r="U523" i="13"/>
  <c r="AD523" i="13" s="1"/>
  <c r="T523" i="13"/>
  <c r="V523" i="13" s="1"/>
  <c r="AA528" i="13"/>
  <c r="AD528" i="13" s="1"/>
  <c r="Z528" i="13"/>
  <c r="AB528" i="13" s="1"/>
  <c r="U541" i="13"/>
  <c r="AD541" i="13" s="1"/>
  <c r="T541" i="13"/>
  <c r="V541" i="13" s="1"/>
  <c r="AA530" i="13"/>
  <c r="Z530" i="13"/>
  <c r="AB530" i="13" s="1"/>
  <c r="T495" i="13"/>
  <c r="V495" i="13" s="1"/>
  <c r="Z496" i="13"/>
  <c r="AB496" i="13" s="1"/>
  <c r="T501" i="13"/>
  <c r="V501" i="13" s="1"/>
  <c r="Z502" i="13"/>
  <c r="AB502" i="13" s="1"/>
  <c r="T507" i="13"/>
  <c r="V507" i="13" s="1"/>
  <c r="Z508" i="13"/>
  <c r="AB508" i="13" s="1"/>
  <c r="U517" i="13"/>
  <c r="AD517" i="13" s="1"/>
  <c r="T517" i="13"/>
  <c r="V517" i="13" s="1"/>
  <c r="Z521" i="13"/>
  <c r="AB521" i="13" s="1"/>
  <c r="T522" i="13"/>
  <c r="V522" i="13" s="1"/>
  <c r="Z523" i="13"/>
  <c r="AB523" i="13" s="1"/>
  <c r="U533" i="13"/>
  <c r="AD533" i="13" s="1"/>
  <c r="AA536" i="13"/>
  <c r="Z536" i="13"/>
  <c r="AB536" i="13" s="1"/>
  <c r="U545" i="13"/>
  <c r="AD545" i="13" s="1"/>
  <c r="AA548" i="13"/>
  <c r="Z548" i="13"/>
  <c r="AB548" i="13" s="1"/>
  <c r="T556" i="13"/>
  <c r="V556" i="13" s="1"/>
  <c r="AA558" i="13"/>
  <c r="AD558" i="13" s="1"/>
  <c r="AA518" i="13"/>
  <c r="Z518" i="13"/>
  <c r="AB518" i="13" s="1"/>
  <c r="U535" i="13"/>
  <c r="AD535" i="13" s="1"/>
  <c r="T535" i="13"/>
  <c r="V535" i="13" s="1"/>
  <c r="U547" i="13"/>
  <c r="AD547" i="13" s="1"/>
  <c r="T547" i="13"/>
  <c r="V547" i="13" s="1"/>
  <c r="AD544" i="13"/>
  <c r="AV443" i="13"/>
  <c r="AT449" i="13"/>
  <c r="AS452" i="13"/>
  <c r="AR452" i="13"/>
  <c r="AM451" i="13"/>
  <c r="BA456" i="13"/>
  <c r="BA448" i="13"/>
  <c r="AZ463" i="13"/>
  <c r="AX451" i="13"/>
  <c r="AW456" i="13"/>
  <c r="AW443" i="13"/>
  <c r="AV452" i="13"/>
  <c r="AU447" i="13"/>
  <c r="AT447" i="13"/>
  <c r="AS451" i="13"/>
  <c r="AR451" i="13"/>
  <c r="AQ451" i="13"/>
  <c r="AP457" i="13"/>
  <c r="AO463" i="13"/>
  <c r="AN443" i="13"/>
  <c r="BA447" i="13"/>
  <c r="AZ452" i="13"/>
  <c r="AY457" i="13"/>
  <c r="AW442" i="13"/>
  <c r="AV451" i="13"/>
  <c r="AU456" i="13"/>
  <c r="AU443" i="13"/>
  <c r="AT452" i="13"/>
  <c r="AT443" i="13"/>
  <c r="AS443" i="13"/>
  <c r="AP456" i="13"/>
  <c r="AO443" i="13"/>
  <c r="AM463" i="13"/>
  <c r="AL456" i="13"/>
  <c r="AI478" i="13"/>
  <c r="BA452" i="13"/>
  <c r="AZ451" i="13"/>
  <c r="AZ443" i="13"/>
  <c r="AY456" i="13"/>
  <c r="AY447" i="13"/>
  <c r="AX463" i="13"/>
  <c r="AW452" i="13"/>
  <c r="AV458" i="13"/>
  <c r="AU442" i="13"/>
  <c r="AT451" i="13"/>
  <c r="AS458" i="13"/>
  <c r="AR447" i="13"/>
  <c r="AQ447" i="13"/>
  <c r="AO456" i="13"/>
  <c r="AM508" i="13"/>
  <c r="BL348" i="13"/>
  <c r="BD227" i="13"/>
  <c r="AL393" i="13"/>
  <c r="AQ452" i="13"/>
  <c r="AP443" i="13"/>
  <c r="AO452" i="13"/>
  <c r="AM443" i="13"/>
  <c r="AR443" i="13"/>
  <c r="AN452" i="13"/>
  <c r="BD225" i="13"/>
  <c r="BD233" i="13"/>
  <c r="BQ522" i="13"/>
  <c r="AR533" i="13"/>
  <c r="BK504" i="13"/>
  <c r="AP452" i="13"/>
  <c r="AM452" i="13"/>
  <c r="AL443" i="13"/>
  <c r="BN532" i="13"/>
  <c r="AZ521" i="13"/>
  <c r="BT476" i="13"/>
  <c r="BG512" i="13"/>
  <c r="BE288" i="13"/>
  <c r="BM512" i="13"/>
  <c r="BF512" i="13"/>
  <c r="AI477" i="13"/>
  <c r="AP529" i="13"/>
  <c r="BR492" i="13"/>
  <c r="BL492" i="13"/>
  <c r="BD512" i="13"/>
  <c r="BD229" i="13"/>
  <c r="AS324" i="13"/>
  <c r="AI428" i="13"/>
  <c r="BQ489" i="13"/>
  <c r="BK513" i="13"/>
  <c r="AY514" i="13"/>
  <c r="BD228" i="13"/>
  <c r="BU513" i="13"/>
  <c r="BQ476" i="13"/>
  <c r="BT469" i="13"/>
  <c r="BD235" i="13"/>
  <c r="AX529" i="13"/>
  <c r="AN521" i="13"/>
  <c r="BQ453" i="13"/>
  <c r="BD468" i="13"/>
  <c r="AQ458" i="13"/>
  <c r="AO470" i="13"/>
  <c r="AN470" i="13"/>
  <c r="AK454" i="13"/>
  <c r="BF336" i="13"/>
  <c r="AU520" i="13"/>
  <c r="AM523" i="13"/>
  <c r="AS514" i="13"/>
  <c r="BK463" i="13"/>
  <c r="AX458" i="13"/>
  <c r="AX449" i="13"/>
  <c r="AW449" i="13"/>
  <c r="AV445" i="13"/>
  <c r="AT454" i="13"/>
  <c r="AJ454" i="13"/>
  <c r="BA470" i="13"/>
  <c r="BA445" i="13"/>
  <c r="AX470" i="13"/>
  <c r="AV466" i="13"/>
  <c r="AT458" i="13"/>
  <c r="AS474" i="13"/>
  <c r="AS454" i="13"/>
  <c r="AR445" i="13"/>
  <c r="AO462" i="13"/>
  <c r="BU531" i="13"/>
  <c r="BU505" i="13"/>
  <c r="BU477" i="13"/>
  <c r="BT468" i="13"/>
  <c r="BU368" i="13"/>
  <c r="BO322" i="13"/>
  <c r="BT527" i="13"/>
  <c r="BM530" i="13"/>
  <c r="BA529" i="13"/>
  <c r="AV533" i="13"/>
  <c r="AO521" i="13"/>
  <c r="BV485" i="13"/>
  <c r="BU504" i="13"/>
  <c r="BT490" i="13"/>
  <c r="BR477" i="13"/>
  <c r="BP512" i="13"/>
  <c r="BL512" i="13"/>
  <c r="BI516" i="13"/>
  <c r="BG492" i="13"/>
  <c r="BV463" i="13"/>
  <c r="BT461" i="13"/>
  <c r="BM467" i="13"/>
  <c r="BE463" i="13"/>
  <c r="AW405" i="13"/>
  <c r="BT526" i="13"/>
  <c r="BI530" i="13"/>
  <c r="BV477" i="13"/>
  <c r="BU493" i="13"/>
  <c r="BQ513" i="13"/>
  <c r="BS460" i="13"/>
  <c r="BM443" i="13"/>
  <c r="AU509" i="13"/>
  <c r="AX510" i="13"/>
  <c r="BS508" i="13"/>
  <c r="BR508" i="13"/>
  <c r="BN508" i="13"/>
  <c r="BL508" i="13"/>
  <c r="AV506" i="13"/>
  <c r="BR511" i="13"/>
  <c r="AZ511" i="13"/>
  <c r="BV509" i="13"/>
  <c r="BR509" i="13"/>
  <c r="BU509" i="13"/>
  <c r="BJ508" i="13"/>
  <c r="BI508" i="13"/>
  <c r="AV508" i="13"/>
  <c r="BT506" i="13"/>
  <c r="BP505" i="13"/>
  <c r="BH504" i="13"/>
  <c r="BE504" i="13"/>
  <c r="AO504" i="13"/>
  <c r="BQ504" i="13"/>
  <c r="AS504" i="13"/>
  <c r="BV504" i="13"/>
  <c r="BT502" i="13"/>
  <c r="BO501" i="13"/>
  <c r="BU501" i="13"/>
  <c r="BG501" i="13"/>
  <c r="BR501" i="13"/>
  <c r="BU497" i="13"/>
  <c r="BQ497" i="13"/>
  <c r="BK497" i="13"/>
  <c r="BV493" i="13"/>
  <c r="BT492" i="13"/>
  <c r="BM492" i="13"/>
  <c r="AV492" i="13"/>
  <c r="BP492" i="13"/>
  <c r="AR486" i="13"/>
  <c r="BR485" i="13"/>
  <c r="BO485" i="13"/>
  <c r="BO484" i="13"/>
  <c r="BL484" i="13"/>
  <c r="BT484" i="13"/>
  <c r="BJ484" i="13"/>
  <c r="BV484" i="13"/>
  <c r="BR484" i="13"/>
  <c r="BF484" i="13"/>
  <c r="AP484" i="13"/>
  <c r="BN481" i="13"/>
  <c r="BQ481" i="13"/>
  <c r="BH480" i="13"/>
  <c r="BM480" i="13"/>
  <c r="BL477" i="13"/>
  <c r="AZ477" i="13"/>
  <c r="BV476" i="13"/>
  <c r="BN496" i="13"/>
  <c r="BS496" i="13"/>
  <c r="AW502" i="13"/>
  <c r="AU496" i="13"/>
  <c r="BA488" i="13"/>
  <c r="AZ486" i="13"/>
  <c r="AX486" i="13"/>
  <c r="AT480" i="13"/>
  <c r="AQ480" i="13"/>
  <c r="AW477" i="13"/>
  <c r="AZ501" i="13"/>
  <c r="AY501" i="13"/>
  <c r="AR501" i="13"/>
  <c r="AN501" i="13"/>
  <c r="BP500" i="13"/>
  <c r="BN500" i="13"/>
  <c r="BM500" i="13"/>
  <c r="BL500" i="13"/>
  <c r="BJ500" i="13"/>
  <c r="BR500" i="13"/>
  <c r="AQ500" i="13"/>
  <c r="AN500" i="13"/>
  <c r="BN499" i="13"/>
  <c r="BP497" i="13"/>
  <c r="AW496" i="13"/>
  <c r="BV496" i="13"/>
  <c r="BP496" i="13"/>
  <c r="BI496" i="13"/>
  <c r="BO493" i="13"/>
  <c r="BK492" i="13"/>
  <c r="AU490" i="13"/>
  <c r="AV490" i="13"/>
  <c r="BA489" i="13"/>
  <c r="AQ489" i="13"/>
  <c r="BS488" i="13"/>
  <c r="BO488" i="13"/>
  <c r="BR488" i="13"/>
  <c r="BU488" i="13"/>
  <c r="BU485" i="13"/>
  <c r="BT482" i="13"/>
  <c r="BU481" i="13"/>
  <c r="BE481" i="13"/>
  <c r="BK481" i="13"/>
  <c r="BT480" i="13"/>
  <c r="BP480" i="13"/>
  <c r="BI480" i="13"/>
  <c r="AV478" i="13"/>
  <c r="BL476" i="13"/>
  <c r="BO476" i="13"/>
  <c r="BK476" i="13"/>
  <c r="AZ474" i="13"/>
  <c r="AV474" i="13"/>
  <c r="AT474" i="13"/>
  <c r="AR474" i="13"/>
  <c r="AY474" i="13"/>
  <c r="AX474" i="13"/>
  <c r="AW474" i="13"/>
  <c r="AP474" i="13"/>
  <c r="BA474" i="13"/>
  <c r="AU474" i="13"/>
  <c r="AQ474" i="13"/>
  <c r="AV473" i="13"/>
  <c r="AY471" i="13"/>
  <c r="AX471" i="13"/>
  <c r="AW471" i="13"/>
  <c r="AU471" i="13"/>
  <c r="AT471" i="13"/>
  <c r="AS471" i="13"/>
  <c r="AQ471" i="13"/>
  <c r="AP471" i="13"/>
  <c r="AJ471" i="13"/>
  <c r="AZ471" i="13"/>
  <c r="AV471" i="13"/>
  <c r="AV470" i="13"/>
  <c r="AY470" i="13"/>
  <c r="AZ470" i="13"/>
  <c r="AR470" i="13"/>
  <c r="AV467" i="13"/>
  <c r="AU467" i="13"/>
  <c r="AM467" i="13"/>
  <c r="BA467" i="13"/>
  <c r="AZ467" i="13"/>
  <c r="AY467" i="13"/>
  <c r="AX467" i="13"/>
  <c r="AT467" i="13"/>
  <c r="AQ467" i="13"/>
  <c r="AW467" i="13"/>
  <c r="AS467" i="13"/>
  <c r="AR467" i="13"/>
  <c r="AP467" i="13"/>
  <c r="AN467" i="13"/>
  <c r="AL467" i="13"/>
  <c r="AW466" i="13"/>
  <c r="AT466" i="13"/>
  <c r="AN466" i="13"/>
  <c r="BA466" i="13"/>
  <c r="AL466" i="13"/>
  <c r="AZ466" i="13"/>
  <c r="AS466" i="13"/>
  <c r="AQ466" i="13"/>
  <c r="AW463" i="13"/>
  <c r="AV463" i="13"/>
  <c r="AN463" i="13"/>
  <c r="AU463" i="13"/>
  <c r="AS463" i="13"/>
  <c r="AS462" i="13"/>
  <c r="AX462" i="13"/>
  <c r="AV461" i="13"/>
  <c r="AT461" i="13"/>
  <c r="AY460" i="13"/>
  <c r="AR460" i="13"/>
  <c r="AN460" i="13"/>
  <c r="AM460" i="13"/>
  <c r="AW459" i="13"/>
  <c r="AU459" i="13"/>
  <c r="AT459" i="13"/>
  <c r="AS459" i="13"/>
  <c r="AX459" i="13"/>
  <c r="AV459" i="13"/>
  <c r="AR459" i="13"/>
  <c r="AU457" i="13"/>
  <c r="AR457" i="13"/>
  <c r="AV457" i="13"/>
  <c r="AT457" i="13"/>
  <c r="AX454" i="13"/>
  <c r="AM454" i="13"/>
  <c r="AT453" i="13"/>
  <c r="AO453" i="13"/>
  <c r="AJ453" i="13"/>
  <c r="AR453" i="13"/>
  <c r="AK452" i="13"/>
  <c r="AW451" i="13"/>
  <c r="AU451" i="13"/>
  <c r="AW450" i="13"/>
  <c r="AN450" i="13"/>
  <c r="AV449" i="13"/>
  <c r="AS449" i="13"/>
  <c r="AR449" i="13"/>
  <c r="AU449" i="13"/>
  <c r="AT448" i="13"/>
  <c r="AO448" i="13"/>
  <c r="AS447" i="13"/>
  <c r="AS446" i="13"/>
  <c r="AQ446" i="13"/>
  <c r="AW445" i="13"/>
  <c r="AS445" i="13"/>
  <c r="AN445" i="13"/>
  <c r="AU445" i="13"/>
  <c r="AP446" i="13"/>
  <c r="AN446" i="13"/>
  <c r="AM442" i="13"/>
  <c r="AY442" i="13"/>
  <c r="AQ442" i="13"/>
  <c r="AZ421" i="13"/>
  <c r="AY393" i="13"/>
  <c r="AL391" i="13"/>
  <c r="AI373" i="13"/>
  <c r="AZ353" i="13"/>
  <c r="AN349" i="13"/>
  <c r="AT344" i="13"/>
  <c r="AW322" i="13"/>
  <c r="AN474" i="13"/>
  <c r="AM474" i="13"/>
  <c r="AJ474" i="13"/>
  <c r="AO471" i="13"/>
  <c r="AN471" i="13"/>
  <c r="AM471" i="13"/>
  <c r="AL471" i="13"/>
  <c r="AM470" i="13"/>
  <c r="AQ470" i="13"/>
  <c r="AP470" i="13"/>
  <c r="AW470" i="13"/>
  <c r="AU470" i="13"/>
  <c r="AT470" i="13"/>
  <c r="AS470" i="13"/>
  <c r="BV467" i="13"/>
  <c r="BQ467" i="13"/>
  <c r="AO467" i="13"/>
  <c r="AP466" i="13"/>
  <c r="AO466" i="13"/>
  <c r="AR466" i="13"/>
  <c r="BU463" i="13"/>
  <c r="AR463" i="13"/>
  <c r="AQ463" i="13"/>
  <c r="AZ462" i="13"/>
  <c r="AT462" i="13"/>
  <c r="AL462" i="13"/>
  <c r="BA462" i="13"/>
  <c r="AY462" i="13"/>
  <c r="AW462" i="13"/>
  <c r="AR462" i="13"/>
  <c r="AV462" i="13"/>
  <c r="AU462" i="13"/>
  <c r="AQ462" i="13"/>
  <c r="AN462" i="13"/>
  <c r="AM462" i="13"/>
  <c r="AX460" i="13"/>
  <c r="AT460" i="13"/>
  <c r="AP460" i="13"/>
  <c r="AV460" i="13"/>
  <c r="AU460" i="13"/>
  <c r="AS460" i="13"/>
  <c r="AQ460" i="13"/>
  <c r="AK460" i="13"/>
  <c r="BU460" i="13"/>
  <c r="AW460" i="13"/>
  <c r="AK459" i="13"/>
  <c r="AQ459" i="13"/>
  <c r="AP459" i="13"/>
  <c r="AN459" i="13"/>
  <c r="AI537" i="13"/>
  <c r="AP537" i="13"/>
  <c r="AV537" i="13"/>
  <c r="AQ473" i="13"/>
  <c r="AM473" i="13"/>
  <c r="AS469" i="13"/>
  <c r="AT469" i="13"/>
  <c r="AV469" i="13"/>
  <c r="AQ469" i="13"/>
  <c r="AM465" i="13"/>
  <c r="AX465" i="13"/>
  <c r="AS465" i="13"/>
  <c r="AT465" i="13"/>
  <c r="AV465" i="13"/>
  <c r="AM461" i="13"/>
  <c r="AX461" i="13"/>
  <c r="AI457" i="13"/>
  <c r="AL457" i="13"/>
  <c r="AM457" i="13"/>
  <c r="AX457" i="13"/>
  <c r="AI453" i="13"/>
  <c r="AM453" i="13"/>
  <c r="AP453" i="13"/>
  <c r="AW453" i="13"/>
  <c r="BA453" i="13"/>
  <c r="AX453" i="13"/>
  <c r="AI448" i="13"/>
  <c r="AM448" i="13"/>
  <c r="AS448" i="13"/>
  <c r="AV448" i="13"/>
  <c r="AL448" i="13"/>
  <c r="AQ448" i="13"/>
  <c r="AR448" i="13"/>
  <c r="AU448" i="13"/>
  <c r="AX448" i="13"/>
  <c r="AY448" i="13"/>
  <c r="AZ448" i="13"/>
  <c r="AJ444" i="13"/>
  <c r="AM444" i="13"/>
  <c r="AN444" i="13"/>
  <c r="AO444" i="13"/>
  <c r="AP444" i="13"/>
  <c r="AX360" i="13"/>
  <c r="BU530" i="13"/>
  <c r="BT518" i="13"/>
  <c r="BP530" i="13"/>
  <c r="BM522" i="13"/>
  <c r="BH522" i="13"/>
  <c r="BA525" i="13"/>
  <c r="AZ533" i="13"/>
  <c r="AZ517" i="13"/>
  <c r="AX525" i="13"/>
  <c r="AV529" i="13"/>
  <c r="AS537" i="13"/>
  <c r="AR525" i="13"/>
  <c r="AP521" i="13"/>
  <c r="AN537" i="13"/>
  <c r="AN536" i="13"/>
  <c r="AO536" i="13"/>
  <c r="BE515" i="13"/>
  <c r="BV515" i="13"/>
  <c r="BN491" i="13"/>
  <c r="BH491" i="13"/>
  <c r="BR491" i="13"/>
  <c r="BI487" i="13"/>
  <c r="BT487" i="13"/>
  <c r="AL503" i="13"/>
  <c r="AZ503" i="13"/>
  <c r="AV495" i="13"/>
  <c r="AX495" i="13"/>
  <c r="AX491" i="13"/>
  <c r="AZ491" i="13"/>
  <c r="AZ487" i="13"/>
  <c r="AV487" i="13"/>
  <c r="AR529" i="13"/>
  <c r="AS529" i="13"/>
  <c r="AX335" i="13"/>
  <c r="AY440" i="13"/>
  <c r="BS403" i="13"/>
  <c r="AZ394" i="13"/>
  <c r="AU415" i="13"/>
  <c r="BV534" i="13"/>
  <c r="BU518" i="13"/>
  <c r="BR526" i="13"/>
  <c r="BO525" i="13"/>
  <c r="BL526" i="13"/>
  <c r="BG522" i="13"/>
  <c r="BA537" i="13"/>
  <c r="BA521" i="13"/>
  <c r="AZ529" i="13"/>
  <c r="AX537" i="13"/>
  <c r="AX521" i="13"/>
  <c r="AV525" i="13"/>
  <c r="AS521" i="13"/>
  <c r="AR521" i="13"/>
  <c r="AO537" i="13"/>
  <c r="AN529" i="13"/>
  <c r="BV487" i="13"/>
  <c r="BI514" i="13"/>
  <c r="BT514" i="13"/>
  <c r="BI510" i="13"/>
  <c r="BT510" i="13"/>
  <c r="BI498" i="13"/>
  <c r="BT498" i="13"/>
  <c r="BI494" i="13"/>
  <c r="BT494" i="13"/>
  <c r="BI486" i="13"/>
  <c r="BT486" i="13"/>
  <c r="BI478" i="13"/>
  <c r="BT478" i="13"/>
  <c r="AZ483" i="13"/>
  <c r="AX483" i="13"/>
  <c r="AV515" i="13"/>
  <c r="AT514" i="13"/>
  <c r="AQ514" i="13"/>
  <c r="AV514" i="13"/>
  <c r="AR510" i="13"/>
  <c r="AY510" i="13"/>
  <c r="AU502" i="13"/>
  <c r="AZ502" i="13"/>
  <c r="AX502" i="13"/>
  <c r="AK498" i="13"/>
  <c r="BA498" i="13"/>
  <c r="AV494" i="13"/>
  <c r="AW494" i="13"/>
  <c r="AZ494" i="13"/>
  <c r="AV486" i="13"/>
  <c r="AW486" i="13"/>
  <c r="AQ482" i="13"/>
  <c r="AT482" i="13"/>
  <c r="AX482" i="13"/>
  <c r="AY482" i="13"/>
  <c r="AZ482" i="13"/>
  <c r="BA482" i="13"/>
  <c r="BP467" i="13"/>
  <c r="BE460" i="13"/>
  <c r="BQ460" i="13"/>
  <c r="BV460" i="13"/>
  <c r="BE452" i="13"/>
  <c r="BU452" i="13"/>
  <c r="BA457" i="13"/>
  <c r="AY453" i="13"/>
  <c r="AX444" i="13"/>
  <c r="AW457" i="13"/>
  <c r="AW448" i="13"/>
  <c r="AU453" i="13"/>
  <c r="AS461" i="13"/>
  <c r="AS457" i="13"/>
  <c r="AS453" i="13"/>
  <c r="AQ465" i="13"/>
  <c r="AO457" i="13"/>
  <c r="AR440" i="13"/>
  <c r="AY397" i="13"/>
  <c r="BV518" i="13"/>
  <c r="BQ533" i="13"/>
  <c r="BJ522" i="13"/>
  <c r="BF518" i="13"/>
  <c r="BA533" i="13"/>
  <c r="BA517" i="13"/>
  <c r="AZ525" i="13"/>
  <c r="AX533" i="13"/>
  <c r="AX517" i="13"/>
  <c r="AV517" i="13"/>
  <c r="AR537" i="13"/>
  <c r="AR517" i="13"/>
  <c r="AO529" i="13"/>
  <c r="AN525" i="13"/>
  <c r="AK529" i="13"/>
  <c r="BV475" i="13"/>
  <c r="BJ515" i="13"/>
  <c r="AX515" i="13"/>
  <c r="BN467" i="13"/>
  <c r="BR467" i="13"/>
  <c r="BU467" i="13"/>
  <c r="BL467" i="13"/>
  <c r="BS467" i="13"/>
  <c r="BT467" i="13"/>
  <c r="BJ463" i="13"/>
  <c r="BS463" i="13"/>
  <c r="BT463" i="13"/>
  <c r="BN463" i="13"/>
  <c r="BQ463" i="13"/>
  <c r="AP448" i="13"/>
  <c r="AN453" i="13"/>
  <c r="AM469" i="13"/>
  <c r="AJ470" i="13"/>
  <c r="BN505" i="13"/>
  <c r="BL509" i="13"/>
  <c r="BA497" i="13"/>
  <c r="AY505" i="13"/>
  <c r="AY477" i="13"/>
  <c r="AP501" i="13"/>
  <c r="AP477" i="13"/>
  <c r="AL477" i="13"/>
  <c r="AO460" i="13"/>
  <c r="AN456" i="13"/>
  <c r="AM466" i="13"/>
  <c r="AL470" i="13"/>
  <c r="AL460" i="13"/>
  <c r="AL452" i="13"/>
  <c r="AL447" i="13"/>
  <c r="AJ460" i="13"/>
  <c r="BE344" i="13"/>
  <c r="BV339" i="13"/>
  <c r="BR340" i="13"/>
  <c r="BI356" i="13"/>
  <c r="AM436" i="13"/>
  <c r="AY390" i="13"/>
  <c r="AN405" i="13"/>
  <c r="BR530" i="13"/>
  <c r="BQ530" i="13"/>
  <c r="BP518" i="13"/>
  <c r="BN522" i="13"/>
  <c r="BL522" i="13"/>
  <c r="BJ518" i="13"/>
  <c r="BG534" i="13"/>
  <c r="BD522" i="13"/>
  <c r="AY522" i="13"/>
  <c r="AW528" i="13"/>
  <c r="BV512" i="13"/>
  <c r="BV500" i="13"/>
  <c r="BV488" i="13"/>
  <c r="BU512" i="13"/>
  <c r="BU480" i="13"/>
  <c r="BT504" i="13"/>
  <c r="BS504" i="13"/>
  <c r="BS480" i="13"/>
  <c r="BR499" i="13"/>
  <c r="BQ516" i="13"/>
  <c r="BQ500" i="13"/>
  <c r="BP515" i="13"/>
  <c r="BP504" i="13"/>
  <c r="BP495" i="13"/>
  <c r="BO504" i="13"/>
  <c r="BO492" i="13"/>
  <c r="BO480" i="13"/>
  <c r="BN480" i="13"/>
  <c r="BM508" i="13"/>
  <c r="BK496" i="13"/>
  <c r="BJ483" i="13"/>
  <c r="BG500" i="13"/>
  <c r="BF492" i="13"/>
  <c r="AR498" i="13"/>
  <c r="BK336" i="13"/>
  <c r="BV336" i="13"/>
  <c r="BQ368" i="13"/>
  <c r="BF356" i="13"/>
  <c r="AY366" i="13"/>
  <c r="BJ403" i="13"/>
  <c r="BK532" i="13"/>
  <c r="AZ522" i="13"/>
  <c r="AS530" i="13"/>
  <c r="BD516" i="13"/>
  <c r="BE516" i="13"/>
  <c r="BJ516" i="13"/>
  <c r="BF516" i="13"/>
  <c r="BL516" i="13"/>
  <c r="BN516" i="13"/>
  <c r="BP516" i="13"/>
  <c r="BS516" i="13"/>
  <c r="BU516" i="13"/>
  <c r="BE512" i="13"/>
  <c r="BH512" i="13"/>
  <c r="BI512" i="13"/>
  <c r="BK512" i="13"/>
  <c r="BJ512" i="13"/>
  <c r="BR512" i="13"/>
  <c r="BD508" i="13"/>
  <c r="BO508" i="13"/>
  <c r="BQ508" i="13"/>
  <c r="BU508" i="13"/>
  <c r="BD504" i="13"/>
  <c r="BF504" i="13"/>
  <c r="BG504" i="13"/>
  <c r="BJ504" i="13"/>
  <c r="BM504" i="13"/>
  <c r="BN504" i="13"/>
  <c r="BR504" i="13"/>
  <c r="BH500" i="13"/>
  <c r="BI500" i="13"/>
  <c r="BS500" i="13"/>
  <c r="BU500" i="13"/>
  <c r="BJ496" i="13"/>
  <c r="BL496" i="13"/>
  <c r="BO496" i="13"/>
  <c r="BQ496" i="13"/>
  <c r="BR496" i="13"/>
  <c r="BT496" i="13"/>
  <c r="BE492" i="13"/>
  <c r="BJ492" i="13"/>
  <c r="BH492" i="13"/>
  <c r="BN492" i="13"/>
  <c r="BU492" i="13"/>
  <c r="BH488" i="13"/>
  <c r="BE488" i="13"/>
  <c r="BI488" i="13"/>
  <c r="BM488" i="13"/>
  <c r="BP488" i="13"/>
  <c r="BT488" i="13"/>
  <c r="BG484" i="13"/>
  <c r="BI484" i="13"/>
  <c r="BK484" i="13"/>
  <c r="BN484" i="13"/>
  <c r="BQ484" i="13"/>
  <c r="BS484" i="13"/>
  <c r="BU484" i="13"/>
  <c r="BD480" i="13"/>
  <c r="BJ480" i="13"/>
  <c r="BF480" i="13"/>
  <c r="BL480" i="13"/>
  <c r="BV480" i="13"/>
  <c r="BD476" i="13"/>
  <c r="BH476" i="13"/>
  <c r="BJ476" i="13"/>
  <c r="BN476" i="13"/>
  <c r="BP476" i="13"/>
  <c r="BR476" i="13"/>
  <c r="BU476" i="13"/>
  <c r="BV522" i="13"/>
  <c r="BU524" i="13"/>
  <c r="BQ534" i="13"/>
  <c r="BN534" i="13"/>
  <c r="BM534" i="13"/>
  <c r="BJ534" i="13"/>
  <c r="BI526" i="13"/>
  <c r="BF534" i="13"/>
  <c r="AX536" i="13"/>
  <c r="AQ526" i="13"/>
  <c r="BV516" i="13"/>
  <c r="BV508" i="13"/>
  <c r="BU496" i="13"/>
  <c r="BT516" i="13"/>
  <c r="BT508" i="13"/>
  <c r="BT500" i="13"/>
  <c r="BS512" i="13"/>
  <c r="BS492" i="13"/>
  <c r="BR516" i="13"/>
  <c r="BR480" i="13"/>
  <c r="BQ512" i="13"/>
  <c r="BQ492" i="13"/>
  <c r="BQ480" i="13"/>
  <c r="BP508" i="13"/>
  <c r="BP484" i="13"/>
  <c r="BO516" i="13"/>
  <c r="BO500" i="13"/>
  <c r="BN512" i="13"/>
  <c r="BN488" i="13"/>
  <c r="BM516" i="13"/>
  <c r="BM496" i="13"/>
  <c r="BM476" i="13"/>
  <c r="BL504" i="13"/>
  <c r="BL488" i="13"/>
  <c r="BK516" i="13"/>
  <c r="BK500" i="13"/>
  <c r="BK488" i="13"/>
  <c r="BJ488" i="13"/>
  <c r="BI492" i="13"/>
  <c r="BH508" i="13"/>
  <c r="BH484" i="13"/>
  <c r="BG508" i="13"/>
  <c r="BG476" i="13"/>
  <c r="BI511" i="13"/>
  <c r="BH511" i="13"/>
  <c r="BN507" i="13"/>
  <c r="BI507" i="13"/>
  <c r="BL507" i="13"/>
  <c r="BP507" i="13"/>
  <c r="BE503" i="13"/>
  <c r="BT503" i="13"/>
  <c r="BD499" i="13"/>
  <c r="BE499" i="13"/>
  <c r="BF491" i="13"/>
  <c r="BL491" i="13"/>
  <c r="BE479" i="13"/>
  <c r="BH479" i="13"/>
  <c r="BH475" i="13"/>
  <c r="BE475" i="13"/>
  <c r="AP514" i="13"/>
  <c r="AZ514" i="13"/>
  <c r="AR514" i="13"/>
  <c r="AX514" i="13"/>
  <c r="BA514" i="13"/>
  <c r="AT510" i="13"/>
  <c r="AI510" i="13"/>
  <c r="AN510" i="13"/>
  <c r="AU510" i="13"/>
  <c r="AV510" i="13"/>
  <c r="BA510" i="13"/>
  <c r="AK510" i="13"/>
  <c r="AQ510" i="13"/>
  <c r="AW510" i="13"/>
  <c r="AP510" i="13"/>
  <c r="AS510" i="13"/>
  <c r="AK506" i="13"/>
  <c r="AR506" i="13"/>
  <c r="AT506" i="13"/>
  <c r="AW506" i="13"/>
  <c r="AZ506" i="13"/>
  <c r="AU506" i="13"/>
  <c r="AY506" i="13"/>
  <c r="AX506" i="13"/>
  <c r="AP502" i="13"/>
  <c r="AS502" i="13"/>
  <c r="AV502" i="13"/>
  <c r="AI502" i="13"/>
  <c r="AQ502" i="13"/>
  <c r="AU498" i="13"/>
  <c r="AY498" i="13"/>
  <c r="AS498" i="13"/>
  <c r="AX498" i="13"/>
  <c r="AZ498" i="13"/>
  <c r="AP498" i="13"/>
  <c r="AV498" i="13"/>
  <c r="AP494" i="13"/>
  <c r="BA494" i="13"/>
  <c r="AQ494" i="13"/>
  <c r="AR494" i="13"/>
  <c r="AX494" i="13"/>
  <c r="AR490" i="13"/>
  <c r="AW490" i="13"/>
  <c r="AX490" i="13"/>
  <c r="AP490" i="13"/>
  <c r="AY490" i="13"/>
  <c r="AZ490" i="13"/>
  <c r="AK490" i="13"/>
  <c r="AT490" i="13"/>
  <c r="AQ486" i="13"/>
  <c r="BA486" i="13"/>
  <c r="AU486" i="13"/>
  <c r="AS486" i="13"/>
  <c r="AP482" i="13"/>
  <c r="AS482" i="13"/>
  <c r="AV482" i="13"/>
  <c r="AW482" i="13"/>
  <c r="AW478" i="13"/>
  <c r="AY478" i="13"/>
  <c r="AZ478" i="13"/>
  <c r="BA478" i="13"/>
  <c r="AR478" i="13"/>
  <c r="AU478" i="13"/>
  <c r="AX478" i="13"/>
  <c r="BG473" i="13"/>
  <c r="BK473" i="13"/>
  <c r="BS473" i="13"/>
  <c r="BM473" i="13"/>
  <c r="BP473" i="13"/>
  <c r="BL465" i="13"/>
  <c r="BR465" i="13"/>
  <c r="BQ449" i="13"/>
  <c r="BV449" i="13"/>
  <c r="AI472" i="13"/>
  <c r="AO472" i="13"/>
  <c r="AR472" i="13"/>
  <c r="AS472" i="13"/>
  <c r="AT472" i="13"/>
  <c r="AU472" i="13"/>
  <c r="AV472" i="13"/>
  <c r="AP472" i="13"/>
  <c r="AQ472" i="13"/>
  <c r="AW472" i="13"/>
  <c r="AJ468" i="13"/>
  <c r="AL468" i="13"/>
  <c r="AN468" i="13"/>
  <c r="AS468" i="13"/>
  <c r="AT468" i="13"/>
  <c r="AV468" i="13"/>
  <c r="AY468" i="13"/>
  <c r="AO468" i="13"/>
  <c r="AQ468" i="13"/>
  <c r="AR468" i="13"/>
  <c r="AU468" i="13"/>
  <c r="AI464" i="13"/>
  <c r="AJ464" i="13"/>
  <c r="AL464" i="13"/>
  <c r="AS464" i="13"/>
  <c r="AT464" i="13"/>
  <c r="AV464" i="13"/>
  <c r="AZ464" i="13"/>
  <c r="BA464" i="13"/>
  <c r="AN464" i="13"/>
  <c r="AQ464" i="13"/>
  <c r="AY464" i="13"/>
  <c r="AJ513" i="13"/>
  <c r="AQ513" i="13"/>
  <c r="AN509" i="13"/>
  <c r="AY509" i="13"/>
  <c r="AU493" i="13"/>
  <c r="AZ493" i="13"/>
  <c r="AU485" i="13"/>
  <c r="AZ485" i="13"/>
  <c r="BJ472" i="13"/>
  <c r="BQ472" i="13"/>
  <c r="BS468" i="13"/>
  <c r="BR468" i="13"/>
  <c r="BJ448" i="13"/>
  <c r="BT448" i="13"/>
  <c r="BA472" i="13"/>
  <c r="AX472" i="13"/>
  <c r="AX468" i="13"/>
  <c r="AX464" i="13"/>
  <c r="AO464" i="13"/>
  <c r="AL472" i="13"/>
  <c r="AP464" i="13"/>
  <c r="AM472" i="13"/>
  <c r="AM468" i="13"/>
  <c r="AM464" i="13"/>
  <c r="BA493" i="13"/>
  <c r="AZ509" i="13"/>
  <c r="AW489" i="13"/>
  <c r="AQ481" i="13"/>
  <c r="AX499" i="13"/>
  <c r="AZ499" i="13"/>
  <c r="AJ479" i="13"/>
  <c r="AX479" i="13"/>
  <c r="AZ468" i="13"/>
  <c r="AW464" i="13"/>
  <c r="AU464" i="13"/>
  <c r="AR464" i="13"/>
  <c r="AP468" i="13"/>
  <c r="AJ457" i="13"/>
  <c r="AI467" i="13"/>
  <c r="AN457" i="13"/>
  <c r="AL474" i="13"/>
  <c r="AL463" i="13"/>
  <c r="AL459" i="13"/>
  <c r="AL453" i="13"/>
  <c r="AK471" i="13"/>
  <c r="AK448" i="13"/>
  <c r="AJ456" i="13"/>
  <c r="AL516" i="13"/>
  <c r="AP516" i="13"/>
  <c r="AS516" i="13"/>
  <c r="AT516" i="13"/>
  <c r="AU516" i="13"/>
  <c r="AV516" i="13"/>
  <c r="BA516" i="13"/>
  <c r="AK516" i="13"/>
  <c r="AN516" i="13"/>
  <c r="AO516" i="13"/>
  <c r="AL484" i="13"/>
  <c r="AS484" i="13"/>
  <c r="AT484" i="13"/>
  <c r="AV484" i="13"/>
  <c r="AY484" i="13"/>
  <c r="AW484" i="13"/>
  <c r="BH455" i="13"/>
  <c r="BU455" i="13"/>
  <c r="BV455" i="13"/>
  <c r="AI225" i="13"/>
  <c r="AK512" i="13"/>
  <c r="AM512" i="13"/>
  <c r="AX512" i="13"/>
  <c r="AJ512" i="13"/>
  <c r="AV512" i="13"/>
  <c r="AW512" i="13"/>
  <c r="AY504" i="13"/>
  <c r="BA504" i="13"/>
  <c r="AK504" i="13"/>
  <c r="AN504" i="13"/>
  <c r="AQ504" i="13"/>
  <c r="AS496" i="13"/>
  <c r="AT496" i="13"/>
  <c r="AX496" i="13"/>
  <c r="AY496" i="13"/>
  <c r="AM496" i="13"/>
  <c r="AV496" i="13"/>
  <c r="AK488" i="13"/>
  <c r="AO488" i="13"/>
  <c r="AP488" i="13"/>
  <c r="AJ488" i="13"/>
  <c r="AT488" i="13"/>
  <c r="AY488" i="13"/>
  <c r="AS476" i="13"/>
  <c r="AM476" i="13"/>
  <c r="AN476" i="13"/>
  <c r="AQ476" i="13"/>
  <c r="AT476" i="13"/>
  <c r="AX476" i="13"/>
  <c r="BM474" i="13"/>
  <c r="BQ474" i="13"/>
  <c r="AZ336" i="13"/>
  <c r="AQ361" i="13"/>
  <c r="AK365" i="13"/>
  <c r="BS284" i="13"/>
  <c r="AW428" i="13"/>
  <c r="AR436" i="13"/>
  <c r="AM428" i="13"/>
  <c r="BJ420" i="13"/>
  <c r="BA401" i="13"/>
  <c r="AW415" i="13"/>
  <c r="AT423" i="13"/>
  <c r="AP419" i="13"/>
  <c r="AM423" i="13"/>
  <c r="AJ415" i="13"/>
  <c r="BS537" i="13"/>
  <c r="BN525" i="13"/>
  <c r="BF519" i="13"/>
  <c r="BA530" i="13"/>
  <c r="AZ530" i="13"/>
  <c r="AV532" i="13"/>
  <c r="AT534" i="13"/>
  <c r="AR534" i="13"/>
  <c r="AR522" i="13"/>
  <c r="AO522" i="13"/>
  <c r="AN530" i="13"/>
  <c r="BV507" i="13"/>
  <c r="BV499" i="13"/>
  <c r="BV479" i="13"/>
  <c r="BT507" i="13"/>
  <c r="BT491" i="13"/>
  <c r="BT475" i="13"/>
  <c r="BR503" i="13"/>
  <c r="BR483" i="13"/>
  <c r="BP499" i="13"/>
  <c r="BP487" i="13"/>
  <c r="BP479" i="13"/>
  <c r="BN511" i="13"/>
  <c r="BN483" i="13"/>
  <c r="BL511" i="13"/>
  <c r="BL483" i="13"/>
  <c r="BK489" i="13"/>
  <c r="BI505" i="13"/>
  <c r="BI499" i="13"/>
  <c r="BI491" i="13"/>
  <c r="BI483" i="13"/>
  <c r="BI475" i="13"/>
  <c r="BG509" i="13"/>
  <c r="BE507" i="13"/>
  <c r="BE495" i="13"/>
  <c r="BE483" i="13"/>
  <c r="BD491" i="13"/>
  <c r="BA500" i="13"/>
  <c r="BA476" i="13"/>
  <c r="AY516" i="13"/>
  <c r="AY500" i="13"/>
  <c r="AX516" i="13"/>
  <c r="AX500" i="13"/>
  <c r="AX484" i="13"/>
  <c r="AW508" i="13"/>
  <c r="AU512" i="13"/>
  <c r="AU504" i="13"/>
  <c r="AU492" i="13"/>
  <c r="AR504" i="13"/>
  <c r="AQ516" i="13"/>
  <c r="AQ508" i="13"/>
  <c r="AQ496" i="13"/>
  <c r="AN496" i="13"/>
  <c r="AM504" i="13"/>
  <c r="AK476" i="13"/>
  <c r="AJ511" i="13"/>
  <c r="AV511" i="13"/>
  <c r="BO470" i="13"/>
  <c r="AO508" i="13"/>
  <c r="AP508" i="13"/>
  <c r="AR508" i="13"/>
  <c r="AS508" i="13"/>
  <c r="AT508" i="13"/>
  <c r="AX508" i="13"/>
  <c r="AK500" i="13"/>
  <c r="AL500" i="13"/>
  <c r="AR500" i="13"/>
  <c r="AV500" i="13"/>
  <c r="AW500" i="13"/>
  <c r="AU500" i="13"/>
  <c r="AM492" i="13"/>
  <c r="AN492" i="13"/>
  <c r="AQ492" i="13"/>
  <c r="AO492" i="13"/>
  <c r="AR492" i="13"/>
  <c r="AW492" i="13"/>
  <c r="AX492" i="13"/>
  <c r="AP480" i="13"/>
  <c r="AX480" i="13"/>
  <c r="AR480" i="13"/>
  <c r="AV480" i="13"/>
  <c r="BU466" i="13"/>
  <c r="BQ466" i="13"/>
  <c r="BF466" i="13"/>
  <c r="BL466" i="13"/>
  <c r="BI462" i="13"/>
  <c r="BG462" i="13"/>
  <c r="BP459" i="13"/>
  <c r="BE459" i="13"/>
  <c r="BQ459" i="13"/>
  <c r="BO451" i="13"/>
  <c r="BU451" i="13"/>
  <c r="BO442" i="13"/>
  <c r="BK442" i="13"/>
  <c r="BS442" i="13"/>
  <c r="BH442" i="13"/>
  <c r="BM442" i="13"/>
  <c r="BL360" i="13"/>
  <c r="BH360" i="13"/>
  <c r="BD352" i="13"/>
  <c r="AV369" i="13"/>
  <c r="AP352" i="13"/>
  <c r="AJ352" i="13"/>
  <c r="AZ440" i="13"/>
  <c r="AT428" i="13"/>
  <c r="AR428" i="13"/>
  <c r="AJ436" i="13"/>
  <c r="BS420" i="13"/>
  <c r="AT391" i="13"/>
  <c r="AP395" i="13"/>
  <c r="AL415" i="13"/>
  <c r="AI403" i="13"/>
  <c r="BS527" i="13"/>
  <c r="BQ535" i="13"/>
  <c r="AT522" i="13"/>
  <c r="AN518" i="13"/>
  <c r="AL518" i="13"/>
  <c r="BV511" i="13"/>
  <c r="BV491" i="13"/>
  <c r="BT511" i="13"/>
  <c r="BT495" i="13"/>
  <c r="BT479" i="13"/>
  <c r="BR515" i="13"/>
  <c r="BR495" i="13"/>
  <c r="BR487" i="13"/>
  <c r="BR475" i="13"/>
  <c r="BP511" i="13"/>
  <c r="BP491" i="13"/>
  <c r="BN515" i="13"/>
  <c r="BN503" i="13"/>
  <c r="BN495" i="13"/>
  <c r="BN475" i="13"/>
  <c r="BL503" i="13"/>
  <c r="BL495" i="13"/>
  <c r="BL487" i="13"/>
  <c r="BL475" i="13"/>
  <c r="BJ499" i="13"/>
  <c r="BJ487" i="13"/>
  <c r="BH507" i="13"/>
  <c r="BH495" i="13"/>
  <c r="BE491" i="13"/>
  <c r="BA492" i="13"/>
  <c r="BA484" i="13"/>
  <c r="AY480" i="13"/>
  <c r="AW516" i="13"/>
  <c r="AW480" i="13"/>
  <c r="AV504" i="13"/>
  <c r="AV488" i="13"/>
  <c r="AT504" i="13"/>
  <c r="AS512" i="13"/>
  <c r="AR512" i="13"/>
  <c r="AO484" i="13"/>
  <c r="AN508" i="13"/>
  <c r="AN484" i="13"/>
  <c r="AM488" i="13"/>
  <c r="AL496" i="13"/>
  <c r="AL476" i="13"/>
  <c r="AK492" i="13"/>
  <c r="AJ508" i="13"/>
  <c r="BM450" i="13"/>
  <c r="BA369" i="13"/>
  <c r="AU349" i="13"/>
  <c r="AZ436" i="13"/>
  <c r="AS436" i="13"/>
  <c r="AO428" i="13"/>
  <c r="AJ428" i="13"/>
  <c r="BI388" i="13"/>
  <c r="AZ419" i="13"/>
  <c r="AW395" i="13"/>
  <c r="AS411" i="13"/>
  <c r="AO391" i="13"/>
  <c r="BT519" i="13"/>
  <c r="BS521" i="13"/>
  <c r="BD537" i="13"/>
  <c r="BA528" i="13"/>
  <c r="AY534" i="13"/>
  <c r="AX534" i="13"/>
  <c r="AX522" i="13"/>
  <c r="AV526" i="13"/>
  <c r="AU526" i="13"/>
  <c r="AS520" i="13"/>
  <c r="AP528" i="13"/>
  <c r="AO530" i="13"/>
  <c r="AN528" i="13"/>
  <c r="BV503" i="13"/>
  <c r="BV495" i="13"/>
  <c r="BV483" i="13"/>
  <c r="BT515" i="13"/>
  <c r="BT499" i="13"/>
  <c r="BT483" i="13"/>
  <c r="BR507" i="13"/>
  <c r="BR479" i="13"/>
  <c r="BQ505" i="13"/>
  <c r="BP503" i="13"/>
  <c r="BP489" i="13"/>
  <c r="BP483" i="13"/>
  <c r="BO509" i="13"/>
  <c r="BO477" i="13"/>
  <c r="BN513" i="13"/>
  <c r="BN487" i="13"/>
  <c r="BL515" i="13"/>
  <c r="BL485" i="13"/>
  <c r="BL479" i="13"/>
  <c r="BK505" i="13"/>
  <c r="BI503" i="13"/>
  <c r="BI479" i="13"/>
  <c r="BG485" i="13"/>
  <c r="BF515" i="13"/>
  <c r="BD500" i="13"/>
  <c r="BF500" i="13"/>
  <c r="BD484" i="13"/>
  <c r="BE484" i="13"/>
  <c r="BF476" i="13"/>
  <c r="BE476" i="13"/>
  <c r="BA508" i="13"/>
  <c r="AY512" i="13"/>
  <c r="AX504" i="13"/>
  <c r="AX488" i="13"/>
  <c r="AT500" i="13"/>
  <c r="AS492" i="13"/>
  <c r="AS480" i="13"/>
  <c r="AR484" i="13"/>
  <c r="AP476" i="13"/>
  <c r="AO476" i="13"/>
  <c r="AN480" i="13"/>
  <c r="AM480" i="13"/>
  <c r="AL488" i="13"/>
  <c r="AJ500" i="13"/>
  <c r="BI473" i="13"/>
  <c r="BF473" i="13"/>
  <c r="BL473" i="13"/>
  <c r="BF469" i="13"/>
  <c r="BE469" i="13"/>
  <c r="BN469" i="13"/>
  <c r="BQ469" i="13"/>
  <c r="BS469" i="13"/>
  <c r="AI473" i="13"/>
  <c r="AP473" i="13"/>
  <c r="AR473" i="13"/>
  <c r="AU473" i="13"/>
  <c r="AW473" i="13"/>
  <c r="AY473" i="13"/>
  <c r="AZ473" i="13"/>
  <c r="BA473" i="13"/>
  <c r="AI469" i="13"/>
  <c r="AJ469" i="13"/>
  <c r="AK469" i="13"/>
  <c r="AP469" i="13"/>
  <c r="AR469" i="13"/>
  <c r="AU469" i="13"/>
  <c r="AW469" i="13"/>
  <c r="AY469" i="13"/>
  <c r="AZ469" i="13"/>
  <c r="BA469" i="13"/>
  <c r="AI465" i="13"/>
  <c r="AK465" i="13"/>
  <c r="AP465" i="13"/>
  <c r="AR465" i="13"/>
  <c r="AU465" i="13"/>
  <c r="AW465" i="13"/>
  <c r="AY465" i="13"/>
  <c r="AZ465" i="13"/>
  <c r="BA465" i="13"/>
  <c r="AI461" i="13"/>
  <c r="AJ461" i="13"/>
  <c r="AP461" i="13"/>
  <c r="AR461" i="13"/>
  <c r="AU461" i="13"/>
  <c r="AW461" i="13"/>
  <c r="AY461" i="13"/>
  <c r="AZ461" i="13"/>
  <c r="BA461" i="13"/>
  <c r="AI458" i="13"/>
  <c r="AK458" i="13"/>
  <c r="AJ458" i="13"/>
  <c r="AP458" i="13"/>
  <c r="AR458" i="13"/>
  <c r="AU458" i="13"/>
  <c r="AW458" i="13"/>
  <c r="AY458" i="13"/>
  <c r="AZ458" i="13"/>
  <c r="BA458" i="13"/>
  <c r="AI454" i="13"/>
  <c r="AP454" i="13"/>
  <c r="AR454" i="13"/>
  <c r="AU454" i="13"/>
  <c r="AW454" i="13"/>
  <c r="AY454" i="13"/>
  <c r="AZ454" i="13"/>
  <c r="BA454" i="13"/>
  <c r="AJ449" i="13"/>
  <c r="AI449" i="13"/>
  <c r="AL449" i="13"/>
  <c r="AK449" i="13"/>
  <c r="AO449" i="13"/>
  <c r="AQ449" i="13"/>
  <c r="AY449" i="13"/>
  <c r="AZ449" i="13"/>
  <c r="BA449" i="13"/>
  <c r="AI445" i="13"/>
  <c r="AL445" i="13"/>
  <c r="AQ445" i="13"/>
  <c r="AT445" i="13"/>
  <c r="AX445" i="13"/>
  <c r="AY445" i="13"/>
  <c r="AZ445" i="13"/>
  <c r="AX503" i="13"/>
  <c r="AX487" i="13"/>
  <c r="AV507" i="13"/>
  <c r="AV491" i="13"/>
  <c r="AV475" i="13"/>
  <c r="AN495" i="13"/>
  <c r="BV473" i="13"/>
  <c r="BU473" i="13"/>
  <c r="BT449" i="13"/>
  <c r="BS449" i="13"/>
  <c r="BP463" i="13"/>
  <c r="BM469" i="13"/>
  <c r="BK460" i="13"/>
  <c r="BH463" i="13"/>
  <c r="BF460" i="13"/>
  <c r="AP445" i="13"/>
  <c r="AO473" i="13"/>
  <c r="AO469" i="13"/>
  <c r="AO465" i="13"/>
  <c r="AO461" i="13"/>
  <c r="AO458" i="13"/>
  <c r="AO454" i="13"/>
  <c r="AO445" i="13"/>
  <c r="AN473" i="13"/>
  <c r="AN469" i="13"/>
  <c r="AN465" i="13"/>
  <c r="AN461" i="13"/>
  <c r="AN458" i="13"/>
  <c r="AN454" i="13"/>
  <c r="AM449" i="13"/>
  <c r="AL473" i="13"/>
  <c r="AL469" i="13"/>
  <c r="AL465" i="13"/>
  <c r="AL461" i="13"/>
  <c r="AL458" i="13"/>
  <c r="AL454" i="13"/>
  <c r="AK461" i="13"/>
  <c r="AJ465" i="13"/>
  <c r="AJ445" i="13"/>
  <c r="AZ507" i="13"/>
  <c r="AZ475" i="13"/>
  <c r="AV479" i="13"/>
  <c r="BV469" i="13"/>
  <c r="BU469" i="13"/>
  <c r="BT473" i="13"/>
  <c r="BR473" i="13"/>
  <c r="BQ473" i="13"/>
  <c r="BP449" i="13"/>
  <c r="BL469" i="13"/>
  <c r="BL449" i="13"/>
  <c r="BF467" i="13"/>
  <c r="BG467" i="13"/>
  <c r="BK467" i="13"/>
  <c r="BG460" i="13"/>
  <c r="BL460" i="13"/>
  <c r="BM460" i="13"/>
  <c r="BP460" i="13"/>
  <c r="BR460" i="13"/>
  <c r="BF452" i="13"/>
  <c r="BS452" i="13"/>
  <c r="BO447" i="13"/>
  <c r="BN447" i="13"/>
  <c r="AP449" i="13"/>
  <c r="AK473" i="13"/>
  <c r="AJ473" i="13"/>
  <c r="BU457" i="13"/>
  <c r="BU456" i="13"/>
  <c r="BT456" i="13"/>
  <c r="BS456" i="13"/>
  <c r="BG456" i="13"/>
  <c r="BD456" i="13"/>
  <c r="BQ456" i="13"/>
  <c r="BM456" i="13"/>
  <c r="BF456" i="13"/>
  <c r="BV456" i="13"/>
  <c r="BR456" i="13"/>
  <c r="BN456" i="13"/>
  <c r="BV452" i="13"/>
  <c r="BP452" i="13"/>
  <c r="BN452" i="13"/>
  <c r="BM452" i="13"/>
  <c r="BK452" i="13"/>
  <c r="BJ452" i="13"/>
  <c r="BH452" i="13"/>
  <c r="BD452" i="13"/>
  <c r="BR452" i="13"/>
  <c r="BL452" i="13"/>
  <c r="BT452" i="13"/>
  <c r="BQ452" i="13"/>
  <c r="AO451" i="13"/>
  <c r="AN451" i="13"/>
  <c r="AL451" i="13"/>
  <c r="AV450" i="13"/>
  <c r="AM450" i="13"/>
  <c r="BU450" i="13"/>
  <c r="AT450" i="13"/>
  <c r="AS450" i="13"/>
  <c r="AO450" i="13"/>
  <c r="AL450" i="13"/>
  <c r="BS230" i="13"/>
  <c r="AT326" i="13"/>
  <c r="BU523" i="13"/>
  <c r="BT535" i="13"/>
  <c r="BQ527" i="13"/>
  <c r="BQ519" i="13"/>
  <c r="BO531" i="13"/>
  <c r="BA532" i="13"/>
  <c r="AY524" i="13"/>
  <c r="AX528" i="13"/>
  <c r="AX520" i="13"/>
  <c r="AV524" i="13"/>
  <c r="AU536" i="13"/>
  <c r="AN532" i="13"/>
  <c r="AM520" i="13"/>
  <c r="AI536" i="13"/>
  <c r="BI497" i="13"/>
  <c r="BE493" i="13"/>
  <c r="AY364" i="13"/>
  <c r="AM356" i="13"/>
  <c r="BO226" i="13"/>
  <c r="BA431" i="13"/>
  <c r="AY412" i="13"/>
  <c r="AT409" i="13"/>
  <c r="AQ405" i="13"/>
  <c r="AO417" i="13"/>
  <c r="AM405" i="13"/>
  <c r="AJ401" i="13"/>
  <c r="BV530" i="13"/>
  <c r="BU535" i="13"/>
  <c r="BU527" i="13"/>
  <c r="BU522" i="13"/>
  <c r="BT534" i="13"/>
  <c r="BS519" i="13"/>
  <c r="BR522" i="13"/>
  <c r="BQ526" i="13"/>
  <c r="BQ518" i="13"/>
  <c r="BP526" i="13"/>
  <c r="BN530" i="13"/>
  <c r="BN518" i="13"/>
  <c r="BM518" i="13"/>
  <c r="BL518" i="13"/>
  <c r="BJ530" i="13"/>
  <c r="BI534" i="13"/>
  <c r="BI522" i="13"/>
  <c r="BG530" i="13"/>
  <c r="BF530" i="13"/>
  <c r="AV536" i="13"/>
  <c r="AV528" i="13"/>
  <c r="AU528" i="13"/>
  <c r="AT524" i="13"/>
  <c r="AQ535" i="13"/>
  <c r="AP536" i="13"/>
  <c r="AP520" i="13"/>
  <c r="AM536" i="13"/>
  <c r="AL528" i="13"/>
  <c r="AI528" i="13"/>
  <c r="BL501" i="13"/>
  <c r="BI489" i="13"/>
  <c r="BG513" i="13"/>
  <c r="BG505" i="13"/>
  <c r="BG497" i="13"/>
  <c r="BG481" i="13"/>
  <c r="BE477" i="13"/>
  <c r="BU367" i="13"/>
  <c r="AY354" i="13"/>
  <c r="AU366" i="13"/>
  <c r="BL226" i="13"/>
  <c r="BN416" i="13"/>
  <c r="BA423" i="13"/>
  <c r="AZ405" i="13"/>
  <c r="AY403" i="13"/>
  <c r="AX411" i="13"/>
  <c r="AV403" i="13"/>
  <c r="AQ395" i="13"/>
  <c r="AM393" i="13"/>
  <c r="AL389" i="13"/>
  <c r="AI421" i="13"/>
  <c r="BV526" i="13"/>
  <c r="BU534" i="13"/>
  <c r="BU526" i="13"/>
  <c r="BU519" i="13"/>
  <c r="BT530" i="13"/>
  <c r="BT522" i="13"/>
  <c r="BS535" i="13"/>
  <c r="BR534" i="13"/>
  <c r="BR518" i="13"/>
  <c r="BQ531" i="13"/>
  <c r="BQ523" i="13"/>
  <c r="BP534" i="13"/>
  <c r="BP522" i="13"/>
  <c r="BO523" i="13"/>
  <c r="BN526" i="13"/>
  <c r="BM526" i="13"/>
  <c r="BL530" i="13"/>
  <c r="BK535" i="13"/>
  <c r="BJ529" i="13"/>
  <c r="BI531" i="13"/>
  <c r="BH534" i="13"/>
  <c r="BG527" i="13"/>
  <c r="BF522" i="13"/>
  <c r="BD526" i="13"/>
  <c r="AX532" i="13"/>
  <c r="AW536" i="13"/>
  <c r="AV520" i="13"/>
  <c r="AO528" i="13"/>
  <c r="AN520" i="13"/>
  <c r="AL520" i="13"/>
  <c r="BV501" i="13"/>
  <c r="BR493" i="13"/>
  <c r="BQ509" i="13"/>
  <c r="BQ501" i="13"/>
  <c r="BQ493" i="13"/>
  <c r="BQ485" i="13"/>
  <c r="BQ477" i="13"/>
  <c r="BP513" i="13"/>
  <c r="BP481" i="13"/>
  <c r="BP477" i="13"/>
  <c r="BO513" i="13"/>
  <c r="BO497" i="13"/>
  <c r="BO481" i="13"/>
  <c r="BN497" i="13"/>
  <c r="BL493" i="13"/>
  <c r="BE513" i="13"/>
  <c r="BM513" i="13"/>
  <c r="BS513" i="13"/>
  <c r="BT513" i="13"/>
  <c r="BL513" i="13"/>
  <c r="BR513" i="13"/>
  <c r="BV513" i="13"/>
  <c r="BD509" i="13"/>
  <c r="BN509" i="13"/>
  <c r="BT509" i="13"/>
  <c r="BE509" i="13"/>
  <c r="BI509" i="13"/>
  <c r="BM509" i="13"/>
  <c r="BP509" i="13"/>
  <c r="BS509" i="13"/>
  <c r="BE505" i="13"/>
  <c r="BL505" i="13"/>
  <c r="BM505" i="13"/>
  <c r="BR505" i="13"/>
  <c r="BS505" i="13"/>
  <c r="BT505" i="13"/>
  <c r="BV505" i="13"/>
  <c r="BD501" i="13"/>
  <c r="BI501" i="13"/>
  <c r="BP501" i="13"/>
  <c r="BT501" i="13"/>
  <c r="BM501" i="13"/>
  <c r="BN501" i="13"/>
  <c r="BS501" i="13"/>
  <c r="BM497" i="13"/>
  <c r="BS497" i="13"/>
  <c r="BT497" i="13"/>
  <c r="BL497" i="13"/>
  <c r="BR497" i="13"/>
  <c r="BV497" i="13"/>
  <c r="BD493" i="13"/>
  <c r="BG493" i="13"/>
  <c r="BN493" i="13"/>
  <c r="BT493" i="13"/>
  <c r="BI493" i="13"/>
  <c r="BM493" i="13"/>
  <c r="BP493" i="13"/>
  <c r="BS493" i="13"/>
  <c r="BL489" i="13"/>
  <c r="BM489" i="13"/>
  <c r="BR489" i="13"/>
  <c r="BS489" i="13"/>
  <c r="BT489" i="13"/>
  <c r="BV489" i="13"/>
  <c r="BE489" i="13"/>
  <c r="BG489" i="13"/>
  <c r="BD485" i="13"/>
  <c r="BE485" i="13"/>
  <c r="BI485" i="13"/>
  <c r="BP485" i="13"/>
  <c r="BT485" i="13"/>
  <c r="BM485" i="13"/>
  <c r="BN485" i="13"/>
  <c r="BS485" i="13"/>
  <c r="BM481" i="13"/>
  <c r="BS481" i="13"/>
  <c r="BT481" i="13"/>
  <c r="BL481" i="13"/>
  <c r="BR481" i="13"/>
  <c r="BV481" i="13"/>
  <c r="BD477" i="13"/>
  <c r="BN477" i="13"/>
  <c r="BT477" i="13"/>
  <c r="BG477" i="13"/>
  <c r="BI477" i="13"/>
  <c r="BM477" i="13"/>
  <c r="BS477" i="13"/>
  <c r="BA509" i="13"/>
  <c r="BA481" i="13"/>
  <c r="AZ505" i="13"/>
  <c r="AZ489" i="13"/>
  <c r="AY493" i="13"/>
  <c r="AY485" i="13"/>
  <c r="AW505" i="13"/>
  <c r="AW497" i="13"/>
  <c r="AS505" i="13"/>
  <c r="AS497" i="13"/>
  <c r="AS489" i="13"/>
  <c r="AR485" i="13"/>
  <c r="AR477" i="13"/>
  <c r="AL505" i="13"/>
  <c r="AK481" i="13"/>
  <c r="AJ489" i="13"/>
  <c r="AI516" i="13"/>
  <c r="AM516" i="13"/>
  <c r="AR516" i="13"/>
  <c r="AZ516" i="13"/>
  <c r="AI512" i="13"/>
  <c r="AN512" i="13"/>
  <c r="AO512" i="13"/>
  <c r="AP512" i="13"/>
  <c r="AQ512" i="13"/>
  <c r="AZ512" i="13"/>
  <c r="BA512" i="13"/>
  <c r="AI508" i="13"/>
  <c r="AK508" i="13"/>
  <c r="AU508" i="13"/>
  <c r="AY508" i="13"/>
  <c r="AZ508" i="13"/>
  <c r="AI504" i="13"/>
  <c r="AL504" i="13"/>
  <c r="AW504" i="13"/>
  <c r="AZ504" i="13"/>
  <c r="AI500" i="13"/>
  <c r="AM500" i="13"/>
  <c r="AP500" i="13"/>
  <c r="AS500" i="13"/>
  <c r="AZ500" i="13"/>
  <c r="AI496" i="13"/>
  <c r="AJ496" i="13"/>
  <c r="AO496" i="13"/>
  <c r="AR496" i="13"/>
  <c r="AZ496" i="13"/>
  <c r="BA496" i="13"/>
  <c r="AI492" i="13"/>
  <c r="AJ492" i="13"/>
  <c r="AL492" i="13"/>
  <c r="AP492" i="13"/>
  <c r="AY492" i="13"/>
  <c r="AZ492" i="13"/>
  <c r="AI488" i="13"/>
  <c r="AN488" i="13"/>
  <c r="AR488" i="13"/>
  <c r="AS488" i="13"/>
  <c r="AU488" i="13"/>
  <c r="AW488" i="13"/>
  <c r="AZ488" i="13"/>
  <c r="AI484" i="13"/>
  <c r="AJ484" i="13"/>
  <c r="AM484" i="13"/>
  <c r="AQ484" i="13"/>
  <c r="AZ484" i="13"/>
  <c r="AI480" i="13"/>
  <c r="AJ480" i="13"/>
  <c r="AK480" i="13"/>
  <c r="AL480" i="13"/>
  <c r="AO480" i="13"/>
  <c r="AZ480" i="13"/>
  <c r="BA480" i="13"/>
  <c r="AI476" i="13"/>
  <c r="AJ476" i="13"/>
  <c r="AR476" i="13"/>
  <c r="AU476" i="13"/>
  <c r="AW476" i="13"/>
  <c r="AY476" i="13"/>
  <c r="AZ476" i="13"/>
  <c r="BU470" i="13"/>
  <c r="BU448" i="13"/>
  <c r="BS457" i="13"/>
  <c r="BR442" i="13"/>
  <c r="BP448" i="13"/>
  <c r="BK472" i="13"/>
  <c r="BD442" i="13"/>
  <c r="BL471" i="13"/>
  <c r="BV471" i="13"/>
  <c r="BJ461" i="13"/>
  <c r="BV461" i="13"/>
  <c r="BE449" i="13"/>
  <c r="BH449" i="13"/>
  <c r="BK449" i="13"/>
  <c r="BM449" i="13"/>
  <c r="BD449" i="13"/>
  <c r="BR449" i="13"/>
  <c r="BU449" i="13"/>
  <c r="BK445" i="13"/>
  <c r="BD445" i="13"/>
  <c r="BT445" i="13"/>
  <c r="BE474" i="13"/>
  <c r="BO474" i="13"/>
  <c r="BE470" i="13"/>
  <c r="BK470" i="13"/>
  <c r="BS470" i="13"/>
  <c r="BE464" i="13"/>
  <c r="BQ464" i="13"/>
  <c r="BU464" i="13"/>
  <c r="BE457" i="13"/>
  <c r="BO457" i="13"/>
  <c r="BQ457" i="13"/>
  <c r="BE453" i="13"/>
  <c r="BM453" i="13"/>
  <c r="BS453" i="13"/>
  <c r="BU453" i="13"/>
  <c r="BK453" i="13"/>
  <c r="BF448" i="13"/>
  <c r="BI448" i="13"/>
  <c r="BQ448" i="13"/>
  <c r="BR448" i="13"/>
  <c r="BS444" i="13"/>
  <c r="BT444" i="13"/>
  <c r="BV444" i="13"/>
  <c r="BL444" i="13"/>
  <c r="BQ444" i="13"/>
  <c r="BF508" i="13"/>
  <c r="BE508" i="13"/>
  <c r="BD496" i="13"/>
  <c r="BE496" i="13"/>
  <c r="BF496" i="13"/>
  <c r="BG496" i="13"/>
  <c r="BF488" i="13"/>
  <c r="BD488" i="13"/>
  <c r="BG488" i="13"/>
  <c r="BE480" i="13"/>
  <c r="BG480" i="13"/>
  <c r="BA513" i="13"/>
  <c r="BA505" i="13"/>
  <c r="BA477" i="13"/>
  <c r="AZ513" i="13"/>
  <c r="AZ481" i="13"/>
  <c r="AK513" i="13"/>
  <c r="AK496" i="13"/>
  <c r="AK484" i="13"/>
  <c r="AJ504" i="13"/>
  <c r="AK514" i="13"/>
  <c r="AU514" i="13"/>
  <c r="AW514" i="13"/>
  <c r="AP506" i="13"/>
  <c r="AS506" i="13"/>
  <c r="BA506" i="13"/>
  <c r="AK502" i="13"/>
  <c r="AR502" i="13"/>
  <c r="AT502" i="13"/>
  <c r="AY502" i="13"/>
  <c r="AQ498" i="13"/>
  <c r="AW498" i="13"/>
  <c r="AI494" i="13"/>
  <c r="AK494" i="13"/>
  <c r="AS494" i="13"/>
  <c r="AT494" i="13"/>
  <c r="AU494" i="13"/>
  <c r="AQ490" i="13"/>
  <c r="BA490" i="13"/>
  <c r="AK486" i="13"/>
  <c r="AT486" i="13"/>
  <c r="AY486" i="13"/>
  <c r="AR482" i="13"/>
  <c r="AU482" i="13"/>
  <c r="AK478" i="13"/>
  <c r="AP478" i="13"/>
  <c r="AQ478" i="13"/>
  <c r="AT478" i="13"/>
  <c r="BV462" i="13"/>
  <c r="BU474" i="13"/>
  <c r="BU468" i="13"/>
  <c r="BU462" i="13"/>
  <c r="BU442" i="13"/>
  <c r="BT442" i="13"/>
  <c r="BS462" i="13"/>
  <c r="BS448" i="13"/>
  <c r="BQ442" i="13"/>
  <c r="BP462" i="13"/>
  <c r="BN462" i="13"/>
  <c r="BN448" i="13"/>
  <c r="BM470" i="13"/>
  <c r="BM464" i="13"/>
  <c r="BK474" i="13"/>
  <c r="BK464" i="13"/>
  <c r="BK457" i="13"/>
  <c r="BK448" i="13"/>
  <c r="BJ458" i="13"/>
  <c r="BG449" i="13"/>
  <c r="BF465" i="13"/>
  <c r="BF449" i="13"/>
  <c r="AL513" i="13"/>
  <c r="AS513" i="13"/>
  <c r="AV513" i="13"/>
  <c r="AX513" i="13"/>
  <c r="AY513" i="13"/>
  <c r="AL509" i="13"/>
  <c r="AR509" i="13"/>
  <c r="AV509" i="13"/>
  <c r="AW509" i="13"/>
  <c r="AX509" i="13"/>
  <c r="AI505" i="13"/>
  <c r="AN505" i="13"/>
  <c r="AQ505" i="13"/>
  <c r="AV505" i="13"/>
  <c r="AX505" i="13"/>
  <c r="AI501" i="13"/>
  <c r="AU501" i="13"/>
  <c r="AV501" i="13"/>
  <c r="AX501" i="13"/>
  <c r="BA501" i="13"/>
  <c r="AQ497" i="13"/>
  <c r="AN497" i="13"/>
  <c r="AV497" i="13"/>
  <c r="AX497" i="13"/>
  <c r="AY497" i="13"/>
  <c r="AJ493" i="13"/>
  <c r="AV493" i="13"/>
  <c r="AW493" i="13"/>
  <c r="AX493" i="13"/>
  <c r="AK489" i="13"/>
  <c r="AV489" i="13"/>
  <c r="AX489" i="13"/>
  <c r="AJ485" i="13"/>
  <c r="AP485" i="13"/>
  <c r="AV485" i="13"/>
  <c r="AX485" i="13"/>
  <c r="BA485" i="13"/>
  <c r="AI481" i="13"/>
  <c r="AS481" i="13"/>
  <c r="AV481" i="13"/>
  <c r="AW481" i="13"/>
  <c r="AX481" i="13"/>
  <c r="AY481" i="13"/>
  <c r="AN477" i="13"/>
  <c r="AV477" i="13"/>
  <c r="AX477" i="13"/>
  <c r="BS474" i="13"/>
  <c r="BR444" i="13"/>
  <c r="BO464" i="13"/>
  <c r="BI444" i="13"/>
  <c r="BD444" i="13"/>
  <c r="BP472" i="13"/>
  <c r="BS472" i="13"/>
  <c r="BT472" i="13"/>
  <c r="BU472" i="13"/>
  <c r="BF472" i="13"/>
  <c r="BI472" i="13"/>
  <c r="BG468" i="13"/>
  <c r="BQ468" i="13"/>
  <c r="BH468" i="13"/>
  <c r="BV468" i="13"/>
  <c r="BN466" i="13"/>
  <c r="BT466" i="13"/>
  <c r="BV466" i="13"/>
  <c r="BS466" i="13"/>
  <c r="BH462" i="13"/>
  <c r="BD462" i="13"/>
  <c r="BK462" i="13"/>
  <c r="BQ462" i="13"/>
  <c r="BK459" i="13"/>
  <c r="BS459" i="13"/>
  <c r="BT459" i="13"/>
  <c r="BU459" i="13"/>
  <c r="BR459" i="13"/>
  <c r="BG455" i="13"/>
  <c r="BQ455" i="13"/>
  <c r="BR455" i="13"/>
  <c r="BS455" i="13"/>
  <c r="BT455" i="13"/>
  <c r="BE451" i="13"/>
  <c r="BK451" i="13"/>
  <c r="BM451" i="13"/>
  <c r="BQ451" i="13"/>
  <c r="BE450" i="13"/>
  <c r="BO450" i="13"/>
  <c r="BK450" i="13"/>
  <c r="BS450" i="13"/>
  <c r="BE446" i="13"/>
  <c r="BU446" i="13"/>
  <c r="BF442" i="13"/>
  <c r="BE442" i="13"/>
  <c r="BJ442" i="13"/>
  <c r="BL442" i="13"/>
  <c r="BN442" i="13"/>
  <c r="BP442" i="13"/>
  <c r="BV442" i="13"/>
  <c r="AK472" i="13"/>
  <c r="AK467" i="13"/>
  <c r="AK462" i="13"/>
  <c r="AJ463" i="13"/>
  <c r="AI455" i="13"/>
  <c r="AK466" i="13"/>
  <c r="AK442" i="13"/>
  <c r="AJ452" i="13"/>
  <c r="AJ450" i="13"/>
  <c r="AI462" i="13"/>
  <c r="AJ451" i="13"/>
  <c r="AI468" i="13"/>
  <c r="BP447" i="13"/>
  <c r="AP447" i="13"/>
  <c r="AO447" i="13"/>
  <c r="AN447" i="13"/>
  <c r="AM447" i="13"/>
  <c r="AK447" i="13"/>
  <c r="AJ447" i="13"/>
  <c r="BV447" i="13"/>
  <c r="BJ447" i="13"/>
  <c r="BO446" i="13"/>
  <c r="BA446" i="13"/>
  <c r="AR446" i="13"/>
  <c r="AL446" i="13"/>
  <c r="AJ446" i="13"/>
  <c r="BK446" i="13"/>
  <c r="BS446" i="13"/>
  <c r="BQ446" i="13"/>
  <c r="BM446" i="13"/>
  <c r="AX446" i="13"/>
  <c r="AW446" i="13"/>
  <c r="AU446" i="13"/>
  <c r="AT446" i="13"/>
  <c r="BR445" i="13"/>
  <c r="BM445" i="13"/>
  <c r="BL445" i="13"/>
  <c r="BF445" i="13"/>
  <c r="BU445" i="13"/>
  <c r="BS445" i="13"/>
  <c r="BG445" i="13"/>
  <c r="BE445" i="13"/>
  <c r="AK445" i="13"/>
  <c r="BQ445" i="13"/>
  <c r="AT444" i="13"/>
  <c r="AS444" i="13"/>
  <c r="AR444" i="13"/>
  <c r="AQ444" i="13"/>
  <c r="AL444" i="13"/>
  <c r="AI444" i="13"/>
  <c r="AV444" i="13"/>
  <c r="AU444" i="13"/>
  <c r="AJ443" i="13"/>
  <c r="AX442" i="13"/>
  <c r="AT442" i="13"/>
  <c r="AP442" i="13"/>
  <c r="AL442" i="13"/>
  <c r="AS442" i="13"/>
  <c r="AO442" i="13"/>
  <c r="AZ442" i="13"/>
  <c r="AV442" i="13"/>
  <c r="AR442" i="13"/>
  <c r="AN442" i="13"/>
  <c r="AJ442" i="13"/>
  <c r="AK538" i="13"/>
  <c r="AL538" i="13"/>
  <c r="AV538" i="13"/>
  <c r="AK438" i="13"/>
  <c r="AY438" i="13"/>
  <c r="AZ438" i="13"/>
  <c r="AK434" i="13"/>
  <c r="AR434" i="13"/>
  <c r="BA403" i="13"/>
  <c r="AY391" i="13"/>
  <c r="AW419" i="13"/>
  <c r="AU411" i="13"/>
  <c r="AT407" i="13"/>
  <c r="AS395" i="13"/>
  <c r="AQ399" i="13"/>
  <c r="AO403" i="13"/>
  <c r="AM411" i="13"/>
  <c r="BD536" i="13"/>
  <c r="BE536" i="13"/>
  <c r="BL536" i="13"/>
  <c r="BT536" i="13"/>
  <c r="BO536" i="13"/>
  <c r="BU536" i="13"/>
  <c r="BH532" i="13"/>
  <c r="BM532" i="13"/>
  <c r="BS532" i="13"/>
  <c r="BU532" i="13"/>
  <c r="BK528" i="13"/>
  <c r="BG528" i="13"/>
  <c r="BN528" i="13"/>
  <c r="BU528" i="13"/>
  <c r="BV528" i="13"/>
  <c r="BS524" i="13"/>
  <c r="BM524" i="13"/>
  <c r="BV524" i="13"/>
  <c r="BL520" i="13"/>
  <c r="BN520" i="13"/>
  <c r="BO520" i="13"/>
  <c r="BH520" i="13"/>
  <c r="BU520" i="13"/>
  <c r="BA368" i="13"/>
  <c r="AX356" i="13"/>
  <c r="AS352" i="13"/>
  <c r="AQ352" i="13"/>
  <c r="AM348" i="13"/>
  <c r="AX319" i="13"/>
  <c r="AM319" i="13"/>
  <c r="AV441" i="13"/>
  <c r="AR441" i="13"/>
  <c r="BA352" i="13"/>
  <c r="AX369" i="13"/>
  <c r="AX344" i="13"/>
  <c r="AW356" i="13"/>
  <c r="AV343" i="13"/>
  <c r="AT364" i="13"/>
  <c r="AS348" i="13"/>
  <c r="AQ335" i="13"/>
  <c r="AO368" i="13"/>
  <c r="AL364" i="13"/>
  <c r="BR230" i="13"/>
  <c r="BS288" i="13"/>
  <c r="AQ320" i="13"/>
  <c r="BJ441" i="13"/>
  <c r="BN441" i="13"/>
  <c r="BU437" i="13"/>
  <c r="BV437" i="13"/>
  <c r="BL437" i="13"/>
  <c r="BL425" i="13"/>
  <c r="BP425" i="13"/>
  <c r="AZ426" i="13"/>
  <c r="AR438" i="13"/>
  <c r="AZ395" i="13"/>
  <c r="AT419" i="13"/>
  <c r="AS423" i="13"/>
  <c r="AQ419" i="13"/>
  <c r="AP424" i="13"/>
  <c r="AO424" i="13"/>
  <c r="AO416" i="13"/>
  <c r="AT416" i="13"/>
  <c r="BM342" i="13"/>
  <c r="AW368" i="13"/>
  <c r="AV348" i="13"/>
  <c r="AJ348" i="13"/>
  <c r="AZ364" i="13"/>
  <c r="AX368" i="13"/>
  <c r="AX343" i="13"/>
  <c r="AW352" i="13"/>
  <c r="AV335" i="13"/>
  <c r="AT351" i="13"/>
  <c r="AR360" i="13"/>
  <c r="AP360" i="13"/>
  <c r="BO230" i="13"/>
  <c r="AQ319" i="13"/>
  <c r="BV325" i="13"/>
  <c r="BQ325" i="13"/>
  <c r="BJ422" i="13"/>
  <c r="BI422" i="13"/>
  <c r="BU422" i="13"/>
  <c r="BD414" i="13"/>
  <c r="BP414" i="13"/>
  <c r="BE410" i="13"/>
  <c r="BL410" i="13"/>
  <c r="BH406" i="13"/>
  <c r="BP406" i="13"/>
  <c r="BH398" i="13"/>
  <c r="BT398" i="13"/>
  <c r="AI423" i="13"/>
  <c r="AO423" i="13"/>
  <c r="AN423" i="13"/>
  <c r="AV423" i="13"/>
  <c r="AI419" i="13"/>
  <c r="AJ419" i="13"/>
  <c r="AK419" i="13"/>
  <c r="AN419" i="13"/>
  <c r="AU419" i="13"/>
  <c r="AV419" i="13"/>
  <c r="AX419" i="13"/>
  <c r="AY419" i="13"/>
  <c r="AM419" i="13"/>
  <c r="AR419" i="13"/>
  <c r="AS419" i="13"/>
  <c r="BA419" i="13"/>
  <c r="AI415" i="13"/>
  <c r="AM415" i="13"/>
  <c r="AS415" i="13"/>
  <c r="AT415" i="13"/>
  <c r="BA415" i="13"/>
  <c r="AP415" i="13"/>
  <c r="AI411" i="13"/>
  <c r="AO411" i="13"/>
  <c r="AP411" i="13"/>
  <c r="AK403" i="13"/>
  <c r="AQ403" i="13"/>
  <c r="AW403" i="13"/>
  <c r="AZ403" i="13"/>
  <c r="AL403" i="13"/>
  <c r="AT403" i="13"/>
  <c r="AU403" i="13"/>
  <c r="AX403" i="13"/>
  <c r="AS399" i="13"/>
  <c r="AM399" i="13"/>
  <c r="BA399" i="13"/>
  <c r="AK395" i="13"/>
  <c r="AJ395" i="13"/>
  <c r="AL395" i="13"/>
  <c r="AM395" i="13"/>
  <c r="AR395" i="13"/>
  <c r="AT395" i="13"/>
  <c r="AU395" i="13"/>
  <c r="AX395" i="13"/>
  <c r="AY395" i="13"/>
  <c r="BA395" i="13"/>
  <c r="AI395" i="13"/>
  <c r="AM391" i="13"/>
  <c r="AI391" i="13"/>
  <c r="AK391" i="13"/>
  <c r="AQ391" i="13"/>
  <c r="AV391" i="13"/>
  <c r="BA526" i="13"/>
  <c r="BA518" i="13"/>
  <c r="AX530" i="13"/>
  <c r="AX518" i="13"/>
  <c r="AW530" i="13"/>
  <c r="AW518" i="13"/>
  <c r="AV522" i="13"/>
  <c r="AU518" i="13"/>
  <c r="AS534" i="13"/>
  <c r="AS522" i="13"/>
  <c r="AR530" i="13"/>
  <c r="AO534" i="13"/>
  <c r="AO526" i="13"/>
  <c r="AN526" i="13"/>
  <c r="AL530" i="13"/>
  <c r="AL481" i="13"/>
  <c r="AK497" i="13"/>
  <c r="AI489" i="13"/>
  <c r="BH490" i="13"/>
  <c r="AR493" i="13"/>
  <c r="AP493" i="13"/>
  <c r="AI515" i="13"/>
  <c r="AT515" i="13"/>
  <c r="AI511" i="13"/>
  <c r="AT511" i="13"/>
  <c r="AI507" i="13"/>
  <c r="AT507" i="13"/>
  <c r="AI503" i="13"/>
  <c r="AT503" i="13"/>
  <c r="AI499" i="13"/>
  <c r="AT499" i="13"/>
  <c r="AI495" i="13"/>
  <c r="AJ495" i="13"/>
  <c r="AT495" i="13"/>
  <c r="AI491" i="13"/>
  <c r="AT491" i="13"/>
  <c r="AI487" i="13"/>
  <c r="AL487" i="13"/>
  <c r="AT487" i="13"/>
  <c r="AI483" i="13"/>
  <c r="AT483" i="13"/>
  <c r="AI479" i="13"/>
  <c r="AN479" i="13"/>
  <c r="AT479" i="13"/>
  <c r="AI475" i="13"/>
  <c r="AT475" i="13"/>
  <c r="BA322" i="13"/>
  <c r="BV521" i="13"/>
  <c r="BR529" i="13"/>
  <c r="BQ525" i="13"/>
  <c r="BH529" i="13"/>
  <c r="BA534" i="13"/>
  <c r="BA522" i="13"/>
  <c r="AY530" i="13"/>
  <c r="AY518" i="13"/>
  <c r="AW526" i="13"/>
  <c r="AV530" i="13"/>
  <c r="AU534" i="13"/>
  <c r="AU522" i="13"/>
  <c r="AT530" i="13"/>
  <c r="AT518" i="13"/>
  <c r="AR526" i="13"/>
  <c r="AQ534" i="13"/>
  <c r="AQ522" i="13"/>
  <c r="AN534" i="13"/>
  <c r="AN522" i="13"/>
  <c r="AL526" i="13"/>
  <c r="BP514" i="13"/>
  <c r="BP510" i="13"/>
  <c r="BP506" i="13"/>
  <c r="BP502" i="13"/>
  <c r="BP498" i="13"/>
  <c r="BP494" i="13"/>
  <c r="BP490" i="13"/>
  <c r="BP486" i="13"/>
  <c r="BP482" i="13"/>
  <c r="BH506" i="13"/>
  <c r="BV537" i="13"/>
  <c r="BQ517" i="13"/>
  <c r="AZ534" i="13"/>
  <c r="AZ526" i="13"/>
  <c r="AZ518" i="13"/>
  <c r="AY526" i="13"/>
  <c r="AX526" i="13"/>
  <c r="AW534" i="13"/>
  <c r="AW522" i="13"/>
  <c r="AV534" i="13"/>
  <c r="AV518" i="13"/>
  <c r="AU530" i="13"/>
  <c r="AT526" i="13"/>
  <c r="AS526" i="13"/>
  <c r="AS518" i="13"/>
  <c r="AR518" i="13"/>
  <c r="AQ530" i="13"/>
  <c r="AQ518" i="13"/>
  <c r="AO518" i="13"/>
  <c r="AL534" i="13"/>
  <c r="AL522" i="13"/>
  <c r="BE501" i="13"/>
  <c r="AI513" i="13"/>
  <c r="AO513" i="13"/>
  <c r="AR513" i="13"/>
  <c r="AT513" i="13"/>
  <c r="AU513" i="13"/>
  <c r="AM513" i="13"/>
  <c r="AN513" i="13"/>
  <c r="AP513" i="13"/>
  <c r="AJ509" i="13"/>
  <c r="AM509" i="13"/>
  <c r="AS509" i="13"/>
  <c r="AT509" i="13"/>
  <c r="AI509" i="13"/>
  <c r="AK509" i="13"/>
  <c r="AO509" i="13"/>
  <c r="AQ509" i="13"/>
  <c r="AO505" i="13"/>
  <c r="AP505" i="13"/>
  <c r="AT505" i="13"/>
  <c r="AJ505" i="13"/>
  <c r="AM505" i="13"/>
  <c r="AR505" i="13"/>
  <c r="AU505" i="13"/>
  <c r="AJ501" i="13"/>
  <c r="AK501" i="13"/>
  <c r="AM501" i="13"/>
  <c r="AQ501" i="13"/>
  <c r="AT501" i="13"/>
  <c r="AL501" i="13"/>
  <c r="AO501" i="13"/>
  <c r="AS501" i="13"/>
  <c r="AL497" i="13"/>
  <c r="AO497" i="13"/>
  <c r="AR497" i="13"/>
  <c r="AT497" i="13"/>
  <c r="AU497" i="13"/>
  <c r="AI497" i="13"/>
  <c r="AJ497" i="13"/>
  <c r="AM497" i="13"/>
  <c r="AP497" i="13"/>
  <c r="AI493" i="13"/>
  <c r="AM493" i="13"/>
  <c r="AS493" i="13"/>
  <c r="AT493" i="13"/>
  <c r="AK493" i="13"/>
  <c r="AL493" i="13"/>
  <c r="AN493" i="13"/>
  <c r="AO493" i="13"/>
  <c r="AQ493" i="13"/>
  <c r="AL489" i="13"/>
  <c r="AN489" i="13"/>
  <c r="AO489" i="13"/>
  <c r="AP489" i="13"/>
  <c r="AT489" i="13"/>
  <c r="AM489" i="13"/>
  <c r="AR489" i="13"/>
  <c r="AU489" i="13"/>
  <c r="AK485" i="13"/>
  <c r="AM485" i="13"/>
  <c r="AQ485" i="13"/>
  <c r="AT485" i="13"/>
  <c r="AW485" i="13"/>
  <c r="AI485" i="13"/>
  <c r="AN485" i="13"/>
  <c r="AO485" i="13"/>
  <c r="AS485" i="13"/>
  <c r="AN481" i="13"/>
  <c r="AO481" i="13"/>
  <c r="AR481" i="13"/>
  <c r="AT481" i="13"/>
  <c r="AU481" i="13"/>
  <c r="AM481" i="13"/>
  <c r="AP481" i="13"/>
  <c r="AM477" i="13"/>
  <c r="AS477" i="13"/>
  <c r="AT477" i="13"/>
  <c r="AJ477" i="13"/>
  <c r="AK477" i="13"/>
  <c r="AO477" i="13"/>
  <c r="AQ477" i="13"/>
  <c r="BV465" i="13"/>
  <c r="BT454" i="13"/>
  <c r="BP458" i="13"/>
  <c r="BO461" i="13"/>
  <c r="BO454" i="13"/>
  <c r="BO443" i="13"/>
  <c r="BN461" i="13"/>
  <c r="BM465" i="13"/>
  <c r="BL458" i="13"/>
  <c r="BI461" i="13"/>
  <c r="BD461" i="13"/>
  <c r="BV458" i="13"/>
  <c r="BT465" i="13"/>
  <c r="BR454" i="13"/>
  <c r="BQ471" i="13"/>
  <c r="BQ465" i="13"/>
  <c r="BQ461" i="13"/>
  <c r="BQ458" i="13"/>
  <c r="BQ454" i="13"/>
  <c r="BQ447" i="13"/>
  <c r="BP471" i="13"/>
  <c r="BP454" i="13"/>
  <c r="BN458" i="13"/>
  <c r="BI454" i="13"/>
  <c r="BG447" i="13"/>
  <c r="AJ516" i="13"/>
  <c r="BS471" i="13"/>
  <c r="BS465" i="13"/>
  <c r="BS461" i="13"/>
  <c r="BS458" i="13"/>
  <c r="BS454" i="13"/>
  <c r="BO471" i="13"/>
  <c r="BO465" i="13"/>
  <c r="BN471" i="13"/>
  <c r="BG472" i="13"/>
  <c r="BL472" i="13"/>
  <c r="BM472" i="13"/>
  <c r="BD472" i="13"/>
  <c r="BE472" i="13"/>
  <c r="BH472" i="13"/>
  <c r="BN472" i="13"/>
  <c r="BO472" i="13"/>
  <c r="BV472" i="13"/>
  <c r="BE468" i="13"/>
  <c r="BF468" i="13"/>
  <c r="BM468" i="13"/>
  <c r="BJ468" i="13"/>
  <c r="BK468" i="13"/>
  <c r="BO468" i="13"/>
  <c r="BP468" i="13"/>
  <c r="BL468" i="13"/>
  <c r="BN468" i="13"/>
  <c r="BD466" i="13"/>
  <c r="BH466" i="13"/>
  <c r="BJ466" i="13"/>
  <c r="BM466" i="13"/>
  <c r="BI466" i="13"/>
  <c r="BO466" i="13"/>
  <c r="BR466" i="13"/>
  <c r="BE466" i="13"/>
  <c r="BG466" i="13"/>
  <c r="BK466" i="13"/>
  <c r="BP466" i="13"/>
  <c r="BE462" i="13"/>
  <c r="BM462" i="13"/>
  <c r="BJ462" i="13"/>
  <c r="BO462" i="13"/>
  <c r="BT462" i="13"/>
  <c r="BF462" i="13"/>
  <c r="BL462" i="13"/>
  <c r="BR462" i="13"/>
  <c r="BF459" i="13"/>
  <c r="BG459" i="13"/>
  <c r="BJ459" i="13"/>
  <c r="BL459" i="13"/>
  <c r="BM459" i="13"/>
  <c r="BN459" i="13"/>
  <c r="BO459" i="13"/>
  <c r="BV459" i="13"/>
  <c r="BD459" i="13"/>
  <c r="BH459" i="13"/>
  <c r="BI459" i="13"/>
  <c r="BD455" i="13"/>
  <c r="BE455" i="13"/>
  <c r="BM455" i="13"/>
  <c r="BN455" i="13"/>
  <c r="BI455" i="13"/>
  <c r="BJ455" i="13"/>
  <c r="BK455" i="13"/>
  <c r="BL455" i="13"/>
  <c r="BO455" i="13"/>
  <c r="BP455" i="13"/>
  <c r="BF455" i="13"/>
  <c r="BG448" i="13"/>
  <c r="BL448" i="13"/>
  <c r="BM448" i="13"/>
  <c r="BE448" i="13"/>
  <c r="BO448" i="13"/>
  <c r="BV448" i="13"/>
  <c r="BD448" i="13"/>
  <c r="BH448" i="13"/>
  <c r="BE444" i="13"/>
  <c r="BF444" i="13"/>
  <c r="BM444" i="13"/>
  <c r="BN444" i="13"/>
  <c r="BH444" i="13"/>
  <c r="BK444" i="13"/>
  <c r="BO444" i="13"/>
  <c r="BP444" i="13"/>
  <c r="BG444" i="13"/>
  <c r="BJ444" i="13"/>
  <c r="BE471" i="13"/>
  <c r="BD471" i="13"/>
  <c r="BH471" i="13"/>
  <c r="BI471" i="13"/>
  <c r="BK471" i="13"/>
  <c r="BT471" i="13"/>
  <c r="BU471" i="13"/>
  <c r="BG471" i="13"/>
  <c r="BJ471" i="13"/>
  <c r="BM471" i="13"/>
  <c r="BR471" i="13"/>
  <c r="BE465" i="13"/>
  <c r="BI465" i="13"/>
  <c r="BK465" i="13"/>
  <c r="BD465" i="13"/>
  <c r="BG465" i="13"/>
  <c r="BH465" i="13"/>
  <c r="BP465" i="13"/>
  <c r="BU465" i="13"/>
  <c r="BN465" i="13"/>
  <c r="BE461" i="13"/>
  <c r="BK461" i="13"/>
  <c r="BF461" i="13"/>
  <c r="BL461" i="13"/>
  <c r="BM461" i="13"/>
  <c r="BR461" i="13"/>
  <c r="BU461" i="13"/>
  <c r="BP461" i="13"/>
  <c r="BE458" i="13"/>
  <c r="BI458" i="13"/>
  <c r="BK458" i="13"/>
  <c r="BD458" i="13"/>
  <c r="BG458" i="13"/>
  <c r="BH458" i="13"/>
  <c r="BT458" i="13"/>
  <c r="BU458" i="13"/>
  <c r="BM458" i="13"/>
  <c r="BR458" i="13"/>
  <c r="BD454" i="13"/>
  <c r="BG454" i="13"/>
  <c r="BH454" i="13"/>
  <c r="BJ454" i="13"/>
  <c r="BK454" i="13"/>
  <c r="BL454" i="13"/>
  <c r="BF454" i="13"/>
  <c r="BU454" i="13"/>
  <c r="BV454" i="13"/>
  <c r="BN454" i="13"/>
  <c r="BE447" i="13"/>
  <c r="BD447" i="13"/>
  <c r="BH447" i="13"/>
  <c r="BI447" i="13"/>
  <c r="BK447" i="13"/>
  <c r="BT447" i="13"/>
  <c r="BU447" i="13"/>
  <c r="BL447" i="13"/>
  <c r="BM447" i="13"/>
  <c r="BR447" i="13"/>
  <c r="BS447" i="13"/>
  <c r="BE443" i="13"/>
  <c r="BK443" i="13"/>
  <c r="BU443" i="13"/>
  <c r="BS443" i="13"/>
  <c r="BP469" i="13"/>
  <c r="BP456" i="13"/>
  <c r="BP445" i="13"/>
  <c r="BO473" i="13"/>
  <c r="BO469" i="13"/>
  <c r="BO467" i="13"/>
  <c r="BO463" i="13"/>
  <c r="BO460" i="13"/>
  <c r="BO456" i="13"/>
  <c r="BO452" i="13"/>
  <c r="BO449" i="13"/>
  <c r="BO445" i="13"/>
  <c r="BN473" i="13"/>
  <c r="BN460" i="13"/>
  <c r="BN445" i="13"/>
  <c r="BM463" i="13"/>
  <c r="BL456" i="13"/>
  <c r="BK469" i="13"/>
  <c r="BK456" i="13"/>
  <c r="BJ456" i="13"/>
  <c r="BH473" i="13"/>
  <c r="BH467" i="13"/>
  <c r="BG452" i="13"/>
  <c r="BE473" i="13"/>
  <c r="BE456" i="13"/>
  <c r="BD473" i="13"/>
  <c r="BD467" i="13"/>
  <c r="BH469" i="13"/>
  <c r="BJ469" i="13"/>
  <c r="BD463" i="13"/>
  <c r="BF463" i="13"/>
  <c r="BG463" i="13"/>
  <c r="BL463" i="13"/>
  <c r="BI460" i="13"/>
  <c r="BD460" i="13"/>
  <c r="BH460" i="13"/>
  <c r="BI449" i="13"/>
  <c r="BN449" i="13"/>
  <c r="BH445" i="13"/>
  <c r="BJ445" i="13"/>
  <c r="AK468" i="13"/>
  <c r="AK455" i="13"/>
  <c r="AK444" i="13"/>
  <c r="AJ472" i="13"/>
  <c r="AJ466" i="13"/>
  <c r="AJ459" i="13"/>
  <c r="AJ448" i="13"/>
  <c r="AV429" i="13"/>
  <c r="AR429" i="13"/>
  <c r="BV423" i="13"/>
  <c r="BE423" i="13"/>
  <c r="BD411" i="13"/>
  <c r="BF411" i="13"/>
  <c r="BO411" i="13"/>
  <c r="BS411" i="13"/>
  <c r="BI403" i="13"/>
  <c r="BP403" i="13"/>
  <c r="BQ399" i="13"/>
  <c r="BV399" i="13"/>
  <c r="BJ391" i="13"/>
  <c r="BL391" i="13"/>
  <c r="BS391" i="13"/>
  <c r="BT391" i="13"/>
  <c r="BH391" i="13"/>
  <c r="BN391" i="13"/>
  <c r="BR391" i="13"/>
  <c r="BU391" i="13"/>
  <c r="AI424" i="13"/>
  <c r="AS424" i="13"/>
  <c r="AX424" i="13"/>
  <c r="AI420" i="13"/>
  <c r="AL420" i="13"/>
  <c r="AZ420" i="13"/>
  <c r="AI416" i="13"/>
  <c r="AM416" i="13"/>
  <c r="AY416" i="13"/>
  <c r="BA416" i="13"/>
  <c r="AI412" i="13"/>
  <c r="AO412" i="13"/>
  <c r="AR412" i="13"/>
  <c r="AN412" i="13"/>
  <c r="AP412" i="13"/>
  <c r="AV412" i="13"/>
  <c r="AX412" i="13"/>
  <c r="AI408" i="13"/>
  <c r="BA408" i="13"/>
  <c r="AO408" i="13"/>
  <c r="AI400" i="13"/>
  <c r="AO400" i="13"/>
  <c r="AZ400" i="13"/>
  <c r="AS400" i="13"/>
  <c r="AI396" i="13"/>
  <c r="AV396" i="13"/>
  <c r="BA396" i="13"/>
  <c r="AQ396" i="13"/>
  <c r="AU396" i="13"/>
  <c r="AI392" i="13"/>
  <c r="AX392" i="13"/>
  <c r="AI388" i="13"/>
  <c r="AU388" i="13"/>
  <c r="AZ388" i="13"/>
  <c r="BA388" i="13"/>
  <c r="BA344" i="13"/>
  <c r="AZ349" i="13"/>
  <c r="AV365" i="13"/>
  <c r="AT340" i="13"/>
  <c r="BP327" i="13"/>
  <c r="BM327" i="13"/>
  <c r="AX324" i="13"/>
  <c r="BU538" i="13"/>
  <c r="BS430" i="13"/>
  <c r="BO434" i="13"/>
  <c r="BQ425" i="13"/>
  <c r="BT425" i="13"/>
  <c r="BU409" i="13"/>
  <c r="BR403" i="13"/>
  <c r="BP391" i="13"/>
  <c r="BE399" i="13"/>
  <c r="AX388" i="13"/>
  <c r="AW392" i="13"/>
  <c r="AV420" i="13"/>
  <c r="AU416" i="13"/>
  <c r="AT396" i="13"/>
  <c r="AS396" i="13"/>
  <c r="AR416" i="13"/>
  <c r="AQ420" i="13"/>
  <c r="AN424" i="13"/>
  <c r="AM424" i="13"/>
  <c r="AL412" i="13"/>
  <c r="AZ361" i="13"/>
  <c r="AU369" i="13"/>
  <c r="AU340" i="13"/>
  <c r="AR353" i="13"/>
  <c r="AO357" i="13"/>
  <c r="AM369" i="13"/>
  <c r="AL344" i="13"/>
  <c r="AK357" i="13"/>
  <c r="BG228" i="13"/>
  <c r="BO350" i="13"/>
  <c r="BA360" i="13"/>
  <c r="BA336" i="13"/>
  <c r="AZ357" i="13"/>
  <c r="AZ348" i="13"/>
  <c r="AY368" i="13"/>
  <c r="AY348" i="13"/>
  <c r="AX364" i="13"/>
  <c r="AX352" i="13"/>
  <c r="AX339" i="13"/>
  <c r="AW364" i="13"/>
  <c r="AW348" i="13"/>
  <c r="AV353" i="13"/>
  <c r="AV340" i="13"/>
  <c r="AU339" i="13"/>
  <c r="AS365" i="13"/>
  <c r="AS339" i="13"/>
  <c r="AQ344" i="13"/>
  <c r="AP357" i="13"/>
  <c r="AP340" i="13"/>
  <c r="AO349" i="13"/>
  <c r="AM368" i="13"/>
  <c r="AM340" i="13"/>
  <c r="AL340" i="13"/>
  <c r="AK349" i="13"/>
  <c r="AI344" i="13"/>
  <c r="BU434" i="13"/>
  <c r="AK429" i="13"/>
  <c r="BQ411" i="13"/>
  <c r="BK399" i="13"/>
  <c r="BH403" i="13"/>
  <c r="BD391" i="13"/>
  <c r="AS416" i="13"/>
  <c r="AR396" i="13"/>
  <c r="AP396" i="13"/>
  <c r="AL424" i="13"/>
  <c r="BE350" i="13"/>
  <c r="AT357" i="13"/>
  <c r="AI226" i="13"/>
  <c r="BV354" i="13"/>
  <c r="BS349" i="13"/>
  <c r="BN370" i="13"/>
  <c r="AZ356" i="13"/>
  <c r="AZ339" i="13"/>
  <c r="AY336" i="13"/>
  <c r="AX361" i="13"/>
  <c r="AX336" i="13"/>
  <c r="AW344" i="13"/>
  <c r="AV339" i="13"/>
  <c r="AT369" i="13"/>
  <c r="AS336" i="13"/>
  <c r="AR340" i="13"/>
  <c r="AQ336" i="13"/>
  <c r="AO336" i="13"/>
  <c r="BV538" i="13"/>
  <c r="BU430" i="13"/>
  <c r="BQ430" i="13"/>
  <c r="BH437" i="13"/>
  <c r="BU423" i="13"/>
  <c r="BI391" i="13"/>
  <c r="BG403" i="13"/>
  <c r="AX420" i="13"/>
  <c r="AW416" i="13"/>
  <c r="AW388" i="13"/>
  <c r="AV416" i="13"/>
  <c r="AV388" i="13"/>
  <c r="AS388" i="13"/>
  <c r="AO396" i="13"/>
  <c r="AL416" i="13"/>
  <c r="BV532" i="13"/>
  <c r="BV520" i="13"/>
  <c r="BT528" i="13"/>
  <c r="BR536" i="13"/>
  <c r="BR520" i="13"/>
  <c r="BO528" i="13"/>
  <c r="BL528" i="13"/>
  <c r="BG536" i="13"/>
  <c r="BM537" i="13"/>
  <c r="BI537" i="13"/>
  <c r="BM529" i="13"/>
  <c r="BI529" i="13"/>
  <c r="BJ521" i="13"/>
  <c r="BR521" i="13"/>
  <c r="BR517" i="13"/>
  <c r="BH517" i="13"/>
  <c r="BI517" i="13"/>
  <c r="BN517" i="13"/>
  <c r="AK536" i="13"/>
  <c r="AL536" i="13"/>
  <c r="AQ536" i="13"/>
  <c r="AR536" i="13"/>
  <c r="AT536" i="13"/>
  <c r="AJ536" i="13"/>
  <c r="AS536" i="13"/>
  <c r="AY536" i="13"/>
  <c r="AZ536" i="13"/>
  <c r="BA536" i="13"/>
  <c r="AI532" i="13"/>
  <c r="AJ532" i="13"/>
  <c r="AM532" i="13"/>
  <c r="AP532" i="13"/>
  <c r="AR532" i="13"/>
  <c r="AW532" i="13"/>
  <c r="AO532" i="13"/>
  <c r="AQ532" i="13"/>
  <c r="AU532" i="13"/>
  <c r="AZ532" i="13"/>
  <c r="AR528" i="13"/>
  <c r="AS528" i="13"/>
  <c r="AT528" i="13"/>
  <c r="AK528" i="13"/>
  <c r="AY528" i="13"/>
  <c r="AZ528" i="13"/>
  <c r="AM524" i="13"/>
  <c r="AO524" i="13"/>
  <c r="AP524" i="13"/>
  <c r="AQ524" i="13"/>
  <c r="AR524" i="13"/>
  <c r="AW524" i="13"/>
  <c r="BA524" i="13"/>
  <c r="AJ524" i="13"/>
  <c r="AL524" i="13"/>
  <c r="AU524" i="13"/>
  <c r="AZ524" i="13"/>
  <c r="AJ520" i="13"/>
  <c r="AR520" i="13"/>
  <c r="AT520" i="13"/>
  <c r="AI520" i="13"/>
  <c r="AO520" i="13"/>
  <c r="AY520" i="13"/>
  <c r="AZ520" i="13"/>
  <c r="BA520" i="13"/>
  <c r="BV514" i="13"/>
  <c r="BV510" i="13"/>
  <c r="BV506" i="13"/>
  <c r="BV502" i="13"/>
  <c r="BV498" i="13"/>
  <c r="BV494" i="13"/>
  <c r="BV490" i="13"/>
  <c r="BV486" i="13"/>
  <c r="BV482" i="13"/>
  <c r="BV478" i="13"/>
  <c r="BN514" i="13"/>
  <c r="BN510" i="13"/>
  <c r="BN506" i="13"/>
  <c r="BN502" i="13"/>
  <c r="BN498" i="13"/>
  <c r="BN494" i="13"/>
  <c r="BN490" i="13"/>
  <c r="BN486" i="13"/>
  <c r="BN482" i="13"/>
  <c r="BN478" i="13"/>
  <c r="BJ510" i="13"/>
  <c r="BJ494" i="13"/>
  <c r="BJ478" i="13"/>
  <c r="BD515" i="13"/>
  <c r="BG515" i="13"/>
  <c r="BH515" i="13"/>
  <c r="BK515" i="13"/>
  <c r="BM515" i="13"/>
  <c r="BO515" i="13"/>
  <c r="BQ515" i="13"/>
  <c r="BS515" i="13"/>
  <c r="BU515" i="13"/>
  <c r="BJ511" i="13"/>
  <c r="BG511" i="13"/>
  <c r="BK511" i="13"/>
  <c r="BM511" i="13"/>
  <c r="BO511" i="13"/>
  <c r="BQ511" i="13"/>
  <c r="BS511" i="13"/>
  <c r="BU511" i="13"/>
  <c r="BF507" i="13"/>
  <c r="BD507" i="13"/>
  <c r="BG507" i="13"/>
  <c r="BJ507" i="13"/>
  <c r="BK507" i="13"/>
  <c r="BM507" i="13"/>
  <c r="BO507" i="13"/>
  <c r="BQ507" i="13"/>
  <c r="BS507" i="13"/>
  <c r="BU507" i="13"/>
  <c r="BH503" i="13"/>
  <c r="BG503" i="13"/>
  <c r="BK503" i="13"/>
  <c r="BM503" i="13"/>
  <c r="BO503" i="13"/>
  <c r="BQ503" i="13"/>
  <c r="BS503" i="13"/>
  <c r="BU503" i="13"/>
  <c r="BF499" i="13"/>
  <c r="BG499" i="13"/>
  <c r="BH499" i="13"/>
  <c r="BK499" i="13"/>
  <c r="BM499" i="13"/>
  <c r="BO499" i="13"/>
  <c r="BQ499" i="13"/>
  <c r="BS499" i="13"/>
  <c r="BU499" i="13"/>
  <c r="BJ495" i="13"/>
  <c r="BG495" i="13"/>
  <c r="BK495" i="13"/>
  <c r="BM495" i="13"/>
  <c r="BO495" i="13"/>
  <c r="BQ495" i="13"/>
  <c r="BS495" i="13"/>
  <c r="BU495" i="13"/>
  <c r="BG491" i="13"/>
  <c r="BJ491" i="13"/>
  <c r="BK491" i="13"/>
  <c r="BM491" i="13"/>
  <c r="BO491" i="13"/>
  <c r="BQ491" i="13"/>
  <c r="BS491" i="13"/>
  <c r="BU491" i="13"/>
  <c r="BH487" i="13"/>
  <c r="BG487" i="13"/>
  <c r="BK487" i="13"/>
  <c r="BM487" i="13"/>
  <c r="BO487" i="13"/>
  <c r="BQ487" i="13"/>
  <c r="BS487" i="13"/>
  <c r="BU487" i="13"/>
  <c r="BD483" i="13"/>
  <c r="BG483" i="13"/>
  <c r="BH483" i="13"/>
  <c r="BK483" i="13"/>
  <c r="BM483" i="13"/>
  <c r="BO483" i="13"/>
  <c r="BQ483" i="13"/>
  <c r="BS483" i="13"/>
  <c r="BU483" i="13"/>
  <c r="BJ479" i="13"/>
  <c r="BG479" i="13"/>
  <c r="BK479" i="13"/>
  <c r="BM479" i="13"/>
  <c r="BO479" i="13"/>
  <c r="BQ479" i="13"/>
  <c r="BS479" i="13"/>
  <c r="BU479" i="13"/>
  <c r="BF475" i="13"/>
  <c r="BD475" i="13"/>
  <c r="BG475" i="13"/>
  <c r="BJ475" i="13"/>
  <c r="BK475" i="13"/>
  <c r="BM475" i="13"/>
  <c r="BO475" i="13"/>
  <c r="BQ475" i="13"/>
  <c r="BS475" i="13"/>
  <c r="BU475" i="13"/>
  <c r="BF536" i="13"/>
  <c r="BN536" i="13"/>
  <c r="BP536" i="13"/>
  <c r="BQ536" i="13"/>
  <c r="BS536" i="13"/>
  <c r="BG532" i="13"/>
  <c r="BJ532" i="13"/>
  <c r="BO532" i="13"/>
  <c r="BQ532" i="13"/>
  <c r="BD528" i="13"/>
  <c r="BE528" i="13"/>
  <c r="BF528" i="13"/>
  <c r="BP528" i="13"/>
  <c r="BQ528" i="13"/>
  <c r="BR528" i="13"/>
  <c r="BS528" i="13"/>
  <c r="BE524" i="13"/>
  <c r="BF524" i="13"/>
  <c r="BG524" i="13"/>
  <c r="BH524" i="13"/>
  <c r="BJ524" i="13"/>
  <c r="BK524" i="13"/>
  <c r="BN524" i="13"/>
  <c r="BO524" i="13"/>
  <c r="BQ524" i="13"/>
  <c r="BD520" i="13"/>
  <c r="BP520" i="13"/>
  <c r="BQ520" i="13"/>
  <c r="BS520" i="13"/>
  <c r="BT520" i="13"/>
  <c r="AZ535" i="13"/>
  <c r="AI535" i="13"/>
  <c r="AM535" i="13"/>
  <c r="AN535" i="13"/>
  <c r="AP535" i="13"/>
  <c r="AX535" i="13"/>
  <c r="AZ531" i="13"/>
  <c r="AL531" i="13"/>
  <c r="AN531" i="13"/>
  <c r="AX531" i="13"/>
  <c r="AK527" i="13"/>
  <c r="AZ527" i="13"/>
  <c r="AN527" i="13"/>
  <c r="AP527" i="13"/>
  <c r="AX527" i="13"/>
  <c r="AL523" i="13"/>
  <c r="AU523" i="13"/>
  <c r="AZ523" i="13"/>
  <c r="AN523" i="13"/>
  <c r="AX523" i="13"/>
  <c r="AZ519" i="13"/>
  <c r="AM519" i="13"/>
  <c r="AN519" i="13"/>
  <c r="AP519" i="13"/>
  <c r="AQ519" i="13"/>
  <c r="AX519" i="13"/>
  <c r="BD514" i="13"/>
  <c r="BG514" i="13"/>
  <c r="BH514" i="13"/>
  <c r="BK514" i="13"/>
  <c r="BM514" i="13"/>
  <c r="BO514" i="13"/>
  <c r="BQ514" i="13"/>
  <c r="BS514" i="13"/>
  <c r="BU514" i="13"/>
  <c r="BE514" i="13"/>
  <c r="BD510" i="13"/>
  <c r="BG510" i="13"/>
  <c r="BK510" i="13"/>
  <c r="BM510" i="13"/>
  <c r="BO510" i="13"/>
  <c r="BQ510" i="13"/>
  <c r="BS510" i="13"/>
  <c r="BU510" i="13"/>
  <c r="BE510" i="13"/>
  <c r="BH510" i="13"/>
  <c r="BD506" i="13"/>
  <c r="BG506" i="13"/>
  <c r="BJ506" i="13"/>
  <c r="BK506" i="13"/>
  <c r="BM506" i="13"/>
  <c r="BO506" i="13"/>
  <c r="BQ506" i="13"/>
  <c r="BS506" i="13"/>
  <c r="BU506" i="13"/>
  <c r="BE506" i="13"/>
  <c r="BD502" i="13"/>
  <c r="BG502" i="13"/>
  <c r="BK502" i="13"/>
  <c r="BM502" i="13"/>
  <c r="BO502" i="13"/>
  <c r="BQ502" i="13"/>
  <c r="BS502" i="13"/>
  <c r="BU502" i="13"/>
  <c r="BE502" i="13"/>
  <c r="BJ502" i="13"/>
  <c r="BD498" i="13"/>
  <c r="BG498" i="13"/>
  <c r="BH498" i="13"/>
  <c r="BK498" i="13"/>
  <c r="BM498" i="13"/>
  <c r="BO498" i="13"/>
  <c r="BQ498" i="13"/>
  <c r="BS498" i="13"/>
  <c r="BU498" i="13"/>
  <c r="BE498" i="13"/>
  <c r="BD494" i="13"/>
  <c r="BG494" i="13"/>
  <c r="BK494" i="13"/>
  <c r="BM494" i="13"/>
  <c r="BO494" i="13"/>
  <c r="BQ494" i="13"/>
  <c r="BS494" i="13"/>
  <c r="BU494" i="13"/>
  <c r="BE494" i="13"/>
  <c r="BH494" i="13"/>
  <c r="BD490" i="13"/>
  <c r="BG490" i="13"/>
  <c r="BJ490" i="13"/>
  <c r="BK490" i="13"/>
  <c r="BM490" i="13"/>
  <c r="BO490" i="13"/>
  <c r="BQ490" i="13"/>
  <c r="BS490" i="13"/>
  <c r="BU490" i="13"/>
  <c r="BE490" i="13"/>
  <c r="BD486" i="13"/>
  <c r="BG486" i="13"/>
  <c r="BK486" i="13"/>
  <c r="BM486" i="13"/>
  <c r="BO486" i="13"/>
  <c r="BQ486" i="13"/>
  <c r="BS486" i="13"/>
  <c r="BU486" i="13"/>
  <c r="BE486" i="13"/>
  <c r="BJ486" i="13"/>
  <c r="BD482" i="13"/>
  <c r="BG482" i="13"/>
  <c r="BH482" i="13"/>
  <c r="BK482" i="13"/>
  <c r="BM482" i="13"/>
  <c r="BO482" i="13"/>
  <c r="BQ482" i="13"/>
  <c r="BS482" i="13"/>
  <c r="BU482" i="13"/>
  <c r="BE482" i="13"/>
  <c r="BD478" i="13"/>
  <c r="BG478" i="13"/>
  <c r="BK478" i="13"/>
  <c r="BM478" i="13"/>
  <c r="BO478" i="13"/>
  <c r="BQ478" i="13"/>
  <c r="BS478" i="13"/>
  <c r="BU478" i="13"/>
  <c r="BE478" i="13"/>
  <c r="BH478" i="13"/>
  <c r="BA538" i="13"/>
  <c r="AY426" i="13"/>
  <c r="AS426" i="13"/>
  <c r="AL434" i="13"/>
  <c r="BH416" i="13"/>
  <c r="AU405" i="13"/>
  <c r="AT401" i="13"/>
  <c r="AQ421" i="13"/>
  <c r="AP417" i="13"/>
  <c r="AN397" i="13"/>
  <c r="AL405" i="13"/>
  <c r="BV536" i="13"/>
  <c r="BV529" i="13"/>
  <c r="BU537" i="13"/>
  <c r="BU533" i="13"/>
  <c r="BU529" i="13"/>
  <c r="BU525" i="13"/>
  <c r="BU521" i="13"/>
  <c r="BU517" i="13"/>
  <c r="BT532" i="13"/>
  <c r="BS529" i="13"/>
  <c r="BR532" i="13"/>
  <c r="BR524" i="13"/>
  <c r="BQ537" i="13"/>
  <c r="BQ521" i="13"/>
  <c r="BP524" i="13"/>
  <c r="BO533" i="13"/>
  <c r="BN533" i="13"/>
  <c r="BL532" i="13"/>
  <c r="BL524" i="13"/>
  <c r="BK517" i="13"/>
  <c r="BJ528" i="13"/>
  <c r="BI521" i="13"/>
  <c r="BG520" i="13"/>
  <c r="BF520" i="13"/>
  <c r="BE532" i="13"/>
  <c r="AY532" i="13"/>
  <c r="AX524" i="13"/>
  <c r="AW520" i="13"/>
  <c r="AV535" i="13"/>
  <c r="AV531" i="13"/>
  <c r="AV527" i="13"/>
  <c r="AV523" i="13"/>
  <c r="AV519" i="13"/>
  <c r="AT532" i="13"/>
  <c r="AS532" i="13"/>
  <c r="AS524" i="13"/>
  <c r="AR527" i="13"/>
  <c r="AQ528" i="13"/>
  <c r="AQ520" i="13"/>
  <c r="AN524" i="13"/>
  <c r="AM528" i="13"/>
  <c r="AL532" i="13"/>
  <c r="AJ527" i="13"/>
  <c r="AI524" i="13"/>
  <c r="BR514" i="13"/>
  <c r="BR510" i="13"/>
  <c r="BR506" i="13"/>
  <c r="BR502" i="13"/>
  <c r="BR498" i="13"/>
  <c r="BR494" i="13"/>
  <c r="BR490" i="13"/>
  <c r="BR486" i="13"/>
  <c r="BR482" i="13"/>
  <c r="BR478" i="13"/>
  <c r="BJ514" i="13"/>
  <c r="BJ498" i="13"/>
  <c r="BJ482" i="13"/>
  <c r="BL514" i="13"/>
  <c r="BL510" i="13"/>
  <c r="BL506" i="13"/>
  <c r="BL502" i="13"/>
  <c r="BL498" i="13"/>
  <c r="BL494" i="13"/>
  <c r="BL490" i="13"/>
  <c r="BL486" i="13"/>
  <c r="BL482" i="13"/>
  <c r="BL478" i="13"/>
  <c r="BH502" i="13"/>
  <c r="BH486" i="13"/>
  <c r="BL534" i="13"/>
  <c r="BJ526" i="13"/>
  <c r="BH526" i="13"/>
  <c r="BH518" i="13"/>
  <c r="BG526" i="13"/>
  <c r="BG518" i="13"/>
  <c r="BD534" i="13"/>
  <c r="BA515" i="13"/>
  <c r="BA511" i="13"/>
  <c r="BA507" i="13"/>
  <c r="BA503" i="13"/>
  <c r="BA499" i="13"/>
  <c r="BA495" i="13"/>
  <c r="BA491" i="13"/>
  <c r="BA487" i="13"/>
  <c r="BA483" i="13"/>
  <c r="BA479" i="13"/>
  <c r="BA475" i="13"/>
  <c r="AY515" i="13"/>
  <c r="AY511" i="13"/>
  <c r="AY507" i="13"/>
  <c r="AY503" i="13"/>
  <c r="AY499" i="13"/>
  <c r="AY495" i="13"/>
  <c r="AY491" i="13"/>
  <c r="AY487" i="13"/>
  <c r="AY483" i="13"/>
  <c r="AY479" i="13"/>
  <c r="AY475" i="13"/>
  <c r="AW515" i="13"/>
  <c r="AW511" i="13"/>
  <c r="AW507" i="13"/>
  <c r="AW503" i="13"/>
  <c r="AW499" i="13"/>
  <c r="AW495" i="13"/>
  <c r="AW491" i="13"/>
  <c r="AW487" i="13"/>
  <c r="AW483" i="13"/>
  <c r="AW479" i="13"/>
  <c r="AW475" i="13"/>
  <c r="AU515" i="13"/>
  <c r="AU511" i="13"/>
  <c r="AU507" i="13"/>
  <c r="AU503" i="13"/>
  <c r="AU499" i="13"/>
  <c r="AU495" i="13"/>
  <c r="AU491" i="13"/>
  <c r="AU487" i="13"/>
  <c r="AU483" i="13"/>
  <c r="AU479" i="13"/>
  <c r="AU475" i="13"/>
  <c r="AS515" i="13"/>
  <c r="AS511" i="13"/>
  <c r="AS507" i="13"/>
  <c r="AS503" i="13"/>
  <c r="AS499" i="13"/>
  <c r="AS495" i="13"/>
  <c r="AS491" i="13"/>
  <c r="AS487" i="13"/>
  <c r="AS483" i="13"/>
  <c r="AS479" i="13"/>
  <c r="AS475" i="13"/>
  <c r="AQ515" i="13"/>
  <c r="AQ511" i="13"/>
  <c r="AQ507" i="13"/>
  <c r="AQ503" i="13"/>
  <c r="AQ499" i="13"/>
  <c r="AQ495" i="13"/>
  <c r="AQ491" i="13"/>
  <c r="AQ487" i="13"/>
  <c r="AQ483" i="13"/>
  <c r="AQ479" i="13"/>
  <c r="AQ475" i="13"/>
  <c r="AO515" i="13"/>
  <c r="AO511" i="13"/>
  <c r="AO507" i="13"/>
  <c r="AO503" i="13"/>
  <c r="AO499" i="13"/>
  <c r="AO495" i="13"/>
  <c r="AO491" i="13"/>
  <c r="AO487" i="13"/>
  <c r="AO483" i="13"/>
  <c r="AO479" i="13"/>
  <c r="AO475" i="13"/>
  <c r="AN499" i="13"/>
  <c r="AN483" i="13"/>
  <c r="AM515" i="13"/>
  <c r="AM511" i="13"/>
  <c r="AM507" i="13"/>
  <c r="AM503" i="13"/>
  <c r="AM499" i="13"/>
  <c r="AM495" i="13"/>
  <c r="AM491" i="13"/>
  <c r="AM487" i="13"/>
  <c r="AM483" i="13"/>
  <c r="AM479" i="13"/>
  <c r="AM475" i="13"/>
  <c r="AL507" i="13"/>
  <c r="AL491" i="13"/>
  <c r="AL475" i="13"/>
  <c r="AJ515" i="13"/>
  <c r="AJ499" i="13"/>
  <c r="AJ483" i="13"/>
  <c r="AI514" i="13"/>
  <c r="AJ514" i="13"/>
  <c r="AL514" i="13"/>
  <c r="AJ510" i="13"/>
  <c r="AL510" i="13"/>
  <c r="AI506" i="13"/>
  <c r="AJ506" i="13"/>
  <c r="AL506" i="13"/>
  <c r="AN506" i="13"/>
  <c r="AJ502" i="13"/>
  <c r="AL502" i="13"/>
  <c r="AN502" i="13"/>
  <c r="AI498" i="13"/>
  <c r="AJ498" i="13"/>
  <c r="AL498" i="13"/>
  <c r="AN498" i="13"/>
  <c r="AJ494" i="13"/>
  <c r="AL494" i="13"/>
  <c r="AN494" i="13"/>
  <c r="AI490" i="13"/>
  <c r="AJ490" i="13"/>
  <c r="AL490" i="13"/>
  <c r="AN490" i="13"/>
  <c r="AJ486" i="13"/>
  <c r="AL486" i="13"/>
  <c r="AN486" i="13"/>
  <c r="AI482" i="13"/>
  <c r="AJ482" i="13"/>
  <c r="AL482" i="13"/>
  <c r="AN482" i="13"/>
  <c r="AJ478" i="13"/>
  <c r="AL478" i="13"/>
  <c r="AN478" i="13"/>
  <c r="AO514" i="13"/>
  <c r="AO510" i="13"/>
  <c r="AO506" i="13"/>
  <c r="AO502" i="13"/>
  <c r="AO498" i="13"/>
  <c r="AO494" i="13"/>
  <c r="AO490" i="13"/>
  <c r="AO486" i="13"/>
  <c r="AO482" i="13"/>
  <c r="AO478" i="13"/>
  <c r="AN503" i="13"/>
  <c r="AN487" i="13"/>
  <c r="AM514" i="13"/>
  <c r="AM510" i="13"/>
  <c r="AM506" i="13"/>
  <c r="AM502" i="13"/>
  <c r="AM498" i="13"/>
  <c r="AM494" i="13"/>
  <c r="AM490" i="13"/>
  <c r="AM486" i="13"/>
  <c r="AM482" i="13"/>
  <c r="AM478" i="13"/>
  <c r="AL511" i="13"/>
  <c r="AL495" i="13"/>
  <c r="AL479" i="13"/>
  <c r="AJ503" i="13"/>
  <c r="AJ487" i="13"/>
  <c r="AI486" i="13"/>
  <c r="AR515" i="13"/>
  <c r="AR511" i="13"/>
  <c r="AR507" i="13"/>
  <c r="AR503" i="13"/>
  <c r="AR499" i="13"/>
  <c r="AR495" i="13"/>
  <c r="AR491" i="13"/>
  <c r="AR487" i="13"/>
  <c r="AR483" i="13"/>
  <c r="AR479" i="13"/>
  <c r="AR475" i="13"/>
  <c r="AP515" i="13"/>
  <c r="AP511" i="13"/>
  <c r="AP507" i="13"/>
  <c r="AP503" i="13"/>
  <c r="AP499" i="13"/>
  <c r="AP495" i="13"/>
  <c r="AP491" i="13"/>
  <c r="AP487" i="13"/>
  <c r="AP483" i="13"/>
  <c r="AP479" i="13"/>
  <c r="AP475" i="13"/>
  <c r="AN515" i="13"/>
  <c r="AN511" i="13"/>
  <c r="AN507" i="13"/>
  <c r="AN491" i="13"/>
  <c r="AN475" i="13"/>
  <c r="AL515" i="13"/>
  <c r="AL499" i="13"/>
  <c r="AL483" i="13"/>
  <c r="AK515" i="13"/>
  <c r="AK511" i="13"/>
  <c r="AK507" i="13"/>
  <c r="AK503" i="13"/>
  <c r="AK499" i="13"/>
  <c r="AK495" i="13"/>
  <c r="AK491" i="13"/>
  <c r="AK487" i="13"/>
  <c r="AK483" i="13"/>
  <c r="AK479" i="13"/>
  <c r="AK475" i="13"/>
  <c r="AJ507" i="13"/>
  <c r="AJ491" i="13"/>
  <c r="AJ475" i="13"/>
  <c r="BI474" i="13"/>
  <c r="BI470" i="13"/>
  <c r="BI464" i="13"/>
  <c r="BI457" i="13"/>
  <c r="BI453" i="13"/>
  <c r="BI451" i="13"/>
  <c r="BI450" i="13"/>
  <c r="BI446" i="13"/>
  <c r="BI443" i="13"/>
  <c r="BV474" i="13"/>
  <c r="BV470" i="13"/>
  <c r="BV464" i="13"/>
  <c r="BV457" i="13"/>
  <c r="BV453" i="13"/>
  <c r="BV451" i="13"/>
  <c r="BV450" i="13"/>
  <c r="BV446" i="13"/>
  <c r="BV443" i="13"/>
  <c r="BT474" i="13"/>
  <c r="BT470" i="13"/>
  <c r="BT464" i="13"/>
  <c r="BT457" i="13"/>
  <c r="BT453" i="13"/>
  <c r="BT451" i="13"/>
  <c r="BT450" i="13"/>
  <c r="BT446" i="13"/>
  <c r="BT443" i="13"/>
  <c r="BR474" i="13"/>
  <c r="BR470" i="13"/>
  <c r="BR464" i="13"/>
  <c r="BR457" i="13"/>
  <c r="BR453" i="13"/>
  <c r="BR451" i="13"/>
  <c r="BR450" i="13"/>
  <c r="BR446" i="13"/>
  <c r="BR443" i="13"/>
  <c r="BP474" i="13"/>
  <c r="BP470" i="13"/>
  <c r="BP464" i="13"/>
  <c r="BP457" i="13"/>
  <c r="BP453" i="13"/>
  <c r="BP451" i="13"/>
  <c r="BP450" i="13"/>
  <c r="BP446" i="13"/>
  <c r="BP443" i="13"/>
  <c r="BN474" i="13"/>
  <c r="BN470" i="13"/>
  <c r="BN464" i="13"/>
  <c r="BN457" i="13"/>
  <c r="BN453" i="13"/>
  <c r="BN451" i="13"/>
  <c r="BN450" i="13"/>
  <c r="BN446" i="13"/>
  <c r="BN443" i="13"/>
  <c r="BL474" i="13"/>
  <c r="BL470" i="13"/>
  <c r="BL464" i="13"/>
  <c r="BL457" i="13"/>
  <c r="BL453" i="13"/>
  <c r="BL451" i="13"/>
  <c r="BL450" i="13"/>
  <c r="BL446" i="13"/>
  <c r="BL443" i="13"/>
  <c r="BJ473" i="13"/>
  <c r="BJ465" i="13"/>
  <c r="BJ460" i="13"/>
  <c r="BJ449" i="13"/>
  <c r="BI469" i="13"/>
  <c r="BI467" i="13"/>
  <c r="BI463" i="13"/>
  <c r="BI456" i="13"/>
  <c r="BI452" i="13"/>
  <c r="BI445" i="13"/>
  <c r="BI442" i="13"/>
  <c r="BH461" i="13"/>
  <c r="BG474" i="13"/>
  <c r="BG470" i="13"/>
  <c r="BG464" i="13"/>
  <c r="BG457" i="13"/>
  <c r="BG453" i="13"/>
  <c r="BG451" i="13"/>
  <c r="BG450" i="13"/>
  <c r="BG446" i="13"/>
  <c r="BG443" i="13"/>
  <c r="BF471" i="13"/>
  <c r="BF458" i="13"/>
  <c r="BF447" i="13"/>
  <c r="BE454" i="13"/>
  <c r="BD474" i="13"/>
  <c r="BF474" i="13"/>
  <c r="BH474" i="13"/>
  <c r="BJ474" i="13"/>
  <c r="BD470" i="13"/>
  <c r="BF470" i="13"/>
  <c r="BH470" i="13"/>
  <c r="BJ470" i="13"/>
  <c r="BD464" i="13"/>
  <c r="BF464" i="13"/>
  <c r="BH464" i="13"/>
  <c r="BJ464" i="13"/>
  <c r="BD457" i="13"/>
  <c r="BF457" i="13"/>
  <c r="BH457" i="13"/>
  <c r="BJ457" i="13"/>
  <c r="BD453" i="13"/>
  <c r="BF453" i="13"/>
  <c r="BH453" i="13"/>
  <c r="BJ453" i="13"/>
  <c r="BD451" i="13"/>
  <c r="BF451" i="13"/>
  <c r="BH451" i="13"/>
  <c r="BJ451" i="13"/>
  <c r="BD450" i="13"/>
  <c r="BF450" i="13"/>
  <c r="BH450" i="13"/>
  <c r="BJ450" i="13"/>
  <c r="BD446" i="13"/>
  <c r="BF446" i="13"/>
  <c r="BH446" i="13"/>
  <c r="BJ446" i="13"/>
  <c r="BD443" i="13"/>
  <c r="BF443" i="13"/>
  <c r="BH443" i="13"/>
  <c r="BJ443" i="13"/>
  <c r="AK474" i="13"/>
  <c r="AK470" i="13"/>
  <c r="AK464" i="13"/>
  <c r="AK457" i="13"/>
  <c r="AK453" i="13"/>
  <c r="AK451" i="13"/>
  <c r="AK450" i="13"/>
  <c r="AK446" i="13"/>
  <c r="AK443" i="13"/>
  <c r="BE335" i="13"/>
  <c r="BV335" i="13"/>
  <c r="AX370" i="13"/>
  <c r="AV370" i="13"/>
  <c r="AO345" i="13"/>
  <c r="BA345" i="13"/>
  <c r="AL288" i="13"/>
  <c r="AL284" i="13"/>
  <c r="AR284" i="13"/>
  <c r="BT367" i="13"/>
  <c r="BL355" i="13"/>
  <c r="BG338" i="13"/>
  <c r="BF338" i="13"/>
  <c r="BI338" i="13"/>
  <c r="AV354" i="13"/>
  <c r="AM354" i="13"/>
  <c r="AI367" i="13"/>
  <c r="AW369" i="13"/>
  <c r="AR369" i="13"/>
  <c r="AS369" i="13"/>
  <c r="AY369" i="13"/>
  <c r="AZ369" i="13"/>
  <c r="AW365" i="13"/>
  <c r="BA365" i="13"/>
  <c r="AI361" i="13"/>
  <c r="AU361" i="13"/>
  <c r="AQ357" i="13"/>
  <c r="AY357" i="13"/>
  <c r="AM353" i="13"/>
  <c r="AN353" i="13"/>
  <c r="AW353" i="13"/>
  <c r="AJ349" i="13"/>
  <c r="AS349" i="13"/>
  <c r="AI435" i="13"/>
  <c r="AL435" i="13"/>
  <c r="AJ431" i="13"/>
  <c r="AZ431" i="13"/>
  <c r="BA422" i="13"/>
  <c r="BA414" i="13"/>
  <c r="BA394" i="13"/>
  <c r="AU414" i="13"/>
  <c r="BI345" i="13"/>
  <c r="BV345" i="13"/>
  <c r="AQ366" i="13"/>
  <c r="AL354" i="13"/>
  <c r="AI366" i="13"/>
  <c r="AI422" i="13"/>
  <c r="AL422" i="13"/>
  <c r="AT422" i="13"/>
  <c r="AX422" i="13"/>
  <c r="AN422" i="13"/>
  <c r="AQ422" i="13"/>
  <c r="AR422" i="13"/>
  <c r="AU422" i="13"/>
  <c r="AK422" i="13"/>
  <c r="AV422" i="13"/>
  <c r="AN418" i="13"/>
  <c r="AM418" i="13"/>
  <c r="AP418" i="13"/>
  <c r="AS418" i="13"/>
  <c r="AW418" i="13"/>
  <c r="AY418" i="13"/>
  <c r="BA418" i="13"/>
  <c r="AJ418" i="13"/>
  <c r="AO418" i="13"/>
  <c r="AQ418" i="13"/>
  <c r="AX418" i="13"/>
  <c r="AL418" i="13"/>
  <c r="AR418" i="13"/>
  <c r="AT418" i="13"/>
  <c r="AU418" i="13"/>
  <c r="AI414" i="13"/>
  <c r="AK414" i="13"/>
  <c r="AP414" i="13"/>
  <c r="AR414" i="13"/>
  <c r="AS414" i="13"/>
  <c r="AZ414" i="13"/>
  <c r="AM414" i="13"/>
  <c r="AW414" i="13"/>
  <c r="AO414" i="13"/>
  <c r="AV414" i="13"/>
  <c r="AX414" i="13"/>
  <c r="AY414" i="13"/>
  <c r="AQ410" i="13"/>
  <c r="AN410" i="13"/>
  <c r="AU410" i="13"/>
  <c r="AP410" i="13"/>
  <c r="AT410" i="13"/>
  <c r="AI410" i="13"/>
  <c r="AL410" i="13"/>
  <c r="AM410" i="13"/>
  <c r="AR410" i="13"/>
  <c r="AS410" i="13"/>
  <c r="AN406" i="13"/>
  <c r="AV406" i="13"/>
  <c r="AQ406" i="13"/>
  <c r="AJ406" i="13"/>
  <c r="AX406" i="13"/>
  <c r="AM402" i="13"/>
  <c r="AJ402" i="13"/>
  <c r="AX402" i="13"/>
  <c r="AZ402" i="13"/>
  <c r="AR402" i="13"/>
  <c r="AU402" i="13"/>
  <c r="AN402" i="13"/>
  <c r="AJ398" i="13"/>
  <c r="AO398" i="13"/>
  <c r="AP398" i="13"/>
  <c r="AQ398" i="13"/>
  <c r="AR398" i="13"/>
  <c r="AS398" i="13"/>
  <c r="AT398" i="13"/>
  <c r="AU398" i="13"/>
  <c r="AK398" i="13"/>
  <c r="AL398" i="13"/>
  <c r="AM398" i="13"/>
  <c r="AV398" i="13"/>
  <c r="AY398" i="13"/>
  <c r="AZ398" i="13"/>
  <c r="BA398" i="13"/>
  <c r="AI394" i="13"/>
  <c r="AL394" i="13"/>
  <c r="AM394" i="13"/>
  <c r="AW394" i="13"/>
  <c r="AX394" i="13"/>
  <c r="AJ394" i="13"/>
  <c r="AQ394" i="13"/>
  <c r="AR394" i="13"/>
  <c r="AT394" i="13"/>
  <c r="AP394" i="13"/>
  <c r="AS394" i="13"/>
  <c r="AU394" i="13"/>
  <c r="AY394" i="13"/>
  <c r="AO390" i="13"/>
  <c r="AJ390" i="13"/>
  <c r="AK390" i="13"/>
  <c r="AL390" i="13"/>
  <c r="AR390" i="13"/>
  <c r="AU390" i="13"/>
  <c r="AV390" i="13"/>
  <c r="AI390" i="13"/>
  <c r="AX390" i="13"/>
  <c r="AZ390" i="13"/>
  <c r="BG337" i="13"/>
  <c r="BL337" i="13"/>
  <c r="AJ362" i="13"/>
  <c r="AX290" i="13"/>
  <c r="AU290" i="13"/>
  <c r="AK327" i="13"/>
  <c r="AM327" i="13"/>
  <c r="AY350" i="13"/>
  <c r="AV366" i="13"/>
  <c r="AU362" i="13"/>
  <c r="AR350" i="13"/>
  <c r="AR288" i="13"/>
  <c r="BG326" i="13"/>
  <c r="BK326" i="13"/>
  <c r="BI439" i="13"/>
  <c r="BG441" i="13"/>
  <c r="BL441" i="13"/>
  <c r="BU441" i="13"/>
  <c r="BV441" i="13"/>
  <c r="BI441" i="13"/>
  <c r="BP441" i="13"/>
  <c r="BG437" i="13"/>
  <c r="BI437" i="13"/>
  <c r="BJ437" i="13"/>
  <c r="BQ437" i="13"/>
  <c r="BT437" i="13"/>
  <c r="BG429" i="13"/>
  <c r="BQ429" i="13"/>
  <c r="BL429" i="13"/>
  <c r="BG425" i="13"/>
  <c r="BJ425" i="13"/>
  <c r="BU425" i="13"/>
  <c r="BI425" i="13"/>
  <c r="BV425" i="13"/>
  <c r="AV437" i="13"/>
  <c r="AZ437" i="13"/>
  <c r="AV433" i="13"/>
  <c r="AR433" i="13"/>
  <c r="AV425" i="13"/>
  <c r="AO425" i="13"/>
  <c r="BD423" i="13"/>
  <c r="BK423" i="13"/>
  <c r="BS423" i="13"/>
  <c r="BQ419" i="13"/>
  <c r="BS419" i="13"/>
  <c r="BV419" i="13"/>
  <c r="BG415" i="13"/>
  <c r="BO415" i="13"/>
  <c r="BE411" i="13"/>
  <c r="BJ411" i="13"/>
  <c r="BR411" i="13"/>
  <c r="BP411" i="13"/>
  <c r="BH407" i="13"/>
  <c r="BS407" i="13"/>
  <c r="BV407" i="13"/>
  <c r="BL407" i="13"/>
  <c r="BD403" i="13"/>
  <c r="BE403" i="13"/>
  <c r="BF403" i="13"/>
  <c r="BT403" i="13"/>
  <c r="BQ403" i="13"/>
  <c r="BU403" i="13"/>
  <c r="BL399" i="13"/>
  <c r="BD399" i="13"/>
  <c r="BI399" i="13"/>
  <c r="BH399" i="13"/>
  <c r="BJ399" i="13"/>
  <c r="BP399" i="13"/>
  <c r="BR399" i="13"/>
  <c r="BI395" i="13"/>
  <c r="BK395" i="13"/>
  <c r="BN395" i="13"/>
  <c r="BS395" i="13"/>
  <c r="BT395" i="13"/>
  <c r="BK391" i="13"/>
  <c r="BM391" i="13"/>
  <c r="BQ391" i="13"/>
  <c r="BE391" i="13"/>
  <c r="BF391" i="13"/>
  <c r="BG391" i="13"/>
  <c r="BO391" i="13"/>
  <c r="BV391" i="13"/>
  <c r="AZ422" i="13"/>
  <c r="AZ418" i="13"/>
  <c r="AX398" i="13"/>
  <c r="AW422" i="13"/>
  <c r="AW410" i="13"/>
  <c r="AV394" i="13"/>
  <c r="AS422" i="13"/>
  <c r="AP422" i="13"/>
  <c r="AK394" i="13"/>
  <c r="AN362" i="13"/>
  <c r="AV362" i="13"/>
  <c r="AI320" i="13"/>
  <c r="AJ320" i="13"/>
  <c r="AN320" i="13"/>
  <c r="AS320" i="13"/>
  <c r="AN315" i="13"/>
  <c r="AZ315" i="13"/>
  <c r="BA402" i="13"/>
  <c r="AZ406" i="13"/>
  <c r="AY422" i="13"/>
  <c r="AT414" i="13"/>
  <c r="AT390" i="13"/>
  <c r="AQ390" i="13"/>
  <c r="AO422" i="13"/>
  <c r="AM422" i="13"/>
  <c r="AJ410" i="13"/>
  <c r="BA420" i="13"/>
  <c r="BA392" i="13"/>
  <c r="AZ416" i="13"/>
  <c r="AY420" i="13"/>
  <c r="AY388" i="13"/>
  <c r="AX396" i="13"/>
  <c r="AW420" i="13"/>
  <c r="AW396" i="13"/>
  <c r="AV392" i="13"/>
  <c r="AU424" i="13"/>
  <c r="AU412" i="13"/>
  <c r="AT424" i="13"/>
  <c r="AT412" i="13"/>
  <c r="AT388" i="13"/>
  <c r="AS420" i="13"/>
  <c r="AR424" i="13"/>
  <c r="AQ424" i="13"/>
  <c r="AQ412" i="13"/>
  <c r="AQ400" i="13"/>
  <c r="AQ388" i="13"/>
  <c r="AP420" i="13"/>
  <c r="AP416" i="13"/>
  <c r="AP400" i="13"/>
  <c r="AP388" i="13"/>
  <c r="AO392" i="13"/>
  <c r="AN416" i="13"/>
  <c r="AN392" i="13"/>
  <c r="AM420" i="13"/>
  <c r="AM388" i="13"/>
  <c r="AL392" i="13"/>
  <c r="AK392" i="13"/>
  <c r="BV533" i="13"/>
  <c r="BV517" i="13"/>
  <c r="BT523" i="13"/>
  <c r="BS533" i="13"/>
  <c r="BS523" i="13"/>
  <c r="BS517" i="13"/>
  <c r="BR533" i="13"/>
  <c r="BO537" i="13"/>
  <c r="BO527" i="13"/>
  <c r="BO521" i="13"/>
  <c r="BN537" i="13"/>
  <c r="BN521" i="13"/>
  <c r="BM533" i="13"/>
  <c r="BM525" i="13"/>
  <c r="BM521" i="13"/>
  <c r="BK533" i="13"/>
  <c r="BK527" i="13"/>
  <c r="BK519" i="13"/>
  <c r="BI535" i="13"/>
  <c r="BI519" i="13"/>
  <c r="BG531" i="13"/>
  <c r="BF535" i="13"/>
  <c r="AJ537" i="13"/>
  <c r="AL537" i="13"/>
  <c r="AM537" i="13"/>
  <c r="AQ537" i="13"/>
  <c r="AK537" i="13"/>
  <c r="AU537" i="13"/>
  <c r="AY537" i="13"/>
  <c r="AT537" i="13"/>
  <c r="AW537" i="13"/>
  <c r="AJ533" i="13"/>
  <c r="AK533" i="13"/>
  <c r="AL533" i="13"/>
  <c r="AQ533" i="13"/>
  <c r="AI533" i="13"/>
  <c r="AU533" i="13"/>
  <c r="AY533" i="13"/>
  <c r="AM533" i="13"/>
  <c r="AO533" i="13"/>
  <c r="AP533" i="13"/>
  <c r="AS533" i="13"/>
  <c r="AT533" i="13"/>
  <c r="AW533" i="13"/>
  <c r="AJ529" i="13"/>
  <c r="AL529" i="13"/>
  <c r="AQ529" i="13"/>
  <c r="AU529" i="13"/>
  <c r="AY529" i="13"/>
  <c r="AI529" i="13"/>
  <c r="AT529" i="13"/>
  <c r="AW529" i="13"/>
  <c r="AJ525" i="13"/>
  <c r="AI525" i="13"/>
  <c r="AL525" i="13"/>
  <c r="AQ525" i="13"/>
  <c r="AU525" i="13"/>
  <c r="AK525" i="13"/>
  <c r="AO525" i="13"/>
  <c r="AP525" i="13"/>
  <c r="AS525" i="13"/>
  <c r="AY525" i="13"/>
  <c r="AT525" i="13"/>
  <c r="AW525" i="13"/>
  <c r="AJ521" i="13"/>
  <c r="AL521" i="13"/>
  <c r="AM521" i="13"/>
  <c r="AQ521" i="13"/>
  <c r="AU521" i="13"/>
  <c r="AY521" i="13"/>
  <c r="AI521" i="13"/>
  <c r="AK521" i="13"/>
  <c r="AT521" i="13"/>
  <c r="AW521" i="13"/>
  <c r="AJ517" i="13"/>
  <c r="AI517" i="13"/>
  <c r="AK517" i="13"/>
  <c r="AL517" i="13"/>
  <c r="AQ517" i="13"/>
  <c r="AU517" i="13"/>
  <c r="AM517" i="13"/>
  <c r="AY517" i="13"/>
  <c r="AO517" i="13"/>
  <c r="AP517" i="13"/>
  <c r="AS517" i="13"/>
  <c r="AT517" i="13"/>
  <c r="AW517" i="13"/>
  <c r="BI523" i="13"/>
  <c r="BG535" i="13"/>
  <c r="BG519" i="13"/>
  <c r="BF537" i="13"/>
  <c r="BE537" i="13"/>
  <c r="BG537" i="13"/>
  <c r="BF533" i="13"/>
  <c r="BG533" i="13"/>
  <c r="BF529" i="13"/>
  <c r="BE529" i="13"/>
  <c r="BG529" i="13"/>
  <c r="BF525" i="13"/>
  <c r="BG525" i="13"/>
  <c r="BJ525" i="13"/>
  <c r="BK525" i="13"/>
  <c r="BF521" i="13"/>
  <c r="BG521" i="13"/>
  <c r="BH521" i="13"/>
  <c r="BF517" i="13"/>
  <c r="BG517" i="13"/>
  <c r="BM517" i="13"/>
  <c r="BF513" i="13"/>
  <c r="BD513" i="13"/>
  <c r="BD505" i="13"/>
  <c r="BF505" i="13"/>
  <c r="BF497" i="13"/>
  <c r="BD497" i="13"/>
  <c r="BD489" i="13"/>
  <c r="BF489" i="13"/>
  <c r="BF481" i="13"/>
  <c r="BD481" i="13"/>
  <c r="BA412" i="13"/>
  <c r="AZ424" i="13"/>
  <c r="AZ412" i="13"/>
  <c r="AY424" i="13"/>
  <c r="AY396" i="13"/>
  <c r="AX416" i="13"/>
  <c r="AW424" i="13"/>
  <c r="AW412" i="13"/>
  <c r="AW400" i="13"/>
  <c r="AV424" i="13"/>
  <c r="AU420" i="13"/>
  <c r="AS412" i="13"/>
  <c r="AS392" i="13"/>
  <c r="AR420" i="13"/>
  <c r="AQ416" i="13"/>
  <c r="AP408" i="13"/>
  <c r="AP392" i="13"/>
  <c r="AO388" i="13"/>
  <c r="AN420" i="13"/>
  <c r="AN396" i="13"/>
  <c r="AM412" i="13"/>
  <c r="AM404" i="13"/>
  <c r="AL404" i="13"/>
  <c r="AK396" i="13"/>
  <c r="BV525" i="13"/>
  <c r="BT531" i="13"/>
  <c r="BS531" i="13"/>
  <c r="BS525" i="13"/>
  <c r="BR525" i="13"/>
  <c r="BO535" i="13"/>
  <c r="BO529" i="13"/>
  <c r="BO519" i="13"/>
  <c r="BN529" i="13"/>
  <c r="BM535" i="13"/>
  <c r="BM531" i="13"/>
  <c r="BM527" i="13"/>
  <c r="BM523" i="13"/>
  <c r="BK537" i="13"/>
  <c r="BK529" i="13"/>
  <c r="BK523" i="13"/>
  <c r="BJ537" i="13"/>
  <c r="BJ517" i="13"/>
  <c r="BI533" i="13"/>
  <c r="BH537" i="13"/>
  <c r="BE521" i="13"/>
  <c r="BD529" i="13"/>
  <c r="BD521" i="13"/>
  <c r="BH536" i="13"/>
  <c r="BI536" i="13"/>
  <c r="BJ536" i="13"/>
  <c r="BK536" i="13"/>
  <c r="BD532" i="13"/>
  <c r="BF532" i="13"/>
  <c r="BI532" i="13"/>
  <c r="BH528" i="13"/>
  <c r="BI528" i="13"/>
  <c r="BD524" i="13"/>
  <c r="BI524" i="13"/>
  <c r="BE520" i="13"/>
  <c r="BI520" i="13"/>
  <c r="BJ520" i="13"/>
  <c r="BK520" i="13"/>
  <c r="AO535" i="13"/>
  <c r="AS535" i="13"/>
  <c r="AT535" i="13"/>
  <c r="AW535" i="13"/>
  <c r="BA535" i="13"/>
  <c r="AJ535" i="13"/>
  <c r="AK535" i="13"/>
  <c r="AL535" i="13"/>
  <c r="AU535" i="13"/>
  <c r="AY535" i="13"/>
  <c r="AI531" i="13"/>
  <c r="AJ531" i="13"/>
  <c r="AO531" i="13"/>
  <c r="AS531" i="13"/>
  <c r="AK531" i="13"/>
  <c r="AM531" i="13"/>
  <c r="AP531" i="13"/>
  <c r="AQ531" i="13"/>
  <c r="AT531" i="13"/>
  <c r="AW531" i="13"/>
  <c r="BA531" i="13"/>
  <c r="AU531" i="13"/>
  <c r="AY531" i="13"/>
  <c r="AM527" i="13"/>
  <c r="AO527" i="13"/>
  <c r="AS527" i="13"/>
  <c r="AI527" i="13"/>
  <c r="AL527" i="13"/>
  <c r="AT527" i="13"/>
  <c r="AW527" i="13"/>
  <c r="BA527" i="13"/>
  <c r="AU527" i="13"/>
  <c r="AY527" i="13"/>
  <c r="AI523" i="13"/>
  <c r="AJ523" i="13"/>
  <c r="AK523" i="13"/>
  <c r="AO523" i="13"/>
  <c r="AS523" i="13"/>
  <c r="AT523" i="13"/>
  <c r="AW523" i="13"/>
  <c r="BA523" i="13"/>
  <c r="AP523" i="13"/>
  <c r="AQ523" i="13"/>
  <c r="AY523" i="13"/>
  <c r="AO519" i="13"/>
  <c r="AS519" i="13"/>
  <c r="AI519" i="13"/>
  <c r="AJ519" i="13"/>
  <c r="AK519" i="13"/>
  <c r="AT519" i="13"/>
  <c r="AU519" i="13"/>
  <c r="AW519" i="13"/>
  <c r="BA519" i="13"/>
  <c r="AL519" i="13"/>
  <c r="AY519" i="13"/>
  <c r="BJ513" i="13"/>
  <c r="BJ509" i="13"/>
  <c r="BJ505" i="13"/>
  <c r="BJ501" i="13"/>
  <c r="BJ497" i="13"/>
  <c r="BJ493" i="13"/>
  <c r="BJ489" i="13"/>
  <c r="BJ485" i="13"/>
  <c r="BJ481" i="13"/>
  <c r="BJ477" i="13"/>
  <c r="BH513" i="13"/>
  <c r="BH509" i="13"/>
  <c r="BH505" i="13"/>
  <c r="BH501" i="13"/>
  <c r="BH497" i="13"/>
  <c r="BH493" i="13"/>
  <c r="BH489" i="13"/>
  <c r="BH485" i="13"/>
  <c r="BH481" i="13"/>
  <c r="BH477" i="13"/>
  <c r="BF509" i="13"/>
  <c r="BF501" i="13"/>
  <c r="BF493" i="13"/>
  <c r="BF485" i="13"/>
  <c r="BF477" i="13"/>
  <c r="BD511" i="13"/>
  <c r="BF511" i="13"/>
  <c r="BF503" i="13"/>
  <c r="BD503" i="13"/>
  <c r="BD495" i="13"/>
  <c r="BF495" i="13"/>
  <c r="BF487" i="13"/>
  <c r="BD487" i="13"/>
  <c r="BD479" i="13"/>
  <c r="BF479" i="13"/>
  <c r="AP534" i="13"/>
  <c r="AP530" i="13"/>
  <c r="AP526" i="13"/>
  <c r="AP522" i="13"/>
  <c r="AP518" i="13"/>
  <c r="BF514" i="13"/>
  <c r="BF510" i="13"/>
  <c r="BF506" i="13"/>
  <c r="BF502" i="13"/>
  <c r="BF498" i="13"/>
  <c r="BF494" i="13"/>
  <c r="BF490" i="13"/>
  <c r="BF486" i="13"/>
  <c r="BF482" i="13"/>
  <c r="BF478" i="13"/>
  <c r="BV362" i="13"/>
  <c r="BF362" i="13"/>
  <c r="BR338" i="13"/>
  <c r="BO342" i="13"/>
  <c r="BN342" i="13"/>
  <c r="BK369" i="13"/>
  <c r="BH369" i="13"/>
  <c r="BI353" i="13"/>
  <c r="BN353" i="13"/>
  <c r="BN338" i="13"/>
  <c r="BM338" i="13"/>
  <c r="BI342" i="13"/>
  <c r="BE370" i="13"/>
  <c r="BF364" i="13"/>
  <c r="BD364" i="13"/>
  <c r="BF348" i="13"/>
  <c r="BD348" i="13"/>
  <c r="AR338" i="13"/>
  <c r="AN347" i="13"/>
  <c r="AM365" i="13"/>
  <c r="AX365" i="13"/>
  <c r="AP361" i="13"/>
  <c r="AW361" i="13"/>
  <c r="AY361" i="13"/>
  <c r="AM357" i="13"/>
  <c r="AN357" i="13"/>
  <c r="AR357" i="13"/>
  <c r="AU357" i="13"/>
  <c r="AX357" i="13"/>
  <c r="AJ353" i="13"/>
  <c r="AO353" i="13"/>
  <c r="AP353" i="13"/>
  <c r="AS353" i="13"/>
  <c r="AT353" i="13"/>
  <c r="AL349" i="13"/>
  <c r="AW349" i="13"/>
  <c r="AX349" i="13"/>
  <c r="AR344" i="13"/>
  <c r="AS344" i="13"/>
  <c r="AU344" i="13"/>
  <c r="AV344" i="13"/>
  <c r="AI340" i="13"/>
  <c r="AN340" i="13"/>
  <c r="AQ340" i="13"/>
  <c r="AW340" i="13"/>
  <c r="AX340" i="13"/>
  <c r="AM336" i="13"/>
  <c r="AP336" i="13"/>
  <c r="AR336" i="13"/>
  <c r="AV336" i="13"/>
  <c r="BF366" i="13"/>
  <c r="BE366" i="13"/>
  <c r="BJ366" i="13"/>
  <c r="BS338" i="13"/>
  <c r="BK338" i="13"/>
  <c r="BH370" i="13"/>
  <c r="BD354" i="13"/>
  <c r="BT366" i="13"/>
  <c r="BR370" i="13"/>
  <c r="BO338" i="13"/>
  <c r="BF354" i="13"/>
  <c r="BE338" i="13"/>
  <c r="BE340" i="13"/>
  <c r="BO340" i="13"/>
  <c r="BV340" i="13"/>
  <c r="BU370" i="13"/>
  <c r="BU345" i="13"/>
  <c r="BS368" i="13"/>
  <c r="BR366" i="13"/>
  <c r="BP337" i="13"/>
  <c r="BO336" i="13"/>
  <c r="BN337" i="13"/>
  <c r="BL369" i="13"/>
  <c r="BL340" i="13"/>
  <c r="BJ370" i="13"/>
  <c r="BI340" i="13"/>
  <c r="BG356" i="13"/>
  <c r="BF350" i="13"/>
  <c r="BA361" i="13"/>
  <c r="BA353" i="13"/>
  <c r="BA340" i="13"/>
  <c r="AZ365" i="13"/>
  <c r="AZ344" i="13"/>
  <c r="AY365" i="13"/>
  <c r="AY353" i="13"/>
  <c r="AY340" i="13"/>
  <c r="AX353" i="13"/>
  <c r="AW357" i="13"/>
  <c r="AW351" i="13"/>
  <c r="AW336" i="13"/>
  <c r="AV357" i="13"/>
  <c r="AU365" i="13"/>
  <c r="AU336" i="13"/>
  <c r="AT336" i="13"/>
  <c r="AS357" i="13"/>
  <c r="AS340" i="13"/>
  <c r="AR365" i="13"/>
  <c r="AR349" i="13"/>
  <c r="AQ369" i="13"/>
  <c r="AP369" i="13"/>
  <c r="AN365" i="13"/>
  <c r="AN336" i="13"/>
  <c r="AL357" i="13"/>
  <c r="AK344" i="13"/>
  <c r="AI369" i="13"/>
  <c r="AI353" i="13"/>
  <c r="AJ368" i="13"/>
  <c r="AK368" i="13"/>
  <c r="AV368" i="13"/>
  <c r="AZ368" i="13"/>
  <c r="AP364" i="13"/>
  <c r="AV364" i="13"/>
  <c r="BA364" i="13"/>
  <c r="AV360" i="13"/>
  <c r="AQ360" i="13"/>
  <c r="AZ360" i="13"/>
  <c r="AR356" i="13"/>
  <c r="BA356" i="13"/>
  <c r="AV352" i="13"/>
  <c r="AZ352" i="13"/>
  <c r="AU348" i="13"/>
  <c r="AK348" i="13"/>
  <c r="AL343" i="13"/>
  <c r="AZ343" i="13"/>
  <c r="AJ339" i="13"/>
  <c r="BA339" i="13"/>
  <c r="AS335" i="13"/>
  <c r="AU335" i="13"/>
  <c r="AZ335" i="13"/>
  <c r="BP370" i="13"/>
  <c r="BL370" i="13"/>
  <c r="BM370" i="13"/>
  <c r="BI354" i="13"/>
  <c r="BL354" i="13"/>
  <c r="BG350" i="13"/>
  <c r="BU350" i="13"/>
  <c r="BD346" i="13"/>
  <c r="BQ346" i="13"/>
  <c r="BG342" i="13"/>
  <c r="BE342" i="13"/>
  <c r="BF342" i="13"/>
  <c r="BK342" i="13"/>
  <c r="BR342" i="13"/>
  <c r="BS342" i="13"/>
  <c r="AJ367" i="13"/>
  <c r="AS367" i="13"/>
  <c r="AY367" i="13"/>
  <c r="AV355" i="13"/>
  <c r="AW355" i="13"/>
  <c r="AI351" i="13"/>
  <c r="BA351" i="13"/>
  <c r="AS342" i="13"/>
  <c r="AT342" i="13"/>
  <c r="AK338" i="13"/>
  <c r="AY338" i="13"/>
  <c r="BE341" i="13"/>
  <c r="BI341" i="13"/>
  <c r="AW347" i="13"/>
  <c r="AV363" i="13"/>
  <c r="AU367" i="13"/>
  <c r="BK230" i="13"/>
  <c r="BG230" i="13"/>
  <c r="BF226" i="13"/>
  <c r="BE226" i="13"/>
  <c r="AI325" i="13"/>
  <c r="AT325" i="13"/>
  <c r="AZ325" i="13"/>
  <c r="AQ325" i="13"/>
  <c r="AW325" i="13"/>
  <c r="AL325" i="13"/>
  <c r="AR325" i="13"/>
  <c r="BA325" i="13"/>
  <c r="AP321" i="13"/>
  <c r="AN321" i="13"/>
  <c r="AV321" i="13"/>
  <c r="BH325" i="13"/>
  <c r="BK325" i="13"/>
  <c r="BO325" i="13"/>
  <c r="BP325" i="13"/>
  <c r="BR325" i="13"/>
  <c r="BU325" i="13"/>
  <c r="BJ325" i="13"/>
  <c r="BE321" i="13"/>
  <c r="BR321" i="13"/>
  <c r="BU321" i="13"/>
  <c r="BJ321" i="13"/>
  <c r="BN321" i="13"/>
  <c r="BF321" i="13"/>
  <c r="BL321" i="13"/>
  <c r="BO321" i="13"/>
  <c r="BQ321" i="13"/>
  <c r="BV321" i="13"/>
  <c r="AI539" i="13"/>
  <c r="AJ539" i="13"/>
  <c r="AP539" i="13"/>
  <c r="AV539" i="13"/>
  <c r="AM539" i="13"/>
  <c r="AX539" i="13"/>
  <c r="AR539" i="13"/>
  <c r="AS539" i="13"/>
  <c r="AZ539" i="13"/>
  <c r="AK439" i="13"/>
  <c r="AL439" i="13"/>
  <c r="BT230" i="13"/>
  <c r="BQ230" i="13"/>
  <c r="BN230" i="13"/>
  <c r="BI230" i="13"/>
  <c r="BG226" i="13"/>
  <c r="BT325" i="13"/>
  <c r="BH321" i="13"/>
  <c r="AW321" i="13"/>
  <c r="AN439" i="13"/>
  <c r="BT226" i="13"/>
  <c r="BP230" i="13"/>
  <c r="BL230" i="13"/>
  <c r="BE230" i="13"/>
  <c r="AY325" i="13"/>
  <c r="BD440" i="13"/>
  <c r="BI440" i="13"/>
  <c r="BU440" i="13"/>
  <c r="BV440" i="13"/>
  <c r="BT436" i="13"/>
  <c r="BI436" i="13"/>
  <c r="BL436" i="13"/>
  <c r="BU436" i="13"/>
  <c r="BT432" i="13"/>
  <c r="BO432" i="13"/>
  <c r="BK428" i="13"/>
  <c r="BF428" i="13"/>
  <c r="BN428" i="13"/>
  <c r="BA539" i="13"/>
  <c r="AO539" i="13"/>
  <c r="AV431" i="13"/>
  <c r="AS435" i="13"/>
  <c r="AO431" i="13"/>
  <c r="AN431" i="13"/>
  <c r="AK431" i="13"/>
  <c r="BU414" i="13"/>
  <c r="BT422" i="13"/>
  <c r="BR406" i="13"/>
  <c r="BQ422" i="13"/>
  <c r="BP390" i="13"/>
  <c r="BN406" i="13"/>
  <c r="BM422" i="13"/>
  <c r="BH402" i="13"/>
  <c r="BH390" i="13"/>
  <c r="BF406" i="13"/>
  <c r="BF394" i="13"/>
  <c r="BE422" i="13"/>
  <c r="BA405" i="13"/>
  <c r="AX401" i="13"/>
  <c r="AW421" i="13"/>
  <c r="AW417" i="13"/>
  <c r="AW413" i="13"/>
  <c r="AW397" i="13"/>
  <c r="AW393" i="13"/>
  <c r="AV409" i="13"/>
  <c r="AV401" i="13"/>
  <c r="AU417" i="13"/>
  <c r="AU397" i="13"/>
  <c r="AU393" i="13"/>
  <c r="AT413" i="13"/>
  <c r="AR401" i="13"/>
  <c r="AP405" i="13"/>
  <c r="AO421" i="13"/>
  <c r="AO399" i="13"/>
  <c r="AO394" i="13"/>
  <c r="AN421" i="13"/>
  <c r="AN414" i="13"/>
  <c r="AN403" i="13"/>
  <c r="AN390" i="13"/>
  <c r="AM421" i="13"/>
  <c r="AM417" i="13"/>
  <c r="AM397" i="13"/>
  <c r="AM390" i="13"/>
  <c r="AL423" i="13"/>
  <c r="AL419" i="13"/>
  <c r="AL414" i="13"/>
  <c r="AL397" i="13"/>
  <c r="AK423" i="13"/>
  <c r="AK418" i="13"/>
  <c r="AK399" i="13"/>
  <c r="AJ421" i="13"/>
  <c r="AJ414" i="13"/>
  <c r="AJ405" i="13"/>
  <c r="AJ391" i="13"/>
  <c r="AI418" i="13"/>
  <c r="AI402" i="13"/>
  <c r="BR288" i="13"/>
  <c r="AY286" i="13"/>
  <c r="AX315" i="13"/>
  <c r="BH441" i="13"/>
  <c r="BA438" i="13"/>
  <c r="AZ538" i="13"/>
  <c r="AY538" i="13"/>
  <c r="AW435" i="13"/>
  <c r="AW426" i="13"/>
  <c r="AV426" i="13"/>
  <c r="AS538" i="13"/>
  <c r="AS434" i="13"/>
  <c r="AR538" i="13"/>
  <c r="AR431" i="13"/>
  <c r="AR427" i="13"/>
  <c r="AL431" i="13"/>
  <c r="AJ427" i="13"/>
  <c r="BT410" i="13"/>
  <c r="BP410" i="13"/>
  <c r="BO422" i="13"/>
  <c r="BN422" i="13"/>
  <c r="BM414" i="13"/>
  <c r="BL398" i="13"/>
  <c r="BJ410" i="13"/>
  <c r="BJ394" i="13"/>
  <c r="BI414" i="13"/>
  <c r="BH410" i="13"/>
  <c r="BG422" i="13"/>
  <c r="BF422" i="13"/>
  <c r="BD422" i="13"/>
  <c r="BA421" i="13"/>
  <c r="BA417" i="13"/>
  <c r="BA413" i="13"/>
  <c r="AZ397" i="13"/>
  <c r="AZ393" i="13"/>
  <c r="AY401" i="13"/>
  <c r="AX421" i="13"/>
  <c r="AX417" i="13"/>
  <c r="AX405" i="13"/>
  <c r="AW401" i="13"/>
  <c r="AT405" i="13"/>
  <c r="AT397" i="13"/>
  <c r="AT393" i="13"/>
  <c r="AS397" i="13"/>
  <c r="AS393" i="13"/>
  <c r="AR417" i="13"/>
  <c r="AQ401" i="13"/>
  <c r="AQ397" i="13"/>
  <c r="AQ393" i="13"/>
  <c r="AP401" i="13"/>
  <c r="AP397" i="13"/>
  <c r="AP393" i="13"/>
  <c r="AO393" i="13"/>
  <c r="AM401" i="13"/>
  <c r="AM389" i="13"/>
  <c r="AJ397" i="13"/>
  <c r="AI417" i="13"/>
  <c r="BD535" i="13"/>
  <c r="BH535" i="13"/>
  <c r="BL535" i="13"/>
  <c r="BP535" i="13"/>
  <c r="BJ535" i="13"/>
  <c r="BN535" i="13"/>
  <c r="BR535" i="13"/>
  <c r="BV535" i="13"/>
  <c r="BD531" i="13"/>
  <c r="BH531" i="13"/>
  <c r="BL531" i="13"/>
  <c r="BP531" i="13"/>
  <c r="BE531" i="13"/>
  <c r="BF531" i="13"/>
  <c r="BJ531" i="13"/>
  <c r="BN531" i="13"/>
  <c r="BR531" i="13"/>
  <c r="BV531" i="13"/>
  <c r="BD527" i="13"/>
  <c r="BH527" i="13"/>
  <c r="BE527" i="13"/>
  <c r="BF527" i="13"/>
  <c r="BL527" i="13"/>
  <c r="BP527" i="13"/>
  <c r="BJ527" i="13"/>
  <c r="BN527" i="13"/>
  <c r="BR527" i="13"/>
  <c r="BV527" i="13"/>
  <c r="BD523" i="13"/>
  <c r="BH523" i="13"/>
  <c r="BE523" i="13"/>
  <c r="BF523" i="13"/>
  <c r="BL523" i="13"/>
  <c r="BP523" i="13"/>
  <c r="BJ523" i="13"/>
  <c r="BN523" i="13"/>
  <c r="BR523" i="13"/>
  <c r="BV523" i="13"/>
  <c r="BD519" i="13"/>
  <c r="BH519" i="13"/>
  <c r="BL519" i="13"/>
  <c r="BP519" i="13"/>
  <c r="BJ519" i="13"/>
  <c r="BN519" i="13"/>
  <c r="BR519" i="13"/>
  <c r="BV519" i="13"/>
  <c r="BA320" i="13"/>
  <c r="AT320" i="13"/>
  <c r="AQ315" i="13"/>
  <c r="AL320" i="13"/>
  <c r="BI431" i="13"/>
  <c r="BF427" i="13"/>
  <c r="BA435" i="13"/>
  <c r="AZ434" i="13"/>
  <c r="AX431" i="13"/>
  <c r="AW434" i="13"/>
  <c r="AT431" i="13"/>
  <c r="AS438" i="13"/>
  <c r="AS431" i="13"/>
  <c r="AR435" i="13"/>
  <c r="AR430" i="13"/>
  <c r="AL438" i="13"/>
  <c r="AL430" i="13"/>
  <c r="BV414" i="13"/>
  <c r="BR414" i="13"/>
  <c r="BP422" i="13"/>
  <c r="BP394" i="13"/>
  <c r="BJ406" i="13"/>
  <c r="BH394" i="13"/>
  <c r="BF414" i="13"/>
  <c r="BF402" i="13"/>
  <c r="BA397" i="13"/>
  <c r="BA393" i="13"/>
  <c r="AZ401" i="13"/>
  <c r="AY421" i="13"/>
  <c r="AY417" i="13"/>
  <c r="AY405" i="13"/>
  <c r="AX397" i="13"/>
  <c r="AX393" i="13"/>
  <c r="AV405" i="13"/>
  <c r="AV397" i="13"/>
  <c r="AV393" i="13"/>
  <c r="AU401" i="13"/>
  <c r="AT421" i="13"/>
  <c r="AS413" i="13"/>
  <c r="AS405" i="13"/>
  <c r="AR405" i="13"/>
  <c r="AR397" i="13"/>
  <c r="AR393" i="13"/>
  <c r="AO401" i="13"/>
  <c r="AO397" i="13"/>
  <c r="AN401" i="13"/>
  <c r="AL421" i="13"/>
  <c r="AL401" i="13"/>
  <c r="AK421" i="13"/>
  <c r="AJ409" i="13"/>
  <c r="AJ389" i="13"/>
  <c r="AN398" i="13"/>
  <c r="AI398" i="13"/>
  <c r="BE519" i="13"/>
  <c r="AI393" i="13"/>
  <c r="AJ393" i="13"/>
  <c r="BT537" i="13"/>
  <c r="BT533" i="13"/>
  <c r="BT529" i="13"/>
  <c r="BT525" i="13"/>
  <c r="BT521" i="13"/>
  <c r="BT517" i="13"/>
  <c r="BS534" i="13"/>
  <c r="BS530" i="13"/>
  <c r="BS526" i="13"/>
  <c r="BS522" i="13"/>
  <c r="BS518" i="13"/>
  <c r="BP537" i="13"/>
  <c r="BP533" i="13"/>
  <c r="BP529" i="13"/>
  <c r="BP525" i="13"/>
  <c r="BP521" i="13"/>
  <c r="BP517" i="13"/>
  <c r="BO534" i="13"/>
  <c r="BO530" i="13"/>
  <c r="BO526" i="13"/>
  <c r="BO522" i="13"/>
  <c r="BO518" i="13"/>
  <c r="BL537" i="13"/>
  <c r="BL533" i="13"/>
  <c r="BL529" i="13"/>
  <c r="BL525" i="13"/>
  <c r="BL521" i="13"/>
  <c r="BL517" i="13"/>
  <c r="BK534" i="13"/>
  <c r="BK530" i="13"/>
  <c r="BK526" i="13"/>
  <c r="BK522" i="13"/>
  <c r="BH530" i="13"/>
  <c r="BH525" i="13"/>
  <c r="BF526" i="13"/>
  <c r="BE525" i="13"/>
  <c r="BD530" i="13"/>
  <c r="BD525" i="13"/>
  <c r="BH533" i="13"/>
  <c r="BE533" i="13"/>
  <c r="BE517" i="13"/>
  <c r="BD533" i="13"/>
  <c r="BD517" i="13"/>
  <c r="BE518" i="13"/>
  <c r="BI518" i="13"/>
  <c r="AK534" i="13"/>
  <c r="AK530" i="13"/>
  <c r="AK526" i="13"/>
  <c r="AK522" i="13"/>
  <c r="AK518" i="13"/>
  <c r="AJ534" i="13"/>
  <c r="AJ530" i="13"/>
  <c r="AJ526" i="13"/>
  <c r="AJ522" i="13"/>
  <c r="AJ518" i="13"/>
  <c r="AM534" i="13"/>
  <c r="AM530" i="13"/>
  <c r="AM526" i="13"/>
  <c r="AM522" i="13"/>
  <c r="AM518" i="13"/>
  <c r="AO441" i="13"/>
  <c r="AZ441" i="13"/>
  <c r="BA440" i="13"/>
  <c r="AT440" i="13"/>
  <c r="BF440" i="13"/>
  <c r="AW440" i="13"/>
  <c r="AS440" i="13"/>
  <c r="AL440" i="13"/>
  <c r="AQ440" i="13"/>
  <c r="AO440" i="13"/>
  <c r="BP439" i="13"/>
  <c r="BD439" i="13"/>
  <c r="AV439" i="13"/>
  <c r="AT439" i="13"/>
  <c r="AR439" i="13"/>
  <c r="AO439" i="13"/>
  <c r="AM439" i="13"/>
  <c r="AZ439" i="13"/>
  <c r="AX439" i="13"/>
  <c r="AW439" i="13"/>
  <c r="AJ439" i="13"/>
  <c r="AI439" i="13"/>
  <c r="BS438" i="13"/>
  <c r="BQ438" i="13"/>
  <c r="BK438" i="13"/>
  <c r="AV438" i="13"/>
  <c r="AR437" i="13"/>
  <c r="AW436" i="13"/>
  <c r="AT436" i="13"/>
  <c r="BA436" i="13"/>
  <c r="AU436" i="13"/>
  <c r="AL436" i="13"/>
  <c r="AY436" i="13"/>
  <c r="AX436" i="13"/>
  <c r="AV436" i="13"/>
  <c r="BI435" i="13"/>
  <c r="AP435" i="13"/>
  <c r="AJ435" i="13"/>
  <c r="AM435" i="13"/>
  <c r="AK435" i="13"/>
  <c r="AZ435" i="13"/>
  <c r="AX435" i="13"/>
  <c r="BV434" i="13"/>
  <c r="BR434" i="13"/>
  <c r="AY434" i="13"/>
  <c r="BA434" i="13"/>
  <c r="AV434" i="13"/>
  <c r="BV433" i="13"/>
  <c r="BU433" i="13"/>
  <c r="BP433" i="13"/>
  <c r="BI433" i="13"/>
  <c r="BT433" i="13"/>
  <c r="BQ433" i="13"/>
  <c r="BN433" i="13"/>
  <c r="BH433" i="13"/>
  <c r="BF433" i="13"/>
  <c r="AZ433" i="13"/>
  <c r="BA432" i="13"/>
  <c r="AV432" i="13"/>
  <c r="AU432" i="13"/>
  <c r="AT432" i="13"/>
  <c r="AR432" i="13"/>
  <c r="AK432" i="13"/>
  <c r="AZ432" i="13"/>
  <c r="AY432" i="13"/>
  <c r="AS432" i="13"/>
  <c r="BH431" i="13"/>
  <c r="AM431" i="13"/>
  <c r="BO431" i="13"/>
  <c r="BA430" i="13"/>
  <c r="AY430" i="13"/>
  <c r="BU429" i="13"/>
  <c r="AZ429" i="13"/>
  <c r="BV429" i="13"/>
  <c r="BP429" i="13"/>
  <c r="BN429" i="13"/>
  <c r="BI429" i="13"/>
  <c r="AV430" i="13"/>
  <c r="AZ430" i="13"/>
  <c r="AW430" i="13"/>
  <c r="AS430" i="13"/>
  <c r="BV428" i="13"/>
  <c r="BS428" i="13"/>
  <c r="AZ428" i="13"/>
  <c r="AX428" i="13"/>
  <c r="AN428" i="13"/>
  <c r="AY428" i="13"/>
  <c r="AV428" i="13"/>
  <c r="AU428" i="13"/>
  <c r="AQ428" i="13"/>
  <c r="AP428" i="13"/>
  <c r="BK427" i="13"/>
  <c r="BI427" i="13"/>
  <c r="AX427" i="13"/>
  <c r="AP427" i="13"/>
  <c r="BA427" i="13"/>
  <c r="AV427" i="13"/>
  <c r="AZ427" i="13"/>
  <c r="AS427" i="13"/>
  <c r="AO427" i="13"/>
  <c r="AM427" i="13"/>
  <c r="AK427" i="13"/>
  <c r="BA426" i="13"/>
  <c r="AR426" i="13"/>
  <c r="AL426" i="13"/>
  <c r="AR425" i="13"/>
  <c r="AZ425" i="13"/>
  <c r="BK424" i="13"/>
  <c r="BT424" i="13"/>
  <c r="BN424" i="13"/>
  <c r="AZ423" i="13"/>
  <c r="AY423" i="13"/>
  <c r="AX423" i="13"/>
  <c r="AW423" i="13"/>
  <c r="AR423" i="13"/>
  <c r="AJ423" i="13"/>
  <c r="AU423" i="13"/>
  <c r="AQ423" i="13"/>
  <c r="AV421" i="13"/>
  <c r="AU421" i="13"/>
  <c r="AS421" i="13"/>
  <c r="AR421" i="13"/>
  <c r="BP420" i="13"/>
  <c r="AT420" i="13"/>
  <c r="AO420" i="13"/>
  <c r="BV420" i="13"/>
  <c r="BR420" i="13"/>
  <c r="BG420" i="13"/>
  <c r="BK418" i="13"/>
  <c r="BS418" i="13"/>
  <c r="BQ418" i="13"/>
  <c r="BM418" i="13"/>
  <c r="BH418" i="13"/>
  <c r="BG418" i="13"/>
  <c r="BD418" i="13"/>
  <c r="BT418" i="13"/>
  <c r="BR418" i="13"/>
  <c r="BP418" i="13"/>
  <c r="BO418" i="13"/>
  <c r="BL418" i="13"/>
  <c r="BJ418" i="13"/>
  <c r="BV418" i="13"/>
  <c r="BF418" i="13"/>
  <c r="AV418" i="13"/>
  <c r="AZ417" i="13"/>
  <c r="AV417" i="13"/>
  <c r="AT417" i="13"/>
  <c r="AS417" i="13"/>
  <c r="AQ417" i="13"/>
  <c r="AN417" i="13"/>
  <c r="AL417" i="13"/>
  <c r="AK417" i="13"/>
  <c r="BU416" i="13"/>
  <c r="BF416" i="13"/>
  <c r="AY415" i="13"/>
  <c r="AV415" i="13"/>
  <c r="AN415" i="13"/>
  <c r="AK415" i="13"/>
  <c r="AZ415" i="13"/>
  <c r="AR415" i="13"/>
  <c r="AQ415" i="13"/>
  <c r="AO415" i="13"/>
  <c r="BT414" i="13"/>
  <c r="BK414" i="13"/>
  <c r="BG414" i="13"/>
  <c r="AO413" i="13"/>
  <c r="AL413" i="13"/>
  <c r="AK413" i="13"/>
  <c r="AQ413" i="13"/>
  <c r="AP413" i="13"/>
  <c r="AJ413" i="13"/>
  <c r="AZ413" i="13"/>
  <c r="AX413" i="13"/>
  <c r="AV413" i="13"/>
  <c r="AU413" i="13"/>
  <c r="AR413" i="13"/>
  <c r="AI413" i="13"/>
  <c r="AY413" i="13"/>
  <c r="AN413" i="13"/>
  <c r="BL411" i="13"/>
  <c r="BG411" i="13"/>
  <c r="BA411" i="13"/>
  <c r="AZ411" i="13"/>
  <c r="AY411" i="13"/>
  <c r="AW411" i="13"/>
  <c r="AV411" i="13"/>
  <c r="AT411" i="13"/>
  <c r="AQ411" i="13"/>
  <c r="AJ411" i="13"/>
  <c r="BV411" i="13"/>
  <c r="BU411" i="13"/>
  <c r="BT411" i="13"/>
  <c r="BN411" i="13"/>
  <c r="BM411" i="13"/>
  <c r="BK411" i="13"/>
  <c r="BI411" i="13"/>
  <c r="BH411" i="13"/>
  <c r="AR411" i="13"/>
  <c r="AN411" i="13"/>
  <c r="AL411" i="13"/>
  <c r="BU357" i="13"/>
  <c r="BU341" i="13"/>
  <c r="BS345" i="13"/>
  <c r="BS337" i="13"/>
  <c r="BR345" i="13"/>
  <c r="BQ337" i="13"/>
  <c r="BO339" i="13"/>
  <c r="BO335" i="13"/>
  <c r="BL345" i="13"/>
  <c r="BK361" i="13"/>
  <c r="BK337" i="13"/>
  <c r="BJ345" i="13"/>
  <c r="BI361" i="13"/>
  <c r="BG353" i="13"/>
  <c r="BF345" i="13"/>
  <c r="BF337" i="13"/>
  <c r="BE345" i="13"/>
  <c r="BE337" i="13"/>
  <c r="BD365" i="13"/>
  <c r="BD353" i="13"/>
  <c r="BD349" i="13"/>
  <c r="BA354" i="13"/>
  <c r="BA350" i="13"/>
  <c r="AY362" i="13"/>
  <c r="AW345" i="13"/>
  <c r="AT370" i="13"/>
  <c r="AT337" i="13"/>
  <c r="AS366" i="13"/>
  <c r="AS345" i="13"/>
  <c r="AR366" i="13"/>
  <c r="AN370" i="13"/>
  <c r="AI362" i="13"/>
  <c r="AI345" i="13"/>
  <c r="AJ369" i="13"/>
  <c r="AL369" i="13"/>
  <c r="AN369" i="13"/>
  <c r="AT365" i="13"/>
  <c r="AI365" i="13"/>
  <c r="AO365" i="13"/>
  <c r="AJ361" i="13"/>
  <c r="AL361" i="13"/>
  <c r="AJ344" i="13"/>
  <c r="AN344" i="13"/>
  <c r="AO344" i="13"/>
  <c r="AJ336" i="13"/>
  <c r="AL336" i="13"/>
  <c r="AY226" i="13"/>
  <c r="AM227" i="13"/>
  <c r="AK227" i="13"/>
  <c r="BV357" i="13"/>
  <c r="BV341" i="13"/>
  <c r="BV337" i="13"/>
  <c r="BU369" i="13"/>
  <c r="BT341" i="13"/>
  <c r="BP361" i="13"/>
  <c r="BN341" i="13"/>
  <c r="BM365" i="13"/>
  <c r="BM337" i="13"/>
  <c r="BL341" i="13"/>
  <c r="BJ341" i="13"/>
  <c r="BH341" i="13"/>
  <c r="BG345" i="13"/>
  <c r="BE353" i="13"/>
  <c r="BU337" i="13"/>
  <c r="BS341" i="13"/>
  <c r="BR368" i="13"/>
  <c r="BR341" i="13"/>
  <c r="BQ353" i="13"/>
  <c r="BP353" i="13"/>
  <c r="BO341" i="13"/>
  <c r="BO337" i="13"/>
  <c r="BN365" i="13"/>
  <c r="BK341" i="13"/>
  <c r="BI369" i="13"/>
  <c r="BG369" i="13"/>
  <c r="BG341" i="13"/>
  <c r="BF341" i="13"/>
  <c r="BE352" i="13"/>
  <c r="BD369" i="13"/>
  <c r="BD355" i="13"/>
  <c r="BD351" i="13"/>
  <c r="BA362" i="13"/>
  <c r="AY337" i="13"/>
  <c r="AW362" i="13"/>
  <c r="AW341" i="13"/>
  <c r="AT366" i="13"/>
  <c r="AT341" i="13"/>
  <c r="AR370" i="13"/>
  <c r="AQ365" i="13"/>
  <c r="AQ353" i="13"/>
  <c r="AP365" i="13"/>
  <c r="AP344" i="13"/>
  <c r="AO340" i="13"/>
  <c r="AM344" i="13"/>
  <c r="AL365" i="13"/>
  <c r="AL353" i="13"/>
  <c r="AK369" i="13"/>
  <c r="AK353" i="13"/>
  <c r="AK340" i="13"/>
  <c r="AJ357" i="13"/>
  <c r="AJ340" i="13"/>
  <c r="AI357" i="13"/>
  <c r="AI336" i="13"/>
  <c r="BE234" i="13"/>
  <c r="BM234" i="13"/>
  <c r="AP362" i="13"/>
  <c r="AK362" i="13"/>
  <c r="AK354" i="13"/>
  <c r="AI354" i="13"/>
  <c r="AN354" i="13"/>
  <c r="AP350" i="13"/>
  <c r="AL350" i="13"/>
  <c r="AV337" i="13"/>
  <c r="AP337" i="13"/>
  <c r="BE228" i="13"/>
  <c r="BV228" i="13"/>
  <c r="AY227" i="13"/>
  <c r="BH538" i="13"/>
  <c r="BG538" i="13"/>
  <c r="BI538" i="13"/>
  <c r="BR538" i="13"/>
  <c r="BH438" i="13"/>
  <c r="BI438" i="13"/>
  <c r="BU438" i="13"/>
  <c r="BH434" i="13"/>
  <c r="BD434" i="13"/>
  <c r="BI434" i="13"/>
  <c r="BS434" i="13"/>
  <c r="BD430" i="13"/>
  <c r="BI430" i="13"/>
  <c r="BM430" i="13"/>
  <c r="BO430" i="13"/>
  <c r="BV430" i="13"/>
  <c r="BL426" i="13"/>
  <c r="BG426" i="13"/>
  <c r="BI426" i="13"/>
  <c r="BK426" i="13"/>
  <c r="BR426" i="13"/>
  <c r="BQ405" i="13"/>
  <c r="BP405" i="13"/>
  <c r="BL421" i="13"/>
  <c r="BJ421" i="13"/>
  <c r="BP421" i="13"/>
  <c r="BF421" i="13"/>
  <c r="BH421" i="13"/>
  <c r="BE421" i="13"/>
  <c r="BN421" i="13"/>
  <c r="BE417" i="13"/>
  <c r="BD417" i="13"/>
  <c r="BF417" i="13"/>
  <c r="BP417" i="13"/>
  <c r="BH413" i="13"/>
  <c r="BN413" i="13"/>
  <c r="BT413" i="13"/>
  <c r="BF413" i="13"/>
  <c r="BL413" i="13"/>
  <c r="BD413" i="13"/>
  <c r="BE413" i="13"/>
  <c r="BF409" i="13"/>
  <c r="BJ409" i="13"/>
  <c r="BL409" i="13"/>
  <c r="BM409" i="13"/>
  <c r="BR409" i="13"/>
  <c r="BI409" i="13"/>
  <c r="BK409" i="13"/>
  <c r="BM405" i="13"/>
  <c r="BG405" i="13"/>
  <c r="BH405" i="13"/>
  <c r="BI405" i="13"/>
  <c r="BS405" i="13"/>
  <c r="BT405" i="13"/>
  <c r="BL405" i="13"/>
  <c r="BI401" i="13"/>
  <c r="BP401" i="13"/>
  <c r="BV401" i="13"/>
  <c r="BO401" i="13"/>
  <c r="BR401" i="13"/>
  <c r="BG401" i="13"/>
  <c r="BH401" i="13"/>
  <c r="BN401" i="13"/>
  <c r="BQ401" i="13"/>
  <c r="BU401" i="13"/>
  <c r="BG397" i="13"/>
  <c r="BK397" i="13"/>
  <c r="BG393" i="13"/>
  <c r="BL393" i="13"/>
  <c r="BM389" i="13"/>
  <c r="BG389" i="13"/>
  <c r="BH389" i="13"/>
  <c r="BQ389" i="13"/>
  <c r="BS389" i="13"/>
  <c r="BJ389" i="13"/>
  <c r="BA284" i="13"/>
  <c r="AP288" i="13"/>
  <c r="AX323" i="13"/>
  <c r="BV426" i="13"/>
  <c r="BU426" i="13"/>
  <c r="BS538" i="13"/>
  <c r="BR430" i="13"/>
  <c r="BO538" i="13"/>
  <c r="BM538" i="13"/>
  <c r="BK434" i="13"/>
  <c r="BG438" i="13"/>
  <c r="BE440" i="13"/>
  <c r="BP440" i="13"/>
  <c r="BG436" i="13"/>
  <c r="BE436" i="13"/>
  <c r="BH436" i="13"/>
  <c r="BJ436" i="13"/>
  <c r="BO436" i="13"/>
  <c r="BV436" i="13"/>
  <c r="BE432" i="13"/>
  <c r="BF432" i="13"/>
  <c r="BK432" i="13"/>
  <c r="BD428" i="13"/>
  <c r="BP428" i="13"/>
  <c r="BU428" i="13"/>
  <c r="BS409" i="13"/>
  <c r="BR405" i="13"/>
  <c r="BR389" i="13"/>
  <c r="BK405" i="13"/>
  <c r="BS226" i="13"/>
  <c r="BP226" i="13"/>
  <c r="BM230" i="13"/>
  <c r="BJ230" i="13"/>
  <c r="BH226" i="13"/>
  <c r="BF230" i="13"/>
  <c r="AZ284" i="13"/>
  <c r="AS284" i="13"/>
  <c r="AP284" i="13"/>
  <c r="AZ320" i="13"/>
  <c r="AV320" i="13"/>
  <c r="AZ323" i="13"/>
  <c r="AX322" i="13"/>
  <c r="AV325" i="13"/>
  <c r="AT321" i="13"/>
  <c r="AO325" i="13"/>
  <c r="AJ321" i="13"/>
  <c r="BV438" i="13"/>
  <c r="BV432" i="13"/>
  <c r="BU432" i="13"/>
  <c r="BS440" i="13"/>
  <c r="BS426" i="13"/>
  <c r="BQ538" i="13"/>
  <c r="BQ434" i="13"/>
  <c r="BQ426" i="13"/>
  <c r="BO438" i="13"/>
  <c r="BO426" i="13"/>
  <c r="BM438" i="13"/>
  <c r="BL440" i="13"/>
  <c r="BK430" i="13"/>
  <c r="BJ440" i="13"/>
  <c r="BI432" i="13"/>
  <c r="BG434" i="13"/>
  <c r="BE428" i="13"/>
  <c r="BU539" i="13"/>
  <c r="BK539" i="13"/>
  <c r="BS439" i="13"/>
  <c r="BN439" i="13"/>
  <c r="AI440" i="13"/>
  <c r="AK440" i="13"/>
  <c r="AP440" i="13"/>
  <c r="AJ440" i="13"/>
  <c r="AM440" i="13"/>
  <c r="AU440" i="13"/>
  <c r="AV440" i="13"/>
  <c r="AX440" i="13"/>
  <c r="AN436" i="13"/>
  <c r="AO436" i="13"/>
  <c r="AQ436" i="13"/>
  <c r="AI436" i="13"/>
  <c r="AK436" i="13"/>
  <c r="AJ432" i="13"/>
  <c r="AP432" i="13"/>
  <c r="AL432" i="13"/>
  <c r="AM432" i="13"/>
  <c r="AN432" i="13"/>
  <c r="AO432" i="13"/>
  <c r="AQ432" i="13"/>
  <c r="AW432" i="13"/>
  <c r="AX432" i="13"/>
  <c r="AL428" i="13"/>
  <c r="AS428" i="13"/>
  <c r="BA428" i="13"/>
  <c r="BT417" i="13"/>
  <c r="BT409" i="13"/>
  <c r="BR421" i="13"/>
  <c r="BR413" i="13"/>
  <c r="BQ409" i="13"/>
  <c r="BP397" i="13"/>
  <c r="BP389" i="13"/>
  <c r="BN417" i="13"/>
  <c r="BN409" i="13"/>
  <c r="BL417" i="13"/>
  <c r="BA439" i="13"/>
  <c r="AW539" i="13"/>
  <c r="AW427" i="13"/>
  <c r="AV435" i="13"/>
  <c r="AT539" i="13"/>
  <c r="AT435" i="13"/>
  <c r="AT427" i="13"/>
  <c r="AS439" i="13"/>
  <c r="AP439" i="13"/>
  <c r="AP431" i="13"/>
  <c r="AL539" i="13"/>
  <c r="AL427" i="13"/>
  <c r="BV424" i="13"/>
  <c r="BV400" i="13"/>
  <c r="BU412" i="13"/>
  <c r="BR424" i="13"/>
  <c r="BO416" i="13"/>
  <c r="BO400" i="13"/>
  <c r="BL420" i="13"/>
  <c r="BK420" i="13"/>
  <c r="BK422" i="13"/>
  <c r="BL422" i="13"/>
  <c r="BR422" i="13"/>
  <c r="BS422" i="13"/>
  <c r="BV422" i="13"/>
  <c r="BI418" i="13"/>
  <c r="BN418" i="13"/>
  <c r="BU418" i="13"/>
  <c r="BE414" i="13"/>
  <c r="BH414" i="13"/>
  <c r="BJ414" i="13"/>
  <c r="BL414" i="13"/>
  <c r="BO414" i="13"/>
  <c r="BQ414" i="13"/>
  <c r="BS414" i="13"/>
  <c r="BD410" i="13"/>
  <c r="BR410" i="13"/>
  <c r="BL406" i="13"/>
  <c r="BE406" i="13"/>
  <c r="BL390" i="13"/>
  <c r="BE390" i="13"/>
  <c r="BN390" i="13"/>
  <c r="BR390" i="13"/>
  <c r="BV390" i="13"/>
  <c r="BF424" i="13"/>
  <c r="BI424" i="13"/>
  <c r="BF420" i="13"/>
  <c r="BH420" i="13"/>
  <c r="BO420" i="13"/>
  <c r="BQ420" i="13"/>
  <c r="BT420" i="13"/>
  <c r="BI416" i="13"/>
  <c r="BG416" i="13"/>
  <c r="BM416" i="13"/>
  <c r="BP416" i="13"/>
  <c r="BR416" i="13"/>
  <c r="BV416" i="13"/>
  <c r="BD404" i="13"/>
  <c r="BQ404" i="13"/>
  <c r="BE392" i="13"/>
  <c r="BS392" i="13"/>
  <c r="BU392" i="13"/>
  <c r="AQ431" i="13"/>
  <c r="AI431" i="13"/>
  <c r="BV412" i="13"/>
  <c r="BV404" i="13"/>
  <c r="BU424" i="13"/>
  <c r="BS424" i="13"/>
  <c r="BS404" i="13"/>
  <c r="BQ424" i="13"/>
  <c r="BQ416" i="13"/>
  <c r="BM424" i="13"/>
  <c r="BL424" i="13"/>
  <c r="AJ424" i="13"/>
  <c r="AJ420" i="13"/>
  <c r="AJ416" i="13"/>
  <c r="AJ412" i="13"/>
  <c r="AJ396" i="13"/>
  <c r="AJ392" i="13"/>
  <c r="AJ388" i="13"/>
  <c r="AJ404" i="13"/>
  <c r="BA410" i="13"/>
  <c r="AY410" i="13"/>
  <c r="AV410" i="13"/>
  <c r="AO410" i="13"/>
  <c r="AK410" i="13"/>
  <c r="AZ410" i="13"/>
  <c r="AY409" i="13"/>
  <c r="AR409" i="13"/>
  <c r="AQ409" i="13"/>
  <c r="AP409" i="13"/>
  <c r="AO409" i="13"/>
  <c r="AZ409" i="13"/>
  <c r="AW409" i="13"/>
  <c r="AS409" i="13"/>
  <c r="AM409" i="13"/>
  <c r="BA409" i="13"/>
  <c r="AX409" i="13"/>
  <c r="AU409" i="13"/>
  <c r="AN409" i="13"/>
  <c r="AL409" i="13"/>
  <c r="BV408" i="13"/>
  <c r="AL408" i="13"/>
  <c r="BK408" i="13"/>
  <c r="BE408" i="13"/>
  <c r="AX408" i="13"/>
  <c r="AW408" i="13"/>
  <c r="AS408" i="13"/>
  <c r="AR408" i="13"/>
  <c r="AN408" i="13"/>
  <c r="AM408" i="13"/>
  <c r="AK408" i="13"/>
  <c r="BU408" i="13"/>
  <c r="AZ408" i="13"/>
  <c r="AY408" i="13"/>
  <c r="AT408" i="13"/>
  <c r="AQ408" i="13"/>
  <c r="AJ408" i="13"/>
  <c r="AV408" i="13"/>
  <c r="AU408" i="13"/>
  <c r="AN407" i="13"/>
  <c r="AR407" i="13"/>
  <c r="AP407" i="13"/>
  <c r="BA407" i="13"/>
  <c r="AZ407" i="13"/>
  <c r="AW407" i="13"/>
  <c r="AV407" i="13"/>
  <c r="AQ407" i="13"/>
  <c r="AL407" i="13"/>
  <c r="BQ407" i="13"/>
  <c r="BG407" i="13"/>
  <c r="BE407" i="13"/>
  <c r="AU407" i="13"/>
  <c r="AO407" i="13"/>
  <c r="AM407" i="13"/>
  <c r="AJ407" i="13"/>
  <c r="BU407" i="13"/>
  <c r="BT407" i="13"/>
  <c r="BN407" i="13"/>
  <c r="BM407" i="13"/>
  <c r="BD407" i="13"/>
  <c r="BF407" i="13"/>
  <c r="BR407" i="13"/>
  <c r="BO407" i="13"/>
  <c r="BK407" i="13"/>
  <c r="BJ407" i="13"/>
  <c r="BI407" i="13"/>
  <c r="AY407" i="13"/>
  <c r="AX407" i="13"/>
  <c r="AS407" i="13"/>
  <c r="AK407" i="13"/>
  <c r="BO359" i="13"/>
  <c r="AQ359" i="13"/>
  <c r="BA359" i="13"/>
  <c r="AW359" i="13"/>
  <c r="AV358" i="13"/>
  <c r="BA358" i="13"/>
  <c r="AR358" i="13"/>
  <c r="AY358" i="13"/>
  <c r="AW358" i="13"/>
  <c r="AS358" i="13"/>
  <c r="BA406" i="13"/>
  <c r="AW406" i="13"/>
  <c r="AR406" i="13"/>
  <c r="AM406" i="13"/>
  <c r="AL406" i="13"/>
  <c r="AK406" i="13"/>
  <c r="AI406" i="13"/>
  <c r="AY406" i="13"/>
  <c r="AU406" i="13"/>
  <c r="AT406" i="13"/>
  <c r="AS406" i="13"/>
  <c r="AO406" i="13"/>
  <c r="AO405" i="13"/>
  <c r="BV405" i="13"/>
  <c r="BO405" i="13"/>
  <c r="AZ404" i="13"/>
  <c r="AX404" i="13"/>
  <c r="AV404" i="13"/>
  <c r="AS404" i="13"/>
  <c r="AO404" i="13"/>
  <c r="AK404" i="13"/>
  <c r="BA404" i="13"/>
  <c r="AY404" i="13"/>
  <c r="AW404" i="13"/>
  <c r="AU404" i="13"/>
  <c r="AP404" i="13"/>
  <c r="AN404" i="13"/>
  <c r="AT404" i="13"/>
  <c r="AR404" i="13"/>
  <c r="AQ404" i="13"/>
  <c r="AS403" i="13"/>
  <c r="AR403" i="13"/>
  <c r="AP403" i="13"/>
  <c r="AM403" i="13"/>
  <c r="BV403" i="13"/>
  <c r="BO403" i="13"/>
  <c r="BM403" i="13"/>
  <c r="BL403" i="13"/>
  <c r="BK403" i="13"/>
  <c r="BT402" i="13"/>
  <c r="BP402" i="13"/>
  <c r="BN402" i="13"/>
  <c r="BL402" i="13"/>
  <c r="AV402" i="13"/>
  <c r="AT402" i="13"/>
  <c r="AQ402" i="13"/>
  <c r="AP402" i="13"/>
  <c r="AO402" i="13"/>
  <c r="AL402" i="13"/>
  <c r="AK402" i="13"/>
  <c r="AW402" i="13"/>
  <c r="BD402" i="13"/>
  <c r="AS402" i="13"/>
  <c r="BM401" i="13"/>
  <c r="AS401" i="13"/>
  <c r="BG400" i="13"/>
  <c r="BA400" i="13"/>
  <c r="AX400" i="13"/>
  <c r="AT400" i="13"/>
  <c r="AY400" i="13"/>
  <c r="AR400" i="13"/>
  <c r="AL400" i="13"/>
  <c r="AK400" i="13"/>
  <c r="AV400" i="13"/>
  <c r="AU400" i="13"/>
  <c r="AN400" i="13"/>
  <c r="AM400" i="13"/>
  <c r="AJ400" i="13"/>
  <c r="BT399" i="13"/>
  <c r="BS399" i="13"/>
  <c r="BN399" i="13"/>
  <c r="BM399" i="13"/>
  <c r="BG399" i="13"/>
  <c r="AZ399" i="13"/>
  <c r="AU399" i="13"/>
  <c r="AN399" i="13"/>
  <c r="AL399" i="13"/>
  <c r="BU399" i="13"/>
  <c r="BO399" i="13"/>
  <c r="AR399" i="13"/>
  <c r="AJ399" i="13"/>
  <c r="AI399" i="13"/>
  <c r="AY399" i="13"/>
  <c r="AX399" i="13"/>
  <c r="AW399" i="13"/>
  <c r="AV399" i="13"/>
  <c r="AT399" i="13"/>
  <c r="BE398" i="13"/>
  <c r="BJ398" i="13"/>
  <c r="BD398" i="13"/>
  <c r="BR398" i="13"/>
  <c r="BN398" i="13"/>
  <c r="BV397" i="13"/>
  <c r="BU397" i="13"/>
  <c r="BT397" i="13"/>
  <c r="BS397" i="13"/>
  <c r="BO397" i="13"/>
  <c r="BN397" i="13"/>
  <c r="BL397" i="13"/>
  <c r="BV396" i="13"/>
  <c r="BM396" i="13"/>
  <c r="AM396" i="13"/>
  <c r="AL396" i="13"/>
  <c r="BG395" i="13"/>
  <c r="BE395" i="13"/>
  <c r="BD395" i="13"/>
  <c r="BQ395" i="13"/>
  <c r="BR395" i="13"/>
  <c r="BM395" i="13"/>
  <c r="BL395" i="13"/>
  <c r="BJ395" i="13"/>
  <c r="BH395" i="13"/>
  <c r="BF395" i="13"/>
  <c r="AO395" i="13"/>
  <c r="AN395" i="13"/>
  <c r="BV395" i="13"/>
  <c r="BU395" i="13"/>
  <c r="BP395" i="13"/>
  <c r="BO395" i="13"/>
  <c r="BR394" i="13"/>
  <c r="BE394" i="13"/>
  <c r="BT394" i="13"/>
  <c r="BL394" i="13"/>
  <c r="BD394" i="13"/>
  <c r="BV393" i="13"/>
  <c r="BT393" i="13"/>
  <c r="BM393" i="13"/>
  <c r="BK393" i="13"/>
  <c r="BJ393" i="13"/>
  <c r="BU393" i="13"/>
  <c r="BS393" i="13"/>
  <c r="BR393" i="13"/>
  <c r="BQ393" i="13"/>
  <c r="BN393" i="13"/>
  <c r="BI393" i="13"/>
  <c r="BD392" i="13"/>
  <c r="AZ392" i="13"/>
  <c r="AY392" i="13"/>
  <c r="BK392" i="13"/>
  <c r="AU392" i="13"/>
  <c r="AT392" i="13"/>
  <c r="AR392" i="13"/>
  <c r="AQ392" i="13"/>
  <c r="AM392" i="13"/>
  <c r="AX391" i="13"/>
  <c r="AS391" i="13"/>
  <c r="AR391" i="13"/>
  <c r="BA391" i="13"/>
  <c r="AZ391" i="13"/>
  <c r="AU391" i="13"/>
  <c r="AP391" i="13"/>
  <c r="AN391" i="13"/>
  <c r="BJ390" i="13"/>
  <c r="BA390" i="13"/>
  <c r="AW390" i="13"/>
  <c r="AS390" i="13"/>
  <c r="BO389" i="13"/>
  <c r="BL389" i="13"/>
  <c r="BK389" i="13"/>
  <c r="BI389" i="13"/>
  <c r="BA389" i="13"/>
  <c r="AY389" i="13"/>
  <c r="AW389" i="13"/>
  <c r="AU389" i="13"/>
  <c r="AS389" i="13"/>
  <c r="AQ389" i="13"/>
  <c r="AO389" i="13"/>
  <c r="AZ389" i="13"/>
  <c r="AX389" i="13"/>
  <c r="AV389" i="13"/>
  <c r="AT389" i="13"/>
  <c r="AR389" i="13"/>
  <c r="AP389" i="13"/>
  <c r="AN389" i="13"/>
  <c r="AN388" i="13"/>
  <c r="AL388" i="13"/>
  <c r="AK388" i="13"/>
  <c r="BS364" i="13"/>
  <c r="BQ344" i="13"/>
  <c r="BQ336" i="13"/>
  <c r="BN336" i="13"/>
  <c r="BM364" i="13"/>
  <c r="BK356" i="13"/>
  <c r="BK340" i="13"/>
  <c r="BJ360" i="13"/>
  <c r="BH356" i="13"/>
  <c r="BH340" i="13"/>
  <c r="BG368" i="13"/>
  <c r="BG340" i="13"/>
  <c r="BF368" i="13"/>
  <c r="BD368" i="13"/>
  <c r="BA367" i="13"/>
  <c r="AZ367" i="13"/>
  <c r="AZ359" i="13"/>
  <c r="AZ355" i="13"/>
  <c r="AZ347" i="13"/>
  <c r="AY342" i="13"/>
  <c r="AU342" i="13"/>
  <c r="AU338" i="13"/>
  <c r="AT355" i="13"/>
  <c r="AT347" i="13"/>
  <c r="AQ347" i="13"/>
  <c r="AO351" i="13"/>
  <c r="AO342" i="13"/>
  <c r="AN359" i="13"/>
  <c r="AN338" i="13"/>
  <c r="AL363" i="13"/>
  <c r="AK359" i="13"/>
  <c r="AK351" i="13"/>
  <c r="AK342" i="13"/>
  <c r="BR228" i="13"/>
  <c r="BP228" i="13"/>
  <c r="BL228" i="13"/>
  <c r="AY282" i="13"/>
  <c r="AS290" i="13"/>
  <c r="AN286" i="13"/>
  <c r="BD327" i="13"/>
  <c r="BS327" i="13"/>
  <c r="BL327" i="13"/>
  <c r="AY323" i="13"/>
  <c r="BV368" i="13"/>
  <c r="BV344" i="13"/>
  <c r="BS340" i="13"/>
  <c r="BS336" i="13"/>
  <c r="BQ364" i="13"/>
  <c r="AZ363" i="13"/>
  <c r="AZ351" i="13"/>
  <c r="AZ342" i="13"/>
  <c r="AZ338" i="13"/>
  <c r="AW367" i="13"/>
  <c r="AU355" i="13"/>
  <c r="BV365" i="13"/>
  <c r="BV355" i="13"/>
  <c r="BU365" i="13"/>
  <c r="BU352" i="13"/>
  <c r="BU344" i="13"/>
  <c r="BU336" i="13"/>
  <c r="BT360" i="13"/>
  <c r="BT337" i="13"/>
  <c r="BS356" i="13"/>
  <c r="BS344" i="13"/>
  <c r="BS339" i="13"/>
  <c r="BS335" i="13"/>
  <c r="BR364" i="13"/>
  <c r="BR337" i="13"/>
  <c r="BQ356" i="13"/>
  <c r="BQ341" i="13"/>
  <c r="BP368" i="13"/>
  <c r="BP341" i="13"/>
  <c r="BO369" i="13"/>
  <c r="BO353" i="13"/>
  <c r="BN352" i="13"/>
  <c r="BN340" i="13"/>
  <c r="BM355" i="13"/>
  <c r="BM340" i="13"/>
  <c r="BM336" i="13"/>
  <c r="BL368" i="13"/>
  <c r="BL344" i="13"/>
  <c r="BL336" i="13"/>
  <c r="BK344" i="13"/>
  <c r="BJ369" i="13"/>
  <c r="BJ352" i="13"/>
  <c r="BJ337" i="13"/>
  <c r="BI337" i="13"/>
  <c r="BH368" i="13"/>
  <c r="BH345" i="13"/>
  <c r="BH337" i="13"/>
  <c r="BG364" i="13"/>
  <c r="BG352" i="13"/>
  <c r="BF363" i="13"/>
  <c r="BF353" i="13"/>
  <c r="BF344" i="13"/>
  <c r="BE369" i="13"/>
  <c r="BE349" i="13"/>
  <c r="BE336" i="13"/>
  <c r="BA370" i="13"/>
  <c r="BA366" i="13"/>
  <c r="BA348" i="13"/>
  <c r="BA342" i="13"/>
  <c r="BA338" i="13"/>
  <c r="AZ370" i="13"/>
  <c r="AZ366" i="13"/>
  <c r="AZ362" i="13"/>
  <c r="AZ358" i="13"/>
  <c r="AZ354" i="13"/>
  <c r="AZ350" i="13"/>
  <c r="AZ345" i="13"/>
  <c r="AZ341" i="13"/>
  <c r="AZ337" i="13"/>
  <c r="AY360" i="13"/>
  <c r="AY356" i="13"/>
  <c r="AY352" i="13"/>
  <c r="AY347" i="13"/>
  <c r="AY341" i="13"/>
  <c r="AX367" i="13"/>
  <c r="AX363" i="13"/>
  <c r="AX359" i="13"/>
  <c r="AX355" i="13"/>
  <c r="AX351" i="13"/>
  <c r="AX347" i="13"/>
  <c r="AX342" i="13"/>
  <c r="AX338" i="13"/>
  <c r="AW370" i="13"/>
  <c r="AW366" i="13"/>
  <c r="AW338" i="13"/>
  <c r="AV356" i="13"/>
  <c r="AV347" i="13"/>
  <c r="AV342" i="13"/>
  <c r="AV338" i="13"/>
  <c r="AU370" i="13"/>
  <c r="AU359" i="13"/>
  <c r="AU354" i="13"/>
  <c r="AU341" i="13"/>
  <c r="AU337" i="13"/>
  <c r="AT362" i="13"/>
  <c r="AT345" i="13"/>
  <c r="AS370" i="13"/>
  <c r="AS350" i="13"/>
  <c r="AS338" i="13"/>
  <c r="AR362" i="13"/>
  <c r="AR341" i="13"/>
  <c r="AQ370" i="13"/>
  <c r="AQ355" i="13"/>
  <c r="AQ345" i="13"/>
  <c r="AP359" i="13"/>
  <c r="AP355" i="13"/>
  <c r="AP351" i="13"/>
  <c r="AP342" i="13"/>
  <c r="AO370" i="13"/>
  <c r="AO358" i="13"/>
  <c r="AN366" i="13"/>
  <c r="AN358" i="13"/>
  <c r="AN350" i="13"/>
  <c r="AN342" i="13"/>
  <c r="AN337" i="13"/>
  <c r="AM366" i="13"/>
  <c r="AM351" i="13"/>
  <c r="AM338" i="13"/>
  <c r="AL367" i="13"/>
  <c r="AL337" i="13"/>
  <c r="AK367" i="13"/>
  <c r="AJ358" i="13"/>
  <c r="AJ350" i="13"/>
  <c r="AI370" i="13"/>
  <c r="AI359" i="13"/>
  <c r="AI342" i="13"/>
  <c r="BI234" i="13"/>
  <c r="BT228" i="13"/>
  <c r="BS228" i="13"/>
  <c r="BJ228" i="13"/>
  <c r="AW227" i="13"/>
  <c r="AZ286" i="13"/>
  <c r="AS286" i="13"/>
  <c r="AQ282" i="13"/>
  <c r="BT319" i="13"/>
  <c r="BK319" i="13"/>
  <c r="BF314" i="13"/>
  <c r="BG314" i="13"/>
  <c r="BE326" i="13"/>
  <c r="BO326" i="13"/>
  <c r="BI326" i="13"/>
  <c r="BM322" i="13"/>
  <c r="BE322" i="13"/>
  <c r="BK322" i="13"/>
  <c r="BE316" i="13"/>
  <c r="BG316" i="13"/>
  <c r="BP316" i="13"/>
  <c r="BH316" i="13"/>
  <c r="BS316" i="13"/>
  <c r="BK316" i="13"/>
  <c r="BU439" i="13"/>
  <c r="BU435" i="13"/>
  <c r="BU431" i="13"/>
  <c r="BL435" i="13"/>
  <c r="BV356" i="13"/>
  <c r="BU356" i="13"/>
  <c r="BT340" i="13"/>
  <c r="BR344" i="13"/>
  <c r="BP336" i="13"/>
  <c r="BO356" i="13"/>
  <c r="BO344" i="13"/>
  <c r="BJ340" i="13"/>
  <c r="BI364" i="13"/>
  <c r="BI344" i="13"/>
  <c r="BF340" i="13"/>
  <c r="BE356" i="13"/>
  <c r="BD344" i="13"/>
  <c r="BV360" i="13"/>
  <c r="BU364" i="13"/>
  <c r="BT368" i="13"/>
  <c r="BT352" i="13"/>
  <c r="BT336" i="13"/>
  <c r="BS352" i="13"/>
  <c r="BR352" i="13"/>
  <c r="BR336" i="13"/>
  <c r="BQ340" i="13"/>
  <c r="BP363" i="13"/>
  <c r="BP340" i="13"/>
  <c r="BO364" i="13"/>
  <c r="BO352" i="13"/>
  <c r="BN368" i="13"/>
  <c r="BN344" i="13"/>
  <c r="BM368" i="13"/>
  <c r="BM344" i="13"/>
  <c r="BM339" i="13"/>
  <c r="BM335" i="13"/>
  <c r="BL367" i="13"/>
  <c r="BL352" i="13"/>
  <c r="BK368" i="13"/>
  <c r="BJ368" i="13"/>
  <c r="BJ336" i="13"/>
  <c r="BI336" i="13"/>
  <c r="BH364" i="13"/>
  <c r="BH344" i="13"/>
  <c r="BH336" i="13"/>
  <c r="BG363" i="13"/>
  <c r="BF352" i="13"/>
  <c r="BE368" i="13"/>
  <c r="BA347" i="13"/>
  <c r="BA341" i="13"/>
  <c r="BA337" i="13"/>
  <c r="AY359" i="13"/>
  <c r="AY355" i="13"/>
  <c r="AY351" i="13"/>
  <c r="AY345" i="13"/>
  <c r="AX362" i="13"/>
  <c r="AX358" i="13"/>
  <c r="AX354" i="13"/>
  <c r="AX350" i="13"/>
  <c r="AX345" i="13"/>
  <c r="AX341" i="13"/>
  <c r="AX337" i="13"/>
  <c r="AW342" i="13"/>
  <c r="AW337" i="13"/>
  <c r="AV359" i="13"/>
  <c r="AV351" i="13"/>
  <c r="AV345" i="13"/>
  <c r="AV341" i="13"/>
  <c r="AU363" i="13"/>
  <c r="AU358" i="13"/>
  <c r="AT367" i="13"/>
  <c r="AT359" i="13"/>
  <c r="AT338" i="13"/>
  <c r="AS362" i="13"/>
  <c r="AS354" i="13"/>
  <c r="AR367" i="13"/>
  <c r="AR354" i="13"/>
  <c r="AR345" i="13"/>
  <c r="AP358" i="13"/>
  <c r="AP354" i="13"/>
  <c r="AN341" i="13"/>
  <c r="AL351" i="13"/>
  <c r="BU234" i="13"/>
  <c r="BQ228" i="13"/>
  <c r="BM228" i="13"/>
  <c r="BK228" i="13"/>
  <c r="BF228" i="13"/>
  <c r="AY313" i="13"/>
  <c r="AL313" i="13"/>
  <c r="AJ327" i="13"/>
  <c r="AN327" i="13"/>
  <c r="AP327" i="13"/>
  <c r="AT327" i="13"/>
  <c r="AX327" i="13"/>
  <c r="AY327" i="13"/>
  <c r="AZ327" i="13"/>
  <c r="BA327" i="13"/>
  <c r="AL327" i="13"/>
  <c r="AV327" i="13"/>
  <c r="AJ323" i="13"/>
  <c r="AI323" i="13"/>
  <c r="AL323" i="13"/>
  <c r="AR323" i="13"/>
  <c r="AV323" i="13"/>
  <c r="AT323" i="13"/>
  <c r="AK323" i="13"/>
  <c r="AS323" i="13"/>
  <c r="AJ441" i="13"/>
  <c r="AK441" i="13"/>
  <c r="AQ441" i="13"/>
  <c r="AU441" i="13"/>
  <c r="AY441" i="13"/>
  <c r="AP441" i="13"/>
  <c r="AT441" i="13"/>
  <c r="AX441" i="13"/>
  <c r="AL441" i="13"/>
  <c r="AS441" i="13"/>
  <c r="AW441" i="13"/>
  <c r="BA441" i="13"/>
  <c r="AJ437" i="13"/>
  <c r="AO437" i="13"/>
  <c r="AQ437" i="13"/>
  <c r="AU437" i="13"/>
  <c r="AY437" i="13"/>
  <c r="AK437" i="13"/>
  <c r="AP437" i="13"/>
  <c r="AT437" i="13"/>
  <c r="AX437" i="13"/>
  <c r="AL437" i="13"/>
  <c r="AS437" i="13"/>
  <c r="AW437" i="13"/>
  <c r="BA437" i="13"/>
  <c r="AJ433" i="13"/>
  <c r="AQ433" i="13"/>
  <c r="AU433" i="13"/>
  <c r="AY433" i="13"/>
  <c r="AO433" i="13"/>
  <c r="AP433" i="13"/>
  <c r="AT433" i="13"/>
  <c r="AX433" i="13"/>
  <c r="AK433" i="13"/>
  <c r="AL433" i="13"/>
  <c r="AS433" i="13"/>
  <c r="AW433" i="13"/>
  <c r="BA433" i="13"/>
  <c r="AJ429" i="13"/>
  <c r="AQ429" i="13"/>
  <c r="AU429" i="13"/>
  <c r="AY429" i="13"/>
  <c r="AP429" i="13"/>
  <c r="AT429" i="13"/>
  <c r="AX429" i="13"/>
  <c r="AL429" i="13"/>
  <c r="AO429" i="13"/>
  <c r="AS429" i="13"/>
  <c r="AW429" i="13"/>
  <c r="BA429" i="13"/>
  <c r="AJ425" i="13"/>
  <c r="AK425" i="13"/>
  <c r="AQ425" i="13"/>
  <c r="AU425" i="13"/>
  <c r="AY425" i="13"/>
  <c r="AP425" i="13"/>
  <c r="AT425" i="13"/>
  <c r="AX425" i="13"/>
  <c r="AL425" i="13"/>
  <c r="AS425" i="13"/>
  <c r="AW425" i="13"/>
  <c r="BA425" i="13"/>
  <c r="AI290" i="13"/>
  <c r="AJ290" i="13"/>
  <c r="AI318" i="13"/>
  <c r="AJ316" i="13"/>
  <c r="AI316" i="13"/>
  <c r="AU316" i="13"/>
  <c r="AO316" i="13"/>
  <c r="AY316" i="13"/>
  <c r="AP316" i="13"/>
  <c r="BA316" i="13"/>
  <c r="BG539" i="13"/>
  <c r="BH539" i="13"/>
  <c r="BM539" i="13"/>
  <c r="BO539" i="13"/>
  <c r="BR539" i="13"/>
  <c r="BT539" i="13"/>
  <c r="BD539" i="13"/>
  <c r="BF539" i="13"/>
  <c r="BJ539" i="13"/>
  <c r="BL539" i="13"/>
  <c r="BQ539" i="13"/>
  <c r="BE539" i="13"/>
  <c r="BN539" i="13"/>
  <c r="BP539" i="13"/>
  <c r="BS539" i="13"/>
  <c r="BV539" i="13"/>
  <c r="BE439" i="13"/>
  <c r="BG439" i="13"/>
  <c r="BK439" i="13"/>
  <c r="BM439" i="13"/>
  <c r="BR439" i="13"/>
  <c r="BH439" i="13"/>
  <c r="BO439" i="13"/>
  <c r="BQ439" i="13"/>
  <c r="BT439" i="13"/>
  <c r="BJ439" i="13"/>
  <c r="BL439" i="13"/>
  <c r="BV439" i="13"/>
  <c r="BG435" i="13"/>
  <c r="BM435" i="13"/>
  <c r="BN435" i="13"/>
  <c r="BP435" i="13"/>
  <c r="BR435" i="13"/>
  <c r="BS435" i="13"/>
  <c r="BD435" i="13"/>
  <c r="BF435" i="13"/>
  <c r="BK435" i="13"/>
  <c r="BQ435" i="13"/>
  <c r="BE435" i="13"/>
  <c r="BH435" i="13"/>
  <c r="BO435" i="13"/>
  <c r="BT435" i="13"/>
  <c r="BV435" i="13"/>
  <c r="BE431" i="13"/>
  <c r="BG431" i="13"/>
  <c r="BJ431" i="13"/>
  <c r="BL431" i="13"/>
  <c r="BM431" i="13"/>
  <c r="BR431" i="13"/>
  <c r="BN431" i="13"/>
  <c r="BP431" i="13"/>
  <c r="BQ431" i="13"/>
  <c r="BS431" i="13"/>
  <c r="BD431" i="13"/>
  <c r="BF431" i="13"/>
  <c r="BK431" i="13"/>
  <c r="BV431" i="13"/>
  <c r="BD427" i="13"/>
  <c r="BG427" i="13"/>
  <c r="BM427" i="13"/>
  <c r="BO427" i="13"/>
  <c r="BR427" i="13"/>
  <c r="BT427" i="13"/>
  <c r="BH427" i="13"/>
  <c r="BJ427" i="13"/>
  <c r="BL427" i="13"/>
  <c r="BQ427" i="13"/>
  <c r="BE427" i="13"/>
  <c r="BN427" i="13"/>
  <c r="BP427" i="13"/>
  <c r="BS427" i="13"/>
  <c r="BV427" i="13"/>
  <c r="BF423" i="13"/>
  <c r="BH423" i="13"/>
  <c r="BJ423" i="13"/>
  <c r="BL423" i="13"/>
  <c r="BN423" i="13"/>
  <c r="BP423" i="13"/>
  <c r="BR423" i="13"/>
  <c r="BT423" i="13"/>
  <c r="BF419" i="13"/>
  <c r="BH419" i="13"/>
  <c r="BJ419" i="13"/>
  <c r="BL419" i="13"/>
  <c r="BN419" i="13"/>
  <c r="BP419" i="13"/>
  <c r="BR419" i="13"/>
  <c r="BT419" i="13"/>
  <c r="BD415" i="13"/>
  <c r="BF415" i="13"/>
  <c r="BH415" i="13"/>
  <c r="BJ415" i="13"/>
  <c r="BL415" i="13"/>
  <c r="BN415" i="13"/>
  <c r="BP415" i="13"/>
  <c r="BR415" i="13"/>
  <c r="BT415" i="13"/>
  <c r="BF412" i="13"/>
  <c r="BH412" i="13"/>
  <c r="BJ412" i="13"/>
  <c r="BL412" i="13"/>
  <c r="BN412" i="13"/>
  <c r="BP412" i="13"/>
  <c r="BR412" i="13"/>
  <c r="BT412" i="13"/>
  <c r="BF408" i="13"/>
  <c r="BH408" i="13"/>
  <c r="BJ408" i="13"/>
  <c r="BL408" i="13"/>
  <c r="BN408" i="13"/>
  <c r="BP408" i="13"/>
  <c r="BR408" i="13"/>
  <c r="BT408" i="13"/>
  <c r="BH404" i="13"/>
  <c r="BJ404" i="13"/>
  <c r="BL404" i="13"/>
  <c r="BN404" i="13"/>
  <c r="BP404" i="13"/>
  <c r="BR404" i="13"/>
  <c r="BT404" i="13"/>
  <c r="BD400" i="13"/>
  <c r="BH400" i="13"/>
  <c r="BJ400" i="13"/>
  <c r="BL400" i="13"/>
  <c r="BN400" i="13"/>
  <c r="BP400" i="13"/>
  <c r="BR400" i="13"/>
  <c r="BT400" i="13"/>
  <c r="BH396" i="13"/>
  <c r="BJ396" i="13"/>
  <c r="BL396" i="13"/>
  <c r="BN396" i="13"/>
  <c r="BP396" i="13"/>
  <c r="BR396" i="13"/>
  <c r="BT396" i="13"/>
  <c r="BF392" i="13"/>
  <c r="BH392" i="13"/>
  <c r="BJ392" i="13"/>
  <c r="BL392" i="13"/>
  <c r="BN392" i="13"/>
  <c r="BP392" i="13"/>
  <c r="BR392" i="13"/>
  <c r="BT392" i="13"/>
  <c r="BV392" i="13"/>
  <c r="BH388" i="13"/>
  <c r="BJ388" i="13"/>
  <c r="BL388" i="13"/>
  <c r="BN388" i="13"/>
  <c r="BP388" i="13"/>
  <c r="BR388" i="13"/>
  <c r="BT388" i="13"/>
  <c r="BV388" i="13"/>
  <c r="AT319" i="13"/>
  <c r="BA321" i="13"/>
  <c r="AZ321" i="13"/>
  <c r="AY321" i="13"/>
  <c r="AU324" i="13"/>
  <c r="AT324" i="13"/>
  <c r="AQ321" i="13"/>
  <c r="AO321" i="13"/>
  <c r="BT440" i="13"/>
  <c r="BT429" i="13"/>
  <c r="BS432" i="13"/>
  <c r="BR441" i="13"/>
  <c r="BR437" i="13"/>
  <c r="BR433" i="13"/>
  <c r="BR429" i="13"/>
  <c r="BR425" i="13"/>
  <c r="BQ440" i="13"/>
  <c r="BQ436" i="13"/>
  <c r="BQ432" i="13"/>
  <c r="BQ428" i="13"/>
  <c r="BP437" i="13"/>
  <c r="BP432" i="13"/>
  <c r="BO440" i="13"/>
  <c r="BN437" i="13"/>
  <c r="BN432" i="13"/>
  <c r="BM441" i="13"/>
  <c r="BM437" i="13"/>
  <c r="BM433" i="13"/>
  <c r="BM429" i="13"/>
  <c r="BM425" i="13"/>
  <c r="BL433" i="13"/>
  <c r="BL428" i="13"/>
  <c r="BK436" i="13"/>
  <c r="BJ433" i="13"/>
  <c r="BJ428" i="13"/>
  <c r="BH440" i="13"/>
  <c r="BH428" i="13"/>
  <c r="BF436" i="13"/>
  <c r="BD436" i="13"/>
  <c r="AY539" i="13"/>
  <c r="AY439" i="13"/>
  <c r="AY435" i="13"/>
  <c r="AY431" i="13"/>
  <c r="AY427" i="13"/>
  <c r="AX538" i="13"/>
  <c r="AX438" i="13"/>
  <c r="AX434" i="13"/>
  <c r="AX430" i="13"/>
  <c r="AX426" i="13"/>
  <c r="AU539" i="13"/>
  <c r="AU439" i="13"/>
  <c r="AU435" i="13"/>
  <c r="AU431" i="13"/>
  <c r="AU427" i="13"/>
  <c r="AT538" i="13"/>
  <c r="AT438" i="13"/>
  <c r="AT434" i="13"/>
  <c r="AT430" i="13"/>
  <c r="AT426" i="13"/>
  <c r="AQ539" i="13"/>
  <c r="AQ439" i="13"/>
  <c r="AQ435" i="13"/>
  <c r="AQ427" i="13"/>
  <c r="AP538" i="13"/>
  <c r="AP438" i="13"/>
  <c r="AP434" i="13"/>
  <c r="AP430" i="13"/>
  <c r="AP426" i="13"/>
  <c r="AO435" i="13"/>
  <c r="AN539" i="13"/>
  <c r="AN435" i="13"/>
  <c r="AN427" i="13"/>
  <c r="BV421" i="13"/>
  <c r="BV417" i="13"/>
  <c r="BV413" i="13"/>
  <c r="BV410" i="13"/>
  <c r="BV406" i="13"/>
  <c r="BV402" i="13"/>
  <c r="BV398" i="13"/>
  <c r="BV394" i="13"/>
  <c r="BV389" i="13"/>
  <c r="BU420" i="13"/>
  <c r="BU415" i="13"/>
  <c r="BU405" i="13"/>
  <c r="BU400" i="13"/>
  <c r="BU389" i="13"/>
  <c r="BT421" i="13"/>
  <c r="BT416" i="13"/>
  <c r="BT406" i="13"/>
  <c r="BT401" i="13"/>
  <c r="BT390" i="13"/>
  <c r="BS416" i="13"/>
  <c r="BS412" i="13"/>
  <c r="BS401" i="13"/>
  <c r="BS396" i="13"/>
  <c r="BR417" i="13"/>
  <c r="BR402" i="13"/>
  <c r="BR397" i="13"/>
  <c r="BQ423" i="13"/>
  <c r="BQ408" i="13"/>
  <c r="BQ397" i="13"/>
  <c r="BQ392" i="13"/>
  <c r="BP424" i="13"/>
  <c r="BP413" i="13"/>
  <c r="BP409" i="13"/>
  <c r="BP398" i="13"/>
  <c r="BP393" i="13"/>
  <c r="BO424" i="13"/>
  <c r="BO419" i="13"/>
  <c r="BO409" i="13"/>
  <c r="BO404" i="13"/>
  <c r="BO393" i="13"/>
  <c r="BO388" i="13"/>
  <c r="BN420" i="13"/>
  <c r="BN410" i="13"/>
  <c r="BN405" i="13"/>
  <c r="BN389" i="13"/>
  <c r="BM420" i="13"/>
  <c r="BM415" i="13"/>
  <c r="BM400" i="13"/>
  <c r="BL416" i="13"/>
  <c r="BL401" i="13"/>
  <c r="BK416" i="13"/>
  <c r="BK412" i="13"/>
  <c r="BK401" i="13"/>
  <c r="BK396" i="13"/>
  <c r="BJ417" i="13"/>
  <c r="BJ402" i="13"/>
  <c r="BJ397" i="13"/>
  <c r="BI423" i="13"/>
  <c r="BI408" i="13"/>
  <c r="BI397" i="13"/>
  <c r="BI392" i="13"/>
  <c r="BH424" i="13"/>
  <c r="BH409" i="13"/>
  <c r="BH393" i="13"/>
  <c r="BG424" i="13"/>
  <c r="BG419" i="13"/>
  <c r="BG409" i="13"/>
  <c r="BG404" i="13"/>
  <c r="BG388" i="13"/>
  <c r="BF410" i="13"/>
  <c r="BF404" i="13"/>
  <c r="BE412" i="13"/>
  <c r="BE396" i="13"/>
  <c r="BD396" i="13"/>
  <c r="BT428" i="13"/>
  <c r="BS436" i="13"/>
  <c r="BR440" i="13"/>
  <c r="BR436" i="13"/>
  <c r="BR432" i="13"/>
  <c r="BR428" i="13"/>
  <c r="BP436" i="13"/>
  <c r="BO428" i="13"/>
  <c r="BN436" i="13"/>
  <c r="BM440" i="13"/>
  <c r="BM436" i="13"/>
  <c r="BM432" i="13"/>
  <c r="BM428" i="13"/>
  <c r="BL432" i="13"/>
  <c r="BK440" i="13"/>
  <c r="BJ432" i="13"/>
  <c r="BG440" i="13"/>
  <c r="BG432" i="13"/>
  <c r="BG428" i="13"/>
  <c r="AU538" i="13"/>
  <c r="AU438" i="13"/>
  <c r="AU434" i="13"/>
  <c r="AU430" i="13"/>
  <c r="AU426" i="13"/>
  <c r="AQ538" i="13"/>
  <c r="AQ438" i="13"/>
  <c r="AQ434" i="13"/>
  <c r="AQ430" i="13"/>
  <c r="AQ426" i="13"/>
  <c r="BU419" i="13"/>
  <c r="BU404" i="13"/>
  <c r="BU388" i="13"/>
  <c r="BS415" i="13"/>
  <c r="BS400" i="13"/>
  <c r="BQ412" i="13"/>
  <c r="BQ396" i="13"/>
  <c r="BO423" i="13"/>
  <c r="BO408" i="13"/>
  <c r="BO392" i="13"/>
  <c r="BM419" i="13"/>
  <c r="BM404" i="13"/>
  <c r="BM388" i="13"/>
  <c r="BK415" i="13"/>
  <c r="BK400" i="13"/>
  <c r="BJ401" i="13"/>
  <c r="BI412" i="13"/>
  <c r="BI396" i="13"/>
  <c r="BH397" i="13"/>
  <c r="BG423" i="13"/>
  <c r="BG408" i="13"/>
  <c r="BG392" i="13"/>
  <c r="BF396" i="13"/>
  <c r="BE415" i="13"/>
  <c r="BE400" i="13"/>
  <c r="BD419" i="13"/>
  <c r="BD408" i="13"/>
  <c r="BD388" i="13"/>
  <c r="BD421" i="13"/>
  <c r="BG421" i="13"/>
  <c r="BI421" i="13"/>
  <c r="BK421" i="13"/>
  <c r="BM421" i="13"/>
  <c r="BO421" i="13"/>
  <c r="BQ421" i="13"/>
  <c r="BS421" i="13"/>
  <c r="BU421" i="13"/>
  <c r="BG417" i="13"/>
  <c r="BI417" i="13"/>
  <c r="BK417" i="13"/>
  <c r="BM417" i="13"/>
  <c r="BO417" i="13"/>
  <c r="BQ417" i="13"/>
  <c r="BS417" i="13"/>
  <c r="BU417" i="13"/>
  <c r="BG413" i="13"/>
  <c r="BI413" i="13"/>
  <c r="BK413" i="13"/>
  <c r="BM413" i="13"/>
  <c r="BO413" i="13"/>
  <c r="BQ413" i="13"/>
  <c r="BS413" i="13"/>
  <c r="BU413" i="13"/>
  <c r="BG410" i="13"/>
  <c r="BI410" i="13"/>
  <c r="BK410" i="13"/>
  <c r="BM410" i="13"/>
  <c r="BO410" i="13"/>
  <c r="BQ410" i="13"/>
  <c r="BS410" i="13"/>
  <c r="BU410" i="13"/>
  <c r="BD406" i="13"/>
  <c r="BG406" i="13"/>
  <c r="BI406" i="13"/>
  <c r="BK406" i="13"/>
  <c r="BM406" i="13"/>
  <c r="BO406" i="13"/>
  <c r="BQ406" i="13"/>
  <c r="BS406" i="13"/>
  <c r="BU406" i="13"/>
  <c r="BG402" i="13"/>
  <c r="BI402" i="13"/>
  <c r="BK402" i="13"/>
  <c r="BM402" i="13"/>
  <c r="BO402" i="13"/>
  <c r="BQ402" i="13"/>
  <c r="BS402" i="13"/>
  <c r="BU402" i="13"/>
  <c r="BF398" i="13"/>
  <c r="BG398" i="13"/>
  <c r="BI398" i="13"/>
  <c r="BK398" i="13"/>
  <c r="BM398" i="13"/>
  <c r="BO398" i="13"/>
  <c r="BQ398" i="13"/>
  <c r="BS398" i="13"/>
  <c r="BU398" i="13"/>
  <c r="BG394" i="13"/>
  <c r="BI394" i="13"/>
  <c r="BK394" i="13"/>
  <c r="BM394" i="13"/>
  <c r="BO394" i="13"/>
  <c r="BQ394" i="13"/>
  <c r="BS394" i="13"/>
  <c r="BU394" i="13"/>
  <c r="BD390" i="13"/>
  <c r="BG390" i="13"/>
  <c r="BI390" i="13"/>
  <c r="BK390" i="13"/>
  <c r="BM390" i="13"/>
  <c r="BO390" i="13"/>
  <c r="BQ390" i="13"/>
  <c r="BS390" i="13"/>
  <c r="BU390" i="13"/>
  <c r="BS388" i="13"/>
  <c r="BQ415" i="13"/>
  <c r="BQ400" i="13"/>
  <c r="BO412" i="13"/>
  <c r="BO396" i="13"/>
  <c r="BM423" i="13"/>
  <c r="BM408" i="13"/>
  <c r="BM392" i="13"/>
  <c r="BK419" i="13"/>
  <c r="BK404" i="13"/>
  <c r="BK388" i="13"/>
  <c r="BI415" i="13"/>
  <c r="BI400" i="13"/>
  <c r="BG412" i="13"/>
  <c r="BG396" i="13"/>
  <c r="BF388" i="13"/>
  <c r="BE419" i="13"/>
  <c r="BE404" i="13"/>
  <c r="BE388" i="13"/>
  <c r="BD412" i="13"/>
  <c r="BD424" i="13"/>
  <c r="BE424" i="13"/>
  <c r="BD420" i="13"/>
  <c r="BE420" i="13"/>
  <c r="BD416" i="13"/>
  <c r="BE416" i="13"/>
  <c r="BD409" i="13"/>
  <c r="BE409" i="13"/>
  <c r="BD405" i="13"/>
  <c r="BF405" i="13"/>
  <c r="BE405" i="13"/>
  <c r="BD401" i="13"/>
  <c r="BF401" i="13"/>
  <c r="BE401" i="13"/>
  <c r="BD397" i="13"/>
  <c r="BF397" i="13"/>
  <c r="BE397" i="13"/>
  <c r="BD393" i="13"/>
  <c r="BF393" i="13"/>
  <c r="BE393" i="13"/>
  <c r="BD389" i="13"/>
  <c r="BF389" i="13"/>
  <c r="BE389" i="13"/>
  <c r="AK424" i="13"/>
  <c r="AK420" i="13"/>
  <c r="AK416" i="13"/>
  <c r="AK409" i="13"/>
  <c r="AK405" i="13"/>
  <c r="AK401" i="13"/>
  <c r="AK397" i="13"/>
  <c r="AK393" i="13"/>
  <c r="AK389" i="13"/>
  <c r="BU339" i="13"/>
  <c r="BQ363" i="13"/>
  <c r="BP367" i="13"/>
  <c r="BO347" i="13"/>
  <c r="BN363" i="13"/>
  <c r="BK367" i="13"/>
  <c r="BH363" i="13"/>
  <c r="BE363" i="13"/>
  <c r="AI368" i="13"/>
  <c r="AQ368" i="13"/>
  <c r="AS368" i="13"/>
  <c r="AT368" i="13"/>
  <c r="AI364" i="13"/>
  <c r="AS364" i="13"/>
  <c r="AK360" i="13"/>
  <c r="AN360" i="13"/>
  <c r="AI360" i="13"/>
  <c r="AJ360" i="13"/>
  <c r="AK356" i="13"/>
  <c r="AN356" i="13"/>
  <c r="AI356" i="13"/>
  <c r="AQ356" i="13"/>
  <c r="AK352" i="13"/>
  <c r="AL352" i="13"/>
  <c r="AN352" i="13"/>
  <c r="AO352" i="13"/>
  <c r="AI352" i="13"/>
  <c r="AN348" i="13"/>
  <c r="AP348" i="13"/>
  <c r="AQ348" i="13"/>
  <c r="AO348" i="13"/>
  <c r="AK343" i="13"/>
  <c r="AN343" i="13"/>
  <c r="AP343" i="13"/>
  <c r="AN339" i="13"/>
  <c r="AP339" i="13"/>
  <c r="AR339" i="13"/>
  <c r="AK339" i="13"/>
  <c r="AM339" i="13"/>
  <c r="AN335" i="13"/>
  <c r="AP335" i="13"/>
  <c r="AR335" i="13"/>
  <c r="AL335" i="13"/>
  <c r="AO335" i="13"/>
  <c r="BV359" i="13"/>
  <c r="BU335" i="13"/>
  <c r="BT347" i="13"/>
  <c r="BT335" i="13"/>
  <c r="BS347" i="13"/>
  <c r="BR351" i="13"/>
  <c r="BQ367" i="13"/>
  <c r="BV346" i="13"/>
  <c r="BU355" i="13"/>
  <c r="BU342" i="13"/>
  <c r="BT370" i="13"/>
  <c r="BT363" i="13"/>
  <c r="BT342" i="13"/>
  <c r="BT338" i="13"/>
  <c r="BS370" i="13"/>
  <c r="BS366" i="13"/>
  <c r="BR363" i="13"/>
  <c r="BQ366" i="13"/>
  <c r="BQ362" i="13"/>
  <c r="BQ339" i="13"/>
  <c r="BQ335" i="13"/>
  <c r="BP366" i="13"/>
  <c r="BP358" i="13"/>
  <c r="BP346" i="13"/>
  <c r="BP339" i="13"/>
  <c r="BP335" i="13"/>
  <c r="BO363" i="13"/>
  <c r="BO346" i="13"/>
  <c r="BN359" i="13"/>
  <c r="BN346" i="13"/>
  <c r="BM367" i="13"/>
  <c r="BM363" i="13"/>
  <c r="BM350" i="13"/>
  <c r="BL362" i="13"/>
  <c r="BL343" i="13"/>
  <c r="BL339" i="13"/>
  <c r="BL335" i="13"/>
  <c r="BK366" i="13"/>
  <c r="BK350" i="13"/>
  <c r="BJ343" i="13"/>
  <c r="BJ339" i="13"/>
  <c r="BJ335" i="13"/>
  <c r="BH362" i="13"/>
  <c r="BH355" i="13"/>
  <c r="BH343" i="13"/>
  <c r="BH339" i="13"/>
  <c r="BH335" i="13"/>
  <c r="BG366" i="13"/>
  <c r="BG355" i="13"/>
  <c r="BG339" i="13"/>
  <c r="BG335" i="13"/>
  <c r="BF367" i="13"/>
  <c r="AT356" i="13"/>
  <c r="AS356" i="13"/>
  <c r="AR348" i="13"/>
  <c r="AQ364" i="13"/>
  <c r="AQ339" i="13"/>
  <c r="AO364" i="13"/>
  <c r="AO356" i="13"/>
  <c r="AO339" i="13"/>
  <c r="AN364" i="13"/>
  <c r="AM360" i="13"/>
  <c r="AL356" i="13"/>
  <c r="AK335" i="13"/>
  <c r="AJ343" i="13"/>
  <c r="AI335" i="13"/>
  <c r="AM367" i="13"/>
  <c r="AO367" i="13"/>
  <c r="AQ367" i="13"/>
  <c r="AN367" i="13"/>
  <c r="AP367" i="13"/>
  <c r="AP363" i="13"/>
  <c r="AM363" i="13"/>
  <c r="AN363" i="13"/>
  <c r="AT363" i="13"/>
  <c r="AJ359" i="13"/>
  <c r="AM359" i="13"/>
  <c r="AO359" i="13"/>
  <c r="AR359" i="13"/>
  <c r="AS359" i="13"/>
  <c r="AL355" i="13"/>
  <c r="AJ355" i="13"/>
  <c r="AR355" i="13"/>
  <c r="AS355" i="13"/>
  <c r="AJ351" i="13"/>
  <c r="AN351" i="13"/>
  <c r="AQ351" i="13"/>
  <c r="AR351" i="13"/>
  <c r="AS351" i="13"/>
  <c r="AJ347" i="13"/>
  <c r="AI347" i="13"/>
  <c r="AK347" i="13"/>
  <c r="AL347" i="13"/>
  <c r="AM347" i="13"/>
  <c r="AO347" i="13"/>
  <c r="AP347" i="13"/>
  <c r="AR347" i="13"/>
  <c r="AS347" i="13"/>
  <c r="AL342" i="13"/>
  <c r="AQ342" i="13"/>
  <c r="AJ342" i="13"/>
  <c r="AR342" i="13"/>
  <c r="AL338" i="13"/>
  <c r="AQ338" i="13"/>
  <c r="AI338" i="13"/>
  <c r="BV367" i="13"/>
  <c r="BT339" i="13"/>
  <c r="BS367" i="13"/>
  <c r="BS363" i="13"/>
  <c r="BP351" i="13"/>
  <c r="BM351" i="13"/>
  <c r="BL363" i="13"/>
  <c r="BJ363" i="13"/>
  <c r="BI367" i="13"/>
  <c r="BU338" i="13"/>
  <c r="BS346" i="13"/>
  <c r="BV370" i="13"/>
  <c r="BV363" i="13"/>
  <c r="BU363" i="13"/>
  <c r="BU354" i="13"/>
  <c r="BU346" i="13"/>
  <c r="BS369" i="13"/>
  <c r="BS365" i="13"/>
  <c r="BR367" i="13"/>
  <c r="BR357" i="13"/>
  <c r="BR339" i="13"/>
  <c r="BR335" i="13"/>
  <c r="BQ365" i="13"/>
  <c r="BQ342" i="13"/>
  <c r="BQ338" i="13"/>
  <c r="BP369" i="13"/>
  <c r="BP365" i="13"/>
  <c r="BP357" i="13"/>
  <c r="BP342" i="13"/>
  <c r="BP338" i="13"/>
  <c r="BO370" i="13"/>
  <c r="BO362" i="13"/>
  <c r="BO345" i="13"/>
  <c r="BN366" i="13"/>
  <c r="BN355" i="13"/>
  <c r="BN339" i="13"/>
  <c r="BN335" i="13"/>
  <c r="BM366" i="13"/>
  <c r="BM358" i="13"/>
  <c r="BM346" i="13"/>
  <c r="BL342" i="13"/>
  <c r="BL338" i="13"/>
  <c r="BK370" i="13"/>
  <c r="BK363" i="13"/>
  <c r="BK339" i="13"/>
  <c r="BK335" i="13"/>
  <c r="BJ367" i="13"/>
  <c r="BJ355" i="13"/>
  <c r="BJ342" i="13"/>
  <c r="BJ338" i="13"/>
  <c r="BI370" i="13"/>
  <c r="BI363" i="13"/>
  <c r="BI339" i="13"/>
  <c r="BI335" i="13"/>
  <c r="BH366" i="13"/>
  <c r="BH361" i="13"/>
  <c r="BH351" i="13"/>
  <c r="BH342" i="13"/>
  <c r="BH338" i="13"/>
  <c r="BG370" i="13"/>
  <c r="BG354" i="13"/>
  <c r="BF370" i="13"/>
  <c r="BF365" i="13"/>
  <c r="BF355" i="13"/>
  <c r="BF351" i="13"/>
  <c r="BF343" i="13"/>
  <c r="BF339" i="13"/>
  <c r="BF335" i="13"/>
  <c r="BE367" i="13"/>
  <c r="BE355" i="13"/>
  <c r="BE351" i="13"/>
  <c r="BD367" i="13"/>
  <c r="AY339" i="13"/>
  <c r="AY335" i="13"/>
  <c r="AW339" i="13"/>
  <c r="AW335" i="13"/>
  <c r="AU368" i="13"/>
  <c r="AU364" i="13"/>
  <c r="AU360" i="13"/>
  <c r="AU356" i="13"/>
  <c r="AU352" i="13"/>
  <c r="AT360" i="13"/>
  <c r="AT348" i="13"/>
  <c r="AT343" i="13"/>
  <c r="AT339" i="13"/>
  <c r="AT335" i="13"/>
  <c r="AS360" i="13"/>
  <c r="AR368" i="13"/>
  <c r="AR364" i="13"/>
  <c r="AR352" i="13"/>
  <c r="AP368" i="13"/>
  <c r="AP338" i="13"/>
  <c r="AO360" i="13"/>
  <c r="AO338" i="13"/>
  <c r="AN368" i="13"/>
  <c r="AN355" i="13"/>
  <c r="AM352" i="13"/>
  <c r="AM342" i="13"/>
  <c r="AM335" i="13"/>
  <c r="AL360" i="13"/>
  <c r="AL348" i="13"/>
  <c r="AK364" i="13"/>
  <c r="AK355" i="13"/>
  <c r="AJ364" i="13"/>
  <c r="AJ356" i="13"/>
  <c r="AJ335" i="13"/>
  <c r="AI355" i="13"/>
  <c r="AI348" i="13"/>
  <c r="AK370" i="13"/>
  <c r="AP370" i="13"/>
  <c r="AJ370" i="13"/>
  <c r="AL370" i="13"/>
  <c r="AM370" i="13"/>
  <c r="AK366" i="13"/>
  <c r="AP366" i="13"/>
  <c r="AJ366" i="13"/>
  <c r="AL366" i="13"/>
  <c r="AO366" i="13"/>
  <c r="AO362" i="13"/>
  <c r="AQ362" i="13"/>
  <c r="AL362" i="13"/>
  <c r="AM358" i="13"/>
  <c r="AQ358" i="13"/>
  <c r="AK358" i="13"/>
  <c r="AL358" i="13"/>
  <c r="AT358" i="13"/>
  <c r="AQ354" i="13"/>
  <c r="AJ354" i="13"/>
  <c r="AO354" i="13"/>
  <c r="AT354" i="13"/>
  <c r="AM350" i="13"/>
  <c r="AT350" i="13"/>
  <c r="AU350" i="13"/>
  <c r="AJ345" i="13"/>
  <c r="AK345" i="13"/>
  <c r="AL345" i="13"/>
  <c r="AM345" i="13"/>
  <c r="AN345" i="13"/>
  <c r="AU345" i="13"/>
  <c r="AI341" i="13"/>
  <c r="AJ341" i="13"/>
  <c r="AK341" i="13"/>
  <c r="AM341" i="13"/>
  <c r="AO341" i="13"/>
  <c r="AP341" i="13"/>
  <c r="AQ341" i="13"/>
  <c r="AS341" i="13"/>
  <c r="AI337" i="13"/>
  <c r="AJ337" i="13"/>
  <c r="AK337" i="13"/>
  <c r="AM337" i="13"/>
  <c r="AO337" i="13"/>
  <c r="AR337" i="13"/>
  <c r="AS337" i="13"/>
  <c r="AI339" i="13"/>
  <c r="BH234" i="13"/>
  <c r="BG234" i="13"/>
  <c r="BO234" i="13"/>
  <c r="BK234" i="13"/>
  <c r="BS234" i="13"/>
  <c r="BV225" i="13"/>
  <c r="BE229" i="13"/>
  <c r="BT225" i="13"/>
  <c r="BS225" i="13"/>
  <c r="BF227" i="13"/>
  <c r="BR227" i="13"/>
  <c r="BE227" i="13"/>
  <c r="BJ227" i="13"/>
  <c r="BL227" i="13"/>
  <c r="BQ225" i="13"/>
  <c r="BN225" i="13"/>
  <c r="BK225" i="13"/>
  <c r="AL226" i="13"/>
  <c r="AM226" i="13"/>
  <c r="AN289" i="13"/>
  <c r="AU289" i="13"/>
  <c r="BG229" i="13"/>
  <c r="BI229" i="13"/>
  <c r="BE225" i="13"/>
  <c r="BL225" i="13"/>
  <c r="BI225" i="13"/>
  <c r="BS319" i="13"/>
  <c r="BL314" i="13"/>
  <c r="BA315" i="13"/>
  <c r="AY318" i="13"/>
  <c r="AW320" i="13"/>
  <c r="AO315" i="13"/>
  <c r="AM313" i="13"/>
  <c r="AK313" i="13"/>
  <c r="AI315" i="13"/>
  <c r="BU326" i="13"/>
  <c r="BI322" i="13"/>
  <c r="BG322" i="13"/>
  <c r="BA326" i="13"/>
  <c r="AZ324" i="13"/>
  <c r="AW324" i="13"/>
  <c r="AV326" i="13"/>
  <c r="AV322" i="13"/>
  <c r="AO324" i="13"/>
  <c r="AL326" i="13"/>
  <c r="AL322" i="13"/>
  <c r="AJ324" i="13"/>
  <c r="BN538" i="13"/>
  <c r="BN438" i="13"/>
  <c r="BN434" i="13"/>
  <c r="BN430" i="13"/>
  <c r="BN426" i="13"/>
  <c r="BJ538" i="13"/>
  <c r="BJ438" i="13"/>
  <c r="BJ434" i="13"/>
  <c r="BJ430" i="13"/>
  <c r="BJ426" i="13"/>
  <c r="BD438" i="13"/>
  <c r="BE441" i="13"/>
  <c r="BD441" i="13"/>
  <c r="BE437" i="13"/>
  <c r="BD437" i="13"/>
  <c r="BE433" i="13"/>
  <c r="BD433" i="13"/>
  <c r="BE429" i="13"/>
  <c r="BD429" i="13"/>
  <c r="BH429" i="13"/>
  <c r="BE425" i="13"/>
  <c r="BD425" i="13"/>
  <c r="BH425" i="13"/>
  <c r="AQ324" i="13"/>
  <c r="AP324" i="13"/>
  <c r="BH426" i="13"/>
  <c r="BF437" i="13"/>
  <c r="BD538" i="13"/>
  <c r="BD426" i="13"/>
  <c r="BU228" i="13"/>
  <c r="BO228" i="13"/>
  <c r="BN228" i="13"/>
  <c r="BH228" i="13"/>
  <c r="BV288" i="13"/>
  <c r="BN288" i="13"/>
  <c r="AW284" i="13"/>
  <c r="AQ288" i="13"/>
  <c r="BP314" i="13"/>
  <c r="BH314" i="13"/>
  <c r="AX320" i="13"/>
  <c r="AV315" i="13"/>
  <c r="AR315" i="13"/>
  <c r="AP320" i="13"/>
  <c r="AM320" i="13"/>
  <c r="AL318" i="13"/>
  <c r="AJ315" i="13"/>
  <c r="BU322" i="13"/>
  <c r="BS326" i="13"/>
  <c r="BQ326" i="13"/>
  <c r="BA324" i="13"/>
  <c r="AZ326" i="13"/>
  <c r="AZ322" i="13"/>
  <c r="AY324" i="13"/>
  <c r="AX326" i="13"/>
  <c r="AW326" i="13"/>
  <c r="AV324" i="13"/>
  <c r="AU327" i="13"/>
  <c r="AS327" i="13"/>
  <c r="AR324" i="13"/>
  <c r="AQ323" i="13"/>
  <c r="AP323" i="13"/>
  <c r="AM324" i="13"/>
  <c r="AL324" i="13"/>
  <c r="AK324" i="13"/>
  <c r="AI324" i="13"/>
  <c r="BT538" i="13"/>
  <c r="BT438" i="13"/>
  <c r="BT434" i="13"/>
  <c r="BT430" i="13"/>
  <c r="BT426" i="13"/>
  <c r="BS441" i="13"/>
  <c r="BS437" i="13"/>
  <c r="BS433" i="13"/>
  <c r="BS429" i="13"/>
  <c r="BS425" i="13"/>
  <c r="BP538" i="13"/>
  <c r="BP438" i="13"/>
  <c r="BP434" i="13"/>
  <c r="BP430" i="13"/>
  <c r="BP426" i="13"/>
  <c r="BO441" i="13"/>
  <c r="BO437" i="13"/>
  <c r="BO433" i="13"/>
  <c r="BO429" i="13"/>
  <c r="BO425" i="13"/>
  <c r="BL538" i="13"/>
  <c r="BL438" i="13"/>
  <c r="BL434" i="13"/>
  <c r="BL430" i="13"/>
  <c r="BK441" i="13"/>
  <c r="BK437" i="13"/>
  <c r="BK433" i="13"/>
  <c r="BK429" i="13"/>
  <c r="BK425" i="13"/>
  <c r="BH430" i="13"/>
  <c r="BF441" i="13"/>
  <c r="BF425" i="13"/>
  <c r="BF538" i="13"/>
  <c r="BE538" i="13"/>
  <c r="BF438" i="13"/>
  <c r="BE438" i="13"/>
  <c r="BF434" i="13"/>
  <c r="BE434" i="13"/>
  <c r="BF430" i="13"/>
  <c r="BE430" i="13"/>
  <c r="BF426" i="13"/>
  <c r="BE426" i="13"/>
  <c r="AM538" i="13"/>
  <c r="AM438" i="13"/>
  <c r="AM434" i="13"/>
  <c r="AM430" i="13"/>
  <c r="AM426" i="13"/>
  <c r="AI538" i="13"/>
  <c r="AI438" i="13"/>
  <c r="AI434" i="13"/>
  <c r="AI430" i="13"/>
  <c r="AI426" i="13"/>
  <c r="AN538" i="13"/>
  <c r="AN438" i="13"/>
  <c r="AN434" i="13"/>
  <c r="AN430" i="13"/>
  <c r="AN426" i="13"/>
  <c r="AM441" i="13"/>
  <c r="AM437" i="13"/>
  <c r="AM433" i="13"/>
  <c r="AM429" i="13"/>
  <c r="AM425" i="13"/>
  <c r="AJ538" i="13"/>
  <c r="AJ438" i="13"/>
  <c r="AJ434" i="13"/>
  <c r="AJ430" i="13"/>
  <c r="AJ426" i="13"/>
  <c r="AI441" i="13"/>
  <c r="AI437" i="13"/>
  <c r="AI433" i="13"/>
  <c r="AI429" i="13"/>
  <c r="AI425" i="13"/>
  <c r="AO538" i="13"/>
  <c r="AO438" i="13"/>
  <c r="AO434" i="13"/>
  <c r="AO430" i="13"/>
  <c r="AO426" i="13"/>
  <c r="AN441" i="13"/>
  <c r="AN437" i="13"/>
  <c r="AN433" i="13"/>
  <c r="AN429" i="13"/>
  <c r="AN425" i="13"/>
  <c r="BQ370" i="13"/>
  <c r="BV369" i="13"/>
  <c r="BT369" i="13"/>
  <c r="BR369" i="13"/>
  <c r="BQ369" i="13"/>
  <c r="BN369" i="13"/>
  <c r="BM369" i="13"/>
  <c r="BO368" i="13"/>
  <c r="BO367" i="13"/>
  <c r="BN367" i="13"/>
  <c r="BH367" i="13"/>
  <c r="BV366" i="13"/>
  <c r="BU366" i="13"/>
  <c r="BO366" i="13"/>
  <c r="BL366" i="13"/>
  <c r="BI366" i="13"/>
  <c r="BT365" i="13"/>
  <c r="BO365" i="13"/>
  <c r="BJ365" i="13"/>
  <c r="BI365" i="13"/>
  <c r="BH365" i="13"/>
  <c r="BR365" i="13"/>
  <c r="BL365" i="13"/>
  <c r="BK365" i="13"/>
  <c r="BG365" i="13"/>
  <c r="BT364" i="13"/>
  <c r="BP364" i="13"/>
  <c r="BN364" i="13"/>
  <c r="BL364" i="13"/>
  <c r="BE364" i="13"/>
  <c r="BV364" i="13"/>
  <c r="BK364" i="13"/>
  <c r="BJ364" i="13"/>
  <c r="BA363" i="13"/>
  <c r="AY363" i="13"/>
  <c r="AW363" i="13"/>
  <c r="AR363" i="13"/>
  <c r="AO363" i="13"/>
  <c r="AK363" i="13"/>
  <c r="AJ363" i="13"/>
  <c r="AS363" i="13"/>
  <c r="AQ363" i="13"/>
  <c r="BT362" i="13"/>
  <c r="BS362" i="13"/>
  <c r="BR362" i="13"/>
  <c r="BN362" i="13"/>
  <c r="BJ362" i="13"/>
  <c r="BD362" i="13"/>
  <c r="BU362" i="13"/>
  <c r="BE362" i="13"/>
  <c r="BP362" i="13"/>
  <c r="BM362" i="13"/>
  <c r="BK362" i="13"/>
  <c r="BG362" i="13"/>
  <c r="BT361" i="13"/>
  <c r="BV361" i="13"/>
  <c r="BS361" i="13"/>
  <c r="BQ361" i="13"/>
  <c r="BN361" i="13"/>
  <c r="BM361" i="13"/>
  <c r="BL361" i="13"/>
  <c r="AV361" i="13"/>
  <c r="AT361" i="13"/>
  <c r="AR361" i="13"/>
  <c r="AM361" i="13"/>
  <c r="AK361" i="13"/>
  <c r="BU361" i="13"/>
  <c r="BJ361" i="13"/>
  <c r="BG361" i="13"/>
  <c r="BF361" i="13"/>
  <c r="BE361" i="13"/>
  <c r="BD361" i="13"/>
  <c r="BR361" i="13"/>
  <c r="AO361" i="13"/>
  <c r="AN361" i="13"/>
  <c r="BP360" i="13"/>
  <c r="BO360" i="13"/>
  <c r="BN360" i="13"/>
  <c r="BK360" i="13"/>
  <c r="BF360" i="13"/>
  <c r="BS360" i="13"/>
  <c r="BG360" i="13"/>
  <c r="BU360" i="13"/>
  <c r="BR360" i="13"/>
  <c r="BQ360" i="13"/>
  <c r="BM360" i="13"/>
  <c r="BI360" i="13"/>
  <c r="BE360" i="13"/>
  <c r="BR359" i="13"/>
  <c r="BK359" i="13"/>
  <c r="BT359" i="13"/>
  <c r="BM359" i="13"/>
  <c r="BJ359" i="13"/>
  <c r="BI359" i="13"/>
  <c r="BG359" i="13"/>
  <c r="BE359" i="13"/>
  <c r="BU359" i="13"/>
  <c r="BS359" i="13"/>
  <c r="BQ359" i="13"/>
  <c r="BP359" i="13"/>
  <c r="BL359" i="13"/>
  <c r="BH359" i="13"/>
  <c r="BF359" i="13"/>
  <c r="BV358" i="13"/>
  <c r="BU358" i="13"/>
  <c r="BQ358" i="13"/>
  <c r="BI358" i="13"/>
  <c r="BE358" i="13"/>
  <c r="BF358" i="13"/>
  <c r="BS358" i="13"/>
  <c r="BR358" i="13"/>
  <c r="BO358" i="13"/>
  <c r="BG358" i="13"/>
  <c r="BT358" i="13"/>
  <c r="BN358" i="13"/>
  <c r="BL358" i="13"/>
  <c r="BK358" i="13"/>
  <c r="BJ358" i="13"/>
  <c r="BH358" i="13"/>
  <c r="BQ357" i="13"/>
  <c r="BM357" i="13"/>
  <c r="BK357" i="13"/>
  <c r="BO357" i="13"/>
  <c r="BL357" i="13"/>
  <c r="BI357" i="13"/>
  <c r="BH357" i="13"/>
  <c r="BG357" i="13"/>
  <c r="BF357" i="13"/>
  <c r="BE357" i="13"/>
  <c r="BD357" i="13"/>
  <c r="BT357" i="13"/>
  <c r="BS357" i="13"/>
  <c r="BN357" i="13"/>
  <c r="BP356" i="13"/>
  <c r="BN356" i="13"/>
  <c r="BM356" i="13"/>
  <c r="BL356" i="13"/>
  <c r="BR356" i="13"/>
  <c r="BJ356" i="13"/>
  <c r="BT356" i="13"/>
  <c r="BP355" i="13"/>
  <c r="BK355" i="13"/>
  <c r="BT355" i="13"/>
  <c r="BR355" i="13"/>
  <c r="BQ355" i="13"/>
  <c r="BI355" i="13"/>
  <c r="AO355" i="13"/>
  <c r="AM355" i="13"/>
  <c r="BS355" i="13"/>
  <c r="BS354" i="13"/>
  <c r="BQ354" i="13"/>
  <c r="BP354" i="13"/>
  <c r="BO354" i="13"/>
  <c r="BN354" i="13"/>
  <c r="BK354" i="13"/>
  <c r="BT354" i="13"/>
  <c r="BM354" i="13"/>
  <c r="BH354" i="13"/>
  <c r="BR354" i="13"/>
  <c r="BJ354" i="13"/>
  <c r="BM353" i="13"/>
  <c r="BV353" i="13"/>
  <c r="BU353" i="13"/>
  <c r="BT353" i="13"/>
  <c r="BS353" i="13"/>
  <c r="BR353" i="13"/>
  <c r="BK353" i="13"/>
  <c r="BJ353" i="13"/>
  <c r="BH353" i="13"/>
  <c r="BL353" i="13"/>
  <c r="BM352" i="13"/>
  <c r="BI352" i="13"/>
  <c r="BH352" i="13"/>
  <c r="BV352" i="13"/>
  <c r="BQ352" i="13"/>
  <c r="BP352" i="13"/>
  <c r="BU351" i="13"/>
  <c r="BO351" i="13"/>
  <c r="BJ351" i="13"/>
  <c r="BV351" i="13"/>
  <c r="BT351" i="13"/>
  <c r="BQ351" i="13"/>
  <c r="BN351" i="13"/>
  <c r="BS351" i="13"/>
  <c r="BL351" i="13"/>
  <c r="BK351" i="13"/>
  <c r="BI351" i="13"/>
  <c r="BI349" i="13"/>
  <c r="BQ349" i="13"/>
  <c r="BJ349" i="13"/>
  <c r="BG349" i="13"/>
  <c r="BV349" i="13"/>
  <c r="BR349" i="13"/>
  <c r="BP349" i="13"/>
  <c r="BA349" i="13"/>
  <c r="AI349" i="13"/>
  <c r="AO350" i="13"/>
  <c r="AK350" i="13"/>
  <c r="AI350" i="13"/>
  <c r="BJ350" i="13"/>
  <c r="BI350" i="13"/>
  <c r="BV350" i="13"/>
  <c r="BS350" i="13"/>
  <c r="BL350" i="13"/>
  <c r="AV350" i="13"/>
  <c r="AQ350" i="13"/>
  <c r="BT350" i="13"/>
  <c r="BR350" i="13"/>
  <c r="BQ350" i="13"/>
  <c r="BP350" i="13"/>
  <c r="BN350" i="13"/>
  <c r="BH350" i="13"/>
  <c r="BU349" i="13"/>
  <c r="BN349" i="13"/>
  <c r="BM349" i="13"/>
  <c r="BL349" i="13"/>
  <c r="BH349" i="13"/>
  <c r="BF349" i="13"/>
  <c r="AP349" i="13"/>
  <c r="AM349" i="13"/>
  <c r="BT349" i="13"/>
  <c r="BO349" i="13"/>
  <c r="AY349" i="13"/>
  <c r="AT349" i="13"/>
  <c r="AQ349" i="13"/>
  <c r="BV348" i="13"/>
  <c r="BT348" i="13"/>
  <c r="BS348" i="13"/>
  <c r="BQ348" i="13"/>
  <c r="BN348" i="13"/>
  <c r="BK348" i="13"/>
  <c r="BJ348" i="13"/>
  <c r="BP348" i="13"/>
  <c r="BO348" i="13"/>
  <c r="BM348" i="13"/>
  <c r="BI348" i="13"/>
  <c r="BH348" i="13"/>
  <c r="BE348" i="13"/>
  <c r="BR348" i="13"/>
  <c r="BG348" i="13"/>
  <c r="BU347" i="13"/>
  <c r="BQ347" i="13"/>
  <c r="BI347" i="13"/>
  <c r="BG347" i="13"/>
  <c r="BV347" i="13"/>
  <c r="BK347" i="13"/>
  <c r="BH347" i="13"/>
  <c r="BF347" i="13"/>
  <c r="BM347" i="13"/>
  <c r="BE347" i="13"/>
  <c r="BR347" i="13"/>
  <c r="BP347" i="13"/>
  <c r="BN347" i="13"/>
  <c r="BL347" i="13"/>
  <c r="BJ347" i="13"/>
  <c r="BT346" i="13"/>
  <c r="BR346" i="13"/>
  <c r="AI346" i="13"/>
  <c r="BP345" i="13"/>
  <c r="BM345" i="13"/>
  <c r="BD345" i="13"/>
  <c r="BT345" i="13"/>
  <c r="BQ345" i="13"/>
  <c r="BN345" i="13"/>
  <c r="BK345" i="13"/>
  <c r="BT344" i="13"/>
  <c r="BP344" i="13"/>
  <c r="BJ344" i="13"/>
  <c r="BD343" i="13"/>
  <c r="BV343" i="13"/>
  <c r="BU343" i="13"/>
  <c r="BT343" i="13"/>
  <c r="BS343" i="13"/>
  <c r="BR343" i="13"/>
  <c r="BQ343" i="13"/>
  <c r="BP343" i="13"/>
  <c r="BO343" i="13"/>
  <c r="BN343" i="13"/>
  <c r="BM343" i="13"/>
  <c r="BI343" i="13"/>
  <c r="BE343" i="13"/>
  <c r="AY343" i="13"/>
  <c r="AU343" i="13"/>
  <c r="AQ343" i="13"/>
  <c r="AM343" i="13"/>
  <c r="AI343" i="13"/>
  <c r="BK343" i="13"/>
  <c r="BA343" i="13"/>
  <c r="AW343" i="13"/>
  <c r="AS343" i="13"/>
  <c r="AO343" i="13"/>
  <c r="BA346" i="13"/>
  <c r="AZ346" i="13"/>
  <c r="AY346" i="13"/>
  <c r="AX346" i="13"/>
  <c r="AW346" i="13"/>
  <c r="AV346" i="13"/>
  <c r="AU346" i="13"/>
  <c r="AT346" i="13"/>
  <c r="AS346" i="13"/>
  <c r="AR346" i="13"/>
  <c r="AQ346" i="13"/>
  <c r="AP346" i="13"/>
  <c r="AO346" i="13"/>
  <c r="AN346" i="13"/>
  <c r="AM346" i="13"/>
  <c r="AL346" i="13"/>
  <c r="AK346" i="13"/>
  <c r="BK346" i="13"/>
  <c r="BJ346" i="13"/>
  <c r="BF346" i="13"/>
  <c r="BL346" i="13"/>
  <c r="BI346" i="13"/>
  <c r="BH346" i="13"/>
  <c r="BG346" i="13"/>
  <c r="BE346" i="13"/>
  <c r="AR230" i="13"/>
  <c r="AK230" i="13"/>
  <c r="AN230" i="13"/>
  <c r="AZ230" i="13"/>
  <c r="AV230" i="13"/>
  <c r="AM230" i="13"/>
  <c r="AX282" i="13"/>
  <c r="AU282" i="13"/>
  <c r="AL282" i="13"/>
  <c r="AT284" i="13"/>
  <c r="AU284" i="13"/>
  <c r="AW286" i="13"/>
  <c r="AU286" i="13"/>
  <c r="AM286" i="13"/>
  <c r="AV288" i="13"/>
  <c r="AS288" i="13"/>
  <c r="BA290" i="13"/>
  <c r="AY290" i="13"/>
  <c r="AQ313" i="13"/>
  <c r="AV295" i="13"/>
  <c r="AZ295" i="13"/>
  <c r="AQ226" i="13"/>
  <c r="BO327" i="13"/>
  <c r="AW327" i="13"/>
  <c r="AR327" i="13"/>
  <c r="AQ327" i="13"/>
  <c r="AO327" i="13"/>
  <c r="AI327" i="13"/>
  <c r="AY320" i="13"/>
  <c r="AU320" i="13"/>
  <c r="AR320" i="13"/>
  <c r="AK320" i="13"/>
  <c r="AS318" i="13"/>
  <c r="BA318" i="13"/>
  <c r="AX318" i="13"/>
  <c r="AT318" i="13"/>
  <c r="BT316" i="13"/>
  <c r="BL316" i="13"/>
  <c r="BD316" i="13"/>
  <c r="AX316" i="13"/>
  <c r="AS316" i="13"/>
  <c r="AM316" i="13"/>
  <c r="AW316" i="13"/>
  <c r="AQ316" i="13"/>
  <c r="AL316" i="13"/>
  <c r="BK314" i="13"/>
  <c r="BO314" i="13"/>
  <c r="AZ298" i="13"/>
  <c r="BV284" i="13"/>
  <c r="BR284" i="13"/>
  <c r="BJ284" i="13"/>
  <c r="BO284" i="13"/>
  <c r="AY284" i="13"/>
  <c r="AO284" i="13"/>
  <c r="BL282" i="13"/>
  <c r="BA282" i="13"/>
  <c r="AJ282" i="13"/>
  <c r="BV234" i="13"/>
  <c r="BR234" i="13"/>
  <c r="BN234" i="13"/>
  <c r="BJ234" i="13"/>
  <c r="BF234" i="13"/>
  <c r="BT234" i="13"/>
  <c r="BP234" i="13"/>
  <c r="BL234" i="13"/>
  <c r="BV232" i="13"/>
  <c r="BR232" i="13"/>
  <c r="BQ232" i="13"/>
  <c r="BP232" i="13"/>
  <c r="BO232" i="13"/>
  <c r="BN232" i="13"/>
  <c r="BL232" i="13"/>
  <c r="BD232" i="13"/>
  <c r="BU232" i="13"/>
  <c r="BS232" i="13"/>
  <c r="BH232" i="13"/>
  <c r="BG232" i="13"/>
  <c r="BF232" i="13"/>
  <c r="BE232" i="13"/>
  <c r="BT232" i="13"/>
  <c r="BM232" i="13"/>
  <c r="BK232" i="13"/>
  <c r="BJ232" i="13"/>
  <c r="AP230" i="13"/>
  <c r="AJ230" i="13"/>
  <c r="BV230" i="13"/>
  <c r="BU230" i="13"/>
  <c r="AX230" i="13"/>
  <c r="AT230" i="13"/>
  <c r="AO230" i="13"/>
  <c r="AL230" i="13"/>
  <c r="AI230" i="13"/>
  <c r="BU229" i="13"/>
  <c r="BT229" i="13"/>
  <c r="BR229" i="13"/>
  <c r="BJ229" i="13"/>
  <c r="BP229" i="13"/>
  <c r="BK229" i="13"/>
  <c r="BH229" i="13"/>
  <c r="BV229" i="13"/>
  <c r="BS229" i="13"/>
  <c r="BO229" i="13"/>
  <c r="BF229" i="13"/>
  <c r="BQ229" i="13"/>
  <c r="BM229" i="13"/>
  <c r="BL229" i="13"/>
  <c r="BU227" i="13"/>
  <c r="BS227" i="13"/>
  <c r="BQ227" i="13"/>
  <c r="BO227" i="13"/>
  <c r="BM227" i="13"/>
  <c r="BK227" i="13"/>
  <c r="BI227" i="13"/>
  <c r="BG227" i="13"/>
  <c r="BA227" i="13"/>
  <c r="AR227" i="13"/>
  <c r="AP227" i="13"/>
  <c r="AN227" i="13"/>
  <c r="AV227" i="13"/>
  <c r="AT227" i="13"/>
  <c r="AQ227" i="13"/>
  <c r="AL227" i="13"/>
  <c r="AJ227" i="13"/>
  <c r="BV227" i="13"/>
  <c r="BP227" i="13"/>
  <c r="BN227" i="13"/>
  <c r="BH227" i="13"/>
  <c r="AZ227" i="13"/>
  <c r="AX227" i="13"/>
  <c r="AU227" i="13"/>
  <c r="AS227" i="13"/>
  <c r="AO227" i="13"/>
  <c r="BP225" i="13"/>
  <c r="BH225" i="13"/>
  <c r="AT225" i="13"/>
  <c r="AR225" i="13"/>
  <c r="AZ225" i="13"/>
  <c r="BU225" i="13"/>
  <c r="BR225" i="13"/>
  <c r="BO225" i="13"/>
  <c r="BM225" i="13"/>
  <c r="BJ225" i="13"/>
  <c r="BG225" i="13"/>
  <c r="AX225" i="13"/>
  <c r="BU226" i="13"/>
  <c r="BQ226" i="13"/>
  <c r="BM226" i="13"/>
  <c r="BI226" i="13"/>
  <c r="AZ226" i="13"/>
  <c r="AV226" i="13"/>
  <c r="AR226" i="13"/>
  <c r="AN226" i="13"/>
  <c r="AJ226" i="13"/>
  <c r="BV226" i="13"/>
  <c r="BR226" i="13"/>
  <c r="BN226" i="13"/>
  <c r="BJ226" i="13"/>
  <c r="BA226" i="13"/>
  <c r="AW226" i="13"/>
  <c r="AS226" i="13"/>
  <c r="AO226" i="13"/>
  <c r="AK226" i="13"/>
  <c r="AX226" i="13"/>
  <c r="AT226" i="13"/>
  <c r="AP226" i="13"/>
  <c r="BD231" i="13"/>
  <c r="BV231" i="13"/>
  <c r="BU231" i="13"/>
  <c r="BT231" i="13"/>
  <c r="BS231" i="13"/>
  <c r="BR231" i="13"/>
  <c r="BQ231" i="13"/>
  <c r="BP231" i="13"/>
  <c r="BO231" i="13"/>
  <c r="BN231" i="13"/>
  <c r="BM231" i="13"/>
  <c r="BL231" i="13"/>
  <c r="BK231" i="13"/>
  <c r="BJ231" i="13"/>
  <c r="BI231" i="13"/>
  <c r="BH231" i="13"/>
  <c r="BG231" i="13"/>
  <c r="BF231" i="13"/>
  <c r="AZ231" i="13"/>
  <c r="AX231" i="13"/>
  <c r="AV231" i="13"/>
  <c r="AT231" i="13"/>
  <c r="AR231" i="13"/>
  <c r="AP231" i="13"/>
  <c r="AO231" i="13"/>
  <c r="AN231" i="13"/>
  <c r="AM231" i="13"/>
  <c r="AL231" i="13"/>
  <c r="AK231" i="13"/>
  <c r="AJ231" i="13"/>
  <c r="AI231" i="13"/>
  <c r="BA231" i="13"/>
  <c r="AY231" i="13"/>
  <c r="AW231" i="13"/>
  <c r="AU231" i="13"/>
  <c r="AS231" i="13"/>
  <c r="BK297" i="13"/>
  <c r="AJ297" i="13"/>
  <c r="AK294" i="13"/>
  <c r="BA323" i="13"/>
  <c r="AW323" i="13"/>
  <c r="AU323" i="13"/>
  <c r="AN323" i="13"/>
  <c r="AM323" i="13"/>
  <c r="AT322" i="13"/>
  <c r="BT321" i="13"/>
  <c r="BS321" i="13"/>
  <c r="BP321" i="13"/>
  <c r="BG321" i="13"/>
  <c r="BD321" i="13"/>
  <c r="AL321" i="13"/>
  <c r="BH319" i="13"/>
  <c r="AR319" i="13"/>
  <c r="AY319" i="13"/>
  <c r="BP317" i="13"/>
  <c r="BL317" i="13"/>
  <c r="BK317" i="13"/>
  <c r="BD317" i="13"/>
  <c r="BT317" i="13"/>
  <c r="AW315" i="13"/>
  <c r="AU315" i="13"/>
  <c r="AS315" i="13"/>
  <c r="AM315" i="13"/>
  <c r="AL315" i="13"/>
  <c r="AK315" i="13"/>
  <c r="AT315" i="13"/>
  <c r="AP315" i="13"/>
  <c r="BA313" i="13"/>
  <c r="AX313" i="13"/>
  <c r="AU313" i="13"/>
  <c r="AO313" i="13"/>
  <c r="AP313" i="13"/>
  <c r="BO288" i="13"/>
  <c r="AX288" i="13"/>
  <c r="BA286" i="13"/>
  <c r="AN285" i="13"/>
  <c r="BV283" i="13"/>
  <c r="AX239" i="13"/>
  <c r="BG323" i="13"/>
  <c r="BO323" i="13"/>
  <c r="BT323" i="13"/>
  <c r="BV233" i="13"/>
  <c r="BU233" i="13"/>
  <c r="BT233" i="13"/>
  <c r="BS233" i="13"/>
  <c r="BR233" i="13"/>
  <c r="BQ233" i="13"/>
  <c r="BP233" i="13"/>
  <c r="BO233" i="13"/>
  <c r="BN233" i="13"/>
  <c r="BM233" i="13"/>
  <c r="BL233" i="13"/>
  <c r="BK233" i="13"/>
  <c r="BJ233" i="13"/>
  <c r="BI233" i="13"/>
  <c r="BH233" i="13"/>
  <c r="BG233" i="13"/>
  <c r="BF233" i="13"/>
  <c r="BN294" i="13"/>
  <c r="BG294" i="13"/>
  <c r="BT291" i="13"/>
  <c r="BR283" i="13"/>
  <c r="BG290" i="13"/>
  <c r="BI290" i="13"/>
  <c r="BK286" i="13"/>
  <c r="BM286" i="13"/>
  <c r="BR286" i="13"/>
  <c r="BU286" i="13"/>
  <c r="BE319" i="13"/>
  <c r="BF319" i="13"/>
  <c r="BO319" i="13"/>
  <c r="BP319" i="13"/>
  <c r="BE314" i="13"/>
  <c r="BD314" i="13"/>
  <c r="BJ314" i="13"/>
  <c r="BN314" i="13"/>
  <c r="AI319" i="13"/>
  <c r="AN319" i="13"/>
  <c r="AV319" i="13"/>
  <c r="AP314" i="13"/>
  <c r="AT314" i="13"/>
  <c r="BT327" i="13"/>
  <c r="BN327" i="13"/>
  <c r="BL323" i="13"/>
  <c r="BJ327" i="13"/>
  <c r="BI327" i="13"/>
  <c r="BH327" i="13"/>
  <c r="BG327" i="13"/>
  <c r="BE327" i="13"/>
  <c r="BK315" i="13"/>
  <c r="BS315" i="13"/>
  <c r="BQ327" i="13"/>
  <c r="BR327" i="13"/>
  <c r="BU327" i="13"/>
  <c r="BV327" i="13"/>
  <c r="BV236" i="13"/>
  <c r="BU236" i="13"/>
  <c r="BT236" i="13"/>
  <c r="BS236" i="13"/>
  <c r="BR236" i="13"/>
  <c r="BQ236" i="13"/>
  <c r="BP236" i="13"/>
  <c r="BO236" i="13"/>
  <c r="BN236" i="13"/>
  <c r="BM236" i="13"/>
  <c r="BL236" i="13"/>
  <c r="BK236" i="13"/>
  <c r="BJ236" i="13"/>
  <c r="BI236" i="13"/>
  <c r="BH236" i="13"/>
  <c r="BG236" i="13"/>
  <c r="BF236" i="13"/>
  <c r="BE236" i="13"/>
  <c r="BQ295" i="13"/>
  <c r="AN295" i="13"/>
  <c r="AR295" i="13"/>
  <c r="BT290" i="13"/>
  <c r="BS283" i="13"/>
  <c r="BQ290" i="13"/>
  <c r="BG282" i="13"/>
  <c r="BE289" i="13"/>
  <c r="BQ289" i="13"/>
  <c r="BE285" i="13"/>
  <c r="BO285" i="13"/>
  <c r="AQ291" i="13"/>
  <c r="BV319" i="13"/>
  <c r="BT314" i="13"/>
  <c r="BR319" i="13"/>
  <c r="BL319" i="13"/>
  <c r="BJ319" i="13"/>
  <c r="BG319" i="13"/>
  <c r="BD319" i="13"/>
  <c r="AZ314" i="13"/>
  <c r="AV314" i="13"/>
  <c r="AP319" i="13"/>
  <c r="AM318" i="13"/>
  <c r="AQ318" i="13"/>
  <c r="AU318" i="13"/>
  <c r="AW318" i="13"/>
  <c r="BV323" i="13"/>
  <c r="BU323" i="13"/>
  <c r="BS323" i="13"/>
  <c r="BR323" i="13"/>
  <c r="BQ323" i="13"/>
  <c r="BP323" i="13"/>
  <c r="BN323" i="13"/>
  <c r="BM323" i="13"/>
  <c r="BK323" i="13"/>
  <c r="BF327" i="13"/>
  <c r="BD323" i="13"/>
  <c r="BE325" i="13"/>
  <c r="BD325" i="13"/>
  <c r="BF325" i="13"/>
  <c r="BL325" i="13"/>
  <c r="BN325" i="13"/>
  <c r="BS325" i="13"/>
  <c r="AJ237" i="13"/>
  <c r="AU237" i="13"/>
  <c r="BG320" i="13"/>
  <c r="BK320" i="13"/>
  <c r="BV235" i="13"/>
  <c r="BU235" i="13"/>
  <c r="BT235" i="13"/>
  <c r="BS235" i="13"/>
  <c r="BR235" i="13"/>
  <c r="BQ235" i="13"/>
  <c r="BP235" i="13"/>
  <c r="BO235" i="13"/>
  <c r="BN235" i="13"/>
  <c r="BM235" i="13"/>
  <c r="BL235" i="13"/>
  <c r="BK235" i="13"/>
  <c r="BJ235" i="13"/>
  <c r="BI235" i="13"/>
  <c r="BH235" i="13"/>
  <c r="BG235" i="13"/>
  <c r="BF235" i="13"/>
  <c r="AX250" i="13"/>
  <c r="AK295" i="13"/>
  <c r="BS290" i="13"/>
  <c r="AU285" i="13"/>
  <c r="AR289" i="13"/>
  <c r="AI288" i="13"/>
  <c r="AO288" i="13"/>
  <c r="AT288" i="13"/>
  <c r="AW288" i="13"/>
  <c r="AY288" i="13"/>
  <c r="AZ288" i="13"/>
  <c r="BA288" i="13"/>
  <c r="AI284" i="13"/>
  <c r="AQ284" i="13"/>
  <c r="AV284" i="13"/>
  <c r="BV314" i="13"/>
  <c r="BS320" i="13"/>
  <c r="BR314" i="13"/>
  <c r="BO315" i="13"/>
  <c r="BG315" i="13"/>
  <c r="AX314" i="13"/>
  <c r="AW313" i="13"/>
  <c r="AT313" i="13"/>
  <c r="AS313" i="13"/>
  <c r="AR314" i="13"/>
  <c r="AQ314" i="13"/>
  <c r="AP318" i="13"/>
  <c r="AO318" i="13"/>
  <c r="AM314" i="13"/>
  <c r="AJ314" i="13"/>
  <c r="AI313" i="13"/>
  <c r="AJ317" i="13"/>
  <c r="AO317" i="13"/>
  <c r="BK327" i="13"/>
  <c r="BJ323" i="13"/>
  <c r="BI323" i="13"/>
  <c r="BH323" i="13"/>
  <c r="BG325" i="13"/>
  <c r="BF323" i="13"/>
  <c r="BE323" i="13"/>
  <c r="AU321" i="13"/>
  <c r="AS321" i="13"/>
  <c r="AP326" i="13"/>
  <c r="AP322" i="13"/>
  <c r="AN325" i="13"/>
  <c r="AM321" i="13"/>
  <c r="AK321" i="13"/>
  <c r="AI321" i="13"/>
  <c r="BV316" i="13"/>
  <c r="BR316" i="13"/>
  <c r="BN316" i="13"/>
  <c r="BJ316" i="13"/>
  <c r="BF316" i="13"/>
  <c r="AK316" i="13"/>
  <c r="AY326" i="13"/>
  <c r="AY322" i="13"/>
  <c r="AX325" i="13"/>
  <c r="AX321" i="13"/>
  <c r="AU325" i="13"/>
  <c r="AS325" i="13"/>
  <c r="AR321" i="13"/>
  <c r="AP325" i="13"/>
  <c r="AM325" i="13"/>
  <c r="AK325" i="13"/>
  <c r="AJ325" i="13"/>
  <c r="BU316" i="13"/>
  <c r="BQ316" i="13"/>
  <c r="BM316" i="13"/>
  <c r="BI316" i="13"/>
  <c r="AZ316" i="13"/>
  <c r="AV316" i="13"/>
  <c r="AR316" i="13"/>
  <c r="AN316" i="13"/>
  <c r="AI234" i="13"/>
  <c r="AQ234" i="13"/>
  <c r="AI229" i="13"/>
  <c r="AJ229" i="13"/>
  <c r="AK229" i="13"/>
  <c r="AL229" i="13"/>
  <c r="AM229" i="13"/>
  <c r="AN229" i="13"/>
  <c r="AO229" i="13"/>
  <c r="AN287" i="13"/>
  <c r="AP287" i="13"/>
  <c r="AS287" i="13"/>
  <c r="AU287" i="13"/>
  <c r="AJ287" i="13"/>
  <c r="AQ287" i="13"/>
  <c r="AR287" i="13"/>
  <c r="AL287" i="13"/>
  <c r="AV287" i="13"/>
  <c r="AU234" i="13"/>
  <c r="AZ229" i="13"/>
  <c r="AX229" i="13"/>
  <c r="AV229" i="13"/>
  <c r="AT229" i="13"/>
  <c r="AR229" i="13"/>
  <c r="AP229" i="13"/>
  <c r="BE238" i="13"/>
  <c r="BS238" i="13"/>
  <c r="BD296" i="13"/>
  <c r="BS296" i="13"/>
  <c r="BI296" i="13"/>
  <c r="AJ296" i="13"/>
  <c r="AX296" i="13"/>
  <c r="AZ296" i="13"/>
  <c r="AI292" i="13"/>
  <c r="AS292" i="13"/>
  <c r="AO292" i="13"/>
  <c r="AU292" i="13"/>
  <c r="AQ292" i="13"/>
  <c r="AW234" i="13"/>
  <c r="AJ225" i="13"/>
  <c r="AK225" i="13"/>
  <c r="AL225" i="13"/>
  <c r="AM225" i="13"/>
  <c r="AN225" i="13"/>
  <c r="AO225" i="13"/>
  <c r="AP225" i="13"/>
  <c r="AU291" i="13"/>
  <c r="AI291" i="13"/>
  <c r="AK291" i="13"/>
  <c r="AL291" i="13"/>
  <c r="AR291" i="13"/>
  <c r="AN291" i="13"/>
  <c r="AO291" i="13"/>
  <c r="AT291" i="13"/>
  <c r="AU283" i="13"/>
  <c r="AN283" i="13"/>
  <c r="AR283" i="13"/>
  <c r="AI317" i="13"/>
  <c r="AM317" i="13"/>
  <c r="AQ317" i="13"/>
  <c r="AU317" i="13"/>
  <c r="AY317" i="13"/>
  <c r="AK317" i="13"/>
  <c r="AT317" i="13"/>
  <c r="AV317" i="13"/>
  <c r="BA317" i="13"/>
  <c r="AP317" i="13"/>
  <c r="AR317" i="13"/>
  <c r="AW317" i="13"/>
  <c r="AL317" i="13"/>
  <c r="AN317" i="13"/>
  <c r="AS317" i="13"/>
  <c r="BD324" i="13"/>
  <c r="BH324" i="13"/>
  <c r="BL324" i="13"/>
  <c r="BP324" i="13"/>
  <c r="BT324" i="13"/>
  <c r="BF324" i="13"/>
  <c r="BJ324" i="13"/>
  <c r="BN324" i="13"/>
  <c r="BR324" i="13"/>
  <c r="BV324" i="13"/>
  <c r="BU324" i="13"/>
  <c r="BE324" i="13"/>
  <c r="BI324" i="13"/>
  <c r="BM324" i="13"/>
  <c r="BS324" i="13"/>
  <c r="BQ324" i="13"/>
  <c r="BA230" i="13"/>
  <c r="BA225" i="13"/>
  <c r="AY230" i="13"/>
  <c r="AY225" i="13"/>
  <c r="AW230" i="13"/>
  <c r="AW225" i="13"/>
  <c r="AU230" i="13"/>
  <c r="AU225" i="13"/>
  <c r="AS230" i="13"/>
  <c r="AS225" i="13"/>
  <c r="AQ225" i="13"/>
  <c r="BE291" i="13"/>
  <c r="BI291" i="13"/>
  <c r="BS291" i="13"/>
  <c r="BD291" i="13"/>
  <c r="BG291" i="13"/>
  <c r="BL291" i="13"/>
  <c r="BO291" i="13"/>
  <c r="BK291" i="13"/>
  <c r="BF287" i="13"/>
  <c r="BL287" i="13"/>
  <c r="BK287" i="13"/>
  <c r="BO287" i="13"/>
  <c r="BS287" i="13"/>
  <c r="BT287" i="13"/>
  <c r="BE287" i="13"/>
  <c r="BH287" i="13"/>
  <c r="BI287" i="13"/>
  <c r="BJ287" i="13"/>
  <c r="BP287" i="13"/>
  <c r="BE283" i="13"/>
  <c r="BD283" i="13"/>
  <c r="BF283" i="13"/>
  <c r="BI283" i="13"/>
  <c r="BN283" i="13"/>
  <c r="BO283" i="13"/>
  <c r="BG283" i="13"/>
  <c r="AM291" i="13"/>
  <c r="AL283" i="13"/>
  <c r="AJ283" i="13"/>
  <c r="BD318" i="13"/>
  <c r="BI318" i="13"/>
  <c r="BG318" i="13"/>
  <c r="BE318" i="13"/>
  <c r="BM318" i="13"/>
  <c r="BO318" i="13"/>
  <c r="BQ318" i="13"/>
  <c r="BS318" i="13"/>
  <c r="BU318" i="13"/>
  <c r="BD313" i="13"/>
  <c r="BE313" i="13"/>
  <c r="BI313" i="13"/>
  <c r="BM313" i="13"/>
  <c r="BQ313" i="13"/>
  <c r="BU313" i="13"/>
  <c r="BG313" i="13"/>
  <c r="BO313" i="13"/>
  <c r="BS313" i="13"/>
  <c r="BK324" i="13"/>
  <c r="BA229" i="13"/>
  <c r="AY229" i="13"/>
  <c r="AW229" i="13"/>
  <c r="AU229" i="13"/>
  <c r="AS229" i="13"/>
  <c r="AQ229" i="13"/>
  <c r="BD298" i="13"/>
  <c r="BG298" i="13"/>
  <c r="BO298" i="13"/>
  <c r="AW292" i="13"/>
  <c r="AT283" i="13"/>
  <c r="AX317" i="13"/>
  <c r="BO324" i="13"/>
  <c r="AI250" i="13"/>
  <c r="BU289" i="13"/>
  <c r="BM285" i="13"/>
  <c r="BF317" i="13"/>
  <c r="BJ317" i="13"/>
  <c r="AW290" i="13"/>
  <c r="AW282" i="13"/>
  <c r="AO290" i="13"/>
  <c r="AN290" i="13"/>
  <c r="AL286" i="13"/>
  <c r="BU317" i="13"/>
  <c r="BS317" i="13"/>
  <c r="BQ317" i="13"/>
  <c r="BO317" i="13"/>
  <c r="BM317" i="13"/>
  <c r="BH317" i="13"/>
  <c r="BE317" i="13"/>
  <c r="AK319" i="13"/>
  <c r="AO319" i="13"/>
  <c r="AS319" i="13"/>
  <c r="AW319" i="13"/>
  <c r="BA319" i="13"/>
  <c r="AK314" i="13"/>
  <c r="AO314" i="13"/>
  <c r="AS314" i="13"/>
  <c r="AW314" i="13"/>
  <c r="BA314" i="13"/>
  <c r="BF326" i="13"/>
  <c r="BJ326" i="13"/>
  <c r="BN326" i="13"/>
  <c r="BR326" i="13"/>
  <c r="BV326" i="13"/>
  <c r="BD326" i="13"/>
  <c r="BH326" i="13"/>
  <c r="BL326" i="13"/>
  <c r="BP326" i="13"/>
  <c r="BT326" i="13"/>
  <c r="BF322" i="13"/>
  <c r="BJ322" i="13"/>
  <c r="BN322" i="13"/>
  <c r="BR322" i="13"/>
  <c r="BV322" i="13"/>
  <c r="BD322" i="13"/>
  <c r="BH322" i="13"/>
  <c r="BL322" i="13"/>
  <c r="BP322" i="13"/>
  <c r="BT322" i="13"/>
  <c r="BA232" i="13"/>
  <c r="BA228" i="13"/>
  <c r="AZ232" i="13"/>
  <c r="AZ228" i="13"/>
  <c r="AY232" i="13"/>
  <c r="AY228" i="13"/>
  <c r="AX232" i="13"/>
  <c r="AX228" i="13"/>
  <c r="AW232" i="13"/>
  <c r="AW228" i="13"/>
  <c r="AV232" i="13"/>
  <c r="AV228" i="13"/>
  <c r="AU232" i="13"/>
  <c r="AU228" i="13"/>
  <c r="AT232" i="13"/>
  <c r="AT228" i="13"/>
  <c r="AS232" i="13"/>
  <c r="AS228" i="13"/>
  <c r="AR232" i="13"/>
  <c r="AR228" i="13"/>
  <c r="AQ232" i="13"/>
  <c r="AQ228" i="13"/>
  <c r="AP232" i="13"/>
  <c r="AP228" i="13"/>
  <c r="AO232" i="13"/>
  <c r="AO228" i="13"/>
  <c r="AN232" i="13"/>
  <c r="AN228" i="13"/>
  <c r="AM232" i="13"/>
  <c r="AM228" i="13"/>
  <c r="AL232" i="13"/>
  <c r="AL228" i="13"/>
  <c r="AK232" i="13"/>
  <c r="AK228" i="13"/>
  <c r="AJ232" i="13"/>
  <c r="AJ228" i="13"/>
  <c r="AM297" i="13"/>
  <c r="BS295" i="13"/>
  <c r="BE295" i="13"/>
  <c r="BU285" i="13"/>
  <c r="BQ285" i="13"/>
  <c r="BO290" i="13"/>
  <c r="BO286" i="13"/>
  <c r="BO282" i="13"/>
  <c r="BM289" i="13"/>
  <c r="AZ290" i="13"/>
  <c r="AZ282" i="13"/>
  <c r="AX286" i="13"/>
  <c r="AV289" i="13"/>
  <c r="AR290" i="13"/>
  <c r="AR286" i="13"/>
  <c r="AR282" i="13"/>
  <c r="AQ286" i="13"/>
  <c r="AN282" i="13"/>
  <c r="AL290" i="13"/>
  <c r="AK286" i="13"/>
  <c r="AJ286" i="13"/>
  <c r="AI286" i="13"/>
  <c r="BV317" i="13"/>
  <c r="BR317" i="13"/>
  <c r="BN317" i="13"/>
  <c r="BG317" i="13"/>
  <c r="AZ319" i="13"/>
  <c r="AY314" i="13"/>
  <c r="AU319" i="13"/>
  <c r="AN314" i="13"/>
  <c r="AL319" i="13"/>
  <c r="AL314" i="13"/>
  <c r="AJ319" i="13"/>
  <c r="AI314" i="13"/>
  <c r="AJ318" i="13"/>
  <c r="AN318" i="13"/>
  <c r="AR318" i="13"/>
  <c r="AV318" i="13"/>
  <c r="AZ318" i="13"/>
  <c r="AJ313" i="13"/>
  <c r="AN313" i="13"/>
  <c r="AR313" i="13"/>
  <c r="AV313" i="13"/>
  <c r="AZ313" i="13"/>
  <c r="BQ322" i="13"/>
  <c r="AU326" i="13"/>
  <c r="AU322" i="13"/>
  <c r="AQ326" i="13"/>
  <c r="AQ322" i="13"/>
  <c r="AM326" i="13"/>
  <c r="AM322" i="13"/>
  <c r="AI326" i="13"/>
  <c r="AI322" i="13"/>
  <c r="AR326" i="13"/>
  <c r="AR322" i="13"/>
  <c r="AN326" i="13"/>
  <c r="AN322" i="13"/>
  <c r="AJ326" i="13"/>
  <c r="AJ322" i="13"/>
  <c r="BM325" i="13"/>
  <c r="BM321" i="13"/>
  <c r="BI325" i="13"/>
  <c r="BI321" i="13"/>
  <c r="AS326" i="13"/>
  <c r="AS322" i="13"/>
  <c r="AO326" i="13"/>
  <c r="AO322" i="13"/>
  <c r="AI233" i="13"/>
  <c r="BS297" i="13"/>
  <c r="BE290" i="13"/>
  <c r="BJ290" i="13"/>
  <c r="BM290" i="13"/>
  <c r="BP290" i="13"/>
  <c r="BR290" i="13"/>
  <c r="BU290" i="13"/>
  <c r="BD290" i="13"/>
  <c r="BE286" i="13"/>
  <c r="BN286" i="13"/>
  <c r="BQ286" i="13"/>
  <c r="BT286" i="13"/>
  <c r="BV286" i="13"/>
  <c r="BD282" i="13"/>
  <c r="BM282" i="13"/>
  <c r="BU282" i="13"/>
  <c r="AI289" i="13"/>
  <c r="AW289" i="13"/>
  <c r="AY289" i="13"/>
  <c r="BA289" i="13"/>
  <c r="AT289" i="13"/>
  <c r="AX289" i="13"/>
  <c r="AZ289" i="13"/>
  <c r="AI285" i="13"/>
  <c r="AP285" i="13"/>
  <c r="AV285" i="13"/>
  <c r="AW285" i="13"/>
  <c r="AY285" i="13"/>
  <c r="BA285" i="13"/>
  <c r="AX285" i="13"/>
  <c r="AZ285" i="13"/>
  <c r="BD293" i="13"/>
  <c r="BK293" i="13"/>
  <c r="BA234" i="13"/>
  <c r="AP234" i="13"/>
  <c r="AY242" i="13"/>
  <c r="BT237" i="13"/>
  <c r="BG238" i="13"/>
  <c r="BQ297" i="13"/>
  <c r="BE297" i="13"/>
  <c r="AX298" i="13"/>
  <c r="BS293" i="13"/>
  <c r="BG293" i="13"/>
  <c r="AI295" i="13"/>
  <c r="AP295" i="13"/>
  <c r="AT295" i="13"/>
  <c r="AX295" i="13"/>
  <c r="BT282" i="13"/>
  <c r="BS282" i="13"/>
  <c r="BP286" i="13"/>
  <c r="BN290" i="13"/>
  <c r="BN282" i="13"/>
  <c r="BJ282" i="13"/>
  <c r="BI286" i="13"/>
  <c r="AJ285" i="13"/>
  <c r="AT293" i="13"/>
  <c r="BA293" i="13"/>
  <c r="AK236" i="13"/>
  <c r="BU297" i="13"/>
  <c r="BU296" i="13"/>
  <c r="BS292" i="13"/>
  <c r="BN292" i="13"/>
  <c r="BF292" i="13"/>
  <c r="BK294" i="13"/>
  <c r="BF294" i="13"/>
  <c r="BO294" i="13"/>
  <c r="BS294" i="13"/>
  <c r="BV294" i="13"/>
  <c r="AO294" i="13"/>
  <c r="AL294" i="13"/>
  <c r="BV290" i="13"/>
  <c r="BV282" i="13"/>
  <c r="BS286" i="13"/>
  <c r="BR282" i="13"/>
  <c r="BQ282" i="13"/>
  <c r="BP282" i="13"/>
  <c r="BL290" i="13"/>
  <c r="BK290" i="13"/>
  <c r="BK282" i="13"/>
  <c r="BH282" i="13"/>
  <c r="BG286" i="13"/>
  <c r="BF282" i="13"/>
  <c r="BD284" i="13"/>
  <c r="BF284" i="13"/>
  <c r="BH284" i="13"/>
  <c r="BL284" i="13"/>
  <c r="AT285" i="13"/>
  <c r="AP289" i="13"/>
  <c r="AL289" i="13"/>
  <c r="AL285" i="13"/>
  <c r="AJ289" i="13"/>
  <c r="AP291" i="13"/>
  <c r="AS291" i="13"/>
  <c r="AV291" i="13"/>
  <c r="AX291" i="13"/>
  <c r="AZ291" i="13"/>
  <c r="AW291" i="13"/>
  <c r="AY291" i="13"/>
  <c r="BA291" i="13"/>
  <c r="AI287" i="13"/>
  <c r="AM287" i="13"/>
  <c r="AT287" i="13"/>
  <c r="AX287" i="13"/>
  <c r="AZ287" i="13"/>
  <c r="AK287" i="13"/>
  <c r="AO287" i="13"/>
  <c r="AW287" i="13"/>
  <c r="AY287" i="13"/>
  <c r="BA287" i="13"/>
  <c r="AK283" i="13"/>
  <c r="AO283" i="13"/>
  <c r="AX283" i="13"/>
  <c r="AZ283" i="13"/>
  <c r="AI283" i="13"/>
  <c r="AM283" i="13"/>
  <c r="AP283" i="13"/>
  <c r="AQ283" i="13"/>
  <c r="AS283" i="13"/>
  <c r="AV283" i="13"/>
  <c r="AW283" i="13"/>
  <c r="AY283" i="13"/>
  <c r="BA283" i="13"/>
  <c r="BF320" i="13"/>
  <c r="BJ320" i="13"/>
  <c r="BN320" i="13"/>
  <c r="BR320" i="13"/>
  <c r="BV320" i="13"/>
  <c r="BE320" i="13"/>
  <c r="BI320" i="13"/>
  <c r="BM320" i="13"/>
  <c r="BQ320" i="13"/>
  <c r="BU320" i="13"/>
  <c r="BD320" i="13"/>
  <c r="BH320" i="13"/>
  <c r="BL320" i="13"/>
  <c r="BP320" i="13"/>
  <c r="BT320" i="13"/>
  <c r="BF315" i="13"/>
  <c r="BJ315" i="13"/>
  <c r="BN315" i="13"/>
  <c r="BR315" i="13"/>
  <c r="BV315" i="13"/>
  <c r="BE315" i="13"/>
  <c r="BI315" i="13"/>
  <c r="BM315" i="13"/>
  <c r="BQ315" i="13"/>
  <c r="BU315" i="13"/>
  <c r="BD315" i="13"/>
  <c r="BH315" i="13"/>
  <c r="BL315" i="13"/>
  <c r="BP315" i="13"/>
  <c r="BT315" i="13"/>
  <c r="BV318" i="13"/>
  <c r="BV313" i="13"/>
  <c r="BR318" i="13"/>
  <c r="BR313" i="13"/>
  <c r="BN318" i="13"/>
  <c r="BN313" i="13"/>
  <c r="BJ318" i="13"/>
  <c r="BJ313" i="13"/>
  <c r="BF318" i="13"/>
  <c r="BF313" i="13"/>
  <c r="BS289" i="13"/>
  <c r="BS285" i="13"/>
  <c r="AN288" i="13"/>
  <c r="AN284" i="13"/>
  <c r="AJ288" i="13"/>
  <c r="AJ284" i="13"/>
  <c r="BU319" i="13"/>
  <c r="BU314" i="13"/>
  <c r="BT318" i="13"/>
  <c r="BT313" i="13"/>
  <c r="BQ319" i="13"/>
  <c r="BQ314" i="13"/>
  <c r="BP318" i="13"/>
  <c r="BP313" i="13"/>
  <c r="BM319" i="13"/>
  <c r="BM314" i="13"/>
  <c r="BL318" i="13"/>
  <c r="BL313" i="13"/>
  <c r="BI319" i="13"/>
  <c r="BI314" i="13"/>
  <c r="BH318" i="13"/>
  <c r="BH313" i="13"/>
  <c r="AP246" i="13"/>
  <c r="AR239" i="13"/>
  <c r="BV296" i="13"/>
  <c r="BU292" i="13"/>
  <c r="BR296" i="13"/>
  <c r="BP296" i="13"/>
  <c r="BM292" i="13"/>
  <c r="BK292" i="13"/>
  <c r="BH296" i="13"/>
  <c r="BA296" i="13"/>
  <c r="AY234" i="13"/>
  <c r="AT234" i="13"/>
  <c r="AO234" i="13"/>
  <c r="BN244" i="13"/>
  <c r="AI246" i="13"/>
  <c r="AU250" i="13"/>
  <c r="BT239" i="13"/>
  <c r="AP239" i="13"/>
  <c r="BL237" i="13"/>
  <c r="BO238" i="13"/>
  <c r="BM297" i="13"/>
  <c r="AP298" i="13"/>
  <c r="BT296" i="13"/>
  <c r="BR292" i="13"/>
  <c r="BP292" i="13"/>
  <c r="BO292" i="13"/>
  <c r="BL296" i="13"/>
  <c r="BJ296" i="13"/>
  <c r="BH292" i="13"/>
  <c r="BG292" i="13"/>
  <c r="BE292" i="13"/>
  <c r="BA295" i="13"/>
  <c r="AZ292" i="13"/>
  <c r="AW296" i="13"/>
  <c r="AU296" i="13"/>
  <c r="AT292" i="13"/>
  <c r="AR292" i="13"/>
  <c r="AP293" i="13"/>
  <c r="AM295" i="13"/>
  <c r="AL293" i="13"/>
  <c r="AJ295" i="13"/>
  <c r="BV287" i="13"/>
  <c r="BU288" i="13"/>
  <c r="BU284" i="13"/>
  <c r="BT284" i="13"/>
  <c r="BR287" i="13"/>
  <c r="BQ288" i="13"/>
  <c r="BQ284" i="13"/>
  <c r="BP284" i="13"/>
  <c r="BN287" i="13"/>
  <c r="BM288" i="13"/>
  <c r="BM284" i="13"/>
  <c r="BL283" i="13"/>
  <c r="BK289" i="13"/>
  <c r="BK285" i="13"/>
  <c r="BJ291" i="13"/>
  <c r="BJ283" i="13"/>
  <c r="BI289" i="13"/>
  <c r="BI285" i="13"/>
  <c r="BH291" i="13"/>
  <c r="BH283" i="13"/>
  <c r="BG289" i="13"/>
  <c r="BG285" i="13"/>
  <c r="BF291" i="13"/>
  <c r="BE284" i="13"/>
  <c r="BD287" i="13"/>
  <c r="AV290" i="13"/>
  <c r="AV286" i="13"/>
  <c r="AV282" i="13"/>
  <c r="AT290" i="13"/>
  <c r="AT286" i="13"/>
  <c r="AT282" i="13"/>
  <c r="AS282" i="13"/>
  <c r="AQ290" i="13"/>
  <c r="AP290" i="13"/>
  <c r="AP286" i="13"/>
  <c r="AP282" i="13"/>
  <c r="AO282" i="13"/>
  <c r="AM290" i="13"/>
  <c r="AM282" i="13"/>
  <c r="AK290" i="13"/>
  <c r="AK282" i="13"/>
  <c r="AX234" i="13"/>
  <c r="AS234" i="13"/>
  <c r="AM234" i="13"/>
  <c r="AI245" i="13"/>
  <c r="AN250" i="13"/>
  <c r="AI239" i="13"/>
  <c r="BK238" i="13"/>
  <c r="BV292" i="13"/>
  <c r="BT292" i="13"/>
  <c r="BQ296" i="13"/>
  <c r="BO296" i="13"/>
  <c r="BK296" i="13"/>
  <c r="BG296" i="13"/>
  <c r="AY295" i="13"/>
  <c r="AW295" i="13"/>
  <c r="AU295" i="13"/>
  <c r="AS295" i="13"/>
  <c r="AQ295" i="13"/>
  <c r="AO295" i="13"/>
  <c r="AM292" i="13"/>
  <c r="AK296" i="13"/>
  <c r="BV291" i="13"/>
  <c r="BU291" i="13"/>
  <c r="BU287" i="13"/>
  <c r="BU283" i="13"/>
  <c r="BT288" i="13"/>
  <c r="BT283" i="13"/>
  <c r="BR291" i="13"/>
  <c r="BQ291" i="13"/>
  <c r="BQ287" i="13"/>
  <c r="BQ283" i="13"/>
  <c r="BP288" i="13"/>
  <c r="BP283" i="13"/>
  <c r="BN291" i="13"/>
  <c r="BM291" i="13"/>
  <c r="BM287" i="13"/>
  <c r="BM283" i="13"/>
  <c r="BL288" i="13"/>
  <c r="BK288" i="13"/>
  <c r="BK284" i="13"/>
  <c r="BI288" i="13"/>
  <c r="BI284" i="13"/>
  <c r="BG288" i="13"/>
  <c r="BG284" i="13"/>
  <c r="AZ234" i="13"/>
  <c r="AV234" i="13"/>
  <c r="AR234" i="13"/>
  <c r="AN234" i="13"/>
  <c r="BO244" i="13"/>
  <c r="BA246" i="13"/>
  <c r="AM242" i="13"/>
  <c r="AY239" i="13"/>
  <c r="AN239" i="13"/>
  <c r="BS237" i="13"/>
  <c r="AY237" i="13"/>
  <c r="AI237" i="13"/>
  <c r="BP238" i="13"/>
  <c r="BH238" i="13"/>
  <c r="BO297" i="13"/>
  <c r="BK298" i="13"/>
  <c r="AZ297" i="13"/>
  <c r="AP297" i="13"/>
  <c r="AL297" i="13"/>
  <c r="AI297" i="13"/>
  <c r="BV295" i="13"/>
  <c r="BU295" i="13"/>
  <c r="BN295" i="13"/>
  <c r="BE296" i="13"/>
  <c r="BF296" i="13"/>
  <c r="BM296" i="13"/>
  <c r="BN296" i="13"/>
  <c r="BD292" i="13"/>
  <c r="BI292" i="13"/>
  <c r="BL292" i="13"/>
  <c r="BQ292" i="13"/>
  <c r="BA292" i="13"/>
  <c r="AZ293" i="13"/>
  <c r="AY293" i="13"/>
  <c r="AX292" i="13"/>
  <c r="AV296" i="13"/>
  <c r="AS294" i="13"/>
  <c r="AR294" i="13"/>
  <c r="AQ294" i="13"/>
  <c r="AP294" i="13"/>
  <c r="AN292" i="13"/>
  <c r="AJ292" i="13"/>
  <c r="BL286" i="13"/>
  <c r="BJ288" i="13"/>
  <c r="BH286" i="13"/>
  <c r="BF288" i="13"/>
  <c r="BD286" i="13"/>
  <c r="BD295" i="13"/>
  <c r="BG295" i="13"/>
  <c r="BO295" i="13"/>
  <c r="AJ294" i="13"/>
  <c r="AT294" i="13"/>
  <c r="AU294" i="13"/>
  <c r="AV294" i="13"/>
  <c r="AW294" i="13"/>
  <c r="BA294" i="13"/>
  <c r="BH244" i="13"/>
  <c r="AT242" i="13"/>
  <c r="BK239" i="13"/>
  <c r="BD237" i="13"/>
  <c r="AQ237" i="13"/>
  <c r="BT238" i="13"/>
  <c r="BL238" i="13"/>
  <c r="BD238" i="13"/>
  <c r="AN297" i="13"/>
  <c r="BR295" i="13"/>
  <c r="BF295" i="13"/>
  <c r="BD294" i="13"/>
  <c r="BJ294" i="13"/>
  <c r="BR294" i="13"/>
  <c r="AV292" i="13"/>
  <c r="AT296" i="13"/>
  <c r="AS296" i="13"/>
  <c r="AR296" i="13"/>
  <c r="AQ296" i="13"/>
  <c r="AP296" i="13"/>
  <c r="AP292" i="13"/>
  <c r="AM294" i="13"/>
  <c r="AI293" i="13"/>
  <c r="AX293" i="13"/>
  <c r="BJ286" i="13"/>
  <c r="BH288" i="13"/>
  <c r="BF286" i="13"/>
  <c r="BD289" i="13"/>
  <c r="BF289" i="13"/>
  <c r="BH289" i="13"/>
  <c r="BJ289" i="13"/>
  <c r="BL289" i="13"/>
  <c r="BN289" i="13"/>
  <c r="BP289" i="13"/>
  <c r="BR289" i="13"/>
  <c r="BT289" i="13"/>
  <c r="BV289" i="13"/>
  <c r="BD285" i="13"/>
  <c r="BF285" i="13"/>
  <c r="BH285" i="13"/>
  <c r="BJ285" i="13"/>
  <c r="BL285" i="13"/>
  <c r="BN285" i="13"/>
  <c r="BP285" i="13"/>
  <c r="BR285" i="13"/>
  <c r="BT285" i="13"/>
  <c r="BV285" i="13"/>
  <c r="AP237" i="13"/>
  <c r="BA297" i="13"/>
  <c r="AY297" i="13"/>
  <c r="AT297" i="13"/>
  <c r="AS297" i="13"/>
  <c r="AR297" i="13"/>
  <c r="AQ297" i="13"/>
  <c r="AO297" i="13"/>
  <c r="AK297" i="13"/>
  <c r="BM295" i="13"/>
  <c r="BK295" i="13"/>
  <c r="BI295" i="13"/>
  <c r="AZ294" i="13"/>
  <c r="AY294" i="13"/>
  <c r="AX294" i="13"/>
  <c r="AN294" i="13"/>
  <c r="AI296" i="13"/>
  <c r="AL296" i="13"/>
  <c r="AM296" i="13"/>
  <c r="AN296" i="13"/>
  <c r="AO296" i="13"/>
  <c r="AY296" i="13"/>
  <c r="AK292" i="13"/>
  <c r="AL292" i="13"/>
  <c r="AY292" i="13"/>
  <c r="BF290" i="13"/>
  <c r="BE282" i="13"/>
  <c r="AS289" i="13"/>
  <c r="AS285" i="13"/>
  <c r="AQ289" i="13"/>
  <c r="AQ285" i="13"/>
  <c r="AO289" i="13"/>
  <c r="AO285" i="13"/>
  <c r="AM289" i="13"/>
  <c r="AM285" i="13"/>
  <c r="AK289" i="13"/>
  <c r="AK285" i="13"/>
  <c r="AM288" i="13"/>
  <c r="AM284" i="13"/>
  <c r="AK288" i="13"/>
  <c r="AK284" i="13"/>
  <c r="BI297" i="13"/>
  <c r="BG297" i="13"/>
  <c r="AI244" i="13"/>
  <c r="BA236" i="13"/>
  <c r="AY236" i="13"/>
  <c r="AW236" i="13"/>
  <c r="AU236" i="13"/>
  <c r="AS236" i="13"/>
  <c r="AQ236" i="13"/>
  <c r="AO236" i="13"/>
  <c r="AM236" i="13"/>
  <c r="AY246" i="13"/>
  <c r="AQ242" i="13"/>
  <c r="AL242" i="13"/>
  <c r="AI242" i="13"/>
  <c r="BE239" i="13"/>
  <c r="BK237" i="13"/>
  <c r="AX237" i="13"/>
  <c r="AM237" i="13"/>
  <c r="BT297" i="13"/>
  <c r="BR297" i="13"/>
  <c r="BL297" i="13"/>
  <c r="BJ297" i="13"/>
  <c r="BD297" i="13"/>
  <c r="AX297" i="13"/>
  <c r="AW297" i="13"/>
  <c r="AV297" i="13"/>
  <c r="AT298" i="13"/>
  <c r="BV293" i="13"/>
  <c r="BU294" i="13"/>
  <c r="BT295" i="13"/>
  <c r="BR293" i="13"/>
  <c r="BQ294" i="13"/>
  <c r="BP295" i="13"/>
  <c r="BN293" i="13"/>
  <c r="BM294" i="13"/>
  <c r="BL295" i="13"/>
  <c r="BJ293" i="13"/>
  <c r="BI294" i="13"/>
  <c r="BH295" i="13"/>
  <c r="BF293" i="13"/>
  <c r="BE294" i="13"/>
  <c r="AW293" i="13"/>
  <c r="AS293" i="13"/>
  <c r="AO293" i="13"/>
  <c r="AK293" i="13"/>
  <c r="AX238" i="13"/>
  <c r="BU293" i="13"/>
  <c r="BT294" i="13"/>
  <c r="BQ293" i="13"/>
  <c r="BP294" i="13"/>
  <c r="BM293" i="13"/>
  <c r="BL294" i="13"/>
  <c r="BI293" i="13"/>
  <c r="BH294" i="13"/>
  <c r="BE293" i="13"/>
  <c r="AV293" i="13"/>
  <c r="AR293" i="13"/>
  <c r="AN293" i="13"/>
  <c r="AJ293" i="13"/>
  <c r="AZ236" i="13"/>
  <c r="AX236" i="13"/>
  <c r="AV236" i="13"/>
  <c r="AT236" i="13"/>
  <c r="AR236" i="13"/>
  <c r="AP236" i="13"/>
  <c r="AN236" i="13"/>
  <c r="AL236" i="13"/>
  <c r="BS241" i="13"/>
  <c r="AQ241" i="13"/>
  <c r="AU246" i="13"/>
  <c r="AM246" i="13"/>
  <c r="BP239" i="13"/>
  <c r="AP238" i="13"/>
  <c r="BV297" i="13"/>
  <c r="BP297" i="13"/>
  <c r="BN297" i="13"/>
  <c r="BH297" i="13"/>
  <c r="AY298" i="13"/>
  <c r="AL298" i="13"/>
  <c r="BT293" i="13"/>
  <c r="BP293" i="13"/>
  <c r="BL293" i="13"/>
  <c r="BH293" i="13"/>
  <c r="AU293" i="13"/>
  <c r="AQ293" i="13"/>
  <c r="AM293" i="13"/>
  <c r="AU249" i="13"/>
  <c r="BA233" i="13"/>
  <c r="AZ233" i="13"/>
  <c r="AY233" i="13"/>
  <c r="AX233" i="13"/>
  <c r="AW233" i="13"/>
  <c r="AV233" i="13"/>
  <c r="AU233" i="13"/>
  <c r="AT233" i="13"/>
  <c r="AS233" i="13"/>
  <c r="AR233" i="13"/>
  <c r="AQ233" i="13"/>
  <c r="AP233" i="13"/>
  <c r="AO233" i="13"/>
  <c r="AN233" i="13"/>
  <c r="AM233" i="13"/>
  <c r="AI236" i="13"/>
  <c r="BP244" i="13"/>
  <c r="BM239" i="13"/>
  <c r="BD239" i="13"/>
  <c r="AU239" i="13"/>
  <c r="AJ239" i="13"/>
  <c r="AT237" i="13"/>
  <c r="AL237" i="13"/>
  <c r="AU238" i="13"/>
  <c r="AM238" i="13"/>
  <c r="BV298" i="13"/>
  <c r="BR298" i="13"/>
  <c r="BN298" i="13"/>
  <c r="BJ298" i="13"/>
  <c r="BF298" i="13"/>
  <c r="BA298" i="13"/>
  <c r="AW298" i="13"/>
  <c r="AS298" i="13"/>
  <c r="AO298" i="13"/>
  <c r="AK298" i="13"/>
  <c r="BA238" i="13"/>
  <c r="AT238" i="13"/>
  <c r="AL238" i="13"/>
  <c r="BU298" i="13"/>
  <c r="BQ298" i="13"/>
  <c r="BM298" i="13"/>
  <c r="BI298" i="13"/>
  <c r="BE298" i="13"/>
  <c r="AV298" i="13"/>
  <c r="AR298" i="13"/>
  <c r="AN298" i="13"/>
  <c r="AJ298" i="13"/>
  <c r="BA235" i="13"/>
  <c r="AZ235" i="13"/>
  <c r="AY235" i="13"/>
  <c r="AX235" i="13"/>
  <c r="AW235" i="13"/>
  <c r="AV235" i="13"/>
  <c r="AU235" i="13"/>
  <c r="AT235" i="13"/>
  <c r="AS235" i="13"/>
  <c r="AR235" i="13"/>
  <c r="AQ235" i="13"/>
  <c r="AP235" i="13"/>
  <c r="AO235" i="13"/>
  <c r="AN235" i="13"/>
  <c r="AM235" i="13"/>
  <c r="AL235" i="13"/>
  <c r="AS245" i="13"/>
  <c r="BM250" i="13"/>
  <c r="BS239" i="13"/>
  <c r="BI239" i="13"/>
  <c r="AY238" i="13"/>
  <c r="AQ238" i="13"/>
  <c r="AI238" i="13"/>
  <c r="BT298" i="13"/>
  <c r="BP298" i="13"/>
  <c r="BL298" i="13"/>
  <c r="BH298" i="13"/>
  <c r="AU298" i="13"/>
  <c r="AQ298" i="13"/>
  <c r="AM298" i="13"/>
  <c r="AK233" i="13"/>
  <c r="BN241" i="13"/>
  <c r="AW245" i="13"/>
  <c r="AR245" i="13"/>
  <c r="BT250" i="13"/>
  <c r="BI250" i="13"/>
  <c r="AL247" i="13"/>
  <c r="BS250" i="13"/>
  <c r="BH250" i="13"/>
  <c r="BP237" i="13"/>
  <c r="BH237" i="13"/>
  <c r="BV238" i="13"/>
  <c r="BR238" i="13"/>
  <c r="BN238" i="13"/>
  <c r="BJ238" i="13"/>
  <c r="BF238" i="13"/>
  <c r="AW238" i="13"/>
  <c r="AS238" i="13"/>
  <c r="AO238" i="13"/>
  <c r="AK238" i="13"/>
  <c r="AL233" i="13"/>
  <c r="AL241" i="13"/>
  <c r="BH245" i="13"/>
  <c r="BO250" i="13"/>
  <c r="BD250" i="13"/>
  <c r="AP250" i="13"/>
  <c r="BU239" i="13"/>
  <c r="BO239" i="13"/>
  <c r="BH239" i="13"/>
  <c r="AZ239" i="13"/>
  <c r="AT239" i="13"/>
  <c r="AM239" i="13"/>
  <c r="BO237" i="13"/>
  <c r="BG237" i="13"/>
  <c r="BU238" i="13"/>
  <c r="BQ238" i="13"/>
  <c r="BM238" i="13"/>
  <c r="BI238" i="13"/>
  <c r="AZ238" i="13"/>
  <c r="AV238" i="13"/>
  <c r="AR238" i="13"/>
  <c r="AN238" i="13"/>
  <c r="AI235" i="13"/>
  <c r="BT242" i="13"/>
  <c r="BP242" i="13"/>
  <c r="BK246" i="13"/>
  <c r="AJ235" i="13"/>
  <c r="BL248" i="13"/>
  <c r="BS242" i="13"/>
  <c r="BK245" i="13"/>
  <c r="BG242" i="13"/>
  <c r="BA242" i="13"/>
  <c r="AX246" i="13"/>
  <c r="AU242" i="13"/>
  <c r="AP242" i="13"/>
  <c r="AL246" i="13"/>
  <c r="BQ250" i="13"/>
  <c r="BL250" i="13"/>
  <c r="BG250" i="13"/>
  <c r="AZ250" i="13"/>
  <c r="AT250" i="13"/>
  <c r="AM250" i="13"/>
  <c r="BV237" i="13"/>
  <c r="BR237" i="13"/>
  <c r="BN237" i="13"/>
  <c r="BJ237" i="13"/>
  <c r="BF237" i="13"/>
  <c r="BA237" i="13"/>
  <c r="AW237" i="13"/>
  <c r="AS237" i="13"/>
  <c r="AO237" i="13"/>
  <c r="AK237" i="13"/>
  <c r="BV249" i="13"/>
  <c r="BS247" i="13"/>
  <c r="BF241" i="13"/>
  <c r="AU241" i="13"/>
  <c r="AK241" i="13"/>
  <c r="BR244" i="13"/>
  <c r="BO242" i="13"/>
  <c r="BH246" i="13"/>
  <c r="BD246" i="13"/>
  <c r="AZ245" i="13"/>
  <c r="AX242" i="13"/>
  <c r="AT246" i="13"/>
  <c r="AQ246" i="13"/>
  <c r="AN245" i="13"/>
  <c r="AL243" i="13"/>
  <c r="BU250" i="13"/>
  <c r="BP250" i="13"/>
  <c r="BK250" i="13"/>
  <c r="BE250" i="13"/>
  <c r="AY250" i="13"/>
  <c r="AR250" i="13"/>
  <c r="AJ250" i="13"/>
  <c r="BQ239" i="13"/>
  <c r="BL239" i="13"/>
  <c r="BG239" i="13"/>
  <c r="BA239" i="13"/>
  <c r="AV239" i="13"/>
  <c r="AQ239" i="13"/>
  <c r="AL239" i="13"/>
  <c r="BU237" i="13"/>
  <c r="BQ237" i="13"/>
  <c r="BM237" i="13"/>
  <c r="BI237" i="13"/>
  <c r="AZ237" i="13"/>
  <c r="AV237" i="13"/>
  <c r="AR237" i="13"/>
  <c r="AN237" i="13"/>
  <c r="BL249" i="13"/>
  <c r="AS249" i="13"/>
  <c r="BQ241" i="13"/>
  <c r="BE241" i="13"/>
  <c r="BA241" i="13"/>
  <c r="AP241" i="13"/>
  <c r="BS246" i="13"/>
  <c r="BP246" i="13"/>
  <c r="BO246" i="13"/>
  <c r="BK242" i="13"/>
  <c r="BD245" i="13"/>
  <c r="BA245" i="13"/>
  <c r="AX245" i="13"/>
  <c r="AV245" i="13"/>
  <c r="AT245" i="13"/>
  <c r="AP245" i="13"/>
  <c r="AL234" i="13"/>
  <c r="AK234" i="13"/>
  <c r="AJ234" i="13"/>
  <c r="BU241" i="13"/>
  <c r="BO247" i="13"/>
  <c r="BK241" i="13"/>
  <c r="AW241" i="13"/>
  <c r="BT246" i="13"/>
  <c r="BS245" i="13"/>
  <c r="BP245" i="13"/>
  <c r="BO245" i="13"/>
  <c r="BL246" i="13"/>
  <c r="BJ244" i="13"/>
  <c r="BG246" i="13"/>
  <c r="BD244" i="13"/>
  <c r="BA243" i="13"/>
  <c r="AY245" i="13"/>
  <c r="AX243" i="13"/>
  <c r="AQ245" i="13"/>
  <c r="AP243" i="13"/>
  <c r="AV250" i="13"/>
  <c r="AQ250" i="13"/>
  <c r="AL250" i="13"/>
  <c r="BV239" i="13"/>
  <c r="BR239" i="13"/>
  <c r="BN239" i="13"/>
  <c r="BJ239" i="13"/>
  <c r="AW239" i="13"/>
  <c r="AS239" i="13"/>
  <c r="AO239" i="13"/>
  <c r="BO241" i="13"/>
  <c r="BJ241" i="13"/>
  <c r="BT245" i="13"/>
  <c r="BG243" i="13"/>
  <c r="AM245" i="13"/>
  <c r="AL245" i="13"/>
  <c r="AJ245" i="13"/>
  <c r="AK249" i="13"/>
  <c r="BT241" i="13"/>
  <c r="BP241" i="13"/>
  <c r="BI241" i="13"/>
  <c r="AZ241" i="13"/>
  <c r="AS241" i="13"/>
  <c r="AN241" i="13"/>
  <c r="BV244" i="13"/>
  <c r="BT244" i="13"/>
  <c r="BS244" i="13"/>
  <c r="BQ244" i="13"/>
  <c r="BO243" i="13"/>
  <c r="BL245" i="13"/>
  <c r="BK244" i="13"/>
  <c r="BG245" i="13"/>
  <c r="BF244" i="13"/>
  <c r="AU245" i="13"/>
  <c r="AT243" i="13"/>
  <c r="AR244" i="13"/>
  <c r="AO245" i="13"/>
  <c r="AM244" i="13"/>
  <c r="AL244" i="13"/>
  <c r="BV250" i="13"/>
  <c r="BR250" i="13"/>
  <c r="BN250" i="13"/>
  <c r="BJ250" i="13"/>
  <c r="BA250" i="13"/>
  <c r="AW250" i="13"/>
  <c r="AS250" i="13"/>
  <c r="AO250" i="13"/>
  <c r="BL241" i="13"/>
  <c r="BH241" i="13"/>
  <c r="AY241" i="13"/>
  <c r="AR241" i="13"/>
  <c r="BU244" i="13"/>
  <c r="BS243" i="13"/>
  <c r="BL244" i="13"/>
  <c r="BK243" i="13"/>
  <c r="BG244" i="13"/>
  <c r="BS249" i="13"/>
  <c r="BJ249" i="13"/>
  <c r="AU248" i="13"/>
  <c r="AN248" i="13"/>
  <c r="BU245" i="13"/>
  <c r="BQ245" i="13"/>
  <c r="BM245" i="13"/>
  <c r="BI245" i="13"/>
  <c r="BE245" i="13"/>
  <c r="AY244" i="13"/>
  <c r="AX244" i="13"/>
  <c r="AW244" i="13"/>
  <c r="AN244" i="13"/>
  <c r="AJ244" i="13"/>
  <c r="AX169" i="13"/>
  <c r="BS240" i="13"/>
  <c r="BI249" i="13"/>
  <c r="BA249" i="13"/>
  <c r="AP249" i="13"/>
  <c r="BM244" i="13"/>
  <c r="BL242" i="13"/>
  <c r="BI244" i="13"/>
  <c r="BH242" i="13"/>
  <c r="BD242" i="13"/>
  <c r="BA244" i="13"/>
  <c r="AZ244" i="13"/>
  <c r="AU244" i="13"/>
  <c r="AT244" i="13"/>
  <c r="AS244" i="13"/>
  <c r="AS171" i="13"/>
  <c r="AW169" i="13"/>
  <c r="BO249" i="13"/>
  <c r="BF249" i="13"/>
  <c r="AZ249" i="13"/>
  <c r="AM249" i="13"/>
  <c r="AW248" i="13"/>
  <c r="AT241" i="13"/>
  <c r="AP247" i="13"/>
  <c r="AL248" i="13"/>
  <c r="AJ241" i="13"/>
  <c r="AV244" i="13"/>
  <c r="AQ244" i="13"/>
  <c r="AP244" i="13"/>
  <c r="AO244" i="13"/>
  <c r="BT248" i="13"/>
  <c r="BP248" i="13"/>
  <c r="BG248" i="13"/>
  <c r="AZ248" i="13"/>
  <c r="AX248" i="13"/>
  <c r="AS248" i="13"/>
  <c r="AQ248" i="13"/>
  <c r="BV243" i="13"/>
  <c r="BR243" i="13"/>
  <c r="BN243" i="13"/>
  <c r="BJ243" i="13"/>
  <c r="BF243" i="13"/>
  <c r="AW243" i="13"/>
  <c r="AS243" i="13"/>
  <c r="AO243" i="13"/>
  <c r="AK243" i="13"/>
  <c r="AX249" i="13"/>
  <c r="AR249" i="13"/>
  <c r="AJ249" i="13"/>
  <c r="BV247" i="13"/>
  <c r="BR247" i="13"/>
  <c r="BK248" i="13"/>
  <c r="BG247" i="13"/>
  <c r="BD248" i="13"/>
  <c r="AX247" i="13"/>
  <c r="AV248" i="13"/>
  <c r="AT248" i="13"/>
  <c r="AO248" i="13"/>
  <c r="AM248" i="13"/>
  <c r="AI248" i="13"/>
  <c r="BV246" i="13"/>
  <c r="BV242" i="13"/>
  <c r="BU243" i="13"/>
  <c r="BR246" i="13"/>
  <c r="BR242" i="13"/>
  <c r="BQ243" i="13"/>
  <c r="BN246" i="13"/>
  <c r="BN242" i="13"/>
  <c r="BM243" i="13"/>
  <c r="BJ246" i="13"/>
  <c r="BJ242" i="13"/>
  <c r="BI243" i="13"/>
  <c r="BF246" i="13"/>
  <c r="BF242" i="13"/>
  <c r="BE243" i="13"/>
  <c r="AZ243" i="13"/>
  <c r="AW246" i="13"/>
  <c r="AW242" i="13"/>
  <c r="AV243" i="13"/>
  <c r="AS246" i="13"/>
  <c r="AS242" i="13"/>
  <c r="AR243" i="13"/>
  <c r="AO246" i="13"/>
  <c r="AO242" i="13"/>
  <c r="AN243" i="13"/>
  <c r="AK246" i="13"/>
  <c r="AK242" i="13"/>
  <c r="AJ243" i="13"/>
  <c r="AX240" i="13"/>
  <c r="BV241" i="13"/>
  <c r="BS248" i="13"/>
  <c r="BR241" i="13"/>
  <c r="BO248" i="13"/>
  <c r="BM241" i="13"/>
  <c r="BK247" i="13"/>
  <c r="BH248" i="13"/>
  <c r="BG241" i="13"/>
  <c r="BA248" i="13"/>
  <c r="AY248" i="13"/>
  <c r="AX241" i="13"/>
  <c r="AV241" i="13"/>
  <c r="AT247" i="13"/>
  <c r="AR248" i="13"/>
  <c r="AP248" i="13"/>
  <c r="AO241" i="13"/>
  <c r="AM241" i="13"/>
  <c r="AK248" i="13"/>
  <c r="BV245" i="13"/>
  <c r="BU246" i="13"/>
  <c r="BU242" i="13"/>
  <c r="BT243" i="13"/>
  <c r="BR245" i="13"/>
  <c r="BQ246" i="13"/>
  <c r="BQ242" i="13"/>
  <c r="BP243" i="13"/>
  <c r="BN245" i="13"/>
  <c r="BM246" i="13"/>
  <c r="BM242" i="13"/>
  <c r="BL243" i="13"/>
  <c r="BJ245" i="13"/>
  <c r="BI246" i="13"/>
  <c r="BI242" i="13"/>
  <c r="BH243" i="13"/>
  <c r="AZ246" i="13"/>
  <c r="AZ242" i="13"/>
  <c r="AY243" i="13"/>
  <c r="AV246" i="13"/>
  <c r="AV242" i="13"/>
  <c r="AU243" i="13"/>
  <c r="AR246" i="13"/>
  <c r="AR242" i="13"/>
  <c r="AQ243" i="13"/>
  <c r="AN246" i="13"/>
  <c r="AN242" i="13"/>
  <c r="AM243" i="13"/>
  <c r="AI169" i="13"/>
  <c r="BU240" i="13"/>
  <c r="BR249" i="13"/>
  <c r="BO240" i="13"/>
  <c r="BK249" i="13"/>
  <c r="BI240" i="13"/>
  <c r="BE240" i="13"/>
  <c r="AP240" i="13"/>
  <c r="BU248" i="13"/>
  <c r="BT247" i="13"/>
  <c r="BQ248" i="13"/>
  <c r="BP247" i="13"/>
  <c r="BM248" i="13"/>
  <c r="BL247" i="13"/>
  <c r="BI248" i="13"/>
  <c r="BH247" i="13"/>
  <c r="BE248" i="13"/>
  <c r="BD247" i="13"/>
  <c r="AY247" i="13"/>
  <c r="AU247" i="13"/>
  <c r="AQ247" i="13"/>
  <c r="AM247" i="13"/>
  <c r="AI247" i="13"/>
  <c r="BT249" i="13"/>
  <c r="BQ249" i="13"/>
  <c r="BN249" i="13"/>
  <c r="BK240" i="13"/>
  <c r="BG249" i="13"/>
  <c r="BD249" i="13"/>
  <c r="BV248" i="13"/>
  <c r="BU247" i="13"/>
  <c r="BR248" i="13"/>
  <c r="BQ247" i="13"/>
  <c r="BN248" i="13"/>
  <c r="BM247" i="13"/>
  <c r="BJ248" i="13"/>
  <c r="BI247" i="13"/>
  <c r="BE247" i="13"/>
  <c r="AZ247" i="13"/>
  <c r="AV247" i="13"/>
  <c r="AR247" i="13"/>
  <c r="AN247" i="13"/>
  <c r="AJ247" i="13"/>
  <c r="BQ240" i="13"/>
  <c r="BM240" i="13"/>
  <c r="BG240" i="13"/>
  <c r="BN247" i="13"/>
  <c r="BJ247" i="13"/>
  <c r="BA247" i="13"/>
  <c r="AW247" i="13"/>
  <c r="AS247" i="13"/>
  <c r="AO247" i="13"/>
  <c r="AZ240" i="13"/>
  <c r="AW249" i="13"/>
  <c r="AT249" i="13"/>
  <c r="AR240" i="13"/>
  <c r="AO249" i="13"/>
  <c r="AL249" i="13"/>
  <c r="AJ240" i="13"/>
  <c r="BU249" i="13"/>
  <c r="BP249" i="13"/>
  <c r="BM249" i="13"/>
  <c r="BH249" i="13"/>
  <c r="AY249" i="13"/>
  <c r="AV249" i="13"/>
  <c r="AT240" i="13"/>
  <c r="AQ249" i="13"/>
  <c r="AN249" i="13"/>
  <c r="AL240" i="13"/>
  <c r="AV240" i="13"/>
  <c r="AN240" i="13"/>
  <c r="BO164" i="13"/>
  <c r="BD164" i="13"/>
  <c r="AL170" i="13"/>
  <c r="AQ169" i="13"/>
  <c r="BV240" i="13"/>
  <c r="BT240" i="13"/>
  <c r="BR240" i="13"/>
  <c r="BP240" i="13"/>
  <c r="BN240" i="13"/>
  <c r="BL240" i="13"/>
  <c r="BJ240" i="13"/>
  <c r="BH240" i="13"/>
  <c r="BF240" i="13"/>
  <c r="BA240" i="13"/>
  <c r="AY240" i="13"/>
  <c r="AW240" i="13"/>
  <c r="AU240" i="13"/>
  <c r="AS240" i="13"/>
  <c r="AQ240" i="13"/>
  <c r="AO240" i="13"/>
  <c r="AM240" i="13"/>
  <c r="AK240" i="13"/>
  <c r="AO169" i="13"/>
  <c r="BQ164" i="13"/>
  <c r="AI171" i="13"/>
  <c r="AS375" i="13"/>
  <c r="BI164" i="13"/>
  <c r="BK168" i="13"/>
  <c r="AU171" i="13"/>
  <c r="AT170" i="13"/>
  <c r="AT169" i="13"/>
  <c r="AM169" i="13"/>
  <c r="AY169" i="13"/>
  <c r="AS169" i="13"/>
  <c r="AL169" i="13"/>
  <c r="AR372" i="13"/>
  <c r="AP375" i="13"/>
  <c r="BT164" i="13"/>
  <c r="BK164" i="13"/>
  <c r="AX170" i="13"/>
  <c r="AI170" i="13"/>
  <c r="BP164" i="13"/>
  <c r="BH164" i="13"/>
  <c r="BT168" i="13"/>
  <c r="BS170" i="13"/>
  <c r="AQ170" i="13"/>
  <c r="BA169" i="13"/>
  <c r="AU169" i="13"/>
  <c r="AP169" i="13"/>
  <c r="AK169" i="13"/>
  <c r="BS168" i="13"/>
  <c r="BJ168" i="13"/>
  <c r="AX168" i="13"/>
  <c r="AV376" i="13"/>
  <c r="AL376" i="13"/>
  <c r="BS165" i="13"/>
  <c r="BP168" i="13"/>
  <c r="BF168" i="13"/>
  <c r="AT168" i="13"/>
  <c r="BA171" i="13"/>
  <c r="AQ171" i="13"/>
  <c r="BS169" i="13"/>
  <c r="AZ167" i="13"/>
  <c r="BS164" i="13"/>
  <c r="BL164" i="13"/>
  <c r="BG164" i="13"/>
  <c r="AT164" i="13"/>
  <c r="BN168" i="13"/>
  <c r="BD168" i="13"/>
  <c r="AI168" i="13"/>
  <c r="AX171" i="13"/>
  <c r="AL171" i="13"/>
  <c r="AY170" i="13"/>
  <c r="AP170" i="13"/>
  <c r="BK169" i="13"/>
  <c r="AZ380" i="13"/>
  <c r="AT384" i="13"/>
  <c r="AO376" i="13"/>
  <c r="AK380" i="13"/>
  <c r="AR164" i="13"/>
  <c r="BL170" i="13"/>
  <c r="BP169" i="13"/>
  <c r="BH169" i="13"/>
  <c r="BJ380" i="13"/>
  <c r="AP540" i="13"/>
  <c r="BQ379" i="13"/>
  <c r="AZ376" i="13"/>
  <c r="AT380" i="13"/>
  <c r="AP383" i="13"/>
  <c r="AN380" i="13"/>
  <c r="AK376" i="13"/>
  <c r="AM164" i="13"/>
  <c r="AS168" i="13"/>
  <c r="BK170" i="13"/>
  <c r="BO169" i="13"/>
  <c r="BG169" i="13"/>
  <c r="AV384" i="13"/>
  <c r="AP380" i="13"/>
  <c r="AL384" i="13"/>
  <c r="BK165" i="13"/>
  <c r="AX164" i="13"/>
  <c r="AM168" i="13"/>
  <c r="BM171" i="13"/>
  <c r="AW171" i="13"/>
  <c r="AP171" i="13"/>
  <c r="BT170" i="13"/>
  <c r="BD170" i="13"/>
  <c r="AU170" i="13"/>
  <c r="AM170" i="13"/>
  <c r="BT169" i="13"/>
  <c r="BL169" i="13"/>
  <c r="BD169" i="13"/>
  <c r="BU167" i="13"/>
  <c r="BO171" i="13"/>
  <c r="BD171" i="13"/>
  <c r="BE378" i="13"/>
  <c r="AP373" i="13"/>
  <c r="AP372" i="13"/>
  <c r="AJ380" i="13"/>
  <c r="BT171" i="13"/>
  <c r="BI171" i="13"/>
  <c r="BP170" i="13"/>
  <c r="BH170" i="13"/>
  <c r="BV169" i="13"/>
  <c r="BR169" i="13"/>
  <c r="BN169" i="13"/>
  <c r="BJ169" i="13"/>
  <c r="BF169" i="13"/>
  <c r="AX376" i="13"/>
  <c r="AV372" i="13"/>
  <c r="AP385" i="13"/>
  <c r="AP377" i="13"/>
  <c r="AN376" i="13"/>
  <c r="AL373" i="13"/>
  <c r="AX372" i="13"/>
  <c r="AT540" i="13"/>
  <c r="AR376" i="13"/>
  <c r="AP384" i="13"/>
  <c r="AP376" i="13"/>
  <c r="AO384" i="13"/>
  <c r="AL540" i="13"/>
  <c r="AL372" i="13"/>
  <c r="AI380" i="13"/>
  <c r="BV164" i="13"/>
  <c r="BQ165" i="13"/>
  <c r="BN164" i="13"/>
  <c r="BF164" i="13"/>
  <c r="AY164" i="13"/>
  <c r="BV168" i="13"/>
  <c r="BO168" i="13"/>
  <c r="AY168" i="13"/>
  <c r="BS171" i="13"/>
  <c r="BH171" i="13"/>
  <c r="AY171" i="13"/>
  <c r="AT171" i="13"/>
  <c r="AN171" i="13"/>
  <c r="BO170" i="13"/>
  <c r="BG170" i="13"/>
  <c r="BU169" i="13"/>
  <c r="BQ169" i="13"/>
  <c r="BM169" i="13"/>
  <c r="BI169" i="13"/>
  <c r="AZ169" i="13"/>
  <c r="AV169" i="13"/>
  <c r="AR169" i="13"/>
  <c r="AN169" i="13"/>
  <c r="AY377" i="13"/>
  <c r="BM167" i="13"/>
  <c r="AV167" i="13"/>
  <c r="BQ171" i="13"/>
  <c r="BL171" i="13"/>
  <c r="BG171" i="13"/>
  <c r="BV170" i="13"/>
  <c r="BR170" i="13"/>
  <c r="BN170" i="13"/>
  <c r="BJ170" i="13"/>
  <c r="BF170" i="13"/>
  <c r="BA170" i="13"/>
  <c r="AW170" i="13"/>
  <c r="AS170" i="13"/>
  <c r="AO170" i="13"/>
  <c r="AK170" i="13"/>
  <c r="BP377" i="13"/>
  <c r="AT377" i="13"/>
  <c r="BA385" i="13"/>
  <c r="AX540" i="13"/>
  <c r="AV377" i="13"/>
  <c r="AT385" i="13"/>
  <c r="AO380" i="13"/>
  <c r="AM380" i="13"/>
  <c r="AL380" i="13"/>
  <c r="AK384" i="13"/>
  <c r="AJ376" i="13"/>
  <c r="BU171" i="13"/>
  <c r="BP171" i="13"/>
  <c r="BK171" i="13"/>
  <c r="BE171" i="13"/>
  <c r="AZ171" i="13"/>
  <c r="AV171" i="13"/>
  <c r="AR171" i="13"/>
  <c r="AM171" i="13"/>
  <c r="BU170" i="13"/>
  <c r="BQ170" i="13"/>
  <c r="BM170" i="13"/>
  <c r="BI170" i="13"/>
  <c r="AZ170" i="13"/>
  <c r="AV170" i="13"/>
  <c r="AR170" i="13"/>
  <c r="AN170" i="13"/>
  <c r="BN385" i="13"/>
  <c r="BE385" i="13"/>
  <c r="BA379" i="13"/>
  <c r="AK166" i="13"/>
  <c r="AX166" i="13"/>
  <c r="AM166" i="13"/>
  <c r="AR166" i="13"/>
  <c r="BI382" i="13"/>
  <c r="BT382" i="13"/>
  <c r="BO378" i="13"/>
  <c r="BM378" i="13"/>
  <c r="AS387" i="13"/>
  <c r="AP387" i="13"/>
  <c r="AV379" i="13"/>
  <c r="AJ379" i="13"/>
  <c r="AS371" i="13"/>
  <c r="AP371" i="13"/>
  <c r="BV374" i="13"/>
  <c r="AZ371" i="13"/>
  <c r="AX386" i="13"/>
  <c r="AN386" i="13"/>
  <c r="AZ383" i="13"/>
  <c r="AK385" i="13"/>
  <c r="AU385" i="13"/>
  <c r="AI381" i="13"/>
  <c r="AP381" i="13"/>
  <c r="BA373" i="13"/>
  <c r="AM373" i="13"/>
  <c r="AY373" i="13"/>
  <c r="AK167" i="13"/>
  <c r="AM167" i="13"/>
  <c r="AW167" i="13"/>
  <c r="BF166" i="13"/>
  <c r="BQ166" i="13"/>
  <c r="BD165" i="13"/>
  <c r="BF165" i="13"/>
  <c r="BH165" i="13"/>
  <c r="BJ165" i="13"/>
  <c r="BL165" i="13"/>
  <c r="BN165" i="13"/>
  <c r="BP165" i="13"/>
  <c r="BR165" i="13"/>
  <c r="BT165" i="13"/>
  <c r="BV165" i="13"/>
  <c r="AI164" i="13"/>
  <c r="AK164" i="13"/>
  <c r="AO164" i="13"/>
  <c r="AS164" i="13"/>
  <c r="AW164" i="13"/>
  <c r="BA164" i="13"/>
  <c r="AJ168" i="13"/>
  <c r="AN168" i="13"/>
  <c r="AR168" i="13"/>
  <c r="AV168" i="13"/>
  <c r="AZ168" i="13"/>
  <c r="BF167" i="13"/>
  <c r="BE167" i="13"/>
  <c r="BP167" i="13"/>
  <c r="AR167" i="13"/>
  <c r="BS166" i="13"/>
  <c r="BU165" i="13"/>
  <c r="BM165" i="13"/>
  <c r="BE165" i="13"/>
  <c r="AV164" i="13"/>
  <c r="AQ164" i="13"/>
  <c r="AL164" i="13"/>
  <c r="BE168" i="13"/>
  <c r="BI168" i="13"/>
  <c r="BM168" i="13"/>
  <c r="BQ168" i="13"/>
  <c r="BU168" i="13"/>
  <c r="AW168" i="13"/>
  <c r="AQ168" i="13"/>
  <c r="AL168" i="13"/>
  <c r="BO167" i="13"/>
  <c r="BA167" i="13"/>
  <c r="AQ167" i="13"/>
  <c r="BM166" i="13"/>
  <c r="BU164" i="13"/>
  <c r="BR164" i="13"/>
  <c r="BO165" i="13"/>
  <c r="BM164" i="13"/>
  <c r="BJ164" i="13"/>
  <c r="BG165" i="13"/>
  <c r="AZ164" i="13"/>
  <c r="AU164" i="13"/>
  <c r="AP164" i="13"/>
  <c r="AJ164" i="13"/>
  <c r="BR168" i="13"/>
  <c r="BL168" i="13"/>
  <c r="BG168" i="13"/>
  <c r="BA168" i="13"/>
  <c r="AU168" i="13"/>
  <c r="AP168" i="13"/>
  <c r="AK168" i="13"/>
  <c r="BV171" i="13"/>
  <c r="BR171" i="13"/>
  <c r="BN171" i="13"/>
  <c r="BJ171" i="13"/>
  <c r="AO171" i="13"/>
  <c r="AK171" i="13"/>
  <c r="BG166" i="13"/>
  <c r="AV166" i="13"/>
  <c r="AL166" i="13"/>
  <c r="AZ165" i="13"/>
  <c r="AX165" i="13"/>
  <c r="AV165" i="13"/>
  <c r="AT165" i="13"/>
  <c r="AR165" i="13"/>
  <c r="AP165" i="13"/>
  <c r="AN165" i="13"/>
  <c r="AL165" i="13"/>
  <c r="AJ165" i="13"/>
  <c r="BT374" i="13"/>
  <c r="BO386" i="13"/>
  <c r="BA381" i="13"/>
  <c r="AW381" i="13"/>
  <c r="AU381" i="13"/>
  <c r="AT373" i="13"/>
  <c r="BG386" i="13"/>
  <c r="AS373" i="13"/>
  <c r="AQ385" i="13"/>
  <c r="BV382" i="13"/>
  <c r="BR382" i="13"/>
  <c r="BO385" i="13"/>
  <c r="BK382" i="13"/>
  <c r="BG378" i="13"/>
  <c r="AX384" i="13"/>
  <c r="AW377" i="13"/>
  <c r="AV373" i="13"/>
  <c r="AU377" i="13"/>
  <c r="AT381" i="13"/>
  <c r="AT372" i="13"/>
  <c r="AR384" i="13"/>
  <c r="AQ377" i="13"/>
  <c r="AP386" i="13"/>
  <c r="AP382" i="13"/>
  <c r="AP378" i="13"/>
  <c r="AP374" i="13"/>
  <c r="AO385" i="13"/>
  <c r="AN540" i="13"/>
  <c r="AN372" i="13"/>
  <c r="AL385" i="13"/>
  <c r="AJ540" i="13"/>
  <c r="AJ372" i="13"/>
  <c r="BT167" i="13"/>
  <c r="BI167" i="13"/>
  <c r="BL166" i="13"/>
  <c r="BA166" i="13"/>
  <c r="AQ166" i="13"/>
  <c r="BA165" i="13"/>
  <c r="AY165" i="13"/>
  <c r="AW165" i="13"/>
  <c r="AU165" i="13"/>
  <c r="AS165" i="13"/>
  <c r="AQ165" i="13"/>
  <c r="AO165" i="13"/>
  <c r="AM165" i="13"/>
  <c r="AK165" i="13"/>
  <c r="AU387" i="13"/>
  <c r="AU375" i="13"/>
  <c r="AR375" i="13"/>
  <c r="AJ387" i="13"/>
  <c r="AI375" i="13"/>
  <c r="AT371" i="13"/>
  <c r="AN371" i="13"/>
  <c r="BN380" i="13"/>
  <c r="BE375" i="13"/>
  <c r="AZ387" i="13"/>
  <c r="AZ379" i="13"/>
  <c r="AY383" i="13"/>
  <c r="AY371" i="13"/>
  <c r="AW387" i="13"/>
  <c r="AW375" i="13"/>
  <c r="AT383" i="13"/>
  <c r="AT375" i="13"/>
  <c r="AN379" i="13"/>
  <c r="AL387" i="13"/>
  <c r="AL383" i="13"/>
  <c r="AL379" i="13"/>
  <c r="AL375" i="13"/>
  <c r="AL371" i="13"/>
  <c r="AJ386" i="13"/>
  <c r="BS167" i="13"/>
  <c r="BK167" i="13"/>
  <c r="BD167" i="13"/>
  <c r="AY167" i="13"/>
  <c r="AU167" i="13"/>
  <c r="AP167" i="13"/>
  <c r="AJ167" i="13"/>
  <c r="BU166" i="13"/>
  <c r="BP166" i="13"/>
  <c r="BK166" i="13"/>
  <c r="BE166" i="13"/>
  <c r="AZ166" i="13"/>
  <c r="AU166" i="13"/>
  <c r="AP166" i="13"/>
  <c r="AJ166" i="13"/>
  <c r="BP379" i="13"/>
  <c r="BL372" i="13"/>
  <c r="BJ379" i="13"/>
  <c r="BG379" i="13"/>
  <c r="BA375" i="13"/>
  <c r="AY387" i="13"/>
  <c r="AX383" i="13"/>
  <c r="AX371" i="13"/>
  <c r="AO387" i="13"/>
  <c r="BV371" i="13"/>
  <c r="BS379" i="13"/>
  <c r="BU375" i="13"/>
  <c r="BN375" i="13"/>
  <c r="BH376" i="13"/>
  <c r="BF383" i="13"/>
  <c r="AZ386" i="13"/>
  <c r="AY379" i="13"/>
  <c r="AX375" i="13"/>
  <c r="AW383" i="13"/>
  <c r="AW371" i="13"/>
  <c r="AT387" i="13"/>
  <c r="AS379" i="13"/>
  <c r="AR383" i="13"/>
  <c r="AQ387" i="13"/>
  <c r="AN387" i="13"/>
  <c r="AM375" i="13"/>
  <c r="AL386" i="13"/>
  <c r="AL382" i="13"/>
  <c r="AL378" i="13"/>
  <c r="AL374" i="13"/>
  <c r="AK387" i="13"/>
  <c r="AJ371" i="13"/>
  <c r="AX167" i="13"/>
  <c r="AT167" i="13"/>
  <c r="AN167" i="13"/>
  <c r="AI167" i="13"/>
  <c r="BT166" i="13"/>
  <c r="BO166" i="13"/>
  <c r="BI166" i="13"/>
  <c r="BD166" i="13"/>
  <c r="AY166" i="13"/>
  <c r="AT166" i="13"/>
  <c r="AN166" i="13"/>
  <c r="AI166" i="13"/>
  <c r="BU384" i="13"/>
  <c r="BT379" i="13"/>
  <c r="BS375" i="13"/>
  <c r="BI387" i="13"/>
  <c r="BI375" i="13"/>
  <c r="BH375" i="13"/>
  <c r="BF380" i="13"/>
  <c r="BD383" i="13"/>
  <c r="AX382" i="13"/>
  <c r="AV382" i="13"/>
  <c r="AS383" i="13"/>
  <c r="AO375" i="13"/>
  <c r="AN383" i="13"/>
  <c r="AM387" i="13"/>
  <c r="AK375" i="13"/>
  <c r="AJ383" i="13"/>
  <c r="BV379" i="13"/>
  <c r="BT387" i="13"/>
  <c r="BT371" i="13"/>
  <c r="BR375" i="13"/>
  <c r="BQ375" i="13"/>
  <c r="BM387" i="13"/>
  <c r="BM371" i="13"/>
  <c r="BE383" i="13"/>
  <c r="AR379" i="13"/>
  <c r="AQ383" i="13"/>
  <c r="AQ371" i="13"/>
  <c r="AI387" i="13"/>
  <c r="BV387" i="13"/>
  <c r="BV375" i="13"/>
  <c r="BU383" i="13"/>
  <c r="BT386" i="13"/>
  <c r="BT378" i="13"/>
  <c r="BR386" i="13"/>
  <c r="BQ387" i="13"/>
  <c r="BQ374" i="13"/>
  <c r="BP372" i="13"/>
  <c r="BO374" i="13"/>
  <c r="BM382" i="13"/>
  <c r="BL383" i="13"/>
  <c r="BK374" i="13"/>
  <c r="BI383" i="13"/>
  <c r="BI371" i="13"/>
  <c r="BG374" i="13"/>
  <c r="BF379" i="13"/>
  <c r="BE379" i="13"/>
  <c r="BA383" i="13"/>
  <c r="AZ382" i="13"/>
  <c r="AZ375" i="13"/>
  <c r="AY386" i="13"/>
  <c r="AY374" i="13"/>
  <c r="AX387" i="13"/>
  <c r="AX379" i="13"/>
  <c r="AW382" i="13"/>
  <c r="AW374" i="13"/>
  <c r="AV381" i="13"/>
  <c r="AU379" i="13"/>
  <c r="AU371" i="13"/>
  <c r="AT379" i="13"/>
  <c r="AS382" i="13"/>
  <c r="AR387" i="13"/>
  <c r="AR378" i="13"/>
  <c r="AR371" i="13"/>
  <c r="AQ379" i="13"/>
  <c r="AN382" i="13"/>
  <c r="AN375" i="13"/>
  <c r="AM381" i="13"/>
  <c r="AJ375" i="13"/>
  <c r="BQ167" i="13"/>
  <c r="BL167" i="13"/>
  <c r="BG167" i="13"/>
  <c r="BV166" i="13"/>
  <c r="BR166" i="13"/>
  <c r="BN166" i="13"/>
  <c r="BJ166" i="13"/>
  <c r="AW166" i="13"/>
  <c r="AS166" i="13"/>
  <c r="AO166" i="13"/>
  <c r="BV383" i="13"/>
  <c r="BU379" i="13"/>
  <c r="BT383" i="13"/>
  <c r="BT375" i="13"/>
  <c r="BS383" i="13"/>
  <c r="BR383" i="13"/>
  <c r="BQ383" i="13"/>
  <c r="BQ371" i="13"/>
  <c r="BM379" i="13"/>
  <c r="BG371" i="13"/>
  <c r="AZ374" i="13"/>
  <c r="AX378" i="13"/>
  <c r="BL377" i="13"/>
  <c r="BK373" i="13"/>
  <c r="AI378" i="13"/>
  <c r="AT378" i="13"/>
  <c r="AW378" i="13"/>
  <c r="AY378" i="13"/>
  <c r="AZ378" i="13"/>
  <c r="BA378" i="13"/>
  <c r="BF381" i="13"/>
  <c r="BE381" i="13"/>
  <c r="BO381" i="13"/>
  <c r="BP373" i="13"/>
  <c r="AI382" i="13"/>
  <c r="AQ382" i="13"/>
  <c r="AT382" i="13"/>
  <c r="BV386" i="13"/>
  <c r="BV378" i="13"/>
  <c r="BU385" i="13"/>
  <c r="BS373" i="13"/>
  <c r="BR378" i="13"/>
  <c r="BQ382" i="13"/>
  <c r="BN381" i="13"/>
  <c r="BM386" i="13"/>
  <c r="BL373" i="13"/>
  <c r="BK381" i="13"/>
  <c r="BJ381" i="13"/>
  <c r="BG382" i="13"/>
  <c r="BE382" i="13"/>
  <c r="BD385" i="13"/>
  <c r="BD387" i="13"/>
  <c r="BR387" i="13"/>
  <c r="BJ383" i="13"/>
  <c r="BG383" i="13"/>
  <c r="BM383" i="13"/>
  <c r="BP383" i="13"/>
  <c r="BL379" i="13"/>
  <c r="BN379" i="13"/>
  <c r="BR379" i="13"/>
  <c r="BD375" i="13"/>
  <c r="BG375" i="13"/>
  <c r="BJ375" i="13"/>
  <c r="BM375" i="13"/>
  <c r="BA382" i="13"/>
  <c r="BA374" i="13"/>
  <c r="AZ384" i="13"/>
  <c r="AY382" i="13"/>
  <c r="AV540" i="13"/>
  <c r="AU382" i="13"/>
  <c r="AR540" i="13"/>
  <c r="AR382" i="13"/>
  <c r="AN384" i="13"/>
  <c r="AN374" i="13"/>
  <c r="AM384" i="13"/>
  <c r="AJ384" i="13"/>
  <c r="AR385" i="13"/>
  <c r="AI385" i="13"/>
  <c r="AJ385" i="13"/>
  <c r="AM385" i="13"/>
  <c r="AN385" i="13"/>
  <c r="AV385" i="13"/>
  <c r="AX385" i="13"/>
  <c r="AY385" i="13"/>
  <c r="AQ381" i="13"/>
  <c r="AJ381" i="13"/>
  <c r="AK381" i="13"/>
  <c r="AN381" i="13"/>
  <c r="AO381" i="13"/>
  <c r="AS381" i="13"/>
  <c r="AX381" i="13"/>
  <c r="AJ377" i="13"/>
  <c r="AN377" i="13"/>
  <c r="AX377" i="13"/>
  <c r="AR373" i="13"/>
  <c r="AJ373" i="13"/>
  <c r="AK373" i="13"/>
  <c r="AN373" i="13"/>
  <c r="AO373" i="13"/>
  <c r="AW373" i="13"/>
  <c r="AX373" i="13"/>
  <c r="BS385" i="13"/>
  <c r="BH377" i="13"/>
  <c r="AI386" i="13"/>
  <c r="AR386" i="13"/>
  <c r="AS386" i="13"/>
  <c r="AT386" i="13"/>
  <c r="AU386" i="13"/>
  <c r="AW386" i="13"/>
  <c r="AI374" i="13"/>
  <c r="AQ374" i="13"/>
  <c r="AS374" i="13"/>
  <c r="AT374" i="13"/>
  <c r="AU374" i="13"/>
  <c r="AV374" i="13"/>
  <c r="BU373" i="13"/>
  <c r="BO377" i="13"/>
  <c r="BK377" i="13"/>
  <c r="BE386" i="13"/>
  <c r="BK386" i="13"/>
  <c r="BQ386" i="13"/>
  <c r="BK378" i="13"/>
  <c r="BQ378" i="13"/>
  <c r="BE374" i="13"/>
  <c r="BI374" i="13"/>
  <c r="BA386" i="13"/>
  <c r="AX374" i="13"/>
  <c r="AV386" i="13"/>
  <c r="AV378" i="13"/>
  <c r="AS378" i="13"/>
  <c r="AR374" i="13"/>
  <c r="AQ386" i="13"/>
  <c r="AQ378" i="13"/>
  <c r="AN378" i="13"/>
  <c r="AJ378" i="13"/>
  <c r="AR380" i="13"/>
  <c r="AV380" i="13"/>
  <c r="AI376" i="13"/>
  <c r="AM376" i="13"/>
  <c r="BG385" i="13"/>
  <c r="BJ385" i="13"/>
  <c r="BG373" i="13"/>
  <c r="BO373" i="13"/>
  <c r="BV167" i="13"/>
  <c r="BR167" i="13"/>
  <c r="BN167" i="13"/>
  <c r="BJ167" i="13"/>
  <c r="AS167" i="13"/>
  <c r="AO167" i="13"/>
  <c r="BD384" i="13"/>
  <c r="BE384" i="13"/>
  <c r="BU540" i="13"/>
  <c r="BU377" i="13"/>
  <c r="BS540" i="13"/>
  <c r="BS377" i="13"/>
  <c r="BS372" i="13"/>
  <c r="BP376" i="13"/>
  <c r="BO384" i="13"/>
  <c r="BN384" i="13"/>
  <c r="BL381" i="13"/>
  <c r="BK384" i="13"/>
  <c r="BJ384" i="13"/>
  <c r="BE376" i="13"/>
  <c r="BF376" i="13"/>
  <c r="BU372" i="13"/>
  <c r="BR373" i="13"/>
  <c r="BP540" i="13"/>
  <c r="BP381" i="13"/>
  <c r="BO540" i="13"/>
  <c r="BO380" i="13"/>
  <c r="BO372" i="13"/>
  <c r="BN373" i="13"/>
  <c r="BL540" i="13"/>
  <c r="BL376" i="13"/>
  <c r="BK540" i="13"/>
  <c r="BK380" i="13"/>
  <c r="BK376" i="13"/>
  <c r="BK372" i="13"/>
  <c r="BJ373" i="13"/>
  <c r="BH381" i="13"/>
  <c r="BF385" i="13"/>
  <c r="BF372" i="13"/>
  <c r="BE373" i="13"/>
  <c r="BD376" i="13"/>
  <c r="BD379" i="13"/>
  <c r="BH379" i="13"/>
  <c r="AO379" i="13"/>
  <c r="AO371" i="13"/>
  <c r="AM379" i="13"/>
  <c r="AM371" i="13"/>
  <c r="AK379" i="13"/>
  <c r="AK371" i="13"/>
  <c r="AI379" i="13"/>
  <c r="AI371" i="13"/>
  <c r="AI377" i="13"/>
  <c r="AK377" i="13"/>
  <c r="AM377" i="13"/>
  <c r="AO377" i="13"/>
  <c r="BV385" i="13"/>
  <c r="BV381" i="13"/>
  <c r="BV377" i="13"/>
  <c r="BV373" i="13"/>
  <c r="BU387" i="13"/>
  <c r="BU381" i="13"/>
  <c r="BU376" i="13"/>
  <c r="BU371" i="13"/>
  <c r="BT385" i="13"/>
  <c r="BT381" i="13"/>
  <c r="BT377" i="13"/>
  <c r="BT373" i="13"/>
  <c r="BS387" i="13"/>
  <c r="BS381" i="13"/>
  <c r="BS376" i="13"/>
  <c r="BS371" i="13"/>
  <c r="BR385" i="13"/>
  <c r="BR381" i="13"/>
  <c r="BR377" i="13"/>
  <c r="BR372" i="13"/>
  <c r="BQ385" i="13"/>
  <c r="BQ381" i="13"/>
  <c r="BQ377" i="13"/>
  <c r="BQ373" i="13"/>
  <c r="BP385" i="13"/>
  <c r="BP380" i="13"/>
  <c r="BP375" i="13"/>
  <c r="BO387" i="13"/>
  <c r="BO383" i="13"/>
  <c r="BO379" i="13"/>
  <c r="BO375" i="13"/>
  <c r="BO371" i="13"/>
  <c r="BN383" i="13"/>
  <c r="BN377" i="13"/>
  <c r="BN372" i="13"/>
  <c r="BM385" i="13"/>
  <c r="BM381" i="13"/>
  <c r="BM377" i="13"/>
  <c r="BM373" i="13"/>
  <c r="BL385" i="13"/>
  <c r="BL380" i="13"/>
  <c r="BL375" i="13"/>
  <c r="BK387" i="13"/>
  <c r="BK383" i="13"/>
  <c r="BK379" i="13"/>
  <c r="BK375" i="13"/>
  <c r="BK371" i="13"/>
  <c r="BJ377" i="13"/>
  <c r="BJ372" i="13"/>
  <c r="BI385" i="13"/>
  <c r="BI381" i="13"/>
  <c r="BI377" i="13"/>
  <c r="BI373" i="13"/>
  <c r="BH385" i="13"/>
  <c r="BH380" i="13"/>
  <c r="BH372" i="13"/>
  <c r="BG381" i="13"/>
  <c r="BG377" i="13"/>
  <c r="BF384" i="13"/>
  <c r="BF377" i="13"/>
  <c r="BE387" i="13"/>
  <c r="BE371" i="13"/>
  <c r="BD381" i="13"/>
  <c r="BA387" i="13"/>
  <c r="BA377" i="13"/>
  <c r="BA371" i="13"/>
  <c r="AZ385" i="13"/>
  <c r="AZ381" i="13"/>
  <c r="AZ377" i="13"/>
  <c r="AZ373" i="13"/>
  <c r="AY381" i="13"/>
  <c r="AY375" i="13"/>
  <c r="AW385" i="13"/>
  <c r="AW379" i="13"/>
  <c r="AV387" i="13"/>
  <c r="AV383" i="13"/>
  <c r="AV375" i="13"/>
  <c r="AV371" i="13"/>
  <c r="AU373" i="13"/>
  <c r="AS377" i="13"/>
  <c r="AR381" i="13"/>
  <c r="AR377" i="13"/>
  <c r="AI540" i="13"/>
  <c r="AK540" i="13"/>
  <c r="AM540" i="13"/>
  <c r="AO540" i="13"/>
  <c r="AQ540" i="13"/>
  <c r="AS540" i="13"/>
  <c r="AU540" i="13"/>
  <c r="AW540" i="13"/>
  <c r="AY540" i="13"/>
  <c r="BA540" i="13"/>
  <c r="AQ384" i="13"/>
  <c r="AS384" i="13"/>
  <c r="AU384" i="13"/>
  <c r="AW384" i="13"/>
  <c r="AY384" i="13"/>
  <c r="BA384" i="13"/>
  <c r="AQ380" i="13"/>
  <c r="AS380" i="13"/>
  <c r="AU380" i="13"/>
  <c r="AW380" i="13"/>
  <c r="AY380" i="13"/>
  <c r="BA380" i="13"/>
  <c r="AQ376" i="13"/>
  <c r="AS376" i="13"/>
  <c r="AU376" i="13"/>
  <c r="AW376" i="13"/>
  <c r="AY376" i="13"/>
  <c r="BA376" i="13"/>
  <c r="AI372" i="13"/>
  <c r="AK372" i="13"/>
  <c r="AM372" i="13"/>
  <c r="AO372" i="13"/>
  <c r="AQ372" i="13"/>
  <c r="AS372" i="13"/>
  <c r="AU372" i="13"/>
  <c r="AW372" i="13"/>
  <c r="AY372" i="13"/>
  <c r="BA372" i="13"/>
  <c r="BE540" i="13"/>
  <c r="BF540" i="13"/>
  <c r="BV540" i="13"/>
  <c r="BV384" i="13"/>
  <c r="BV380" i="13"/>
  <c r="BV376" i="13"/>
  <c r="BV372" i="13"/>
  <c r="BU380" i="13"/>
  <c r="BT540" i="13"/>
  <c r="BT384" i="13"/>
  <c r="BT380" i="13"/>
  <c r="BT376" i="13"/>
  <c r="BT372" i="13"/>
  <c r="BS380" i="13"/>
  <c r="BR540" i="13"/>
  <c r="BR384" i="13"/>
  <c r="BR380" i="13"/>
  <c r="BR376" i="13"/>
  <c r="BQ540" i="13"/>
  <c r="BQ384" i="13"/>
  <c r="BQ380" i="13"/>
  <c r="BQ376" i="13"/>
  <c r="BQ372" i="13"/>
  <c r="BP384" i="13"/>
  <c r="BN540" i="13"/>
  <c r="BN376" i="13"/>
  <c r="BM540" i="13"/>
  <c r="BM384" i="13"/>
  <c r="BM380" i="13"/>
  <c r="BM376" i="13"/>
  <c r="BM372" i="13"/>
  <c r="BL384" i="13"/>
  <c r="BJ540" i="13"/>
  <c r="BJ376" i="13"/>
  <c r="BI540" i="13"/>
  <c r="BI384" i="13"/>
  <c r="BI380" i="13"/>
  <c r="BI376" i="13"/>
  <c r="BI372" i="13"/>
  <c r="BH384" i="13"/>
  <c r="BG540" i="13"/>
  <c r="BG384" i="13"/>
  <c r="BG380" i="13"/>
  <c r="BG376" i="13"/>
  <c r="BG372" i="13"/>
  <c r="BD540" i="13"/>
  <c r="BD380" i="13"/>
  <c r="BD372" i="13"/>
  <c r="BD373" i="13"/>
  <c r="BH373" i="13"/>
  <c r="AI383" i="13"/>
  <c r="AK383" i="13"/>
  <c r="AM383" i="13"/>
  <c r="AO383" i="13"/>
  <c r="BD386" i="13"/>
  <c r="BF386" i="13"/>
  <c r="BH386" i="13"/>
  <c r="BJ386" i="13"/>
  <c r="BL386" i="13"/>
  <c r="BN386" i="13"/>
  <c r="BP386" i="13"/>
  <c r="BD382" i="13"/>
  <c r="BF382" i="13"/>
  <c r="BH382" i="13"/>
  <c r="BJ382" i="13"/>
  <c r="BL382" i="13"/>
  <c r="BN382" i="13"/>
  <c r="BP382" i="13"/>
  <c r="BD378" i="13"/>
  <c r="BF378" i="13"/>
  <c r="BH378" i="13"/>
  <c r="BJ378" i="13"/>
  <c r="BL378" i="13"/>
  <c r="BN378" i="13"/>
  <c r="BP378" i="13"/>
  <c r="BD374" i="13"/>
  <c r="BF374" i="13"/>
  <c r="BH374" i="13"/>
  <c r="BJ374" i="13"/>
  <c r="BL374" i="13"/>
  <c r="BN374" i="13"/>
  <c r="BP374" i="13"/>
  <c r="BR374" i="13"/>
  <c r="BU386" i="13"/>
  <c r="BU382" i="13"/>
  <c r="BU378" i="13"/>
  <c r="BU374" i="13"/>
  <c r="BS386" i="13"/>
  <c r="BS382" i="13"/>
  <c r="BS378" i="13"/>
  <c r="BS374" i="13"/>
  <c r="BR371" i="13"/>
  <c r="BP387" i="13"/>
  <c r="BP371" i="13"/>
  <c r="BN387" i="13"/>
  <c r="BN371" i="13"/>
  <c r="BL387" i="13"/>
  <c r="BL371" i="13"/>
  <c r="BJ387" i="13"/>
  <c r="BJ371" i="13"/>
  <c r="BH387" i="13"/>
  <c r="BH371" i="13"/>
  <c r="BF387" i="13"/>
  <c r="BF371" i="13"/>
  <c r="AO386" i="13"/>
  <c r="AO382" i="13"/>
  <c r="AO378" i="13"/>
  <c r="AO374" i="13"/>
  <c r="AM386" i="13"/>
  <c r="AM382" i="13"/>
  <c r="AM378" i="13"/>
  <c r="AM374" i="13"/>
  <c r="AK386" i="13"/>
  <c r="AK382" i="13"/>
  <c r="AK378" i="13"/>
  <c r="AK374" i="13"/>
  <c r="B11" i="19"/>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B44" i="22" l="1"/>
  <c r="B45" i="22"/>
  <c r="B42" i="22"/>
  <c r="B46" i="22"/>
  <c r="B43" i="22"/>
  <c r="AD503" i="13"/>
  <c r="AD451" i="13"/>
  <c r="AE316" i="13"/>
  <c r="AE516" i="13"/>
  <c r="AD297" i="13"/>
  <c r="AD423" i="13"/>
  <c r="AE305" i="13"/>
  <c r="AD289" i="13"/>
  <c r="AD548" i="13"/>
  <c r="AD332" i="13"/>
  <c r="AE491" i="13"/>
  <c r="AE460" i="13"/>
  <c r="AE555" i="13"/>
  <c r="AD355" i="13"/>
  <c r="AD346" i="13"/>
  <c r="AD246" i="13"/>
  <c r="AD438" i="13"/>
  <c r="AD109" i="13"/>
  <c r="AE242" i="13"/>
  <c r="AD343" i="13"/>
  <c r="AD240" i="13"/>
  <c r="AD307" i="13"/>
  <c r="AD161" i="13"/>
  <c r="AE400" i="13"/>
  <c r="AD283" i="13"/>
  <c r="AD328" i="13"/>
  <c r="AE544" i="13"/>
  <c r="AD531" i="13"/>
  <c r="AD228" i="13"/>
  <c r="AD233" i="13"/>
  <c r="AD399" i="13"/>
  <c r="AE408" i="13"/>
  <c r="AE248" i="13"/>
  <c r="AE505" i="13"/>
  <c r="AE487" i="13"/>
  <c r="AE147" i="13"/>
  <c r="AE358" i="13"/>
  <c r="AE52" i="13"/>
  <c r="AE224" i="13"/>
  <c r="AD432" i="13"/>
  <c r="AD335" i="13"/>
  <c r="AE170" i="13"/>
  <c r="AE351" i="13"/>
  <c r="AD272" i="13"/>
  <c r="AD247" i="13"/>
  <c r="AD489" i="13"/>
  <c r="AE129" i="13"/>
  <c r="AE163" i="13"/>
  <c r="AD543" i="13"/>
  <c r="AD513" i="13"/>
  <c r="AD486" i="13"/>
  <c r="AE243" i="13"/>
  <c r="AD57" i="13"/>
  <c r="AE334" i="13"/>
  <c r="AD277" i="13"/>
  <c r="AE427" i="13"/>
  <c r="AE39" i="13"/>
  <c r="AD349" i="13"/>
  <c r="AD155" i="13"/>
  <c r="AD490" i="13"/>
  <c r="AD314" i="13"/>
  <c r="AD279" i="13"/>
  <c r="AD463" i="13"/>
  <c r="AE540" i="13"/>
  <c r="AD304" i="13"/>
  <c r="AD525" i="13"/>
  <c r="AE218" i="13"/>
  <c r="AE419" i="13"/>
  <c r="AE278" i="13"/>
  <c r="AD557" i="13"/>
  <c r="AD374" i="13"/>
  <c r="AD390" i="13"/>
  <c r="AD498" i="13"/>
  <c r="AE287" i="13"/>
  <c r="AE514" i="13"/>
  <c r="AE433" i="13"/>
  <c r="AD471" i="13"/>
  <c r="AD322" i="13"/>
  <c r="AE236" i="13"/>
  <c r="AD394" i="13"/>
  <c r="AD492" i="13"/>
  <c r="AD458" i="13"/>
  <c r="AD465" i="13"/>
  <c r="AE157" i="13"/>
  <c r="AE241" i="13"/>
  <c r="AD303" i="13"/>
  <c r="AD350" i="13"/>
  <c r="AE389" i="13"/>
  <c r="AE469" i="13"/>
  <c r="AD321" i="13"/>
  <c r="AD381" i="13"/>
  <c r="AE127" i="13"/>
  <c r="AE229" i="13"/>
  <c r="AD473" i="13"/>
  <c r="AE359" i="13"/>
  <c r="AD524" i="13"/>
  <c r="AD245" i="13"/>
  <c r="AE219" i="13"/>
  <c r="AE70" i="13"/>
  <c r="AE141" i="13"/>
  <c r="AE464" i="13"/>
  <c r="AD551" i="13"/>
  <c r="AD510" i="13"/>
  <c r="AD361" i="13"/>
  <c r="AE67" i="13"/>
  <c r="AE497" i="13"/>
  <c r="AD306" i="13"/>
  <c r="AD301" i="13"/>
  <c r="AD318" i="13"/>
  <c r="AE60" i="13"/>
  <c r="AD148" i="13"/>
  <c r="AD480" i="13"/>
  <c r="AD467" i="13"/>
  <c r="AD412" i="13"/>
  <c r="AD406" i="13"/>
  <c r="AE293" i="13"/>
  <c r="AD382" i="13"/>
  <c r="AE445" i="13"/>
  <c r="AE312" i="13"/>
  <c r="AE409" i="13"/>
  <c r="AD509" i="13"/>
  <c r="AD518" i="13"/>
  <c r="AD483" i="13"/>
  <c r="AD239" i="13"/>
  <c r="AD539" i="13"/>
  <c r="AD477" i="13"/>
  <c r="AD387" i="13"/>
  <c r="AD308" i="13"/>
  <c r="AD368" i="13"/>
  <c r="AD457" i="13"/>
  <c r="AD542" i="13"/>
  <c r="AD536" i="13"/>
  <c r="AD530" i="13"/>
  <c r="AD519" i="13"/>
  <c r="AE426" i="13"/>
  <c r="AE415" i="13"/>
  <c r="AD391" i="13"/>
  <c r="AD342" i="13"/>
  <c r="AD325" i="13"/>
  <c r="AD295" i="13"/>
  <c r="AD221" i="13"/>
  <c r="AD227" i="13"/>
  <c r="AD167" i="13"/>
  <c r="F39" i="19"/>
  <c r="AD354" i="13"/>
  <c r="AE369" i="13"/>
  <c r="AD476" i="13"/>
  <c r="AE504" i="13"/>
  <c r="AE375" i="13"/>
  <c r="AE547" i="13"/>
  <c r="AE510" i="13"/>
  <c r="AD428" i="13"/>
  <c r="AD365" i="13"/>
  <c r="AE318" i="13"/>
  <c r="AE370" i="13"/>
  <c r="AE118" i="13"/>
  <c r="AD300" i="13"/>
  <c r="AE159" i="13"/>
  <c r="AE225" i="13"/>
  <c r="AE36" i="13"/>
  <c r="AE406" i="13"/>
  <c r="AE327" i="13"/>
  <c r="AE48" i="13"/>
  <c r="AE424" i="13"/>
  <c r="AE237" i="13"/>
  <c r="AE42" i="13"/>
  <c r="AE276" i="13"/>
  <c r="AE128" i="13"/>
  <c r="AE553" i="13"/>
  <c r="AE281" i="13"/>
  <c r="AE249" i="13"/>
  <c r="AE346" i="13"/>
  <c r="AE136" i="13"/>
  <c r="AE134" i="13"/>
  <c r="AE64" i="13"/>
  <c r="AE520" i="13"/>
  <c r="AE416" i="13"/>
  <c r="AE306" i="13"/>
  <c r="AE518" i="13"/>
  <c r="AE496" i="13"/>
  <c r="AE524" i="13"/>
  <c r="AE507" i="13"/>
  <c r="AE527" i="13"/>
  <c r="AE499" i="13"/>
  <c r="AE495" i="13"/>
  <c r="AE481" i="13"/>
  <c r="AE500" i="13"/>
  <c r="AE489" i="13"/>
  <c r="AE529" i="13"/>
  <c r="AE440" i="13"/>
  <c r="AE470" i="13"/>
  <c r="AE437" i="13"/>
  <c r="AE456" i="13"/>
  <c r="AD410" i="13"/>
  <c r="AE454" i="13"/>
  <c r="AD461" i="13"/>
  <c r="AE355" i="13"/>
  <c r="AE396" i="13"/>
  <c r="AE376" i="13"/>
  <c r="AE301" i="13"/>
  <c r="AE138" i="13"/>
  <c r="AE120" i="13"/>
  <c r="AE343" i="13"/>
  <c r="AE336" i="13"/>
  <c r="AE142" i="13"/>
  <c r="AE317" i="13"/>
  <c r="AE342" i="13"/>
  <c r="AE309" i="13"/>
  <c r="AE125" i="13"/>
  <c r="AE326" i="13"/>
  <c r="AE111" i="13"/>
  <c r="AE32" i="13"/>
  <c r="AE56" i="13"/>
  <c r="AE43" i="13"/>
  <c r="AE31" i="13"/>
  <c r="AE66" i="13"/>
  <c r="AE528" i="13"/>
  <c r="AE539" i="13"/>
  <c r="AE556" i="13"/>
  <c r="AD500" i="13"/>
  <c r="AE542" i="13"/>
  <c r="AE493" i="13"/>
  <c r="AE480" i="13"/>
  <c r="AE512" i="13"/>
  <c r="AE401" i="13"/>
  <c r="AE476" i="13"/>
  <c r="AE428" i="13"/>
  <c r="AE441" i="13"/>
  <c r="AE373" i="13"/>
  <c r="AE387" i="13"/>
  <c r="AE372" i="13"/>
  <c r="AD439" i="13"/>
  <c r="AE398" i="13"/>
  <c r="AE420" i="13"/>
  <c r="AE371" i="13"/>
  <c r="AE411" i="13"/>
  <c r="AE390" i="13"/>
  <c r="AE354" i="13"/>
  <c r="AE107" i="13"/>
  <c r="AE143" i="13"/>
  <c r="AE397" i="13"/>
  <c r="AE288" i="13"/>
  <c r="AE231" i="13"/>
  <c r="AE171" i="13"/>
  <c r="AE153" i="13"/>
  <c r="AE274" i="13"/>
  <c r="AE239" i="13"/>
  <c r="AE232" i="13"/>
  <c r="AE221" i="13"/>
  <c r="AE172" i="13"/>
  <c r="AE161" i="13"/>
  <c r="AE154" i="13"/>
  <c r="AE30" i="13"/>
  <c r="AE106" i="13"/>
  <c r="AE58" i="13"/>
  <c r="AE508" i="13"/>
  <c r="AE554" i="13"/>
  <c r="AE541" i="13"/>
  <c r="AE488" i="13"/>
  <c r="AE447" i="13"/>
  <c r="AE452" i="13"/>
  <c r="AE425" i="13"/>
  <c r="AE439" i="13"/>
  <c r="AE413" i="13"/>
  <c r="AE391" i="13"/>
  <c r="AE324" i="13"/>
  <c r="AE364" i="13"/>
  <c r="AE294" i="13"/>
  <c r="AE251" i="13"/>
  <c r="AE132" i="13"/>
  <c r="AE114" i="13"/>
  <c r="AE282" i="13"/>
  <c r="AE335" i="13"/>
  <c r="AE119" i="13"/>
  <c r="AE124" i="13"/>
  <c r="AE62" i="13"/>
  <c r="AE44" i="13"/>
  <c r="AE310" i="13"/>
  <c r="AE286" i="13"/>
  <c r="AE130" i="13"/>
  <c r="AE105" i="13"/>
  <c r="AE59" i="13"/>
  <c r="AE65" i="13"/>
  <c r="AE523" i="13"/>
  <c r="AE517" i="13"/>
  <c r="AE501" i="13"/>
  <c r="AE471" i="13"/>
  <c r="AE477" i="13"/>
  <c r="AE511" i="13"/>
  <c r="AE551" i="13"/>
  <c r="AE455" i="13"/>
  <c r="AE462" i="13"/>
  <c r="AE449" i="13"/>
  <c r="AE393" i="13"/>
  <c r="AE380" i="13"/>
  <c r="AE385" i="13"/>
  <c r="AE366" i="13"/>
  <c r="AE392" i="13"/>
  <c r="AE289" i="13"/>
  <c r="AE344" i="13"/>
  <c r="AE352" i="13"/>
  <c r="AE323" i="13"/>
  <c r="AE307" i="13"/>
  <c r="AE308" i="13"/>
  <c r="AE245" i="13"/>
  <c r="AE238" i="13"/>
  <c r="AE227" i="13"/>
  <c r="AE220" i="13"/>
  <c r="AE167" i="13"/>
  <c r="AE160" i="13"/>
  <c r="AE149" i="13"/>
  <c r="AE117" i="13"/>
  <c r="AE104" i="13"/>
  <c r="AE283" i="13"/>
  <c r="AE148" i="13"/>
  <c r="AE112" i="13"/>
  <c r="AE49" i="13"/>
  <c r="AE37" i="13"/>
  <c r="AE7" i="13"/>
  <c r="AE340" i="13"/>
  <c r="AE536" i="13"/>
  <c r="AE502" i="13"/>
  <c r="AE535" i="13"/>
  <c r="AE515" i="13"/>
  <c r="AE482" i="13"/>
  <c r="AE522" i="13"/>
  <c r="AE453" i="13"/>
  <c r="AE404" i="13"/>
  <c r="AE506" i="13"/>
  <c r="AE467" i="13"/>
  <c r="AE434" i="13"/>
  <c r="AE384" i="13"/>
  <c r="AD392" i="13"/>
  <c r="AE386" i="13"/>
  <c r="AE313" i="13"/>
  <c r="AE365" i="13"/>
  <c r="AE330" i="13"/>
  <c r="AE295" i="13"/>
  <c r="AD352" i="13"/>
  <c r="AE345" i="13"/>
  <c r="AE328" i="13"/>
  <c r="AE144" i="13"/>
  <c r="AE126" i="13"/>
  <c r="AE322" i="13"/>
  <c r="AE277" i="13"/>
  <c r="AE113" i="13"/>
  <c r="AE61" i="13"/>
  <c r="AE353" i="13"/>
  <c r="AE325" i="13"/>
  <c r="AE300" i="13"/>
  <c r="AE285" i="13"/>
  <c r="AE131" i="13"/>
  <c r="AE55" i="13"/>
  <c r="AE38" i="13"/>
  <c r="AE71" i="13"/>
  <c r="AE275" i="13"/>
  <c r="AE99" i="13"/>
  <c r="AE548" i="13"/>
  <c r="AE521" i="13"/>
  <c r="AE530" i="13"/>
  <c r="AE494" i="13"/>
  <c r="AE465" i="13"/>
  <c r="AE483" i="13"/>
  <c r="AE432" i="13"/>
  <c r="AE410" i="13"/>
  <c r="AE403" i="13"/>
  <c r="AE379" i="13"/>
  <c r="AE378" i="13"/>
  <c r="AD506" i="13"/>
  <c r="AE461" i="13"/>
  <c r="AE414" i="13"/>
  <c r="AE360" i="13"/>
  <c r="AE421" i="13"/>
  <c r="AE349" i="13"/>
  <c r="AE557" i="13"/>
  <c r="AE377" i="13"/>
  <c r="AE329" i="13"/>
  <c r="AE348" i="13"/>
  <c r="AD353" i="13"/>
  <c r="AE331" i="13"/>
  <c r="AE280" i="13"/>
  <c r="AE244" i="13"/>
  <c r="AE233" i="13"/>
  <c r="AE226" i="13"/>
  <c r="AE166" i="13"/>
  <c r="AE155" i="13"/>
  <c r="AE123" i="13"/>
  <c r="AE361" i="13"/>
  <c r="AE137" i="13"/>
  <c r="AE100" i="13"/>
  <c r="F38" i="19" l="1"/>
  <c r="D22" i="19"/>
  <c r="F47" i="19"/>
  <c r="F40" i="19"/>
  <c r="F41" i="19"/>
  <c r="F37" i="19"/>
  <c r="F43" i="19"/>
  <c r="F35" i="19"/>
  <c r="F45" i="19"/>
  <c r="F36" i="19"/>
  <c r="F46" i="19"/>
  <c r="F34" i="19"/>
  <c r="F44" i="19"/>
  <c r="F42" i="19"/>
  <c r="D21" i="19"/>
  <c r="D18" i="19"/>
  <c r="D19" i="19"/>
  <c r="D20" i="19"/>
  <c r="D17" i="19"/>
  <c r="D16" i="19"/>
  <c r="D15" i="19"/>
  <c r="D23" i="19"/>
  <c r="D14" i="19"/>
  <c r="D13" i="19"/>
  <c r="D12" i="19"/>
  <c r="D11" i="19"/>
  <c r="D10" i="19"/>
  <c r="D9" i="19"/>
  <c r="D8" i="19"/>
  <c r="F32" i="19"/>
  <c r="F33" i="19"/>
  <c r="F30" i="19"/>
  <c r="F31"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19" i="13" l="1"/>
  <c r="W616" i="13"/>
  <c r="W664" i="13"/>
  <c r="W566" i="13"/>
  <c r="W675" i="13"/>
  <c r="W23" i="13"/>
  <c r="W9" i="13"/>
  <c r="W579" i="13"/>
  <c r="W663" i="13"/>
  <c r="W18" i="13"/>
  <c r="W640" i="13"/>
  <c r="W25" i="13"/>
  <c r="W621" i="13"/>
  <c r="W12" i="13"/>
  <c r="W617" i="13"/>
  <c r="W20" i="13"/>
  <c r="W581" i="13"/>
  <c r="W597" i="13"/>
  <c r="W567" i="13"/>
  <c r="W669" i="13"/>
  <c r="W16" i="13"/>
  <c r="W10" i="13"/>
  <c r="W638" i="13"/>
  <c r="W573" i="13"/>
  <c r="W628" i="13"/>
  <c r="W568" i="13"/>
  <c r="W578" i="13"/>
  <c r="W625" i="13"/>
  <c r="W646" i="13"/>
  <c r="W601" i="13"/>
  <c r="W613" i="13"/>
  <c r="W635" i="13"/>
  <c r="W569" i="13"/>
  <c r="W594" i="13"/>
  <c r="W651" i="13"/>
  <c r="W650" i="13"/>
  <c r="W645" i="13"/>
  <c r="W644" i="13"/>
  <c r="W582" i="13"/>
  <c r="W639" i="13"/>
  <c r="W649" i="13"/>
  <c r="W26" i="13"/>
  <c r="W17" i="13"/>
  <c r="W634" i="13"/>
  <c r="W13" i="13"/>
  <c r="W24" i="13"/>
  <c r="W667" i="13"/>
  <c r="W8" i="13"/>
  <c r="W629" i="13"/>
  <c r="W577" i="13"/>
  <c r="W668" i="13"/>
  <c r="W674" i="13"/>
  <c r="W583" i="13"/>
  <c r="W561" i="13"/>
  <c r="W665" i="13"/>
  <c r="W610" i="13"/>
  <c r="W574" i="13"/>
  <c r="W658" i="13"/>
  <c r="W598" i="13"/>
  <c r="W619" i="13"/>
  <c r="W559" i="13"/>
  <c r="W622" i="13"/>
  <c r="W606" i="13"/>
  <c r="W652" i="13"/>
  <c r="W631" i="13"/>
  <c r="W666" i="13"/>
  <c r="W655" i="13"/>
  <c r="W659" i="13"/>
  <c r="W609" i="13"/>
  <c r="W660" i="13"/>
  <c r="W565" i="13"/>
  <c r="W648" i="13"/>
  <c r="W584" i="13"/>
  <c r="W642" i="13"/>
  <c r="W673" i="13"/>
  <c r="W661" i="13"/>
  <c r="W608" i="13"/>
  <c r="W605" i="13"/>
  <c r="W587" i="13"/>
  <c r="W563" i="13"/>
  <c r="W672" i="13"/>
  <c r="W633" i="13"/>
  <c r="W630" i="13"/>
  <c r="W580" i="13"/>
  <c r="W14" i="13"/>
  <c r="W604" i="13"/>
  <c r="W603" i="13"/>
  <c r="W656" i="13"/>
  <c r="W586" i="13"/>
  <c r="W11" i="13"/>
  <c r="W575" i="13"/>
  <c r="W564" i="13"/>
  <c r="W570" i="13"/>
  <c r="W22" i="13"/>
  <c r="W636" i="13"/>
  <c r="W627" i="13"/>
  <c r="W607" i="13"/>
  <c r="W653" i="13"/>
  <c r="W595" i="13"/>
  <c r="W560" i="13"/>
  <c r="W620" i="13"/>
  <c r="W641" i="13"/>
  <c r="W592" i="13"/>
  <c r="W614" i="13"/>
  <c r="W637" i="13"/>
  <c r="W590" i="13"/>
  <c r="W615" i="13"/>
  <c r="W662" i="13"/>
  <c r="W602" i="13"/>
  <c r="W589" i="13"/>
  <c r="W671" i="13"/>
  <c r="W632" i="13"/>
  <c r="W596" i="13"/>
  <c r="W591" i="13"/>
  <c r="W562" i="13"/>
  <c r="W624" i="13"/>
  <c r="W657" i="13"/>
  <c r="W647" i="13"/>
  <c r="W626" i="13"/>
  <c r="W618" i="13"/>
  <c r="W670" i="13"/>
  <c r="W585" i="13"/>
  <c r="W643" i="13"/>
  <c r="W654" i="13"/>
  <c r="W15" i="13"/>
  <c r="W612" i="13"/>
  <c r="W611" i="13"/>
  <c r="W593" i="13"/>
  <c r="W599" i="13"/>
  <c r="W623" i="13"/>
  <c r="W571" i="13"/>
  <c r="W21" i="13"/>
  <c r="W600" i="13"/>
  <c r="W588" i="13"/>
  <c r="W576" i="13"/>
  <c r="W572" i="13"/>
  <c r="AC598" i="13"/>
  <c r="AC667" i="13"/>
  <c r="AC23" i="13"/>
  <c r="AC11" i="13"/>
  <c r="AC614" i="13"/>
  <c r="AC600" i="13"/>
  <c r="AC586" i="13"/>
  <c r="AC582" i="13"/>
  <c r="AC599" i="13"/>
  <c r="AC10" i="13"/>
  <c r="AC612" i="13"/>
  <c r="AC674" i="13"/>
  <c r="AC588" i="13"/>
  <c r="AC630" i="13"/>
  <c r="AC14" i="13"/>
  <c r="AC583" i="13"/>
  <c r="AC637" i="13"/>
  <c r="AC658" i="13"/>
  <c r="AC561" i="13"/>
  <c r="AC668" i="13"/>
  <c r="AC20" i="13"/>
  <c r="AC12" i="13"/>
  <c r="AC656" i="13"/>
  <c r="AC9" i="13"/>
  <c r="AC19" i="13"/>
  <c r="AC17" i="13"/>
  <c r="AC562" i="13"/>
  <c r="AC624" i="13"/>
  <c r="AC576" i="13"/>
  <c r="AC13" i="13"/>
  <c r="AC652" i="13"/>
  <c r="AC563" i="13"/>
  <c r="AC654" i="13"/>
  <c r="AC640" i="13"/>
  <c r="AC608" i="13"/>
  <c r="AC615" i="13"/>
  <c r="AC564" i="13"/>
  <c r="AC638" i="13"/>
  <c r="AC584" i="13"/>
  <c r="AC670" i="13"/>
  <c r="AC647" i="13"/>
  <c r="AC602" i="13"/>
  <c r="AC596" i="13"/>
  <c r="AC569" i="13"/>
  <c r="AC653" i="13"/>
  <c r="AC639" i="13"/>
  <c r="AC610" i="13"/>
  <c r="AC672" i="13"/>
  <c r="AC641" i="13"/>
  <c r="AC659" i="13"/>
  <c r="AC673" i="13"/>
  <c r="AC579" i="13"/>
  <c r="AC570" i="13"/>
  <c r="AC618" i="13"/>
  <c r="AC627" i="13"/>
  <c r="AC631" i="13"/>
  <c r="AC15" i="13"/>
  <c r="AC650" i="13"/>
  <c r="AC651" i="13"/>
  <c r="AC594" i="13"/>
  <c r="AC595" i="13"/>
  <c r="AC574" i="13"/>
  <c r="AC649" i="13"/>
  <c r="AC18" i="13"/>
  <c r="AC575" i="13"/>
  <c r="AC632" i="13"/>
  <c r="AC606" i="13"/>
  <c r="AC666" i="13"/>
  <c r="AC675" i="13"/>
  <c r="AC661" i="13"/>
  <c r="AC648" i="13"/>
  <c r="AC619" i="13"/>
  <c r="AC611" i="13"/>
  <c r="AC622" i="13"/>
  <c r="AC16" i="13"/>
  <c r="AC22" i="13"/>
  <c r="AC26" i="13"/>
  <c r="AC559" i="13"/>
  <c r="AC21" i="13"/>
  <c r="AC25" i="13"/>
  <c r="AC8" i="13"/>
  <c r="AC646" i="13"/>
  <c r="AC607" i="13"/>
  <c r="AC587" i="13"/>
  <c r="AC603" i="13"/>
  <c r="AC590" i="13"/>
  <c r="AC642" i="13"/>
  <c r="AC591" i="13"/>
  <c r="AC664" i="13"/>
  <c r="AC609" i="13"/>
  <c r="AC655" i="13"/>
  <c r="AC585" i="13"/>
  <c r="AC657" i="13"/>
  <c r="AC628" i="13"/>
  <c r="AC577" i="13"/>
  <c r="AC580" i="13"/>
  <c r="AC566" i="13"/>
  <c r="AC616" i="13"/>
  <c r="AC617" i="13"/>
  <c r="AC634" i="13"/>
  <c r="AC605" i="13"/>
  <c r="AC560" i="13"/>
  <c r="AC623" i="13"/>
  <c r="AC573" i="13"/>
  <c r="AC671" i="13"/>
  <c r="AC645" i="13"/>
  <c r="AC572" i="13"/>
  <c r="AC24" i="13"/>
  <c r="AC665" i="13"/>
  <c r="AC662" i="13"/>
  <c r="AC660" i="13"/>
  <c r="AC613" i="13"/>
  <c r="AC565" i="13"/>
  <c r="AC669" i="13"/>
  <c r="AC629" i="13"/>
  <c r="AC643" i="13"/>
  <c r="AC633" i="13"/>
  <c r="AC621" i="13"/>
  <c r="AC567" i="13"/>
  <c r="AC604" i="13"/>
  <c r="AC644" i="13"/>
  <c r="AC592" i="13"/>
  <c r="AC593" i="13"/>
  <c r="AC635" i="13"/>
  <c r="AC620" i="13"/>
  <c r="AC636" i="13"/>
  <c r="AC581" i="13"/>
  <c r="AC597" i="13"/>
  <c r="AC568" i="13"/>
  <c r="AC578" i="13"/>
  <c r="AC589" i="13"/>
  <c r="AC626" i="13"/>
  <c r="AC663" i="13"/>
  <c r="AC625" i="13"/>
  <c r="AC601" i="13"/>
  <c r="AC571" i="13"/>
  <c r="W558" i="13"/>
  <c r="W133" i="13"/>
  <c r="W526" i="13"/>
  <c r="W407" i="13"/>
  <c r="W442" i="13"/>
  <c r="W543" i="13"/>
  <c r="W39" i="13"/>
  <c r="W151" i="13"/>
  <c r="W339" i="13"/>
  <c r="W409" i="13"/>
  <c r="W537" i="13"/>
  <c r="W27" i="13"/>
  <c r="W102" i="13"/>
  <c r="W428" i="13"/>
  <c r="W486" i="13"/>
  <c r="W548" i="13"/>
  <c r="W250" i="13"/>
  <c r="W361" i="13"/>
  <c r="W401" i="13"/>
  <c r="W502" i="13"/>
  <c r="W322" i="13"/>
  <c r="W104" i="13"/>
  <c r="W216" i="13"/>
  <c r="W314" i="13"/>
  <c r="W448" i="13"/>
  <c r="W103" i="13"/>
  <c r="W38" i="13"/>
  <c r="W146" i="13"/>
  <c r="W489" i="13"/>
  <c r="W111" i="13"/>
  <c r="W139" i="13"/>
  <c r="W402" i="13"/>
  <c r="W480" i="13"/>
  <c r="W532" i="13"/>
  <c r="W423" i="13"/>
  <c r="W411" i="13"/>
  <c r="W445" i="13"/>
  <c r="W551" i="13"/>
  <c r="W45" i="13"/>
  <c r="W158" i="13"/>
  <c r="W296" i="13"/>
  <c r="W341" i="13"/>
  <c r="W479" i="13"/>
  <c r="W545" i="13"/>
  <c r="W29" i="13"/>
  <c r="W221" i="13"/>
  <c r="W382" i="13"/>
  <c r="W436" i="13"/>
  <c r="W557" i="13"/>
  <c r="W462" i="13"/>
  <c r="W132" i="13"/>
  <c r="W272" i="13"/>
  <c r="W363" i="13"/>
  <c r="W412" i="13"/>
  <c r="W514" i="13"/>
  <c r="W362" i="13"/>
  <c r="W109" i="13"/>
  <c r="W227" i="13"/>
  <c r="W316" i="13"/>
  <c r="W169" i="13"/>
  <c r="W40" i="13"/>
  <c r="W163" i="13"/>
  <c r="W334" i="13"/>
  <c r="W400" i="13"/>
  <c r="W491" i="13"/>
  <c r="W242" i="13"/>
  <c r="W60" i="13"/>
  <c r="W273" i="13"/>
  <c r="W336" i="13"/>
  <c r="W415" i="13"/>
  <c r="W485" i="13"/>
  <c r="W538" i="13"/>
  <c r="W358" i="13"/>
  <c r="W466" i="13"/>
  <c r="W69" i="13"/>
  <c r="W228" i="13"/>
  <c r="W337" i="13"/>
  <c r="W419" i="13"/>
  <c r="W452" i="13"/>
  <c r="W555" i="13"/>
  <c r="W217" i="13"/>
  <c r="W343" i="13"/>
  <c r="W490" i="13"/>
  <c r="W114" i="13"/>
  <c r="W35" i="13"/>
  <c r="W121" i="13"/>
  <c r="W234" i="13"/>
  <c r="W323" i="13"/>
  <c r="W444" i="13"/>
  <c r="W497" i="13"/>
  <c r="W105" i="13"/>
  <c r="W493" i="13"/>
  <c r="W144" i="13"/>
  <c r="W274" i="13"/>
  <c r="W518" i="13"/>
  <c r="W379" i="13"/>
  <c r="W126" i="13"/>
  <c r="W240" i="13"/>
  <c r="W320" i="13"/>
  <c r="W475" i="13"/>
  <c r="W235" i="13"/>
  <c r="W44" i="13"/>
  <c r="W170" i="13"/>
  <c r="W295" i="13"/>
  <c r="W344" i="13"/>
  <c r="W410" i="13"/>
  <c r="W293" i="13"/>
  <c r="W62" i="13"/>
  <c r="W156" i="13"/>
  <c r="W279" i="13"/>
  <c r="W340" i="13"/>
  <c r="W496" i="13"/>
  <c r="W417" i="13"/>
  <c r="W474" i="13"/>
  <c r="W122" i="13"/>
  <c r="W239" i="13"/>
  <c r="W351" i="13"/>
  <c r="W457" i="13"/>
  <c r="W67" i="13"/>
  <c r="W224" i="13"/>
  <c r="W305" i="13"/>
  <c r="W347" i="13"/>
  <c r="W447" i="13"/>
  <c r="W492" i="13"/>
  <c r="W251" i="13"/>
  <c r="W41" i="13"/>
  <c r="W129" i="13"/>
  <c r="W332" i="13"/>
  <c r="W388" i="13"/>
  <c r="W145" i="13"/>
  <c r="W53" i="13"/>
  <c r="W157" i="13"/>
  <c r="W286" i="13"/>
  <c r="W372" i="13"/>
  <c r="W438" i="13"/>
  <c r="W533" i="13"/>
  <c r="W315" i="13"/>
  <c r="W46" i="13"/>
  <c r="W229" i="13"/>
  <c r="W297" i="13"/>
  <c r="W429" i="13"/>
  <c r="W536" i="13"/>
  <c r="W319" i="13"/>
  <c r="W167" i="13"/>
  <c r="W283" i="13"/>
  <c r="W433" i="13"/>
  <c r="W509" i="13"/>
  <c r="W549" i="13"/>
  <c r="W487" i="13"/>
  <c r="W127" i="13"/>
  <c r="W460" i="13"/>
  <c r="W56" i="13"/>
  <c r="W108" i="13"/>
  <c r="W241" i="13"/>
  <c r="W307" i="13"/>
  <c r="W449" i="13"/>
  <c r="W505" i="13"/>
  <c r="W287" i="13"/>
  <c r="W47" i="13"/>
  <c r="W138" i="13"/>
  <c r="W245" i="13"/>
  <c r="W397" i="13"/>
  <c r="W459" i="13"/>
  <c r="W508" i="13"/>
  <c r="W218" i="13"/>
  <c r="W57" i="13"/>
  <c r="W164" i="13"/>
  <c r="W292" i="13"/>
  <c r="W380" i="13"/>
  <c r="W451" i="13"/>
  <c r="W6" i="13"/>
  <c r="W140" i="13"/>
  <c r="W280" i="13"/>
  <c r="W338" i="13"/>
  <c r="W542" i="13"/>
  <c r="W383" i="13"/>
  <c r="W52" i="13"/>
  <c r="W236" i="13"/>
  <c r="W308" i="13"/>
  <c r="W359" i="13"/>
  <c r="W435" i="13"/>
  <c r="W540" i="13"/>
  <c r="W107" i="13"/>
  <c r="W222" i="13"/>
  <c r="W289" i="13"/>
  <c r="W356" i="13"/>
  <c r="W443" i="13"/>
  <c r="W513" i="13"/>
  <c r="W51" i="13"/>
  <c r="W503" i="13"/>
  <c r="W299" i="13"/>
  <c r="W399" i="13"/>
  <c r="W116" i="13"/>
  <c r="W321" i="13"/>
  <c r="W528" i="13"/>
  <c r="W468" i="13"/>
  <c r="W63" i="13"/>
  <c r="W155" i="13"/>
  <c r="W290" i="13"/>
  <c r="W357" i="13"/>
  <c r="W422" i="13"/>
  <c r="W471" i="13"/>
  <c r="W333" i="13"/>
  <c r="W230" i="13"/>
  <c r="W393" i="13"/>
  <c r="W469" i="13"/>
  <c r="W152" i="13"/>
  <c r="W161" i="13"/>
  <c r="W408" i="13"/>
  <c r="W552" i="13"/>
  <c r="W32" i="13"/>
  <c r="W70" i="13"/>
  <c r="W373" i="13"/>
  <c r="W450" i="13"/>
  <c r="W546" i="13"/>
  <c r="W120" i="13"/>
  <c r="W301" i="13"/>
  <c r="W387" i="13"/>
  <c r="W472" i="13"/>
  <c r="W524" i="13"/>
  <c r="W498" i="13"/>
  <c r="W430" i="13"/>
  <c r="W248" i="13"/>
  <c r="W284" i="13"/>
  <c r="W525" i="13"/>
  <c r="W298" i="13"/>
  <c r="W50" i="13"/>
  <c r="W550" i="13"/>
  <c r="W312" i="13"/>
  <c r="W389" i="13"/>
  <c r="W366" i="13"/>
  <c r="W519" i="13"/>
  <c r="W437" i="13"/>
  <c r="W278" i="13"/>
  <c r="W302" i="13"/>
  <c r="W531" i="13"/>
  <c r="W350" i="13"/>
  <c r="W68" i="13"/>
  <c r="W554" i="13"/>
  <c r="W326" i="13"/>
  <c r="W483" i="13"/>
  <c r="W394" i="13"/>
  <c r="W516" i="13"/>
  <c r="W464" i="13"/>
  <c r="W311" i="13"/>
  <c r="W349" i="13"/>
  <c r="W355" i="13"/>
  <c r="W390" i="13"/>
  <c r="W150" i="13"/>
  <c r="W28" i="13"/>
  <c r="W368" i="13"/>
  <c r="W117" i="13"/>
  <c r="W458" i="13"/>
  <c r="W431" i="13"/>
  <c r="W162" i="13"/>
  <c r="W515" i="13"/>
  <c r="W325" i="13"/>
  <c r="W534" i="13"/>
  <c r="W381" i="13"/>
  <c r="W395" i="13"/>
  <c r="W34" i="13"/>
  <c r="W478" i="13"/>
  <c r="W374" i="13"/>
  <c r="W418" i="13"/>
  <c r="W71" i="13"/>
  <c r="W465" i="13"/>
  <c r="W55" i="13"/>
  <c r="W441" i="13"/>
  <c r="W233" i="13"/>
  <c r="W329" i="13"/>
  <c r="W33" i="13"/>
  <c r="W385" i="13"/>
  <c r="W426" i="13"/>
  <c r="W115" i="13"/>
  <c r="W484" i="13"/>
  <c r="W304" i="13"/>
  <c r="W101" i="13"/>
  <c r="W456" i="13"/>
  <c r="W246" i="13"/>
  <c r="W530" i="13"/>
  <c r="W367" i="13"/>
  <c r="W110" i="13"/>
  <c r="W141" i="13"/>
  <c r="W463" i="13"/>
  <c r="W223" i="13"/>
  <c r="W54" i="13"/>
  <c r="W404" i="13"/>
  <c r="W544" i="13"/>
  <c r="W291" i="13"/>
  <c r="W405" i="13"/>
  <c r="W135" i="13"/>
  <c r="W473" i="13"/>
  <c r="W168" i="13"/>
  <c r="W477" i="13"/>
  <c r="W247" i="13"/>
  <c r="W446" i="13"/>
  <c r="W277" i="13"/>
  <c r="W303" i="13"/>
  <c r="W541" i="13"/>
  <c r="W345" i="13"/>
  <c r="W455" i="13"/>
  <c r="W506" i="13"/>
  <c r="W42" i="13"/>
  <c r="W377" i="13"/>
  <c r="W396" i="13"/>
  <c r="W371" i="13"/>
  <c r="W310" i="13"/>
  <c r="W30" i="13"/>
  <c r="W553" i="13"/>
  <c r="W64" i="13"/>
  <c r="W119" i="13"/>
  <c r="W352" i="13"/>
  <c r="W66" i="13"/>
  <c r="W285" i="13"/>
  <c r="W335" i="13"/>
  <c r="W360" i="13"/>
  <c r="W43" i="13"/>
  <c r="W160" i="13"/>
  <c r="W432" i="13"/>
  <c r="W511" i="13"/>
  <c r="W147" i="13"/>
  <c r="W414" i="13"/>
  <c r="W453" i="13"/>
  <c r="W547" i="13"/>
  <c r="W369" i="13"/>
  <c r="W370" i="13"/>
  <c r="W535" i="13"/>
  <c r="W406" i="13"/>
  <c r="W220" i="13"/>
  <c r="W439" i="13"/>
  <c r="W237" i="13"/>
  <c r="W232" i="13"/>
  <c r="W136" i="13"/>
  <c r="W124" i="13"/>
  <c r="W244" i="13"/>
  <c r="W313" i="13"/>
  <c r="W148" i="13"/>
  <c r="W384" i="13"/>
  <c r="W403" i="13"/>
  <c r="W495" i="13"/>
  <c r="W100" i="13"/>
  <c r="W243" i="13"/>
  <c r="W512" i="13"/>
  <c r="W346" i="13"/>
  <c r="W154" i="13"/>
  <c r="W365" i="13"/>
  <c r="W58" i="13"/>
  <c r="W106" i="13"/>
  <c r="W275" i="13"/>
  <c r="W99" i="13"/>
  <c r="W328" i="13"/>
  <c r="W398" i="13"/>
  <c r="W143" i="13"/>
  <c r="W118" i="13"/>
  <c r="W427" i="13"/>
  <c r="W219" i="13"/>
  <c r="W364" i="13"/>
  <c r="W434" i="13"/>
  <c r="W476" i="13"/>
  <c r="W517" i="13"/>
  <c r="W153" i="13"/>
  <c r="W461" i="13"/>
  <c r="W130" i="13"/>
  <c r="W507" i="13"/>
  <c r="W330" i="13"/>
  <c r="W238" i="13"/>
  <c r="W166" i="13"/>
  <c r="W171" i="13"/>
  <c r="W276" i="13"/>
  <c r="W386" i="13"/>
  <c r="W159" i="13"/>
  <c r="W470" i="13"/>
  <c r="W317" i="13"/>
  <c r="W425" i="13"/>
  <c r="W324" i="13"/>
  <c r="W112" i="13"/>
  <c r="W376" i="13"/>
  <c r="W131" i="13"/>
  <c r="W113" i="13"/>
  <c r="W306" i="13"/>
  <c r="W172" i="13"/>
  <c r="W59" i="13"/>
  <c r="W392" i="13"/>
  <c r="W467" i="13"/>
  <c r="W539" i="13"/>
  <c r="W556" i="13"/>
  <c r="W440" i="13"/>
  <c r="W318" i="13"/>
  <c r="W523" i="13"/>
  <c r="W123" i="13"/>
  <c r="W149" i="13"/>
  <c r="W348" i="13"/>
  <c r="W134" i="13"/>
  <c r="W128" i="13"/>
  <c r="W342" i="13"/>
  <c r="W48" i="13"/>
  <c r="W420" i="13"/>
  <c r="W375" i="13"/>
  <c r="W522" i="13"/>
  <c r="W281" i="13"/>
  <c r="W504" i="13"/>
  <c r="W499" i="13"/>
  <c r="W416" i="13"/>
  <c r="W7" i="13"/>
  <c r="W488" i="13"/>
  <c r="W510" i="13"/>
  <c r="W142" i="13"/>
  <c r="W309" i="13"/>
  <c r="W226" i="13"/>
  <c r="W249" i="13"/>
  <c r="W500" i="13"/>
  <c r="W454" i="13"/>
  <c r="W482" i="13"/>
  <c r="W391" i="13"/>
  <c r="W327" i="13"/>
  <c r="W501" i="13"/>
  <c r="W294" i="13"/>
  <c r="W354" i="13"/>
  <c r="W521" i="13"/>
  <c r="W494" i="13"/>
  <c r="W527" i="13"/>
  <c r="W421" i="13"/>
  <c r="W49" i="13"/>
  <c r="W529" i="13"/>
  <c r="W65" i="13"/>
  <c r="W125" i="13"/>
  <c r="W353" i="13"/>
  <c r="W36" i="13"/>
  <c r="W31" i="13"/>
  <c r="W300" i="13"/>
  <c r="W288" i="13"/>
  <c r="W282" i="13"/>
  <c r="W520" i="13"/>
  <c r="W137" i="13"/>
  <c r="W331" i="13"/>
  <c r="W481" i="13"/>
  <c r="W424" i="13"/>
  <c r="W378" i="13"/>
  <c r="W231" i="13"/>
  <c r="W225" i="13"/>
  <c r="W165" i="13"/>
  <c r="W37" i="13"/>
  <c r="W413" i="13"/>
  <c r="W61" i="13"/>
  <c r="AC553" i="13"/>
  <c r="AC466" i="13"/>
  <c r="AC331" i="13"/>
  <c r="AC279" i="13"/>
  <c r="AC474" i="13"/>
  <c r="AC169" i="13"/>
  <c r="AC317" i="13"/>
  <c r="AC360" i="13"/>
  <c r="AC417" i="13"/>
  <c r="AC127" i="13"/>
  <c r="AC282" i="13"/>
  <c r="AC328" i="13"/>
  <c r="AC386" i="13"/>
  <c r="AC247" i="13"/>
  <c r="AC320" i="13"/>
  <c r="AC163" i="13"/>
  <c r="AC41" i="13"/>
  <c r="AC42" i="13"/>
  <c r="AC50" i="13"/>
  <c r="AC101" i="13"/>
  <c r="AC108" i="13"/>
  <c r="AC128" i="13"/>
  <c r="AC165" i="13"/>
  <c r="AC243" i="13"/>
  <c r="AC342" i="13"/>
  <c r="AC327" i="13"/>
  <c r="AC315" i="13"/>
  <c r="AC414" i="13"/>
  <c r="AC544" i="13"/>
  <c r="AC222" i="13"/>
  <c r="AC334" i="13"/>
  <c r="AC413" i="13"/>
  <c r="AC118" i="13"/>
  <c r="AC319" i="13"/>
  <c r="AC490" i="13"/>
  <c r="AC473" i="13"/>
  <c r="AC288" i="13"/>
  <c r="AC150" i="13"/>
  <c r="AC223" i="13"/>
  <c r="AC458" i="13"/>
  <c r="AC216" i="13"/>
  <c r="AC67" i="13"/>
  <c r="AC54" i="13"/>
  <c r="AC110" i="13"/>
  <c r="AC299" i="13"/>
  <c r="AC351" i="13"/>
  <c r="AC34" i="13"/>
  <c r="AC109" i="13"/>
  <c r="AC298" i="13"/>
  <c r="AC52" i="13"/>
  <c r="AC296" i="13"/>
  <c r="AC338" i="13"/>
  <c r="AC171" i="13"/>
  <c r="AC70" i="13"/>
  <c r="AC170" i="13"/>
  <c r="AC236" i="13"/>
  <c r="AC287" i="13"/>
  <c r="AC384" i="13"/>
  <c r="AC60" i="13"/>
  <c r="AC303" i="13"/>
  <c r="AC423" i="13"/>
  <c r="AC383" i="13"/>
  <c r="AC367" i="13"/>
  <c r="AC432" i="13"/>
  <c r="AC514" i="13"/>
  <c r="AC420" i="13"/>
  <c r="AC540" i="13"/>
  <c r="AC6" i="13"/>
  <c r="AC47" i="13"/>
  <c r="AC58" i="13"/>
  <c r="AC45" i="13"/>
  <c r="AC63" i="13"/>
  <c r="AC368" i="13"/>
  <c r="AC407" i="13"/>
  <c r="AC402" i="13"/>
  <c r="AC426" i="13"/>
  <c r="AC408" i="13"/>
  <c r="AC451" i="13"/>
  <c r="AC438" i="13"/>
  <c r="AC444" i="13"/>
  <c r="AC419" i="13"/>
  <c r="AC425" i="13"/>
  <c r="AC558" i="13"/>
  <c r="AC235" i="13"/>
  <c r="AC445" i="13"/>
  <c r="AC503" i="13"/>
  <c r="AC478" i="13"/>
  <c r="AC129" i="13"/>
  <c r="AC276" i="13"/>
  <c r="AC321" i="13"/>
  <c r="AC486" i="13"/>
  <c r="AC350" i="13"/>
  <c r="AC68" i="13"/>
  <c r="AC348" i="13"/>
  <c r="AC217" i="13"/>
  <c r="AC234" i="13"/>
  <c r="AC151" i="13"/>
  <c r="AC99" i="13"/>
  <c r="AC66" i="13"/>
  <c r="AC30" i="13"/>
  <c r="AC57" i="13"/>
  <c r="AC141" i="13"/>
  <c r="AC304" i="13"/>
  <c r="AC53" i="13"/>
  <c r="AC291" i="13"/>
  <c r="AC356" i="13"/>
  <c r="AC427" i="13"/>
  <c r="AC362" i="13"/>
  <c r="AC345" i="13"/>
  <c r="AC541" i="13"/>
  <c r="AC370" i="13"/>
  <c r="AC241" i="13"/>
  <c r="AC162" i="13"/>
  <c r="AC29" i="13"/>
  <c r="AC64" i="13"/>
  <c r="AC59" i="13"/>
  <c r="AC275" i="13"/>
  <c r="AC305" i="13"/>
  <c r="AC40" i="13"/>
  <c r="AC314" i="13"/>
  <c r="AC225" i="13"/>
  <c r="AC285" i="13"/>
  <c r="AC147" i="13"/>
  <c r="AC341" i="13"/>
  <c r="AC333" i="13"/>
  <c r="AC156" i="13"/>
  <c r="AC431" i="13"/>
  <c r="AC485" i="13"/>
  <c r="AC273" i="13"/>
  <c r="AC381" i="13"/>
  <c r="AC470" i="13"/>
  <c r="AC526" i="13"/>
  <c r="AC112" i="13"/>
  <c r="AC335" i="13"/>
  <c r="AC61" i="13"/>
  <c r="AC290" i="13"/>
  <c r="AC272" i="13"/>
  <c r="AC318" i="13"/>
  <c r="AC446" i="13"/>
  <c r="AC240" i="13"/>
  <c r="AC157" i="13"/>
  <c r="AC122" i="13"/>
  <c r="AC48" i="13"/>
  <c r="AC100" i="13"/>
  <c r="AC116" i="13"/>
  <c r="AC28" i="13"/>
  <c r="AC140" i="13"/>
  <c r="AC332" i="13"/>
  <c r="AC159" i="13"/>
  <c r="AC237" i="13"/>
  <c r="AC249" i="13"/>
  <c r="AC311" i="13"/>
  <c r="AC346" i="13"/>
  <c r="AC357" i="13"/>
  <c r="AC388" i="13"/>
  <c r="AC389" i="13"/>
  <c r="AC369" i="13"/>
  <c r="AC443" i="13"/>
  <c r="AC434" i="13"/>
  <c r="AC448" i="13"/>
  <c r="AC433" i="13"/>
  <c r="AC487" i="13"/>
  <c r="AC418" i="13"/>
  <c r="AC519" i="13"/>
  <c r="AC229" i="13"/>
  <c r="AC39" i="13"/>
  <c r="AC400" i="13"/>
  <c r="AC145" i="13"/>
  <c r="AC164" i="13"/>
  <c r="AC281" i="13"/>
  <c r="AC416" i="13"/>
  <c r="AC375" i="13"/>
  <c r="AC450" i="13"/>
  <c r="AC454" i="13"/>
  <c r="AC533" i="13"/>
  <c r="AC512" i="13"/>
  <c r="AC484" i="13"/>
  <c r="AC537" i="13"/>
  <c r="AC469" i="13"/>
  <c r="AC492" i="13"/>
  <c r="AC520" i="13"/>
  <c r="AC510" i="13"/>
  <c r="AC532" i="13"/>
  <c r="AC33" i="13"/>
  <c r="AC306" i="13"/>
  <c r="AC429" i="13"/>
  <c r="AC453" i="13"/>
  <c r="AC497" i="13"/>
  <c r="AC543" i="13"/>
  <c r="AC481" i="13"/>
  <c r="AC555" i="13"/>
  <c r="AC535" i="13"/>
  <c r="AC148" i="13"/>
  <c r="AC316" i="13"/>
  <c r="AC27" i="13"/>
  <c r="AC135" i="13"/>
  <c r="AC134" i="13"/>
  <c r="AC121" i="13"/>
  <c r="AC302" i="13"/>
  <c r="AC153" i="13"/>
  <c r="AC242" i="13"/>
  <c r="AC363" i="13"/>
  <c r="AC391" i="13"/>
  <c r="AC394" i="13"/>
  <c r="AC459" i="13"/>
  <c r="AC422" i="13"/>
  <c r="AC525" i="13"/>
  <c r="AC550" i="13"/>
  <c r="AC358" i="13"/>
  <c r="AC168" i="13"/>
  <c r="AC382" i="13"/>
  <c r="AC136" i="13"/>
  <c r="AC218" i="13"/>
  <c r="AC359" i="13"/>
  <c r="AC395" i="13"/>
  <c r="AC442" i="13"/>
  <c r="AC412" i="13"/>
  <c r="AC460" i="13"/>
  <c r="AC464" i="13"/>
  <c r="AC504" i="13"/>
  <c r="AC527" i="13"/>
  <c r="AC556" i="13"/>
  <c r="AC297" i="13"/>
  <c r="AC324" i="13"/>
  <c r="AC51" i="13"/>
  <c r="AC284" i="13"/>
  <c r="AC516" i="13"/>
  <c r="AC228" i="13"/>
  <c r="AC65" i="13"/>
  <c r="AC35" i="13"/>
  <c r="AC102" i="13"/>
  <c r="AC106" i="13"/>
  <c r="AC133" i="13"/>
  <c r="AC152" i="13"/>
  <c r="AC248" i="13"/>
  <c r="AC330" i="13"/>
  <c r="AC398" i="13"/>
  <c r="AC467" i="13"/>
  <c r="AC424" i="13"/>
  <c r="AC468" i="13"/>
  <c r="AC430" i="13"/>
  <c r="AC475" i="13"/>
  <c r="AC522" i="13"/>
  <c r="AC513" i="13"/>
  <c r="AC498" i="13"/>
  <c r="AC534" i="13"/>
  <c r="AC69" i="13"/>
  <c r="AC219" i="13"/>
  <c r="AC309" i="13"/>
  <c r="AC337" i="13"/>
  <c r="AC292" i="13"/>
  <c r="AC374" i="13"/>
  <c r="AC224" i="13"/>
  <c r="AC347" i="13"/>
  <c r="AC364" i="13"/>
  <c r="AC457" i="13"/>
  <c r="AC436" i="13"/>
  <c r="AC545" i="13"/>
  <c r="AC505" i="13"/>
  <c r="AC546" i="13"/>
  <c r="AC549" i="13"/>
  <c r="AC538" i="13"/>
  <c r="AC250" i="13"/>
  <c r="AC246" i="13"/>
  <c r="AC36" i="13"/>
  <c r="AC103" i="13"/>
  <c r="AC310" i="13"/>
  <c r="AC115" i="13"/>
  <c r="AC231" i="13"/>
  <c r="AC158" i="13"/>
  <c r="AC339" i="13"/>
  <c r="AC399" i="13"/>
  <c r="AC491" i="13"/>
  <c r="AC406" i="13"/>
  <c r="AC479" i="13"/>
  <c r="AC531" i="13"/>
  <c r="AC547" i="13"/>
  <c r="AC312" i="13"/>
  <c r="AC552" i="13"/>
  <c r="AC146" i="13"/>
  <c r="AC46" i="13"/>
  <c r="AC139" i="13"/>
  <c r="AC278" i="13"/>
  <c r="AC230" i="13"/>
  <c r="AC293" i="13"/>
  <c r="AC409" i="13"/>
  <c r="AC463" i="13"/>
  <c r="AC405" i="13"/>
  <c r="AC435" i="13"/>
  <c r="AC415" i="13"/>
  <c r="AC472" i="13"/>
  <c r="AC529" i="13"/>
  <c r="AC509" i="13"/>
  <c r="AC496" i="13"/>
  <c r="AC437" i="13"/>
  <c r="AC32" i="13"/>
  <c r="AC480" i="13"/>
  <c r="AC143" i="13"/>
  <c r="AC221" i="13"/>
  <c r="AC447" i="13"/>
  <c r="AC105" i="13"/>
  <c r="AC551" i="13"/>
  <c r="AC366" i="13"/>
  <c r="AC307" i="13"/>
  <c r="AC227" i="13"/>
  <c r="AC149" i="13"/>
  <c r="AC502" i="13"/>
  <c r="AC322" i="13"/>
  <c r="AC353" i="13"/>
  <c r="AC131" i="13"/>
  <c r="AC377" i="13"/>
  <c r="AC280" i="13"/>
  <c r="AC396" i="13"/>
  <c r="AC172" i="13"/>
  <c r="AC452" i="13"/>
  <c r="AC132" i="13"/>
  <c r="AC471" i="13"/>
  <c r="AC308" i="13"/>
  <c r="AC117" i="13"/>
  <c r="AC506" i="13"/>
  <c r="AC277" i="13"/>
  <c r="AC329" i="13"/>
  <c r="AC166" i="13"/>
  <c r="AC495" i="13"/>
  <c r="AC440" i="13"/>
  <c r="AC456" i="13"/>
  <c r="AC355" i="13"/>
  <c r="AC138" i="13"/>
  <c r="AC142" i="13"/>
  <c r="AC441" i="13"/>
  <c r="AC372" i="13"/>
  <c r="AC411" i="13"/>
  <c r="AC508" i="13"/>
  <c r="AC119" i="13"/>
  <c r="AC501" i="13"/>
  <c r="AC344" i="13"/>
  <c r="AC7" i="13"/>
  <c r="AC404" i="13"/>
  <c r="AC313" i="13"/>
  <c r="AC55" i="13"/>
  <c r="AC494" i="13"/>
  <c r="AC379" i="13"/>
  <c r="AC361" i="13"/>
  <c r="AC524" i="13"/>
  <c r="AC125" i="13"/>
  <c r="AC390" i="13"/>
  <c r="AC455" i="13"/>
  <c r="AC220" i="13"/>
  <c r="AC515" i="13"/>
  <c r="AC244" i="13"/>
  <c r="AC428" i="13"/>
  <c r="AC393" i="13"/>
  <c r="AC120" i="13"/>
  <c r="AC56" i="13"/>
  <c r="AC397" i="13"/>
  <c r="AC274" i="13"/>
  <c r="AC554" i="13"/>
  <c r="AC124" i="13"/>
  <c r="AC352" i="13"/>
  <c r="AC365" i="13"/>
  <c r="AC325" i="13"/>
  <c r="AC38" i="13"/>
  <c r="AC548" i="13"/>
  <c r="AC465" i="13"/>
  <c r="AC378" i="13"/>
  <c r="AC421" i="13"/>
  <c r="AC137" i="13"/>
  <c r="AC301" i="13"/>
  <c r="AC294" i="13"/>
  <c r="AC49" i="13"/>
  <c r="AC483" i="13"/>
  <c r="AC557" i="13"/>
  <c r="AC123" i="13"/>
  <c r="AC336" i="13"/>
  <c r="AC107" i="13"/>
  <c r="AC500" i="13"/>
  <c r="AC376" i="13"/>
  <c r="AC43" i="13"/>
  <c r="AC528" i="13"/>
  <c r="AC401" i="13"/>
  <c r="AC373" i="13"/>
  <c r="AC239" i="13"/>
  <c r="AC161" i="13"/>
  <c r="AC114" i="13"/>
  <c r="AC286" i="13"/>
  <c r="AC523" i="13"/>
  <c r="AC477" i="13"/>
  <c r="AC462" i="13"/>
  <c r="AC380" i="13"/>
  <c r="AC392" i="13"/>
  <c r="AC245" i="13"/>
  <c r="AC167" i="13"/>
  <c r="AC104" i="13"/>
  <c r="AC340" i="13"/>
  <c r="AC410" i="13"/>
  <c r="AC349" i="13"/>
  <c r="AC233" i="13"/>
  <c r="AC155" i="13"/>
  <c r="AC144" i="13"/>
  <c r="AC300" i="13"/>
  <c r="AC521" i="13"/>
  <c r="AC461" i="13"/>
  <c r="AC489" i="13"/>
  <c r="AC539" i="13"/>
  <c r="AC387" i="13"/>
  <c r="AC232" i="13"/>
  <c r="AC488" i="13"/>
  <c r="AC130" i="13"/>
  <c r="AC238" i="13"/>
  <c r="AC403" i="13"/>
  <c r="AC226" i="13"/>
  <c r="AC499" i="13"/>
  <c r="AC518" i="13"/>
  <c r="AC507" i="13"/>
  <c r="AC343" i="13"/>
  <c r="AC326" i="13"/>
  <c r="AC542" i="13"/>
  <c r="AC354" i="13"/>
  <c r="AC62" i="13"/>
  <c r="AC385" i="13"/>
  <c r="AC323" i="13"/>
  <c r="AC536" i="13"/>
  <c r="AC482" i="13"/>
  <c r="AC113" i="13"/>
  <c r="AC111" i="13"/>
  <c r="AC31" i="13"/>
  <c r="AC493" i="13"/>
  <c r="AC476" i="13"/>
  <c r="AC371" i="13"/>
  <c r="AC154" i="13"/>
  <c r="AC439" i="13"/>
  <c r="AC511" i="13"/>
  <c r="AC289" i="13"/>
  <c r="AC160" i="13"/>
  <c r="AC295" i="13"/>
  <c r="AC71" i="13"/>
  <c r="AC251" i="13"/>
  <c r="AC44" i="13"/>
  <c r="AC126" i="13"/>
  <c r="AC283" i="13"/>
  <c r="AC517" i="13"/>
  <c r="AC530" i="13"/>
  <c r="AC449" i="13"/>
  <c r="AC37" i="13"/>
  <c r="I35" i="31"/>
  <c r="I37" i="31" s="1"/>
  <c r="D32" i="31"/>
  <c r="D31" i="31"/>
  <c r="D30" i="31"/>
  <c r="D25" i="31"/>
  <c r="D23" i="31"/>
  <c r="D22" i="31"/>
  <c r="D21" i="31"/>
  <c r="D38" i="31"/>
  <c r="K33" i="31"/>
  <c r="M29" i="31"/>
  <c r="Q24" i="31"/>
  <c r="Q26" i="31" s="1"/>
  <c r="O26" i="31"/>
  <c r="E40" i="31"/>
  <c r="E39" i="31"/>
  <c r="Q13" i="31"/>
  <c r="Q18" i="31" s="1"/>
  <c r="O18" i="31"/>
  <c r="E41" i="31"/>
  <c r="AF20" i="13" l="1"/>
  <c r="AF19" i="13"/>
  <c r="AF626" i="13"/>
  <c r="AF581" i="13"/>
  <c r="AF628" i="13"/>
  <c r="AF12" i="13"/>
  <c r="AF578" i="13"/>
  <c r="AF633" i="13"/>
  <c r="AF573" i="13"/>
  <c r="AF8" i="13"/>
  <c r="AF21" i="13"/>
  <c r="AF587" i="13"/>
  <c r="AF594" i="13"/>
  <c r="AF9" i="13"/>
  <c r="AF10" i="13"/>
  <c r="AF655" i="13"/>
  <c r="AF631" i="13"/>
  <c r="AF593" i="13"/>
  <c r="AF667" i="13"/>
  <c r="AF640" i="13"/>
  <c r="AF617" i="13"/>
  <c r="AF642" i="13"/>
  <c r="AF644" i="13"/>
  <c r="AF14" i="13"/>
  <c r="AF567" i="13"/>
  <c r="AF608" i="13"/>
  <c r="AF675" i="13"/>
  <c r="AF639" i="13"/>
  <c r="AF620" i="13"/>
  <c r="AF606" i="13"/>
  <c r="AF634" i="13"/>
  <c r="AF579" i="13"/>
  <c r="AF647" i="13"/>
  <c r="AF638" i="13"/>
  <c r="AF669" i="13"/>
  <c r="AF662" i="13"/>
  <c r="AF627" i="13"/>
  <c r="AF592" i="13"/>
  <c r="AF591" i="13"/>
  <c r="AF671" i="13"/>
  <c r="AF641" i="13"/>
  <c r="AF25" i="13"/>
  <c r="AF575" i="13"/>
  <c r="AF582" i="13"/>
  <c r="AF668" i="13"/>
  <c r="AF596" i="13"/>
  <c r="AF571" i="13"/>
  <c r="AF659" i="13"/>
  <c r="AF17" i="13"/>
  <c r="AF621" i="13"/>
  <c r="AF618" i="13"/>
  <c r="AF670" i="13"/>
  <c r="AF570" i="13"/>
  <c r="AF666" i="13"/>
  <c r="AF565" i="13"/>
  <c r="AF595" i="13"/>
  <c r="AF658" i="13"/>
  <c r="AF568" i="13"/>
  <c r="AF665" i="13"/>
  <c r="AF654" i="13"/>
  <c r="AF625" i="13"/>
  <c r="AF16" i="13"/>
  <c r="AF572" i="13"/>
  <c r="AF613" i="13"/>
  <c r="AF577" i="13"/>
  <c r="AF607" i="13"/>
  <c r="AF643" i="13"/>
  <c r="AF649" i="13"/>
  <c r="AF636" i="13"/>
  <c r="AF616" i="13"/>
  <c r="AF574" i="13"/>
  <c r="AF563" i="13"/>
  <c r="AF648" i="13"/>
  <c r="AF18" i="13"/>
  <c r="AF663" i="13"/>
  <c r="AF645" i="13"/>
  <c r="AF603" i="13"/>
  <c r="AF605" i="13"/>
  <c r="AF664" i="13"/>
  <c r="AF632" i="13"/>
  <c r="AF651" i="13"/>
  <c r="AF673" i="13"/>
  <c r="AF569" i="13"/>
  <c r="AF602" i="13"/>
  <c r="AF597" i="13"/>
  <c r="AF580" i="13"/>
  <c r="AF601" i="13"/>
  <c r="AF566" i="13"/>
  <c r="AF559" i="13"/>
  <c r="AF588" i="13"/>
  <c r="AF630" i="13"/>
  <c r="AF672" i="13"/>
  <c r="AF609" i="13"/>
  <c r="AF629" i="13"/>
  <c r="AF560" i="13"/>
  <c r="AF661" i="13"/>
  <c r="AF650" i="13"/>
  <c r="AF619" i="13"/>
  <c r="AF564" i="13"/>
  <c r="AF22" i="13"/>
  <c r="AF653" i="13"/>
  <c r="AF652" i="13"/>
  <c r="AF660" i="13"/>
  <c r="AF24" i="13"/>
  <c r="AF590" i="13"/>
  <c r="AF646" i="13"/>
  <c r="AF622" i="13"/>
  <c r="AF584" i="13"/>
  <c r="AF15" i="13"/>
  <c r="AF657" i="13"/>
  <c r="E15" i="38"/>
  <c r="E18" i="38"/>
  <c r="AF635" i="13"/>
  <c r="AF656" i="13"/>
  <c r="AF23" i="13"/>
  <c r="AF604" i="13"/>
  <c r="AF585" i="13"/>
  <c r="AF623" i="13"/>
  <c r="AF624" i="13"/>
  <c r="AF637" i="13"/>
  <c r="AF599" i="13"/>
  <c r="AF614" i="13"/>
  <c r="AF610" i="13"/>
  <c r="AF674" i="13"/>
  <c r="AF13" i="13"/>
  <c r="AF600" i="13"/>
  <c r="AF611" i="13"/>
  <c r="AF26" i="13"/>
  <c r="AF612" i="13"/>
  <c r="AF561" i="13"/>
  <c r="AF615" i="13"/>
  <c r="AF576" i="13"/>
  <c r="AF583" i="13"/>
  <c r="AF589" i="13"/>
  <c r="AF11" i="13"/>
  <c r="AF598" i="13"/>
  <c r="AF562" i="13"/>
  <c r="AF586" i="13"/>
  <c r="AF71" i="13"/>
  <c r="AF105" i="13"/>
  <c r="AF400" i="13"/>
  <c r="AF371" i="13"/>
  <c r="AF489" i="13"/>
  <c r="AF528" i="13"/>
  <c r="AF45" i="13"/>
  <c r="AF524" i="13"/>
  <c r="AF535" i="13"/>
  <c r="AF291" i="13"/>
  <c r="AF344" i="13"/>
  <c r="AF385" i="13"/>
  <c r="AF511" i="13"/>
  <c r="AF123" i="13"/>
  <c r="AF529" i="13"/>
  <c r="AF169" i="13"/>
  <c r="AF433" i="13"/>
  <c r="AF310" i="13"/>
  <c r="AF513" i="13"/>
  <c r="AF33" i="13"/>
  <c r="AF290" i="13"/>
  <c r="AF323" i="13"/>
  <c r="AF272" i="13"/>
  <c r="AF439" i="13"/>
  <c r="AF436" i="13"/>
  <c r="AF460" i="13"/>
  <c r="AF57" i="13"/>
  <c r="AF30" i="13"/>
  <c r="AF504" i="13"/>
  <c r="AF281" i="13"/>
  <c r="AF70" i="13"/>
  <c r="AF349" i="13"/>
  <c r="AF552" i="13"/>
  <c r="AF129" i="13"/>
  <c r="AF220" i="13"/>
  <c r="AF514" i="13"/>
  <c r="AF162" i="13"/>
  <c r="AF222" i="13"/>
  <c r="AF235" i="13"/>
  <c r="AF332" i="13"/>
  <c r="AF286" i="13"/>
  <c r="AF468" i="13"/>
  <c r="AF515" i="13"/>
  <c r="AF42" i="13"/>
  <c r="AF133" i="13"/>
  <c r="AF115" i="13"/>
  <c r="AF146" i="13"/>
  <c r="AF402" i="13"/>
  <c r="AF546" i="13"/>
  <c r="AF106" i="13"/>
  <c r="AF58" i="13"/>
  <c r="AF471" i="13"/>
  <c r="AF485" i="13"/>
  <c r="AF382" i="13"/>
  <c r="AF462" i="13"/>
  <c r="AF159" i="13"/>
  <c r="AF7" i="13"/>
  <c r="AF333" i="13"/>
  <c r="AF448" i="13"/>
  <c r="AF172" i="13"/>
  <c r="AF114" i="13"/>
  <c r="AF134" i="13"/>
  <c r="AF449" i="13"/>
  <c r="AF557" i="13"/>
  <c r="AF219" i="13"/>
  <c r="AF246" i="13"/>
  <c r="AF539" i="13"/>
  <c r="AF301" i="13"/>
  <c r="AF250" i="13"/>
  <c r="AF228" i="13"/>
  <c r="AF442" i="13"/>
  <c r="AF479" i="13"/>
  <c r="AF229" i="13"/>
  <c r="AF502" i="13"/>
  <c r="AF139" i="13"/>
  <c r="AF347" i="13"/>
  <c r="AF392" i="13"/>
  <c r="AF476" i="13"/>
  <c r="AF542" i="13"/>
  <c r="AF329" i="13"/>
  <c r="AF377" i="13"/>
  <c r="AF447" i="13"/>
  <c r="AF459" i="13"/>
  <c r="AF520" i="13"/>
  <c r="AF116" i="13"/>
  <c r="AF151" i="13"/>
  <c r="AF383" i="13"/>
  <c r="AF466" i="13"/>
  <c r="AF428" i="13"/>
  <c r="AF38" i="13"/>
  <c r="AF404" i="13"/>
  <c r="AF452" i="13"/>
  <c r="AF451" i="13"/>
  <c r="AF365" i="13"/>
  <c r="AF154" i="13"/>
  <c r="AF62" i="13"/>
  <c r="AF501" i="13"/>
  <c r="AF103" i="13"/>
  <c r="AF364" i="13"/>
  <c r="AF102" i="13"/>
  <c r="AF27" i="13"/>
  <c r="AF414" i="13"/>
  <c r="AF124" i="13"/>
  <c r="AF435" i="13"/>
  <c r="AF36" i="13"/>
  <c r="AF35" i="13"/>
  <c r="AF316" i="13"/>
  <c r="AF28" i="13"/>
  <c r="AF283" i="13"/>
  <c r="AF294" i="13"/>
  <c r="AF554" i="13"/>
  <c r="AF119" i="13"/>
  <c r="AF224" i="13"/>
  <c r="AF225" i="13"/>
  <c r="AF445" i="13"/>
  <c r="AF368" i="13"/>
  <c r="AF550" i="13"/>
  <c r="AF126" i="13"/>
  <c r="AF326" i="13"/>
  <c r="AF167" i="13"/>
  <c r="AF374" i="13"/>
  <c r="AF314" i="13"/>
  <c r="AF234" i="13"/>
  <c r="AF423" i="13"/>
  <c r="AF411" i="13"/>
  <c r="AF506" i="13"/>
  <c r="AF292" i="13"/>
  <c r="AF40" i="13"/>
  <c r="AF558" i="13"/>
  <c r="AF117" i="13"/>
  <c r="AF293" i="13"/>
  <c r="AF490" i="13"/>
  <c r="AF379" i="13"/>
  <c r="AF353" i="13"/>
  <c r="AF538" i="13"/>
  <c r="AF359" i="13"/>
  <c r="AF518" i="13"/>
  <c r="AF380" i="13"/>
  <c r="AF120" i="13"/>
  <c r="AF230" i="13"/>
  <c r="AF399" i="13"/>
  <c r="AF484" i="13"/>
  <c r="AF157" i="13"/>
  <c r="AF155" i="13"/>
  <c r="AF244" i="13"/>
  <c r="AF50" i="13"/>
  <c r="AF239" i="13"/>
  <c r="AF65" i="13"/>
  <c r="AF52" i="13"/>
  <c r="AF493" i="13"/>
  <c r="AF508" i="13"/>
  <c r="AF463" i="13"/>
  <c r="AF492" i="13"/>
  <c r="AF145" i="13"/>
  <c r="AF100" i="13"/>
  <c r="AF362" i="13"/>
  <c r="AF104" i="13"/>
  <c r="AF125" i="13"/>
  <c r="AF247" i="13"/>
  <c r="AF143" i="13"/>
  <c r="AF507" i="13"/>
  <c r="AF43" i="13"/>
  <c r="AF56" i="13"/>
  <c r="AF480" i="13"/>
  <c r="AF381" i="13"/>
  <c r="AF409" i="13"/>
  <c r="AF376" i="13"/>
  <c r="AF322" i="13"/>
  <c r="AF32" i="13"/>
  <c r="AF273" i="13"/>
  <c r="AF128" i="13"/>
  <c r="AF295" i="13"/>
  <c r="AF330" i="13"/>
  <c r="AF531" i="13"/>
  <c r="AF555" i="13"/>
  <c r="AF160" i="13"/>
  <c r="AF477" i="13"/>
  <c r="AF248" i="13"/>
  <c r="AF297" i="13"/>
  <c r="AF302" i="13"/>
  <c r="AF339" i="13"/>
  <c r="AF355" i="13"/>
  <c r="AF545" i="13"/>
  <c r="AF170" i="13"/>
  <c r="AF325" i="13"/>
  <c r="AF498" i="13"/>
  <c r="AF472" i="13"/>
  <c r="AF135" i="13"/>
  <c r="AF241" i="13"/>
  <c r="AF410" i="13"/>
  <c r="AF140" i="13"/>
  <c r="AF366" i="13"/>
  <c r="AF340" i="13"/>
  <c r="AF280" i="13"/>
  <c r="AF475" i="13"/>
  <c r="AF285" i="13"/>
  <c r="AF407" i="13"/>
  <c r="AF296" i="13"/>
  <c r="AF315" i="13"/>
  <c r="AF401" i="13"/>
  <c r="AF343" i="13"/>
  <c r="AF397" i="13"/>
  <c r="AF111" i="13"/>
  <c r="AF337" i="13"/>
  <c r="AF284" i="13"/>
  <c r="AF363" i="13"/>
  <c r="AF356" i="13"/>
  <c r="AF521" i="13"/>
  <c r="AF378" i="13"/>
  <c r="AF494" i="13"/>
  <c r="AF441" i="13"/>
  <c r="AF549" i="13"/>
  <c r="AF309" i="13"/>
  <c r="AF51" i="13"/>
  <c r="AF218" i="13"/>
  <c r="AF242" i="13"/>
  <c r="AF543" i="13"/>
  <c r="AF275" i="13"/>
  <c r="AF384" i="13"/>
  <c r="AF351" i="13"/>
  <c r="AF251" i="13"/>
  <c r="AF357" i="13"/>
  <c r="AF465" i="13"/>
  <c r="AF55" i="13"/>
  <c r="AF437" i="13"/>
  <c r="AF153" i="13"/>
  <c r="AF512" i="13"/>
  <c r="AF444" i="13"/>
  <c r="AF417" i="13"/>
  <c r="AF361" i="13"/>
  <c r="AF421" i="13"/>
  <c r="AF491" i="13"/>
  <c r="AF537" i="13"/>
  <c r="AF144" i="13"/>
  <c r="AF107" i="13"/>
  <c r="AF548" i="13"/>
  <c r="AF138" i="13"/>
  <c r="AF132" i="13"/>
  <c r="AF496" i="13"/>
  <c r="AF158" i="13"/>
  <c r="AF533" i="13"/>
  <c r="AF336" i="13"/>
  <c r="AF227" i="13"/>
  <c r="AF46" i="13"/>
  <c r="AF152" i="13"/>
  <c r="AF429" i="13"/>
  <c r="AF487" i="13"/>
  <c r="AF29" i="13"/>
  <c r="AF141" i="13"/>
  <c r="AF321" i="13"/>
  <c r="AF334" i="13"/>
  <c r="AF99" i="13"/>
  <c r="AF54" i="13"/>
  <c r="AF288" i="13"/>
  <c r="AF238" i="13"/>
  <c r="AF398" i="13"/>
  <c r="AF527" i="13"/>
  <c r="AF450" i="13"/>
  <c r="AF369" i="13"/>
  <c r="AF68" i="13"/>
  <c r="AF408" i="13"/>
  <c r="AF150" i="13"/>
  <c r="AF427" i="13"/>
  <c r="AF360" i="13"/>
  <c r="AF553" i="13"/>
  <c r="AF300" i="13"/>
  <c r="AF277" i="13"/>
  <c r="AF396" i="13"/>
  <c r="AF497" i="13"/>
  <c r="AF375" i="13"/>
  <c r="AF240" i="13"/>
  <c r="AF526" i="13"/>
  <c r="AF341" i="13"/>
  <c r="AF59" i="13"/>
  <c r="AF426" i="13"/>
  <c r="AF108" i="13"/>
  <c r="AF474" i="13"/>
  <c r="AF469" i="13"/>
  <c r="AF532" i="13"/>
  <c r="AF217" i="13"/>
  <c r="AF236" i="13"/>
  <c r="AF109" i="13"/>
  <c r="E35" i="24"/>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9" i="32"/>
  <c r="E13" i="38"/>
  <c r="E30" i="24"/>
  <c r="E22" i="24"/>
  <c r="E14" i="24"/>
  <c r="E10" i="32"/>
  <c r="E14" i="38"/>
  <c r="E29" i="24"/>
  <c r="E21" i="24"/>
  <c r="E13" i="24"/>
  <c r="E13" i="22"/>
  <c r="E11" i="32"/>
  <c r="E16" i="38"/>
  <c r="E36" i="24"/>
  <c r="E28" i="24"/>
  <c r="E20" i="24"/>
  <c r="E12" i="24"/>
  <c r="E19" i="22"/>
  <c r="E12" i="22"/>
  <c r="E17" i="38"/>
  <c r="AF530" i="13"/>
  <c r="AF31" i="13"/>
  <c r="AF226" i="13"/>
  <c r="AF483" i="13"/>
  <c r="AF313" i="13"/>
  <c r="AF131" i="13"/>
  <c r="AF424" i="13"/>
  <c r="AF395" i="13"/>
  <c r="AF525" i="13"/>
  <c r="AF434" i="13"/>
  <c r="AF304" i="13"/>
  <c r="AF517" i="13"/>
  <c r="AF289" i="13"/>
  <c r="AF461" i="13"/>
  <c r="AF523" i="13"/>
  <c r="AF49" i="13"/>
  <c r="AF390" i="13"/>
  <c r="AF166" i="13"/>
  <c r="AF509" i="13"/>
  <c r="AF534" i="13"/>
  <c r="AF556" i="13"/>
  <c r="AF422" i="13"/>
  <c r="AF481" i="13"/>
  <c r="AF510" i="13"/>
  <c r="AF454" i="13"/>
  <c r="AF443" i="13"/>
  <c r="AF237" i="13"/>
  <c r="AF122" i="13"/>
  <c r="AF156" i="13"/>
  <c r="AF305" i="13"/>
  <c r="AF367" i="13"/>
  <c r="AF165" i="13"/>
  <c r="AF413" i="13"/>
  <c r="AF470" i="13"/>
  <c r="I39" i="31"/>
  <c r="I38" i="31"/>
  <c r="AF519" i="13"/>
  <c r="I40" i="31"/>
  <c r="AF482" i="13"/>
  <c r="AF488" i="13"/>
  <c r="AF245" i="13"/>
  <c r="AF161" i="13"/>
  <c r="AF352" i="13"/>
  <c r="AF149" i="13"/>
  <c r="AF406" i="13"/>
  <c r="AF505" i="13"/>
  <c r="AF522" i="13"/>
  <c r="AF464" i="13"/>
  <c r="AF391" i="13"/>
  <c r="AF453" i="13"/>
  <c r="AF418" i="13"/>
  <c r="AF388" i="13"/>
  <c r="AF446" i="13"/>
  <c r="AF473" i="13"/>
  <c r="I41" i="31"/>
  <c r="AF500" i="13"/>
  <c r="AF142" i="13"/>
  <c r="AF278" i="13"/>
  <c r="AF394" i="13"/>
  <c r="AF389" i="13"/>
  <c r="AF47" i="13"/>
  <c r="AF299" i="13"/>
  <c r="AF544" i="13"/>
  <c r="AF147" i="13"/>
  <c r="AF64" i="13"/>
  <c r="AF6" i="13"/>
  <c r="AF60" i="13"/>
  <c r="AF387" i="13"/>
  <c r="AF456" i="13"/>
  <c r="AF308" i="13"/>
  <c r="AF307" i="13"/>
  <c r="AF405" i="13"/>
  <c r="AF430" i="13"/>
  <c r="AF306" i="13"/>
  <c r="AF164" i="13"/>
  <c r="AF346" i="13"/>
  <c r="AF67" i="13"/>
  <c r="AF319" i="13"/>
  <c r="AF298" i="13"/>
  <c r="AF53" i="13"/>
  <c r="AF495" i="13"/>
  <c r="AF69" i="13"/>
  <c r="AF478" i="13"/>
  <c r="AF438" i="13"/>
  <c r="AF243" i="13"/>
  <c r="AF231" i="13"/>
  <c r="AF467" i="13"/>
  <c r="AF320" i="13"/>
  <c r="AF113" i="13"/>
  <c r="AF130" i="13"/>
  <c r="AF393" i="13"/>
  <c r="AF221" i="13"/>
  <c r="AF350" i="13"/>
  <c r="AF171" i="13"/>
  <c r="AF386" i="13"/>
  <c r="AF118" i="13"/>
  <c r="AF335" i="13"/>
  <c r="AF345" i="13"/>
  <c r="K35" i="31"/>
  <c r="AF44" i="13"/>
  <c r="AF137" i="13"/>
  <c r="AF415" i="13"/>
  <c r="AF416" i="13"/>
  <c r="AF66" i="13"/>
  <c r="AF486" i="13"/>
  <c r="AF303" i="13"/>
  <c r="AF338" i="13"/>
  <c r="AF110" i="13"/>
  <c r="AF101" i="13"/>
  <c r="AF279" i="13"/>
  <c r="AF282" i="13"/>
  <c r="AF276" i="13"/>
  <c r="AF541" i="13"/>
  <c r="AF516" i="13"/>
  <c r="AF168" i="13"/>
  <c r="AF540" i="13"/>
  <c r="AF348" i="13"/>
  <c r="AF112" i="13"/>
  <c r="AF148" i="13"/>
  <c r="G15" i="32"/>
  <c r="H15" i="32" s="1"/>
  <c r="AF37" i="13"/>
  <c r="AF233" i="13"/>
  <c r="AF373" i="13"/>
  <c r="AF412" i="13"/>
  <c r="AF419" i="13"/>
  <c r="AF327" i="13"/>
  <c r="AF127" i="13"/>
  <c r="AF324" i="13"/>
  <c r="AF328" i="13"/>
  <c r="AF536" i="13"/>
  <c r="AF499" i="13"/>
  <c r="AF274" i="13"/>
  <c r="AF440" i="13"/>
  <c r="AF457" i="13"/>
  <c r="AF311" i="13"/>
  <c r="AF63" i="13"/>
  <c r="AF287" i="13"/>
  <c r="AF216" i="13"/>
  <c r="AF342" i="13"/>
  <c r="AF41" i="13"/>
  <c r="AF425" i="13"/>
  <c r="AF432" i="13"/>
  <c r="AF358" i="13"/>
  <c r="AF232" i="13"/>
  <c r="AF455" i="13"/>
  <c r="AF551" i="13"/>
  <c r="AF312" i="13"/>
  <c r="AF249" i="13"/>
  <c r="AF48" i="13"/>
  <c r="AF458" i="13"/>
  <c r="AF163" i="13"/>
  <c r="AF61" i="13"/>
  <c r="AF420" i="13"/>
  <c r="AF317" i="13"/>
  <c r="AF370" i="13"/>
  <c r="AF354" i="13"/>
  <c r="AF403" i="13"/>
  <c r="AF372" i="13"/>
  <c r="AF547" i="13"/>
  <c r="AF121" i="13"/>
  <c r="AF39" i="13"/>
  <c r="AF503" i="13"/>
  <c r="AF34" i="13"/>
  <c r="AF223" i="13"/>
  <c r="AF331" i="13"/>
  <c r="AF318" i="13"/>
  <c r="AF136" i="13"/>
  <c r="AF431" i="13"/>
  <c r="O29" i="31"/>
  <c r="M33" i="31"/>
  <c r="E38" i="31"/>
  <c r="E24" i="19" l="1"/>
  <c r="F24" i="19" s="1"/>
  <c r="E22" i="19"/>
  <c r="F22" i="19" s="1"/>
  <c r="E18" i="19"/>
  <c r="F18" i="19" s="1"/>
  <c r="E21" i="19"/>
  <c r="F21" i="19" s="1"/>
  <c r="E19" i="19"/>
  <c r="F19" i="19" s="1"/>
  <c r="E11" i="19"/>
  <c r="F11" i="19" s="1"/>
  <c r="E20" i="19"/>
  <c r="F20" i="19" s="1"/>
  <c r="E17" i="19"/>
  <c r="F17" i="19" s="1"/>
  <c r="E16" i="19"/>
  <c r="F16" i="19" s="1"/>
  <c r="E15" i="19"/>
  <c r="F15" i="19" s="1"/>
  <c r="E23" i="19"/>
  <c r="F23" i="19" s="1"/>
  <c r="E14" i="19"/>
  <c r="F14" i="19" s="1"/>
  <c r="E13" i="19"/>
  <c r="F13" i="19" s="1"/>
  <c r="E12" i="19"/>
  <c r="F12" i="19" s="1"/>
  <c r="E10" i="19"/>
  <c r="F10" i="19" s="1"/>
  <c r="E9" i="19"/>
  <c r="F9" i="19" s="1"/>
  <c r="E8" i="19"/>
  <c r="F8" i="19" s="1"/>
  <c r="M35" i="31"/>
  <c r="M37" i="31" s="1"/>
  <c r="K37" i="31"/>
  <c r="F18" i="38" s="1"/>
  <c r="Q29" i="31"/>
  <c r="Q33" i="31" s="1"/>
  <c r="O33" i="31"/>
  <c r="G18" i="38" l="1"/>
  <c r="F10" i="22"/>
  <c r="G10" i="22" s="1"/>
  <c r="F15" i="38"/>
  <c r="G15" i="38" s="1"/>
  <c r="F23" i="24"/>
  <c r="G23" i="24" s="1"/>
  <c r="F11" i="22"/>
  <c r="G11" i="22" s="1"/>
  <c r="F14" i="24"/>
  <c r="G14" i="24" s="1"/>
  <c r="F15" i="24"/>
  <c r="G15" i="24" s="1"/>
  <c r="F14" i="22"/>
  <c r="G14" i="22" s="1"/>
  <c r="F17" i="22"/>
  <c r="G17" i="22" s="1"/>
  <c r="F9" i="32"/>
  <c r="G9" i="32" s="1"/>
  <c r="F9" i="38"/>
  <c r="G9" i="38" s="1"/>
  <c r="F10" i="32"/>
  <c r="G10" i="32" s="1"/>
  <c r="F10" i="38"/>
  <c r="G10" i="38" s="1"/>
  <c r="F11" i="32"/>
  <c r="G11" i="32" s="1"/>
  <c r="F11" i="38"/>
  <c r="G11" i="38" s="1"/>
  <c r="F12" i="38"/>
  <c r="G12" i="38" s="1"/>
  <c r="F13" i="38"/>
  <c r="G13" i="38" s="1"/>
  <c r="F14" i="38"/>
  <c r="G14" i="38"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Q35" i="31"/>
  <c r="G25" i="22"/>
  <c r="D25" i="22"/>
  <c r="E5" i="13"/>
  <c r="E6" i="13"/>
  <c r="E7"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72" i="13"/>
  <c r="E216" i="13"/>
  <c r="E217" i="13"/>
  <c r="E218" i="13"/>
  <c r="E219" i="13"/>
  <c r="E220" i="13"/>
  <c r="E221" i="13"/>
  <c r="E222" i="13"/>
  <c r="E223" i="13"/>
  <c r="E224" i="13"/>
  <c r="E251" i="13"/>
  <c r="E272" i="13"/>
  <c r="E273" i="13"/>
  <c r="E274" i="13"/>
  <c r="E275" i="13"/>
  <c r="E276" i="13"/>
  <c r="E277" i="13"/>
  <c r="E278" i="13"/>
  <c r="E279" i="13"/>
  <c r="E280" i="13"/>
  <c r="E281" i="13"/>
  <c r="E299" i="13"/>
  <c r="E300" i="13"/>
  <c r="E301" i="13"/>
  <c r="E302" i="13"/>
  <c r="E303" i="13"/>
  <c r="E304" i="13"/>
  <c r="E305" i="13"/>
  <c r="E306" i="13"/>
  <c r="E307" i="13"/>
  <c r="E308" i="13"/>
  <c r="E309" i="13"/>
  <c r="E310" i="13"/>
  <c r="E311" i="13"/>
  <c r="E312" i="13"/>
  <c r="E328" i="13"/>
  <c r="E329" i="13"/>
  <c r="E330" i="13"/>
  <c r="E331" i="13"/>
  <c r="E332" i="13"/>
  <c r="E333" i="13"/>
  <c r="E334" i="13"/>
  <c r="E541" i="13"/>
  <c r="E542" i="13"/>
  <c r="E543" i="13"/>
  <c r="E544" i="13"/>
  <c r="E545" i="13"/>
  <c r="E546" i="13"/>
  <c r="E547" i="13"/>
  <c r="E548" i="13"/>
  <c r="E549" i="13"/>
  <c r="E550" i="13"/>
  <c r="E551" i="13"/>
  <c r="E552" i="13"/>
  <c r="E553" i="13"/>
  <c r="E554" i="13"/>
  <c r="E555" i="13"/>
  <c r="E556" i="13"/>
  <c r="E557" i="13"/>
  <c r="E558" i="13"/>
  <c r="D5" i="13"/>
  <c r="D6" i="13"/>
  <c r="D7"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D159" i="13"/>
  <c r="D160" i="13"/>
  <c r="D161" i="13"/>
  <c r="D162" i="13"/>
  <c r="D163" i="13"/>
  <c r="D172" i="13"/>
  <c r="D216" i="13"/>
  <c r="D217" i="13"/>
  <c r="D218" i="13"/>
  <c r="D219" i="13"/>
  <c r="D220" i="13"/>
  <c r="D221" i="13"/>
  <c r="D222" i="13"/>
  <c r="D223" i="13"/>
  <c r="D224" i="13"/>
  <c r="D251" i="13"/>
  <c r="D272" i="13"/>
  <c r="D273" i="13"/>
  <c r="D274" i="13"/>
  <c r="D275" i="13"/>
  <c r="D276" i="13"/>
  <c r="D277" i="13"/>
  <c r="D278" i="13"/>
  <c r="D279" i="13"/>
  <c r="D280" i="13"/>
  <c r="D281" i="13"/>
  <c r="D299" i="13"/>
  <c r="D300" i="13"/>
  <c r="D301" i="13"/>
  <c r="D302" i="13"/>
  <c r="D303" i="13"/>
  <c r="D304" i="13"/>
  <c r="D305" i="13"/>
  <c r="D306" i="13"/>
  <c r="D307" i="13"/>
  <c r="D308" i="13"/>
  <c r="D309" i="13"/>
  <c r="D310" i="13"/>
  <c r="D311" i="13"/>
  <c r="D312" i="13"/>
  <c r="D328" i="13"/>
  <c r="D329" i="13"/>
  <c r="D330" i="13"/>
  <c r="D331" i="13"/>
  <c r="D332" i="13"/>
  <c r="D333" i="13"/>
  <c r="D334" i="13"/>
  <c r="D541" i="13"/>
  <c r="D542" i="13"/>
  <c r="D543" i="13"/>
  <c r="D544" i="13"/>
  <c r="D545" i="13"/>
  <c r="D546" i="13"/>
  <c r="D547" i="13"/>
  <c r="D548" i="13"/>
  <c r="D549" i="13"/>
  <c r="D550" i="13"/>
  <c r="D551" i="13"/>
  <c r="D552" i="13"/>
  <c r="D553" i="13"/>
  <c r="D554" i="13"/>
  <c r="D555" i="13"/>
  <c r="D556" i="13"/>
  <c r="D557" i="13"/>
  <c r="D558" i="13"/>
  <c r="C5" i="13"/>
  <c r="C6" i="13"/>
  <c r="C7"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C160" i="13"/>
  <c r="C161" i="13"/>
  <c r="C162" i="13"/>
  <c r="C163" i="13"/>
  <c r="C172" i="13"/>
  <c r="C216" i="13"/>
  <c r="C217" i="13"/>
  <c r="C218" i="13"/>
  <c r="C219" i="13"/>
  <c r="C220" i="13"/>
  <c r="C221" i="13"/>
  <c r="C222" i="13"/>
  <c r="C223" i="13"/>
  <c r="C224" i="13"/>
  <c r="C251" i="13"/>
  <c r="C272" i="13"/>
  <c r="C273" i="13"/>
  <c r="C274" i="13"/>
  <c r="C275" i="13"/>
  <c r="C276" i="13"/>
  <c r="C277" i="13"/>
  <c r="C278" i="13"/>
  <c r="C279" i="13"/>
  <c r="C280" i="13"/>
  <c r="C281" i="13"/>
  <c r="C299" i="13"/>
  <c r="C300" i="13"/>
  <c r="C301" i="13"/>
  <c r="C302" i="13"/>
  <c r="C303" i="13"/>
  <c r="C304" i="13"/>
  <c r="C305" i="13"/>
  <c r="C306" i="13"/>
  <c r="C307" i="13"/>
  <c r="C308" i="13"/>
  <c r="C309" i="13"/>
  <c r="C310" i="13"/>
  <c r="C311" i="13"/>
  <c r="C312" i="13"/>
  <c r="C328" i="13"/>
  <c r="C329" i="13"/>
  <c r="C330" i="13"/>
  <c r="C331" i="13"/>
  <c r="C332" i="13"/>
  <c r="C333" i="13"/>
  <c r="C334" i="13"/>
  <c r="C541" i="13"/>
  <c r="C542" i="13"/>
  <c r="C543" i="13"/>
  <c r="C544" i="13"/>
  <c r="C545" i="13"/>
  <c r="C546" i="13"/>
  <c r="C547" i="13"/>
  <c r="C548" i="13"/>
  <c r="C549" i="13"/>
  <c r="C550" i="13"/>
  <c r="C551" i="13"/>
  <c r="C552" i="13"/>
  <c r="C553" i="13"/>
  <c r="C554" i="13"/>
  <c r="C555" i="13"/>
  <c r="C556" i="13"/>
  <c r="C557" i="13"/>
  <c r="C558" i="13"/>
  <c r="D26" i="22"/>
  <c r="D24" i="22"/>
  <c r="D23" i="22"/>
  <c r="D22" i="22"/>
  <c r="H10" i="22" l="1"/>
  <c r="H18" i="38"/>
  <c r="H15" i="38"/>
  <c r="H22" i="24"/>
  <c r="O39" i="31"/>
  <c r="H17" i="24"/>
  <c r="H12" i="22"/>
  <c r="H10" i="24"/>
  <c r="H25" i="24"/>
  <c r="H26" i="24"/>
  <c r="H24" i="24"/>
  <c r="H19" i="22"/>
  <c r="H13" i="24"/>
  <c r="H18" i="24"/>
  <c r="H32" i="24"/>
  <c r="H33" i="24"/>
  <c r="H30" i="24"/>
  <c r="H15" i="22"/>
  <c r="H12" i="24"/>
  <c r="Q37" i="31"/>
  <c r="H13" i="22"/>
  <c r="H11" i="24"/>
  <c r="H15" i="24"/>
  <c r="I15" i="24" s="1"/>
  <c r="O38" i="31"/>
  <c r="Q38" i="31" s="1"/>
  <c r="H14" i="24"/>
  <c r="H20" i="24"/>
  <c r="H19" i="24"/>
  <c r="H21" i="24"/>
  <c r="H16" i="24"/>
  <c r="H34" i="24"/>
  <c r="H31" i="24"/>
  <c r="H36" i="24"/>
  <c r="H29" i="24"/>
  <c r="H17" i="22"/>
  <c r="H9" i="32"/>
  <c r="I9" i="32" s="1"/>
  <c r="H9" i="38"/>
  <c r="H10" i="32"/>
  <c r="H10" i="38"/>
  <c r="H11" i="32"/>
  <c r="H11" i="38"/>
  <c r="H12" i="38"/>
  <c r="H13" i="38"/>
  <c r="H14" i="38"/>
  <c r="H16" i="38"/>
  <c r="H17" i="38"/>
  <c r="H18" i="22"/>
  <c r="O41" i="31"/>
  <c r="Q41" i="31" s="1"/>
  <c r="H9" i="24"/>
  <c r="H16" i="22"/>
  <c r="H14" i="22"/>
  <c r="O40" i="31"/>
  <c r="H27" i="24"/>
  <c r="H35" i="24"/>
  <c r="H28" i="24"/>
  <c r="H11" i="22"/>
  <c r="H9" i="22"/>
  <c r="H23" i="24"/>
  <c r="H25" i="22"/>
  <c r="I19" i="22" l="1"/>
  <c r="I17" i="22"/>
  <c r="I29" i="24"/>
  <c r="I13" i="22"/>
  <c r="I9" i="24"/>
  <c r="I14" i="24"/>
  <c r="I11" i="24"/>
  <c r="I10" i="22"/>
  <c r="I13" i="38"/>
  <c r="I12" i="38"/>
  <c r="I27" i="24"/>
  <c r="Q40" i="31"/>
  <c r="I14" i="22"/>
  <c r="I16" i="22"/>
  <c r="I18" i="38"/>
  <c r="I24" i="24"/>
  <c r="I36" i="24"/>
  <c r="I11" i="22"/>
  <c r="I11" i="38"/>
  <c r="I31" i="24"/>
  <c r="I11" i="32"/>
  <c r="I18" i="22"/>
  <c r="I17" i="38"/>
  <c r="I10" i="24"/>
  <c r="I12" i="22"/>
  <c r="I34" i="24"/>
  <c r="I9" i="22"/>
  <c r="I15" i="22"/>
  <c r="I10" i="38"/>
  <c r="I16" i="24"/>
  <c r="I30" i="24"/>
  <c r="I28" i="24"/>
  <c r="I10" i="32"/>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558" i="13" l="1"/>
  <c r="BC557" i="13"/>
  <c r="BC556" i="13"/>
  <c r="BC555" i="13"/>
  <c r="BC554" i="13"/>
  <c r="BC553" i="13"/>
  <c r="BC552" i="13"/>
  <c r="BC551" i="13"/>
  <c r="BC550" i="13"/>
  <c r="BC549" i="13"/>
  <c r="BC548" i="13"/>
  <c r="BC547" i="13"/>
  <c r="BC546" i="13"/>
  <c r="BC545" i="13"/>
  <c r="BC544" i="13"/>
  <c r="BC543" i="13"/>
  <c r="BC542" i="13"/>
  <c r="BC541" i="13"/>
  <c r="BC334" i="13"/>
  <c r="BC333" i="13"/>
  <c r="BC332" i="13"/>
  <c r="BC331" i="13"/>
  <c r="BC330" i="13"/>
  <c r="BC329" i="13"/>
  <c r="BC328" i="13"/>
  <c r="BC312" i="13"/>
  <c r="BC311" i="13"/>
  <c r="BC310" i="13"/>
  <c r="BC309" i="13"/>
  <c r="BC308" i="13"/>
  <c r="BC307" i="13"/>
  <c r="BC306" i="13"/>
  <c r="BC305" i="13"/>
  <c r="BC304" i="13"/>
  <c r="BC303" i="13"/>
  <c r="BC302" i="13"/>
  <c r="BC301" i="13"/>
  <c r="BC300" i="13"/>
  <c r="BC299" i="13"/>
  <c r="BC281" i="13"/>
  <c r="BC280" i="13"/>
  <c r="BC279" i="13"/>
  <c r="BC278" i="13"/>
  <c r="BC277" i="13"/>
  <c r="BC276" i="13"/>
  <c r="BC275" i="13"/>
  <c r="BC274" i="13"/>
  <c r="BC273" i="13"/>
  <c r="BC272" i="13"/>
  <c r="BC251" i="13"/>
  <c r="BC224" i="13"/>
  <c r="BC223" i="13"/>
  <c r="BC222" i="13"/>
  <c r="BC221" i="13"/>
  <c r="BC220" i="13"/>
  <c r="BC219" i="13"/>
  <c r="BC218" i="13"/>
  <c r="BC217" i="13"/>
  <c r="BC216" i="13"/>
  <c r="BC172" i="13"/>
  <c r="BC163" i="13"/>
  <c r="BC162" i="13"/>
  <c r="BC161" i="13"/>
  <c r="BC160" i="13"/>
  <c r="BC159" i="13"/>
  <c r="BC158" i="13"/>
  <c r="BC157" i="13"/>
  <c r="BC156" i="13"/>
  <c r="BC155" i="13"/>
  <c r="BC154" i="13"/>
  <c r="BC153" i="13"/>
  <c r="BC152" i="13"/>
  <c r="BC151" i="13"/>
  <c r="BC150" i="13"/>
  <c r="BC149" i="13"/>
  <c r="BC148" i="13"/>
  <c r="BC147" i="13"/>
  <c r="BC146" i="13"/>
  <c r="BC145" i="13"/>
  <c r="BC144" i="13"/>
  <c r="BC143" i="13"/>
  <c r="BC142" i="13"/>
  <c r="BC141" i="13"/>
  <c r="BC140" i="13"/>
  <c r="BC139" i="13"/>
  <c r="BC138" i="13"/>
  <c r="BC137" i="13"/>
  <c r="BC136" i="13"/>
  <c r="BC135" i="13"/>
  <c r="BC134" i="13"/>
  <c r="BC133" i="13"/>
  <c r="BC132" i="13"/>
  <c r="BC131" i="13"/>
  <c r="BC130" i="13"/>
  <c r="BC129" i="13"/>
  <c r="BC128" i="13"/>
  <c r="BC127" i="13"/>
  <c r="BC126" i="13"/>
  <c r="BC125" i="13"/>
  <c r="BC124" i="13"/>
  <c r="BC123" i="13"/>
  <c r="BC122" i="13"/>
  <c r="BC121" i="13"/>
  <c r="BC120"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1" i="13"/>
  <c r="BC30" i="13"/>
  <c r="BC29" i="13"/>
  <c r="BC28" i="13"/>
  <c r="BC27" i="13"/>
  <c r="BC7" i="13"/>
  <c r="BC6" i="13"/>
  <c r="BC5" i="13"/>
  <c r="AH558" i="13"/>
  <c r="AH557" i="13"/>
  <c r="AH556" i="13"/>
  <c r="AH555" i="13"/>
  <c r="AH554" i="13"/>
  <c r="AH553" i="13"/>
  <c r="AH552" i="13"/>
  <c r="AH551" i="13"/>
  <c r="AH550" i="13"/>
  <c r="AH549" i="13"/>
  <c r="AH548" i="13"/>
  <c r="AH547" i="13"/>
  <c r="AH546" i="13"/>
  <c r="AH545" i="13"/>
  <c r="AH544" i="13"/>
  <c r="AH543" i="13"/>
  <c r="AH542" i="13"/>
  <c r="AH541" i="13"/>
  <c r="AH334" i="13"/>
  <c r="AH333" i="13"/>
  <c r="AH332" i="13"/>
  <c r="AH331" i="13"/>
  <c r="AH330" i="13"/>
  <c r="AH329" i="13"/>
  <c r="AH328" i="13"/>
  <c r="AH312" i="13"/>
  <c r="AH311" i="13"/>
  <c r="AH310" i="13"/>
  <c r="AH309" i="13"/>
  <c r="AH308" i="13"/>
  <c r="AH307" i="13"/>
  <c r="AH306" i="13"/>
  <c r="AH305" i="13"/>
  <c r="AH304" i="13"/>
  <c r="AH303" i="13"/>
  <c r="AH302" i="13"/>
  <c r="AH301" i="13"/>
  <c r="AH300" i="13"/>
  <c r="AH299" i="13"/>
  <c r="AH281" i="13"/>
  <c r="AH280" i="13"/>
  <c r="AH279" i="13"/>
  <c r="AH278" i="13"/>
  <c r="AH277" i="13"/>
  <c r="AH276" i="13"/>
  <c r="AH275" i="13"/>
  <c r="AH274" i="13"/>
  <c r="AH273" i="13"/>
  <c r="AH272" i="13"/>
  <c r="AH251" i="13"/>
  <c r="AH224" i="13"/>
  <c r="AH223" i="13"/>
  <c r="AH222" i="13"/>
  <c r="AH221" i="13"/>
  <c r="AH220" i="13"/>
  <c r="AH219" i="13"/>
  <c r="AH218" i="13"/>
  <c r="AH217" i="13"/>
  <c r="AH216" i="13"/>
  <c r="AH172" i="13"/>
  <c r="AH163" i="13"/>
  <c r="AH162" i="13"/>
  <c r="AH161" i="13"/>
  <c r="AH160" i="13"/>
  <c r="AH159" i="13"/>
  <c r="AH158" i="13"/>
  <c r="AH157" i="13"/>
  <c r="AH156" i="13"/>
  <c r="AH155" i="13"/>
  <c r="AH154" i="13"/>
  <c r="AH153" i="13"/>
  <c r="AH152" i="13"/>
  <c r="AH151" i="13"/>
  <c r="AH150" i="13"/>
  <c r="AH149" i="13"/>
  <c r="AH148" i="13"/>
  <c r="AH147" i="13"/>
  <c r="AH146" i="13"/>
  <c r="AH145" i="13"/>
  <c r="AH144" i="13"/>
  <c r="AH143" i="13"/>
  <c r="AH142" i="13"/>
  <c r="AH141" i="13"/>
  <c r="AH140" i="13"/>
  <c r="AH139" i="13"/>
  <c r="AH138" i="13"/>
  <c r="AH137" i="13"/>
  <c r="AH136" i="13"/>
  <c r="AH135" i="13"/>
  <c r="AH134" i="13"/>
  <c r="AH133" i="13"/>
  <c r="AH132" i="13"/>
  <c r="AH131" i="13"/>
  <c r="AH130" i="13"/>
  <c r="AH129" i="13"/>
  <c r="AH128" i="13"/>
  <c r="AH127" i="13"/>
  <c r="AH126" i="13"/>
  <c r="AH125" i="13"/>
  <c r="AH124" i="13"/>
  <c r="AH123" i="13"/>
  <c r="AH122" i="13"/>
  <c r="AH121" i="13"/>
  <c r="AH120"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1" i="13"/>
  <c r="AH30" i="13"/>
  <c r="AH29" i="13"/>
  <c r="AH28" i="13"/>
  <c r="AH27" i="13"/>
  <c r="AH7" i="13"/>
  <c r="AH6" i="13"/>
  <c r="AH5" i="13"/>
  <c r="AI5" i="13" l="1"/>
  <c r="AP5" i="13"/>
  <c r="AX5" i="13"/>
  <c r="AQ5" i="13"/>
  <c r="BA5" i="13"/>
  <c r="AZ5" i="13"/>
  <c r="AY5" i="13"/>
  <c r="AR5" i="13"/>
  <c r="AK5" i="13"/>
  <c r="AU5" i="13"/>
  <c r="AT5" i="13"/>
  <c r="AS5" i="13"/>
  <c r="AL5" i="13"/>
  <c r="AV5" i="13"/>
  <c r="AW5" i="13"/>
  <c r="AO5" i="13"/>
  <c r="AJ5" i="13"/>
  <c r="AN5" i="13"/>
  <c r="AM5" i="13"/>
  <c r="AL38" i="13"/>
  <c r="BA38" i="13"/>
  <c r="AX38" i="13"/>
  <c r="AR38" i="13"/>
  <c r="AK38" i="13"/>
  <c r="AU38" i="13"/>
  <c r="AT38" i="13"/>
  <c r="AM38" i="13"/>
  <c r="AV38" i="13"/>
  <c r="AO38" i="13"/>
  <c r="AN38" i="13"/>
  <c r="AW38" i="13"/>
  <c r="AI38" i="13"/>
  <c r="AQ38" i="13"/>
  <c r="AY38" i="13"/>
  <c r="AP38" i="13"/>
  <c r="AS38" i="13"/>
  <c r="AJ38" i="13"/>
  <c r="AZ38" i="13"/>
  <c r="AS42" i="13"/>
  <c r="AL42" i="13"/>
  <c r="AZ42" i="13"/>
  <c r="AN42" i="13"/>
  <c r="AI42" i="13"/>
  <c r="AM42" i="13"/>
  <c r="AW42" i="13"/>
  <c r="AV42" i="13"/>
  <c r="BA42" i="13"/>
  <c r="AT42" i="13"/>
  <c r="AR42" i="13"/>
  <c r="AJ42" i="13"/>
  <c r="AQ42" i="13"/>
  <c r="AU42" i="13"/>
  <c r="AX42" i="13"/>
  <c r="AK42" i="13"/>
  <c r="AY42" i="13"/>
  <c r="AP42" i="13"/>
  <c r="AO42" i="13"/>
  <c r="AI46" i="13"/>
  <c r="AN46" i="13"/>
  <c r="AV46" i="13"/>
  <c r="AW46" i="13"/>
  <c r="BA46" i="13"/>
  <c r="AP46" i="13"/>
  <c r="AY46" i="13"/>
  <c r="AX46" i="13"/>
  <c r="AQ46" i="13"/>
  <c r="AU46" i="13"/>
  <c r="AS46" i="13"/>
  <c r="AK46" i="13"/>
  <c r="AO46" i="13"/>
  <c r="AM46" i="13"/>
  <c r="AJ46" i="13"/>
  <c r="AT46" i="13"/>
  <c r="AR46" i="13"/>
  <c r="AZ46" i="13"/>
  <c r="AL46" i="13"/>
  <c r="AQ50" i="13"/>
  <c r="AP50" i="13"/>
  <c r="AU50" i="13"/>
  <c r="AZ50" i="13"/>
  <c r="AS50" i="13"/>
  <c r="AK50" i="13"/>
  <c r="AL50" i="13"/>
  <c r="AX50" i="13"/>
  <c r="AM50" i="13"/>
  <c r="AR50" i="13"/>
  <c r="BA50" i="13"/>
  <c r="AT50" i="13"/>
  <c r="AV50" i="13"/>
  <c r="AN50" i="13"/>
  <c r="AJ50" i="13"/>
  <c r="AO50" i="13"/>
  <c r="AI50" i="13"/>
  <c r="AW50" i="13"/>
  <c r="AY50" i="13"/>
  <c r="AN54" i="13"/>
  <c r="AW54" i="13"/>
  <c r="AV54" i="13"/>
  <c r="AU54" i="13"/>
  <c r="AY54" i="13"/>
  <c r="AX54" i="13"/>
  <c r="AQ54" i="13"/>
  <c r="AL54" i="13"/>
  <c r="AJ54" i="13"/>
  <c r="AT54" i="13"/>
  <c r="AS54" i="13"/>
  <c r="AK54" i="13"/>
  <c r="BA54" i="13"/>
  <c r="AP54" i="13"/>
  <c r="AO54" i="13"/>
  <c r="AM54" i="13"/>
  <c r="AR54" i="13"/>
  <c r="AZ54" i="13"/>
  <c r="AI54" i="13"/>
  <c r="AU58" i="13"/>
  <c r="AZ58" i="13"/>
  <c r="AS58" i="13"/>
  <c r="AR58" i="13"/>
  <c r="AQ58" i="13"/>
  <c r="AO58" i="13"/>
  <c r="AT58" i="13"/>
  <c r="AM58" i="13"/>
  <c r="AL58" i="13"/>
  <c r="AK58" i="13"/>
  <c r="AI58" i="13"/>
  <c r="AJ58" i="13"/>
  <c r="AV58" i="13"/>
  <c r="AX58" i="13"/>
  <c r="BA58" i="13"/>
  <c r="AW58" i="13"/>
  <c r="AN58" i="13"/>
  <c r="AY58" i="13"/>
  <c r="AP58" i="13"/>
  <c r="AV62" i="13"/>
  <c r="BA62" i="13"/>
  <c r="AQ62" i="13"/>
  <c r="AL62" i="13"/>
  <c r="AX62" i="13"/>
  <c r="AR62" i="13"/>
  <c r="AK62" i="13"/>
  <c r="AU62" i="13"/>
  <c r="AZ62" i="13"/>
  <c r="AY62" i="13"/>
  <c r="AO62" i="13"/>
  <c r="AS62" i="13"/>
  <c r="AI62" i="13"/>
  <c r="AW62" i="13"/>
  <c r="AT62" i="13"/>
  <c r="AP62" i="13"/>
  <c r="AN62" i="13"/>
  <c r="AJ62" i="13"/>
  <c r="AM62" i="13"/>
  <c r="AS66" i="13"/>
  <c r="AR66" i="13"/>
  <c r="AK66" i="13"/>
  <c r="AJ66" i="13"/>
  <c r="AI66" i="13"/>
  <c r="AM66" i="13"/>
  <c r="AW66" i="13"/>
  <c r="AP66" i="13"/>
  <c r="AT66" i="13"/>
  <c r="AZ66" i="13"/>
  <c r="AQ66" i="13"/>
  <c r="BA66" i="13"/>
  <c r="AL66" i="13"/>
  <c r="AO66" i="13"/>
  <c r="AN66" i="13"/>
  <c r="AX66" i="13"/>
  <c r="AV66" i="13"/>
  <c r="AU66" i="13"/>
  <c r="AY66" i="13"/>
  <c r="AI70" i="13"/>
  <c r="AN70" i="13"/>
  <c r="AM70" i="13"/>
  <c r="AW70" i="13"/>
  <c r="BA70" i="13"/>
  <c r="AP70" i="13"/>
  <c r="AV70" i="13"/>
  <c r="AX70" i="13"/>
  <c r="AQ70" i="13"/>
  <c r="AZ70" i="13"/>
  <c r="AR70" i="13"/>
  <c r="AT70" i="13"/>
  <c r="AL70" i="13"/>
  <c r="AS70" i="13"/>
  <c r="AU70" i="13"/>
  <c r="AK70" i="13"/>
  <c r="AO70" i="13"/>
  <c r="AY70" i="13"/>
  <c r="AJ70" i="13"/>
  <c r="AQ101" i="13"/>
  <c r="AP101" i="13"/>
  <c r="AU101" i="13"/>
  <c r="AZ101" i="13"/>
  <c r="AS101" i="13"/>
  <c r="AK101" i="13"/>
  <c r="AJ101" i="13"/>
  <c r="AO101" i="13"/>
  <c r="AT101" i="13"/>
  <c r="AM101" i="13"/>
  <c r="AX101" i="13"/>
  <c r="AI101" i="13"/>
  <c r="AV101" i="13"/>
  <c r="AN101" i="13"/>
  <c r="AL101" i="13"/>
  <c r="AY101" i="13"/>
  <c r="BA101" i="13"/>
  <c r="AR101" i="13"/>
  <c r="AW101" i="13"/>
  <c r="AX105" i="13"/>
  <c r="AW105" i="13"/>
  <c r="AP105" i="13"/>
  <c r="AU105" i="13"/>
  <c r="AS105" i="13"/>
  <c r="AZ105" i="13"/>
  <c r="AJ105" i="13"/>
  <c r="AI105" i="13"/>
  <c r="AM105" i="13"/>
  <c r="AQ105" i="13"/>
  <c r="AT105" i="13"/>
  <c r="AN105" i="13"/>
  <c r="AY105" i="13"/>
  <c r="AV105" i="13"/>
  <c r="AR105" i="13"/>
  <c r="BA105" i="13"/>
  <c r="AK105" i="13"/>
  <c r="AO105" i="13"/>
  <c r="AL105" i="13"/>
  <c r="AU109" i="13"/>
  <c r="AZ109" i="13"/>
  <c r="AY109" i="13"/>
  <c r="AX109" i="13"/>
  <c r="AQ109" i="13"/>
  <c r="AO109" i="13"/>
  <c r="AT109" i="13"/>
  <c r="AS109" i="13"/>
  <c r="AR109" i="13"/>
  <c r="AK109" i="13"/>
  <c r="AN109" i="13"/>
  <c r="AL109" i="13"/>
  <c r="BA109" i="13"/>
  <c r="AV109" i="13"/>
  <c r="AW109" i="13"/>
  <c r="AJ109" i="13"/>
  <c r="AM109" i="13"/>
  <c r="AP109" i="13"/>
  <c r="AI109" i="13"/>
  <c r="AR113" i="13"/>
  <c r="BA113" i="13"/>
  <c r="AX113" i="13"/>
  <c r="AY113" i="13"/>
  <c r="AW113" i="13"/>
  <c r="AV113" i="13"/>
  <c r="AU113" i="13"/>
  <c r="AZ113" i="13"/>
  <c r="AS113" i="13"/>
  <c r="AP113" i="13"/>
  <c r="AT113" i="13"/>
  <c r="AO113" i="13"/>
  <c r="AL113" i="13"/>
  <c r="AQ113" i="13"/>
  <c r="AI113" i="13"/>
  <c r="AK113" i="13"/>
  <c r="AN113" i="13"/>
  <c r="AM113" i="13"/>
  <c r="AJ113" i="13"/>
  <c r="AS117" i="13"/>
  <c r="AL117" i="13"/>
  <c r="AN117" i="13"/>
  <c r="AZ117" i="13"/>
  <c r="AI117" i="13"/>
  <c r="AY117" i="13"/>
  <c r="AW117" i="13"/>
  <c r="AP117" i="13"/>
  <c r="AO117" i="13"/>
  <c r="AM117" i="13"/>
  <c r="AQ117" i="13"/>
  <c r="AJ117" i="13"/>
  <c r="AT117" i="13"/>
  <c r="AR117" i="13"/>
  <c r="AU117" i="13"/>
  <c r="AK117" i="13"/>
  <c r="BA117" i="13"/>
  <c r="AX117" i="13"/>
  <c r="AV117" i="13"/>
  <c r="AI121" i="13"/>
  <c r="AY121" i="13"/>
  <c r="AX121" i="13"/>
  <c r="AW121" i="13"/>
  <c r="BA121" i="13"/>
  <c r="AZ121" i="13"/>
  <c r="AS121" i="13"/>
  <c r="AR121" i="13"/>
  <c r="AQ121" i="13"/>
  <c r="AU121" i="13"/>
  <c r="AM121" i="13"/>
  <c r="AK121" i="13"/>
  <c r="AO121" i="13"/>
  <c r="AP121" i="13"/>
  <c r="AJ121" i="13"/>
  <c r="AV121" i="13"/>
  <c r="AT121" i="13"/>
  <c r="AL121" i="13"/>
  <c r="AN121" i="13"/>
  <c r="AQ125" i="13"/>
  <c r="AJ125" i="13"/>
  <c r="AI125" i="13"/>
  <c r="AN125" i="13"/>
  <c r="AM125" i="13"/>
  <c r="AK125" i="13"/>
  <c r="BA125" i="13"/>
  <c r="AR125" i="13"/>
  <c r="AL125" i="13"/>
  <c r="AX125" i="13"/>
  <c r="AU125" i="13"/>
  <c r="AY125" i="13"/>
  <c r="AV125" i="13"/>
  <c r="AT125" i="13"/>
  <c r="AP125" i="13"/>
  <c r="AS125" i="13"/>
  <c r="AO125" i="13"/>
  <c r="AW125" i="13"/>
  <c r="AZ125" i="13"/>
  <c r="AY129" i="13"/>
  <c r="AX129" i="13"/>
  <c r="AW129" i="13"/>
  <c r="AV129" i="13"/>
  <c r="AU129" i="13"/>
  <c r="AS129" i="13"/>
  <c r="AR129" i="13"/>
  <c r="AQ129" i="13"/>
  <c r="AP129" i="13"/>
  <c r="AO129" i="13"/>
  <c r="AN129" i="13"/>
  <c r="AZ129" i="13"/>
  <c r="AL129" i="13"/>
  <c r="AJ129" i="13"/>
  <c r="AK129" i="13"/>
  <c r="BA129" i="13"/>
  <c r="AM129" i="13"/>
  <c r="AI129" i="13"/>
  <c r="AT129" i="13"/>
  <c r="AU133" i="13"/>
  <c r="AZ133" i="13"/>
  <c r="AS133" i="13"/>
  <c r="AR133" i="13"/>
  <c r="AK133" i="13"/>
  <c r="AO133" i="13"/>
  <c r="AT133" i="13"/>
  <c r="AM133" i="13"/>
  <c r="AL133" i="13"/>
  <c r="AV133" i="13"/>
  <c r="AI133" i="13"/>
  <c r="AJ133" i="13"/>
  <c r="AP133" i="13"/>
  <c r="AX133" i="13"/>
  <c r="AY133" i="13"/>
  <c r="AW133" i="13"/>
  <c r="AN133" i="13"/>
  <c r="AQ133" i="13"/>
  <c r="BA133" i="13"/>
  <c r="AV137" i="13"/>
  <c r="BA137" i="13"/>
  <c r="AX137" i="13"/>
  <c r="AY137" i="13"/>
  <c r="AW137" i="13"/>
  <c r="AP137" i="13"/>
  <c r="AU137" i="13"/>
  <c r="AZ137" i="13"/>
  <c r="AS137" i="13"/>
  <c r="AQ137" i="13"/>
  <c r="AO137" i="13"/>
  <c r="AM137" i="13"/>
  <c r="AL137" i="13"/>
  <c r="AR137" i="13"/>
  <c r="AI137" i="13"/>
  <c r="AK137" i="13"/>
  <c r="AT137" i="13"/>
  <c r="AN137" i="13"/>
  <c r="AJ137" i="13"/>
  <c r="AM141" i="13"/>
  <c r="AL141" i="13"/>
  <c r="AK141" i="13"/>
  <c r="BA141" i="13"/>
  <c r="AT141" i="13"/>
  <c r="AZ141" i="13"/>
  <c r="AN141" i="13"/>
  <c r="AV141" i="13"/>
  <c r="AU141" i="13"/>
  <c r="AR141" i="13"/>
  <c r="AJ141" i="13"/>
  <c r="AY141" i="13"/>
  <c r="AW141" i="13"/>
  <c r="AO141" i="13"/>
  <c r="AX141" i="13"/>
  <c r="AQ141" i="13"/>
  <c r="AP141" i="13"/>
  <c r="AI141" i="13"/>
  <c r="AS141" i="13"/>
  <c r="AI145" i="13"/>
  <c r="AN145" i="13"/>
  <c r="AX145" i="13"/>
  <c r="AW145" i="13"/>
  <c r="BA145" i="13"/>
  <c r="AJ145" i="13"/>
  <c r="AY145" i="13"/>
  <c r="AR145" i="13"/>
  <c r="AQ145" i="13"/>
  <c r="AZ145" i="13"/>
  <c r="AL145" i="13"/>
  <c r="AT145" i="13"/>
  <c r="AV145" i="13"/>
  <c r="AO145" i="13"/>
  <c r="AP145" i="13"/>
  <c r="AS145" i="13"/>
  <c r="AU145" i="13"/>
  <c r="AM145" i="13"/>
  <c r="AK145" i="13"/>
  <c r="AQ149" i="13"/>
  <c r="AJ149" i="13"/>
  <c r="AI149" i="13"/>
  <c r="AN149" i="13"/>
  <c r="AM149" i="13"/>
  <c r="AK149" i="13"/>
  <c r="BA149" i="13"/>
  <c r="AX149" i="13"/>
  <c r="AR149" i="13"/>
  <c r="AL149" i="13"/>
  <c r="AV149" i="13"/>
  <c r="AZ149" i="13"/>
  <c r="AW149" i="13"/>
  <c r="AT149" i="13"/>
  <c r="AP149" i="13"/>
  <c r="AY149" i="13"/>
  <c r="AU149" i="13"/>
  <c r="AS149" i="13"/>
  <c r="AO149" i="13"/>
  <c r="AY153" i="13"/>
  <c r="AX153" i="13"/>
  <c r="AQ153" i="13"/>
  <c r="AP153" i="13"/>
  <c r="AU153" i="13"/>
  <c r="AS153" i="13"/>
  <c r="AR153" i="13"/>
  <c r="AK153" i="13"/>
  <c r="AJ153" i="13"/>
  <c r="AO153" i="13"/>
  <c r="AW153" i="13"/>
  <c r="BA153" i="13"/>
  <c r="AM153" i="13"/>
  <c r="AN153" i="13"/>
  <c r="AI153" i="13"/>
  <c r="AT153" i="13"/>
  <c r="AZ153" i="13"/>
  <c r="AL153" i="13"/>
  <c r="AV153" i="13"/>
  <c r="AO157" i="13"/>
  <c r="AT157" i="13"/>
  <c r="AM157" i="13"/>
  <c r="AV157" i="13"/>
  <c r="AJ157" i="13"/>
  <c r="AI157" i="13"/>
  <c r="AN157" i="13"/>
  <c r="AX157" i="13"/>
  <c r="AW157" i="13"/>
  <c r="AZ157" i="13"/>
  <c r="AL157" i="13"/>
  <c r="BA157" i="13"/>
  <c r="AY157" i="13"/>
  <c r="AQ157" i="13"/>
  <c r="AR157" i="13"/>
  <c r="AU157" i="13"/>
  <c r="AK157" i="13"/>
  <c r="AP157" i="13"/>
  <c r="AS157" i="13"/>
  <c r="AX161" i="13"/>
  <c r="AL161" i="13"/>
  <c r="AI161" i="13"/>
  <c r="AR161" i="13"/>
  <c r="AW161" i="13"/>
  <c r="AV161" i="13"/>
  <c r="BA161" i="13"/>
  <c r="AZ161" i="13"/>
  <c r="AY161" i="13"/>
  <c r="AP161" i="13"/>
  <c r="AT161" i="13"/>
  <c r="AJ161" i="13"/>
  <c r="AS161" i="13"/>
  <c r="AU161" i="13"/>
  <c r="AM161" i="13"/>
  <c r="AQ161" i="13"/>
  <c r="AO161" i="13"/>
  <c r="AK161" i="13"/>
  <c r="AN161" i="13"/>
  <c r="BA219" i="13"/>
  <c r="AV219" i="13"/>
  <c r="AY219" i="13"/>
  <c r="AX219" i="13"/>
  <c r="AQ219" i="13"/>
  <c r="AU219" i="13"/>
  <c r="AZ219" i="13"/>
  <c r="AS219" i="13"/>
  <c r="AR219" i="13"/>
  <c r="AK219" i="13"/>
  <c r="AN219" i="13"/>
  <c r="AW219" i="13"/>
  <c r="AO219" i="13"/>
  <c r="AM219" i="13"/>
  <c r="AJ219" i="13"/>
  <c r="AT219" i="13"/>
  <c r="AP219" i="13"/>
  <c r="AI219" i="13"/>
  <c r="AL219" i="13"/>
  <c r="AQ223" i="13"/>
  <c r="AJ223" i="13"/>
  <c r="AI223" i="13"/>
  <c r="AR223" i="13"/>
  <c r="AX223" i="13"/>
  <c r="AK223" i="13"/>
  <c r="BA223" i="13"/>
  <c r="AZ223" i="13"/>
  <c r="AY223" i="13"/>
  <c r="AL223" i="13"/>
  <c r="AU223" i="13"/>
  <c r="AS223" i="13"/>
  <c r="AW223" i="13"/>
  <c r="AT223" i="13"/>
  <c r="AV223" i="13"/>
  <c r="AN223" i="13"/>
  <c r="AP223" i="13"/>
  <c r="AM223" i="13"/>
  <c r="AO223" i="13"/>
  <c r="AY273" i="13"/>
  <c r="AR273" i="13"/>
  <c r="AK273" i="13"/>
  <c r="AJ273" i="13"/>
  <c r="AI273" i="13"/>
  <c r="AS273" i="13"/>
  <c r="AL273" i="13"/>
  <c r="AN273" i="13"/>
  <c r="BA273" i="13"/>
  <c r="AZ273" i="13"/>
  <c r="AX273" i="13"/>
  <c r="AP273" i="13"/>
  <c r="AW273" i="13"/>
  <c r="AU273" i="13"/>
  <c r="AM273" i="13"/>
  <c r="AT273" i="13"/>
  <c r="AQ273" i="13"/>
  <c r="AV273" i="13"/>
  <c r="AO273" i="13"/>
  <c r="AO277" i="13"/>
  <c r="AT277" i="13"/>
  <c r="AS277" i="13"/>
  <c r="AL277" i="13"/>
  <c r="AK277" i="13"/>
  <c r="AI277" i="13"/>
  <c r="AN277" i="13"/>
  <c r="AM277" i="13"/>
  <c r="AP277" i="13"/>
  <c r="AU277" i="13"/>
  <c r="AY277" i="13"/>
  <c r="AQ277" i="13"/>
  <c r="AV277" i="13"/>
  <c r="AX277" i="13"/>
  <c r="BA277" i="13"/>
  <c r="AW277" i="13"/>
  <c r="AZ277" i="13"/>
  <c r="AR277" i="13"/>
  <c r="AJ277" i="13"/>
  <c r="AX281" i="13"/>
  <c r="AR281" i="13"/>
  <c r="AI281" i="13"/>
  <c r="AL281" i="13"/>
  <c r="AW281" i="13"/>
  <c r="AV281" i="13"/>
  <c r="BA281" i="13"/>
  <c r="AZ281" i="13"/>
  <c r="AY281" i="13"/>
  <c r="AJ281" i="13"/>
  <c r="AN281" i="13"/>
  <c r="AK281" i="13"/>
  <c r="AT281" i="13"/>
  <c r="AP281" i="13"/>
  <c r="AS281" i="13"/>
  <c r="AU281" i="13"/>
  <c r="AM281" i="13"/>
  <c r="AQ281" i="13"/>
  <c r="AO281" i="13"/>
  <c r="AM302" i="13"/>
  <c r="AN302" i="13"/>
  <c r="AZ302" i="13"/>
  <c r="BA302" i="13"/>
  <c r="AT302" i="13"/>
  <c r="AX302" i="13"/>
  <c r="AW302" i="13"/>
  <c r="AV302" i="13"/>
  <c r="AU302" i="13"/>
  <c r="AL302" i="13"/>
  <c r="AJ302" i="13"/>
  <c r="AO302" i="13"/>
  <c r="AY302" i="13"/>
  <c r="AQ302" i="13"/>
  <c r="AP302" i="13"/>
  <c r="AS302" i="13"/>
  <c r="AI302" i="13"/>
  <c r="AR302" i="13"/>
  <c r="AK302" i="13"/>
  <c r="BA306" i="13"/>
  <c r="AP306" i="13"/>
  <c r="AY306" i="13"/>
  <c r="AX306" i="13"/>
  <c r="AW306" i="13"/>
  <c r="AU306" i="13"/>
  <c r="AZ306" i="13"/>
  <c r="AS306" i="13"/>
  <c r="AR306" i="13"/>
  <c r="AQ306" i="13"/>
  <c r="AI306" i="13"/>
  <c r="AV306" i="13"/>
  <c r="AT306" i="13"/>
  <c r="AL306" i="13"/>
  <c r="AM306" i="13"/>
  <c r="AJ306" i="13"/>
  <c r="AN306" i="13"/>
  <c r="AK306" i="13"/>
  <c r="AO306" i="13"/>
  <c r="AQ310" i="13"/>
  <c r="AJ310" i="13"/>
  <c r="AO310" i="13"/>
  <c r="AT310" i="13"/>
  <c r="AM310" i="13"/>
  <c r="AK310" i="13"/>
  <c r="AL310" i="13"/>
  <c r="AI310" i="13"/>
  <c r="AN310" i="13"/>
  <c r="AR310" i="13"/>
  <c r="AW310" i="13"/>
  <c r="AU310" i="13"/>
  <c r="AS310" i="13"/>
  <c r="BA310" i="13"/>
  <c r="AX310" i="13"/>
  <c r="AV310" i="13"/>
  <c r="AZ310" i="13"/>
  <c r="AP310" i="13"/>
  <c r="AY310" i="13"/>
  <c r="AY329" i="13"/>
  <c r="AX329" i="13"/>
  <c r="AW329" i="13"/>
  <c r="AP329" i="13"/>
  <c r="AU329" i="13"/>
  <c r="AS329" i="13"/>
  <c r="AR329" i="13"/>
  <c r="AQ329" i="13"/>
  <c r="AJ329" i="13"/>
  <c r="AO329" i="13"/>
  <c r="AN329" i="13"/>
  <c r="BA329" i="13"/>
  <c r="AK329" i="13"/>
  <c r="AM329" i="13"/>
  <c r="AI329" i="13"/>
  <c r="AL329" i="13"/>
  <c r="AV329" i="13"/>
  <c r="AT329" i="13"/>
  <c r="AZ329" i="13"/>
  <c r="AO333" i="13"/>
  <c r="AT333" i="13"/>
  <c r="AS333" i="13"/>
  <c r="AL333" i="13"/>
  <c r="AV333" i="13"/>
  <c r="AI333" i="13"/>
  <c r="AN333" i="13"/>
  <c r="AM333" i="13"/>
  <c r="AW333" i="13"/>
  <c r="AZ333" i="13"/>
  <c r="AR333" i="13"/>
  <c r="BA333" i="13"/>
  <c r="AP333" i="13"/>
  <c r="AQ333" i="13"/>
  <c r="AJ333" i="13"/>
  <c r="AY333" i="13"/>
  <c r="AU333" i="13"/>
  <c r="AX333" i="13"/>
  <c r="AK333" i="13"/>
  <c r="AR543" i="13"/>
  <c r="AL543" i="13"/>
  <c r="AI543" i="13"/>
  <c r="AN543" i="13"/>
  <c r="AW543" i="13"/>
  <c r="AV543" i="13"/>
  <c r="BA543" i="13"/>
  <c r="AX543" i="13"/>
  <c r="AY543" i="13"/>
  <c r="AQ543" i="13"/>
  <c r="AU543" i="13"/>
  <c r="AS543" i="13"/>
  <c r="AK543" i="13"/>
  <c r="AO543" i="13"/>
  <c r="AM543" i="13"/>
  <c r="AP543" i="13"/>
  <c r="AZ543" i="13"/>
  <c r="AJ543" i="13"/>
  <c r="AT543" i="13"/>
  <c r="AM547" i="13"/>
  <c r="AL547" i="13"/>
  <c r="AV547" i="13"/>
  <c r="BA547" i="13"/>
  <c r="AT547" i="13"/>
  <c r="AN547" i="13"/>
  <c r="AW547" i="13"/>
  <c r="AP547" i="13"/>
  <c r="AU547" i="13"/>
  <c r="AS547" i="13"/>
  <c r="AK547" i="13"/>
  <c r="AI547" i="13"/>
  <c r="AJ547" i="13"/>
  <c r="AX547" i="13"/>
  <c r="AY547" i="13"/>
  <c r="AO547" i="13"/>
  <c r="AR547" i="13"/>
  <c r="AQ547" i="13"/>
  <c r="AZ547" i="13"/>
  <c r="AO551" i="13"/>
  <c r="AN551" i="13"/>
  <c r="AM551" i="13"/>
  <c r="AP551" i="13"/>
  <c r="AV551" i="13"/>
  <c r="AI551" i="13"/>
  <c r="AJ551" i="13"/>
  <c r="AX551" i="13"/>
  <c r="AW551" i="13"/>
  <c r="AU551" i="13"/>
  <c r="AS551" i="13"/>
  <c r="AK551" i="13"/>
  <c r="AZ551" i="13"/>
  <c r="AR551" i="13"/>
  <c r="AY551" i="13"/>
  <c r="AL551" i="13"/>
  <c r="AT551" i="13"/>
  <c r="AQ551" i="13"/>
  <c r="BA551" i="13"/>
  <c r="AQ555" i="13"/>
  <c r="AJ555" i="13"/>
  <c r="AO555" i="13"/>
  <c r="AN555" i="13"/>
  <c r="AM555" i="13"/>
  <c r="AK555" i="13"/>
  <c r="AX555" i="13"/>
  <c r="AI555" i="13"/>
  <c r="AR555" i="13"/>
  <c r="AL555" i="13"/>
  <c r="AV555" i="13"/>
  <c r="AZ555" i="13"/>
  <c r="AP555" i="13"/>
  <c r="AT555" i="13"/>
  <c r="BA555" i="13"/>
  <c r="AY555" i="13"/>
  <c r="AW555" i="13"/>
  <c r="AU555" i="13"/>
  <c r="AS555" i="13"/>
  <c r="AU34" i="13"/>
  <c r="AT34" i="13"/>
  <c r="AM34" i="13"/>
  <c r="AL34" i="13"/>
  <c r="AK34" i="13"/>
  <c r="AO34" i="13"/>
  <c r="AN34" i="13"/>
  <c r="AP34" i="13"/>
  <c r="AJ34" i="13"/>
  <c r="AV34" i="13"/>
  <c r="AI34" i="13"/>
  <c r="AY34" i="13"/>
  <c r="AW34" i="13"/>
  <c r="AS34" i="13"/>
  <c r="AQ34" i="13"/>
  <c r="AR34" i="13"/>
  <c r="BA34" i="13"/>
  <c r="AX34" i="13"/>
  <c r="AZ34" i="13"/>
  <c r="AR31" i="13"/>
  <c r="AK31" i="13"/>
  <c r="AJ31" i="13"/>
  <c r="AI31" i="13"/>
  <c r="AS31" i="13"/>
  <c r="AL31" i="13"/>
  <c r="AM31" i="13"/>
  <c r="BA31" i="13"/>
  <c r="AZ31" i="13"/>
  <c r="AY31" i="13"/>
  <c r="AX31" i="13"/>
  <c r="AP31" i="13"/>
  <c r="AN31" i="13"/>
  <c r="AW31" i="13"/>
  <c r="AU31" i="13"/>
  <c r="AV31" i="13"/>
  <c r="AO31" i="13"/>
  <c r="AT31" i="13"/>
  <c r="AQ31" i="13"/>
  <c r="AN35" i="13"/>
  <c r="AM35" i="13"/>
  <c r="AL35" i="13"/>
  <c r="AV35" i="13"/>
  <c r="BA35" i="13"/>
  <c r="AO35" i="13"/>
  <c r="AU35" i="13"/>
  <c r="AW35" i="13"/>
  <c r="AP35" i="13"/>
  <c r="AS35" i="13"/>
  <c r="AK35" i="13"/>
  <c r="AZ35" i="13"/>
  <c r="AX35" i="13"/>
  <c r="AJ35" i="13"/>
  <c r="AQ35" i="13"/>
  <c r="AT35" i="13"/>
  <c r="AI35" i="13"/>
  <c r="AY35" i="13"/>
  <c r="AR35" i="13"/>
  <c r="AV39" i="13"/>
  <c r="AU39" i="13"/>
  <c r="AZ39" i="13"/>
  <c r="AS39" i="13"/>
  <c r="AL39" i="13"/>
  <c r="AO39" i="13"/>
  <c r="AN39" i="13"/>
  <c r="AR39" i="13"/>
  <c r="AP39" i="13"/>
  <c r="AI39" i="13"/>
  <c r="AY39" i="13"/>
  <c r="AQ39" i="13"/>
  <c r="AJ39" i="13"/>
  <c r="AW39" i="13"/>
  <c r="AM39" i="13"/>
  <c r="AK39" i="13"/>
  <c r="BA39" i="13"/>
  <c r="AT39" i="13"/>
  <c r="AX39" i="13"/>
  <c r="AW43" i="13"/>
  <c r="AV43" i="13"/>
  <c r="AS43" i="13"/>
  <c r="AI43" i="13"/>
  <c r="AX43" i="13"/>
  <c r="AQ43" i="13"/>
  <c r="AP43" i="13"/>
  <c r="BA43" i="13"/>
  <c r="AL43" i="13"/>
  <c r="AY43" i="13"/>
  <c r="AT43" i="13"/>
  <c r="AU43" i="13"/>
  <c r="AN43" i="13"/>
  <c r="AK43" i="13"/>
  <c r="AR43" i="13"/>
  <c r="AZ43" i="13"/>
  <c r="AM43" i="13"/>
  <c r="AJ43" i="13"/>
  <c r="AO43" i="13"/>
  <c r="AZ47" i="13"/>
  <c r="AS47" i="13"/>
  <c r="AR47" i="13"/>
  <c r="AQ47" i="13"/>
  <c r="AP47" i="13"/>
  <c r="AT47" i="13"/>
  <c r="AM47" i="13"/>
  <c r="AL47" i="13"/>
  <c r="AK47" i="13"/>
  <c r="AJ47" i="13"/>
  <c r="AX47" i="13"/>
  <c r="AV47" i="13"/>
  <c r="AN47" i="13"/>
  <c r="BA47" i="13"/>
  <c r="AU47" i="13"/>
  <c r="AO47" i="13"/>
  <c r="AW47" i="13"/>
  <c r="AI47" i="13"/>
  <c r="AY47" i="13"/>
  <c r="AJ51" i="13"/>
  <c r="AI51" i="13"/>
  <c r="AQ51" i="13"/>
  <c r="AK51" i="13"/>
  <c r="AW51" i="13"/>
  <c r="AU51" i="13"/>
  <c r="AN51" i="13"/>
  <c r="AX51" i="13"/>
  <c r="AV51" i="13"/>
  <c r="AO51" i="13"/>
  <c r="AY51" i="13"/>
  <c r="AR51" i="13"/>
  <c r="AP51" i="13"/>
  <c r="AZ51" i="13"/>
  <c r="AS51" i="13"/>
  <c r="AL51" i="13"/>
  <c r="AT51" i="13"/>
  <c r="BA51" i="13"/>
  <c r="AM51" i="13"/>
  <c r="AR55" i="13"/>
  <c r="AK55" i="13"/>
  <c r="AJ55" i="13"/>
  <c r="AO55" i="13"/>
  <c r="AN55" i="13"/>
  <c r="AX55" i="13"/>
  <c r="AM55" i="13"/>
  <c r="BA55" i="13"/>
  <c r="AT55" i="13"/>
  <c r="AV55" i="13"/>
  <c r="AU55" i="13"/>
  <c r="AL55" i="13"/>
  <c r="AY55" i="13"/>
  <c r="AS55" i="13"/>
  <c r="AW55" i="13"/>
  <c r="AI55" i="13"/>
  <c r="AQ55" i="13"/>
  <c r="AZ55" i="13"/>
  <c r="AP55" i="13"/>
  <c r="AN59" i="13"/>
  <c r="AI59" i="13"/>
  <c r="AO59" i="13"/>
  <c r="BA59" i="13"/>
  <c r="AU59" i="13"/>
  <c r="AY59" i="13"/>
  <c r="AX59" i="13"/>
  <c r="AW59" i="13"/>
  <c r="AV59" i="13"/>
  <c r="AT59" i="13"/>
  <c r="AL59" i="13"/>
  <c r="AJ59" i="13"/>
  <c r="AS59" i="13"/>
  <c r="AQ59" i="13"/>
  <c r="AZ59" i="13"/>
  <c r="AP59" i="13"/>
  <c r="AM59" i="13"/>
  <c r="AK59" i="13"/>
  <c r="AR59" i="13"/>
  <c r="AV63" i="13"/>
  <c r="BA63" i="13"/>
  <c r="AW63" i="13"/>
  <c r="AY63" i="13"/>
  <c r="AR63" i="13"/>
  <c r="AQ63" i="13"/>
  <c r="AZ63" i="13"/>
  <c r="AM63" i="13"/>
  <c r="AU63" i="13"/>
  <c r="AT63" i="13"/>
  <c r="AX63" i="13"/>
  <c r="AP63" i="13"/>
  <c r="AO63" i="13"/>
  <c r="AN63" i="13"/>
  <c r="AL63" i="13"/>
  <c r="AS63" i="13"/>
  <c r="AK63" i="13"/>
  <c r="AJ63" i="13"/>
  <c r="AI63" i="13"/>
  <c r="AW67" i="13"/>
  <c r="AV67" i="13"/>
  <c r="AU67" i="13"/>
  <c r="AZ67" i="13"/>
  <c r="AX67" i="13"/>
  <c r="AK67" i="13"/>
  <c r="BA67" i="13"/>
  <c r="AT67" i="13"/>
  <c r="AR67" i="13"/>
  <c r="AO67" i="13"/>
  <c r="AN67" i="13"/>
  <c r="AM67" i="13"/>
  <c r="AQ67" i="13"/>
  <c r="AS67" i="13"/>
  <c r="AP67" i="13"/>
  <c r="AY67" i="13"/>
  <c r="AJ67" i="13"/>
  <c r="AL67" i="13"/>
  <c r="AI67" i="13"/>
  <c r="AZ71" i="13"/>
  <c r="AS71" i="13"/>
  <c r="AL71" i="13"/>
  <c r="AK71" i="13"/>
  <c r="AJ71" i="13"/>
  <c r="AT71" i="13"/>
  <c r="AM71" i="13"/>
  <c r="AO71" i="13"/>
  <c r="BA71" i="13"/>
  <c r="AU71" i="13"/>
  <c r="AY71" i="13"/>
  <c r="AQ71" i="13"/>
  <c r="AX71" i="13"/>
  <c r="AV71" i="13"/>
  <c r="AW71" i="13"/>
  <c r="AP71" i="13"/>
  <c r="AR71" i="13"/>
  <c r="AI71" i="13"/>
  <c r="AN71" i="13"/>
  <c r="AJ102" i="13"/>
  <c r="AI102" i="13"/>
  <c r="AN102" i="13"/>
  <c r="AQ102" i="13"/>
  <c r="AK102" i="13"/>
  <c r="BA102" i="13"/>
  <c r="AZ102" i="13"/>
  <c r="AM102" i="13"/>
  <c r="AU102" i="13"/>
  <c r="AT102" i="13"/>
  <c r="AX102" i="13"/>
  <c r="AV102" i="13"/>
  <c r="AO102" i="13"/>
  <c r="AY102" i="13"/>
  <c r="AR102" i="13"/>
  <c r="AL102" i="13"/>
  <c r="AP102" i="13"/>
  <c r="AW102" i="13"/>
  <c r="AS102" i="13"/>
  <c r="AR106" i="13"/>
  <c r="AQ106" i="13"/>
  <c r="AJ106" i="13"/>
  <c r="AO106" i="13"/>
  <c r="AN106" i="13"/>
  <c r="AW106" i="13"/>
  <c r="AS106" i="13"/>
  <c r="AZ106" i="13"/>
  <c r="AX106" i="13"/>
  <c r="BA106" i="13"/>
  <c r="AT106" i="13"/>
  <c r="AK106" i="13"/>
  <c r="AP106" i="13"/>
  <c r="AL106" i="13"/>
  <c r="AU106" i="13"/>
  <c r="AY106" i="13"/>
  <c r="AI106" i="13"/>
  <c r="AV106" i="13"/>
  <c r="AM106" i="13"/>
  <c r="AN110" i="13"/>
  <c r="AM110" i="13"/>
  <c r="AO110" i="13"/>
  <c r="AU110" i="13"/>
  <c r="AI110" i="13"/>
  <c r="BA110" i="13"/>
  <c r="AX110" i="13"/>
  <c r="AW110" i="13"/>
  <c r="AV110" i="13"/>
  <c r="AS110" i="13"/>
  <c r="AK110" i="13"/>
  <c r="AZ110" i="13"/>
  <c r="AR110" i="13"/>
  <c r="AP110" i="13"/>
  <c r="AY110" i="13"/>
  <c r="AL110" i="13"/>
  <c r="AT110" i="13"/>
  <c r="AQ110" i="13"/>
  <c r="AJ110" i="13"/>
  <c r="AV114" i="13"/>
  <c r="AU114" i="13"/>
  <c r="AZ114" i="13"/>
  <c r="AS114" i="13"/>
  <c r="AL114" i="13"/>
  <c r="AJ114" i="13"/>
  <c r="AK114" i="13"/>
  <c r="AM114" i="13"/>
  <c r="AQ114" i="13"/>
  <c r="BA114" i="13"/>
  <c r="AT114" i="13"/>
  <c r="AX114" i="13"/>
  <c r="AO114" i="13"/>
  <c r="AN114" i="13"/>
  <c r="AR114" i="13"/>
  <c r="AP114" i="13"/>
  <c r="AI114" i="13"/>
  <c r="AY114" i="13"/>
  <c r="AW114" i="13"/>
  <c r="AM118" i="13"/>
  <c r="AS118" i="13"/>
  <c r="BA118" i="13"/>
  <c r="AZ118" i="13"/>
  <c r="AW118" i="13"/>
  <c r="AP118" i="13"/>
  <c r="AI118" i="13"/>
  <c r="AX118" i="13"/>
  <c r="AJ118" i="13"/>
  <c r="AT118" i="13"/>
  <c r="AQ118" i="13"/>
  <c r="AL118" i="13"/>
  <c r="AO118" i="13"/>
  <c r="AK118" i="13"/>
  <c r="AN118" i="13"/>
  <c r="AV118" i="13"/>
  <c r="AY118" i="13"/>
  <c r="AR118" i="13"/>
  <c r="AU118" i="13"/>
  <c r="AZ122" i="13"/>
  <c r="AY122" i="13"/>
  <c r="AX122" i="13"/>
  <c r="AW122" i="13"/>
  <c r="AP122" i="13"/>
  <c r="AT122" i="13"/>
  <c r="AS122" i="13"/>
  <c r="AR122" i="13"/>
  <c r="AQ122" i="13"/>
  <c r="AJ122" i="13"/>
  <c r="AI122" i="13"/>
  <c r="AV122" i="13"/>
  <c r="AN122" i="13"/>
  <c r="AL122" i="13"/>
  <c r="AU122" i="13"/>
  <c r="AK122" i="13"/>
  <c r="AO122" i="13"/>
  <c r="AM122" i="13"/>
  <c r="BA122" i="13"/>
  <c r="AJ126" i="13"/>
  <c r="AI126" i="13"/>
  <c r="AN126" i="13"/>
  <c r="AM126" i="13"/>
  <c r="AL126" i="13"/>
  <c r="AP126" i="13"/>
  <c r="AQ126" i="13"/>
  <c r="AY126" i="13"/>
  <c r="AR126" i="13"/>
  <c r="BA126" i="13"/>
  <c r="AZ126" i="13"/>
  <c r="AS126" i="13"/>
  <c r="AU126" i="13"/>
  <c r="AT126" i="13"/>
  <c r="AW126" i="13"/>
  <c r="AO126" i="13"/>
  <c r="AV126" i="13"/>
  <c r="AK126" i="13"/>
  <c r="AX126" i="13"/>
  <c r="AR130" i="13"/>
  <c r="AK130" i="13"/>
  <c r="AY130" i="13"/>
  <c r="AO130" i="13"/>
  <c r="AN130" i="13"/>
  <c r="AW130" i="13"/>
  <c r="AJ130" i="13"/>
  <c r="AI130" i="13"/>
  <c r="AQ130" i="13"/>
  <c r="AM130" i="13"/>
  <c r="AZ130" i="13"/>
  <c r="AP130" i="13"/>
  <c r="AS130" i="13"/>
  <c r="AX130" i="13"/>
  <c r="BA130" i="13"/>
  <c r="AL130" i="13"/>
  <c r="AU130" i="13"/>
  <c r="AV130" i="13"/>
  <c r="AT130" i="13"/>
  <c r="AN134" i="13"/>
  <c r="AM134" i="13"/>
  <c r="AL134" i="13"/>
  <c r="AK134" i="13"/>
  <c r="AJ134" i="13"/>
  <c r="BA134" i="13"/>
  <c r="AO134" i="13"/>
  <c r="AU134" i="13"/>
  <c r="AI134" i="13"/>
  <c r="AT134" i="13"/>
  <c r="AR134" i="13"/>
  <c r="AP134" i="13"/>
  <c r="AY134" i="13"/>
  <c r="AW134" i="13"/>
  <c r="AX134" i="13"/>
  <c r="AQ134" i="13"/>
  <c r="AZ134" i="13"/>
  <c r="AV134" i="13"/>
  <c r="AS134" i="13"/>
  <c r="AV138" i="13"/>
  <c r="BA138" i="13"/>
  <c r="AW138" i="13"/>
  <c r="AY138" i="13"/>
  <c r="AX138" i="13"/>
  <c r="AP138" i="13"/>
  <c r="AO138" i="13"/>
  <c r="AN138" i="13"/>
  <c r="AR138" i="13"/>
  <c r="AK138" i="13"/>
  <c r="AZ138" i="13"/>
  <c r="AM138" i="13"/>
  <c r="AI138" i="13"/>
  <c r="AL138" i="13"/>
  <c r="AQ138" i="13"/>
  <c r="AT138" i="13"/>
  <c r="AJ138" i="13"/>
  <c r="AS138" i="13"/>
  <c r="AU138" i="13"/>
  <c r="AW142" i="13"/>
  <c r="AP142" i="13"/>
  <c r="AU142" i="13"/>
  <c r="AZ142" i="13"/>
  <c r="AL142" i="13"/>
  <c r="AJ142" i="13"/>
  <c r="AI142" i="13"/>
  <c r="AY142" i="13"/>
  <c r="AQ142" i="13"/>
  <c r="AS142" i="13"/>
  <c r="AM142" i="13"/>
  <c r="AR142" i="13"/>
  <c r="AK142" i="13"/>
  <c r="AT142" i="13"/>
  <c r="AV142" i="13"/>
  <c r="AN142" i="13"/>
  <c r="AX142" i="13"/>
  <c r="BA142" i="13"/>
  <c r="AO142" i="13"/>
  <c r="AZ146" i="13"/>
  <c r="AY146" i="13"/>
  <c r="AR146" i="13"/>
  <c r="AQ146" i="13"/>
  <c r="AJ146" i="13"/>
  <c r="AT146" i="13"/>
  <c r="AS146" i="13"/>
  <c r="AL146" i="13"/>
  <c r="AK146" i="13"/>
  <c r="AU146" i="13"/>
  <c r="BA146" i="13"/>
  <c r="AW146" i="13"/>
  <c r="AM146" i="13"/>
  <c r="AV146" i="13"/>
  <c r="AN146" i="13"/>
  <c r="AO146" i="13"/>
  <c r="AX146" i="13"/>
  <c r="AP146" i="13"/>
  <c r="AI146" i="13"/>
  <c r="AJ150" i="13"/>
  <c r="AO150" i="13"/>
  <c r="AT150" i="13"/>
  <c r="AM150" i="13"/>
  <c r="AK150" i="13"/>
  <c r="AV150" i="13"/>
  <c r="AU150" i="13"/>
  <c r="AN150" i="13"/>
  <c r="AR150" i="13"/>
  <c r="AQ150" i="13"/>
  <c r="AW150" i="13"/>
  <c r="AS150" i="13"/>
  <c r="AP150" i="13"/>
  <c r="AY150" i="13"/>
  <c r="AZ150" i="13"/>
  <c r="BA150" i="13"/>
  <c r="AX150" i="13"/>
  <c r="AI150" i="13"/>
  <c r="AL150" i="13"/>
  <c r="AR154" i="13"/>
  <c r="AQ154" i="13"/>
  <c r="AJ154" i="13"/>
  <c r="AI154" i="13"/>
  <c r="AS154" i="13"/>
  <c r="AL154" i="13"/>
  <c r="AV154" i="13"/>
  <c r="AO154" i="13"/>
  <c r="AM154" i="13"/>
  <c r="AY154" i="13"/>
  <c r="AP154" i="13"/>
  <c r="AZ154" i="13"/>
  <c r="BA154" i="13"/>
  <c r="AX154" i="13"/>
  <c r="AU154" i="13"/>
  <c r="AK154" i="13"/>
  <c r="AT154" i="13"/>
  <c r="AN154" i="13"/>
  <c r="AW154" i="13"/>
  <c r="AN158" i="13"/>
  <c r="AM158" i="13"/>
  <c r="AL158" i="13"/>
  <c r="AK158" i="13"/>
  <c r="AO158" i="13"/>
  <c r="BA158" i="13"/>
  <c r="AU158" i="13"/>
  <c r="AI158" i="13"/>
  <c r="AV158" i="13"/>
  <c r="AS158" i="13"/>
  <c r="AQ158" i="13"/>
  <c r="AZ158" i="13"/>
  <c r="AX158" i="13"/>
  <c r="AP158" i="13"/>
  <c r="AW158" i="13"/>
  <c r="AT158" i="13"/>
  <c r="AJ158" i="13"/>
  <c r="AR158" i="13"/>
  <c r="AY158" i="13"/>
  <c r="AV162" i="13"/>
  <c r="BA162" i="13"/>
  <c r="AZ162" i="13"/>
  <c r="AY162" i="13"/>
  <c r="AR162" i="13"/>
  <c r="AU162" i="13"/>
  <c r="AN162" i="13"/>
  <c r="AX162" i="13"/>
  <c r="AJ162" i="13"/>
  <c r="AI162" i="13"/>
  <c r="AS162" i="13"/>
  <c r="AK162" i="13"/>
  <c r="AO162" i="13"/>
  <c r="AL162" i="13"/>
  <c r="AM162" i="13"/>
  <c r="AT162" i="13"/>
  <c r="AP162" i="13"/>
  <c r="AQ162" i="13"/>
  <c r="AW162" i="13"/>
  <c r="AY216" i="13"/>
  <c r="AV216" i="13"/>
  <c r="BA216" i="13"/>
  <c r="AS216" i="13"/>
  <c r="AR216" i="13"/>
  <c r="AK216" i="13"/>
  <c r="AU216" i="13"/>
  <c r="AT216" i="13"/>
  <c r="AL216" i="13"/>
  <c r="AP216" i="13"/>
  <c r="AO216" i="13"/>
  <c r="AN216" i="13"/>
  <c r="AW216" i="13"/>
  <c r="AI216" i="13"/>
  <c r="AQ216" i="13"/>
  <c r="AZ216" i="13"/>
  <c r="AM216" i="13"/>
  <c r="AX216" i="13"/>
  <c r="AJ216" i="13"/>
  <c r="AZ220" i="13"/>
  <c r="AS220" i="13"/>
  <c r="AR220" i="13"/>
  <c r="AQ220" i="13"/>
  <c r="AP220" i="13"/>
  <c r="AT220" i="13"/>
  <c r="AM220" i="13"/>
  <c r="AL220" i="13"/>
  <c r="AK220" i="13"/>
  <c r="AJ220" i="13"/>
  <c r="AX220" i="13"/>
  <c r="AV220" i="13"/>
  <c r="AN220" i="13"/>
  <c r="BA220" i="13"/>
  <c r="AO220" i="13"/>
  <c r="AU220" i="13"/>
  <c r="AW220" i="13"/>
  <c r="AY220" i="13"/>
  <c r="AI220" i="13"/>
  <c r="AJ224" i="13"/>
  <c r="AO224" i="13"/>
  <c r="AT224" i="13"/>
  <c r="AS224" i="13"/>
  <c r="AL224" i="13"/>
  <c r="BA224" i="13"/>
  <c r="AZ224" i="13"/>
  <c r="AM224" i="13"/>
  <c r="AP224" i="13"/>
  <c r="AI224" i="13"/>
  <c r="AK224" i="13"/>
  <c r="AR224" i="13"/>
  <c r="AV224" i="13"/>
  <c r="AN224" i="13"/>
  <c r="AW224" i="13"/>
  <c r="AY224" i="13"/>
  <c r="AU224" i="13"/>
  <c r="AX224" i="13"/>
  <c r="AQ224" i="13"/>
  <c r="AR274" i="13"/>
  <c r="AQ274" i="13"/>
  <c r="AJ274" i="13"/>
  <c r="AO274" i="13"/>
  <c r="AT274" i="13"/>
  <c r="AX274" i="13"/>
  <c r="AK274" i="13"/>
  <c r="BA274" i="13"/>
  <c r="AZ274" i="13"/>
  <c r="AL274" i="13"/>
  <c r="AV274" i="13"/>
  <c r="AU274" i="13"/>
  <c r="AN274" i="13"/>
  <c r="AP274" i="13"/>
  <c r="AY274" i="13"/>
  <c r="AM274" i="13"/>
  <c r="AS274" i="13"/>
  <c r="AW274" i="13"/>
  <c r="AI274" i="13"/>
  <c r="AN278" i="13"/>
  <c r="AM278" i="13"/>
  <c r="AI278" i="13"/>
  <c r="AO278" i="13"/>
  <c r="AU278" i="13"/>
  <c r="BA278" i="13"/>
  <c r="AX278" i="13"/>
  <c r="AW278" i="13"/>
  <c r="AV278" i="13"/>
  <c r="AT278" i="13"/>
  <c r="AL278" i="13"/>
  <c r="AJ278" i="13"/>
  <c r="AY278" i="13"/>
  <c r="AQ278" i="13"/>
  <c r="AZ278" i="13"/>
  <c r="AP278" i="13"/>
  <c r="AS278" i="13"/>
  <c r="AR278" i="13"/>
  <c r="AK278" i="13"/>
  <c r="AV299" i="13"/>
  <c r="AU299" i="13"/>
  <c r="AT299" i="13"/>
  <c r="AS299" i="13"/>
  <c r="AL299" i="13"/>
  <c r="BA299" i="13"/>
  <c r="AN299" i="13"/>
  <c r="AX299" i="13"/>
  <c r="AP299" i="13"/>
  <c r="AI299" i="13"/>
  <c r="AY299" i="13"/>
  <c r="AW299" i="13"/>
  <c r="AO299" i="13"/>
  <c r="AR299" i="13"/>
  <c r="AJ299" i="13"/>
  <c r="AZ299" i="13"/>
  <c r="AK299" i="13"/>
  <c r="AQ299" i="13"/>
  <c r="AM299" i="13"/>
  <c r="AS303" i="13"/>
  <c r="AY303" i="13"/>
  <c r="BA303" i="13"/>
  <c r="AM303" i="13"/>
  <c r="AX303" i="13"/>
  <c r="AQ303" i="13"/>
  <c r="AJ303" i="13"/>
  <c r="AZ303" i="13"/>
  <c r="AR303" i="13"/>
  <c r="AK303" i="13"/>
  <c r="AU303" i="13"/>
  <c r="AT303" i="13"/>
  <c r="AL303" i="13"/>
  <c r="AO303" i="13"/>
  <c r="AW303" i="13"/>
  <c r="AI303" i="13"/>
  <c r="AV303" i="13"/>
  <c r="AP303" i="13"/>
  <c r="AN303" i="13"/>
  <c r="AZ307" i="13"/>
  <c r="AY307" i="13"/>
  <c r="AT307" i="13"/>
  <c r="BA307" i="13"/>
  <c r="AX307" i="13"/>
  <c r="AQ307" i="13"/>
  <c r="AP307" i="13"/>
  <c r="AS307" i="13"/>
  <c r="AR307" i="13"/>
  <c r="AK307" i="13"/>
  <c r="AJ307" i="13"/>
  <c r="AI307" i="13"/>
  <c r="AV307" i="13"/>
  <c r="AL307" i="13"/>
  <c r="AO307" i="13"/>
  <c r="AU307" i="13"/>
  <c r="AN307" i="13"/>
  <c r="AW307" i="13"/>
  <c r="AM307" i="13"/>
  <c r="AJ311" i="13"/>
  <c r="AO311" i="13"/>
  <c r="AT311" i="13"/>
  <c r="AM311" i="13"/>
  <c r="AL311" i="13"/>
  <c r="AK311" i="13"/>
  <c r="AW311" i="13"/>
  <c r="AS311" i="13"/>
  <c r="AV311" i="13"/>
  <c r="AU311" i="13"/>
  <c r="AN311" i="13"/>
  <c r="AX311" i="13"/>
  <c r="AZ311" i="13"/>
  <c r="AI311" i="13"/>
  <c r="AP311" i="13"/>
  <c r="AY311" i="13"/>
  <c r="BA311" i="13"/>
  <c r="AQ311" i="13"/>
  <c r="AR311" i="13"/>
  <c r="AR330" i="13"/>
  <c r="AK330" i="13"/>
  <c r="AJ330" i="13"/>
  <c r="AO330" i="13"/>
  <c r="AN330" i="13"/>
  <c r="AQ330" i="13"/>
  <c r="AM330" i="13"/>
  <c r="AZ330" i="13"/>
  <c r="AX330" i="13"/>
  <c r="AS330" i="13"/>
  <c r="BA330" i="13"/>
  <c r="AT330" i="13"/>
  <c r="AV330" i="13"/>
  <c r="AY330" i="13"/>
  <c r="AL330" i="13"/>
  <c r="AI330" i="13"/>
  <c r="AW330" i="13"/>
  <c r="AP330" i="13"/>
  <c r="AU330" i="13"/>
  <c r="AN334" i="13"/>
  <c r="AM334" i="13"/>
  <c r="AL334" i="13"/>
  <c r="AK334" i="13"/>
  <c r="AJ334" i="13"/>
  <c r="AU334" i="13"/>
  <c r="BA334" i="13"/>
  <c r="AO334" i="13"/>
  <c r="AI334" i="13"/>
  <c r="AT334" i="13"/>
  <c r="AR334" i="13"/>
  <c r="AP334" i="13"/>
  <c r="AY334" i="13"/>
  <c r="AW334" i="13"/>
  <c r="AX334" i="13"/>
  <c r="AQ334" i="13"/>
  <c r="AS334" i="13"/>
  <c r="AV334" i="13"/>
  <c r="AZ334" i="13"/>
  <c r="AV544" i="13"/>
  <c r="AU544" i="13"/>
  <c r="AZ544" i="13"/>
  <c r="AS544" i="13"/>
  <c r="AR544" i="13"/>
  <c r="AP544" i="13"/>
  <c r="AI544" i="13"/>
  <c r="AY544" i="13"/>
  <c r="AL544" i="13"/>
  <c r="AN544" i="13"/>
  <c r="AJ544" i="13"/>
  <c r="AQ544" i="13"/>
  <c r="AM544" i="13"/>
  <c r="AW544" i="13"/>
  <c r="BA544" i="13"/>
  <c r="AT544" i="13"/>
  <c r="AK544" i="13"/>
  <c r="AO544" i="13"/>
  <c r="AX544" i="13"/>
  <c r="AW548" i="13"/>
  <c r="AV548" i="13"/>
  <c r="BA548" i="13"/>
  <c r="AZ548" i="13"/>
  <c r="AQ548" i="13"/>
  <c r="AJ548" i="13"/>
  <c r="AI548" i="13"/>
  <c r="AX548" i="13"/>
  <c r="AK548" i="13"/>
  <c r="AM548" i="13"/>
  <c r="AT548" i="13"/>
  <c r="AR548" i="13"/>
  <c r="AU548" i="13"/>
  <c r="AS548" i="13"/>
  <c r="AY548" i="13"/>
  <c r="AP548" i="13"/>
  <c r="AO548" i="13"/>
  <c r="AL548" i="13"/>
  <c r="AN548" i="13"/>
  <c r="AZ552" i="13"/>
  <c r="AY552" i="13"/>
  <c r="AI552" i="13"/>
  <c r="AW552" i="13"/>
  <c r="AP552" i="13"/>
  <c r="AT552" i="13"/>
  <c r="AS552" i="13"/>
  <c r="AX552" i="13"/>
  <c r="AQ552" i="13"/>
  <c r="AJ552" i="13"/>
  <c r="AO552" i="13"/>
  <c r="AL552" i="13"/>
  <c r="AM552" i="13"/>
  <c r="AK552" i="13"/>
  <c r="AN552" i="13"/>
  <c r="AU552" i="13"/>
  <c r="BA552" i="13"/>
  <c r="AR552" i="13"/>
  <c r="AV552" i="13"/>
  <c r="AJ556" i="13"/>
  <c r="AO556" i="13"/>
  <c r="AT556" i="13"/>
  <c r="AM556" i="13"/>
  <c r="AQ556" i="13"/>
  <c r="AV556" i="13"/>
  <c r="AU556" i="13"/>
  <c r="AN556" i="13"/>
  <c r="AR556" i="13"/>
  <c r="BA556" i="13"/>
  <c r="AX556" i="13"/>
  <c r="AP556" i="13"/>
  <c r="AI556" i="13"/>
  <c r="AY556" i="13"/>
  <c r="AL556" i="13"/>
  <c r="AK556" i="13"/>
  <c r="AW556" i="13"/>
  <c r="AS556" i="13"/>
  <c r="AZ556" i="13"/>
  <c r="AZ30" i="13"/>
  <c r="AW30" i="13"/>
  <c r="AP30" i="13"/>
  <c r="AU30" i="13"/>
  <c r="AY30" i="13"/>
  <c r="AX30" i="13"/>
  <c r="AQ30" i="13"/>
  <c r="AJ30" i="13"/>
  <c r="AO30" i="13"/>
  <c r="AM30" i="13"/>
  <c r="AV30" i="13"/>
  <c r="AT30" i="13"/>
  <c r="AR30" i="13"/>
  <c r="AN30" i="13"/>
  <c r="AK30" i="13"/>
  <c r="BA30" i="13"/>
  <c r="AL30" i="13"/>
  <c r="AI30" i="13"/>
  <c r="AS30" i="13"/>
  <c r="AZ6" i="13"/>
  <c r="AY6" i="13"/>
  <c r="AX6" i="13"/>
  <c r="AQ6" i="13"/>
  <c r="AJ6" i="13"/>
  <c r="AT6" i="13"/>
  <c r="AS6" i="13"/>
  <c r="AR6" i="13"/>
  <c r="AK6" i="13"/>
  <c r="AO6" i="13"/>
  <c r="BA6" i="13"/>
  <c r="AW6" i="13"/>
  <c r="AM6" i="13"/>
  <c r="AV6" i="13"/>
  <c r="AN6" i="13"/>
  <c r="AI6" i="13"/>
  <c r="AU6" i="13"/>
  <c r="AL6" i="13"/>
  <c r="AP6" i="13"/>
  <c r="BA28" i="13"/>
  <c r="AZ28" i="13"/>
  <c r="AY28" i="13"/>
  <c r="AR28" i="13"/>
  <c r="AQ28" i="13"/>
  <c r="AU28" i="13"/>
  <c r="AT28" i="13"/>
  <c r="AS28" i="13"/>
  <c r="AL28" i="13"/>
  <c r="AK28" i="13"/>
  <c r="AO28" i="13"/>
  <c r="AN28" i="13"/>
  <c r="AM28" i="13"/>
  <c r="AJ28" i="13"/>
  <c r="AV28" i="13"/>
  <c r="AX28" i="13"/>
  <c r="AW28" i="13"/>
  <c r="AP28" i="13"/>
  <c r="AI28" i="13"/>
  <c r="AK32" i="13"/>
  <c r="BA32" i="13"/>
  <c r="AL32" i="13"/>
  <c r="AR32" i="13"/>
  <c r="AX32" i="13"/>
  <c r="AW32" i="13"/>
  <c r="AJ32" i="13"/>
  <c r="AZ32" i="13"/>
  <c r="AS32" i="13"/>
  <c r="AQ32" i="13"/>
  <c r="AU32" i="13"/>
  <c r="AT32" i="13"/>
  <c r="AM32" i="13"/>
  <c r="AO32" i="13"/>
  <c r="AP32" i="13"/>
  <c r="AI32" i="13"/>
  <c r="AN32" i="13"/>
  <c r="AV32" i="13"/>
  <c r="AY32" i="13"/>
  <c r="AY36" i="13"/>
  <c r="AR36" i="13"/>
  <c r="AK36" i="13"/>
  <c r="AJ36" i="13"/>
  <c r="AO36" i="13"/>
  <c r="AS36" i="13"/>
  <c r="AL36" i="13"/>
  <c r="AT36" i="13"/>
  <c r="AN36" i="13"/>
  <c r="AI36" i="13"/>
  <c r="AQ36" i="13"/>
  <c r="AU36" i="13"/>
  <c r="AM36" i="13"/>
  <c r="AV36" i="13"/>
  <c r="AZ36" i="13"/>
  <c r="AW36" i="13"/>
  <c r="AP36" i="13"/>
  <c r="AX36" i="13"/>
  <c r="BA36" i="13"/>
  <c r="AO40" i="13"/>
  <c r="AT40" i="13"/>
  <c r="AM40" i="13"/>
  <c r="AJ40" i="13"/>
  <c r="AV40" i="13"/>
  <c r="AI40" i="13"/>
  <c r="AN40" i="13"/>
  <c r="AX40" i="13"/>
  <c r="AW40" i="13"/>
  <c r="AP40" i="13"/>
  <c r="AR40" i="13"/>
  <c r="AZ40" i="13"/>
  <c r="AL40" i="13"/>
  <c r="AS40" i="13"/>
  <c r="BA40" i="13"/>
  <c r="AQ40" i="13"/>
  <c r="AU40" i="13"/>
  <c r="AK40" i="13"/>
  <c r="AY40" i="13"/>
  <c r="AW44" i="13"/>
  <c r="AV44" i="13"/>
  <c r="AU44" i="13"/>
  <c r="AT44" i="13"/>
  <c r="AS44" i="13"/>
  <c r="AP44" i="13"/>
  <c r="AI44" i="13"/>
  <c r="AY44" i="13"/>
  <c r="AQ44" i="13"/>
  <c r="AJ44" i="13"/>
  <c r="AZ44" i="13"/>
  <c r="AM44" i="13"/>
  <c r="AK44" i="13"/>
  <c r="AN44" i="13"/>
  <c r="AO44" i="13"/>
  <c r="AX44" i="13"/>
  <c r="AL44" i="13"/>
  <c r="AR44" i="13"/>
  <c r="BA44" i="13"/>
  <c r="AM48" i="13"/>
  <c r="AL48" i="13"/>
  <c r="AT48" i="13"/>
  <c r="AZ48" i="13"/>
  <c r="AI48" i="13"/>
  <c r="AN48" i="13"/>
  <c r="AW48" i="13"/>
  <c r="AV48" i="13"/>
  <c r="BA48" i="13"/>
  <c r="AS48" i="13"/>
  <c r="AK48" i="13"/>
  <c r="AO48" i="13"/>
  <c r="AX48" i="13"/>
  <c r="AP48" i="13"/>
  <c r="AY48" i="13"/>
  <c r="AU48" i="13"/>
  <c r="AR48" i="13"/>
  <c r="AJ48" i="13"/>
  <c r="AQ48" i="13"/>
  <c r="BA52" i="13"/>
  <c r="AP52" i="13"/>
  <c r="AY52" i="13"/>
  <c r="AX52" i="13"/>
  <c r="AQ52" i="13"/>
  <c r="AU52" i="13"/>
  <c r="AZ52" i="13"/>
  <c r="AS52" i="13"/>
  <c r="AR52" i="13"/>
  <c r="AK52" i="13"/>
  <c r="AT52" i="13"/>
  <c r="AL52" i="13"/>
  <c r="AN52" i="13"/>
  <c r="AW52" i="13"/>
  <c r="AI52" i="13"/>
  <c r="AM52" i="13"/>
  <c r="AJ52" i="13"/>
  <c r="AO52" i="13"/>
  <c r="AV52" i="13"/>
  <c r="AK56" i="13"/>
  <c r="AJ56" i="13"/>
  <c r="AI56" i="13"/>
  <c r="AN56" i="13"/>
  <c r="AM56" i="13"/>
  <c r="AV56" i="13"/>
  <c r="AO56" i="13"/>
  <c r="AL56" i="13"/>
  <c r="AW56" i="13"/>
  <c r="AP56" i="13"/>
  <c r="AX56" i="13"/>
  <c r="AY56" i="13"/>
  <c r="BA56" i="13"/>
  <c r="AS56" i="13"/>
  <c r="AQ56" i="13"/>
  <c r="AT56" i="13"/>
  <c r="AR56" i="13"/>
  <c r="AU56" i="13"/>
  <c r="AZ56" i="13"/>
  <c r="AY60" i="13"/>
  <c r="AX60" i="13"/>
  <c r="AW60" i="13"/>
  <c r="AP60" i="13"/>
  <c r="AO60" i="13"/>
  <c r="AR60" i="13"/>
  <c r="AK60" i="13"/>
  <c r="AU60" i="13"/>
  <c r="AS60" i="13"/>
  <c r="AL60" i="13"/>
  <c r="AV60" i="13"/>
  <c r="AI60" i="13"/>
  <c r="AZ60" i="13"/>
  <c r="BA60" i="13"/>
  <c r="AN60" i="13"/>
  <c r="AT60" i="13"/>
  <c r="AM60" i="13"/>
  <c r="AQ60" i="13"/>
  <c r="AJ60" i="13"/>
  <c r="AO64" i="13"/>
  <c r="AN64" i="13"/>
  <c r="AV64" i="13"/>
  <c r="AJ64" i="13"/>
  <c r="AP64" i="13"/>
  <c r="AI64" i="13"/>
  <c r="AY64" i="13"/>
  <c r="AX64" i="13"/>
  <c r="AW64" i="13"/>
  <c r="BA64" i="13"/>
  <c r="AS64" i="13"/>
  <c r="AQ64" i="13"/>
  <c r="AU64" i="13"/>
  <c r="AM64" i="13"/>
  <c r="AK64" i="13"/>
  <c r="AL64" i="13"/>
  <c r="AZ64" i="13"/>
  <c r="AR64" i="13"/>
  <c r="AT64" i="13"/>
  <c r="AW68" i="13"/>
  <c r="AV68" i="13"/>
  <c r="AU68" i="13"/>
  <c r="AZ68" i="13"/>
  <c r="AS68" i="13"/>
  <c r="AQ68" i="13"/>
  <c r="AP68" i="13"/>
  <c r="AO68" i="13"/>
  <c r="AT68" i="13"/>
  <c r="AM68" i="13"/>
  <c r="AJ68" i="13"/>
  <c r="AN68" i="13"/>
  <c r="AK68" i="13"/>
  <c r="AL68" i="13"/>
  <c r="AX68" i="13"/>
  <c r="AY68" i="13"/>
  <c r="BA68" i="13"/>
  <c r="AR68" i="13"/>
  <c r="AI68" i="13"/>
  <c r="AM99" i="13"/>
  <c r="AL99" i="13"/>
  <c r="AK99" i="13"/>
  <c r="AJ99" i="13"/>
  <c r="AI99" i="13"/>
  <c r="AX99" i="13"/>
  <c r="AQ99" i="13"/>
  <c r="BA99" i="13"/>
  <c r="AY99" i="13"/>
  <c r="AR99" i="13"/>
  <c r="AZ99" i="13"/>
  <c r="AU99" i="13"/>
  <c r="AW99" i="13"/>
  <c r="AS99" i="13"/>
  <c r="AV99" i="13"/>
  <c r="AT99" i="13"/>
  <c r="AP99" i="13"/>
  <c r="AO99" i="13"/>
  <c r="AN99" i="13"/>
  <c r="BA103" i="13"/>
  <c r="AZ103" i="13"/>
  <c r="AY103" i="13"/>
  <c r="AX103" i="13"/>
  <c r="AQ103" i="13"/>
  <c r="AU103" i="13"/>
  <c r="AT103" i="13"/>
  <c r="AS103" i="13"/>
  <c r="AR103" i="13"/>
  <c r="AK103" i="13"/>
  <c r="AO103" i="13"/>
  <c r="AM103" i="13"/>
  <c r="AP103" i="13"/>
  <c r="AI103" i="13"/>
  <c r="AJ103" i="13"/>
  <c r="AV103" i="13"/>
  <c r="AL103" i="13"/>
  <c r="AN103" i="13"/>
  <c r="AW103" i="13"/>
  <c r="AK107" i="13"/>
  <c r="AR107" i="13"/>
  <c r="AI107" i="13"/>
  <c r="AN107" i="13"/>
  <c r="AL107" i="13"/>
  <c r="AV107" i="13"/>
  <c r="BA107" i="13"/>
  <c r="AX107" i="13"/>
  <c r="AY107" i="13"/>
  <c r="AW107" i="13"/>
  <c r="AU107" i="13"/>
  <c r="AS107" i="13"/>
  <c r="AJ107" i="13"/>
  <c r="AM107" i="13"/>
  <c r="AO107" i="13"/>
  <c r="AQ107" i="13"/>
  <c r="AZ107" i="13"/>
  <c r="AP107" i="13"/>
  <c r="AT107" i="13"/>
  <c r="AY111" i="13"/>
  <c r="AR111" i="13"/>
  <c r="AQ111" i="13"/>
  <c r="AP111" i="13"/>
  <c r="AO111" i="13"/>
  <c r="AX111" i="13"/>
  <c r="AK111" i="13"/>
  <c r="BA111" i="13"/>
  <c r="AL111" i="13"/>
  <c r="AZ111" i="13"/>
  <c r="AU111" i="13"/>
  <c r="AM111" i="13"/>
  <c r="AJ111" i="13"/>
  <c r="AT111" i="13"/>
  <c r="AI111" i="13"/>
  <c r="AV111" i="13"/>
  <c r="AN111" i="13"/>
  <c r="AS111" i="13"/>
  <c r="AW111" i="13"/>
  <c r="AO115" i="13"/>
  <c r="AT115" i="13"/>
  <c r="AM115" i="13"/>
  <c r="AL115" i="13"/>
  <c r="AK115" i="13"/>
  <c r="AI115" i="13"/>
  <c r="AN115" i="13"/>
  <c r="AJ115" i="13"/>
  <c r="AP115" i="13"/>
  <c r="AV115" i="13"/>
  <c r="AX115" i="13"/>
  <c r="AZ115" i="13"/>
  <c r="AR115" i="13"/>
  <c r="AU115" i="13"/>
  <c r="AQ115" i="13"/>
  <c r="AY115" i="13"/>
  <c r="BA115" i="13"/>
  <c r="AS115" i="13"/>
  <c r="AW115" i="13"/>
  <c r="AW119" i="13"/>
  <c r="AP119" i="13"/>
  <c r="AO119" i="13"/>
  <c r="AT119" i="13"/>
  <c r="AS119" i="13"/>
  <c r="AQ119" i="13"/>
  <c r="AJ119" i="13"/>
  <c r="AI119" i="13"/>
  <c r="AN119" i="13"/>
  <c r="AM119" i="13"/>
  <c r="AK119" i="13"/>
  <c r="AR119" i="13"/>
  <c r="AL119" i="13"/>
  <c r="AZ119" i="13"/>
  <c r="AV119" i="13"/>
  <c r="AX119" i="13"/>
  <c r="BA119" i="13"/>
  <c r="AY119" i="13"/>
  <c r="AU119" i="13"/>
  <c r="AM123" i="13"/>
  <c r="AX123" i="13"/>
  <c r="AW123" i="13"/>
  <c r="AP123" i="13"/>
  <c r="AU123" i="13"/>
  <c r="AR123" i="13"/>
  <c r="AQ123" i="13"/>
  <c r="AJ123" i="13"/>
  <c r="AO123" i="13"/>
  <c r="AT123" i="13"/>
  <c r="BA123" i="13"/>
  <c r="AY123" i="13"/>
  <c r="AK123" i="13"/>
  <c r="AI123" i="13"/>
  <c r="AN123" i="13"/>
  <c r="AS123" i="13"/>
  <c r="AZ123" i="13"/>
  <c r="AL123" i="13"/>
  <c r="AV123" i="13"/>
  <c r="BA127" i="13"/>
  <c r="AJ127" i="13"/>
  <c r="AY127" i="13"/>
  <c r="AX127" i="13"/>
  <c r="AQ127" i="13"/>
  <c r="AU127" i="13"/>
  <c r="AZ127" i="13"/>
  <c r="AS127" i="13"/>
  <c r="AR127" i="13"/>
  <c r="AK127" i="13"/>
  <c r="AT127" i="13"/>
  <c r="AL127" i="13"/>
  <c r="AN127" i="13"/>
  <c r="AW127" i="13"/>
  <c r="AV127" i="13"/>
  <c r="AO127" i="13"/>
  <c r="AP127" i="13"/>
  <c r="AI127" i="13"/>
  <c r="AM127" i="13"/>
  <c r="AK131" i="13"/>
  <c r="AJ131" i="13"/>
  <c r="AO131" i="13"/>
  <c r="AN131" i="13"/>
  <c r="AM131" i="13"/>
  <c r="AR131" i="13"/>
  <c r="AX131" i="13"/>
  <c r="AI131" i="13"/>
  <c r="AL131" i="13"/>
  <c r="AV131" i="13"/>
  <c r="AZ131" i="13"/>
  <c r="AP131" i="13"/>
  <c r="AY131" i="13"/>
  <c r="BA131" i="13"/>
  <c r="AS131" i="13"/>
  <c r="AW131" i="13"/>
  <c r="AU131" i="13"/>
  <c r="AQ131" i="13"/>
  <c r="AT131" i="13"/>
  <c r="AS135" i="13"/>
  <c r="AL135" i="13"/>
  <c r="AT135" i="13"/>
  <c r="AZ135" i="13"/>
  <c r="AI135" i="13"/>
  <c r="AM135" i="13"/>
  <c r="AW135" i="13"/>
  <c r="AV135" i="13"/>
  <c r="BA135" i="13"/>
  <c r="AN135" i="13"/>
  <c r="AY135" i="13"/>
  <c r="AK135" i="13"/>
  <c r="AO135" i="13"/>
  <c r="AX135" i="13"/>
  <c r="AP135" i="13"/>
  <c r="AQ135" i="13"/>
  <c r="AJ135" i="13"/>
  <c r="AU135" i="13"/>
  <c r="AR135" i="13"/>
  <c r="AO139" i="13"/>
  <c r="AT139" i="13"/>
  <c r="AM139" i="13"/>
  <c r="AL139" i="13"/>
  <c r="AV139" i="13"/>
  <c r="AI139" i="13"/>
  <c r="AN139" i="13"/>
  <c r="AP139" i="13"/>
  <c r="AW139" i="13"/>
  <c r="BA139" i="13"/>
  <c r="AY139" i="13"/>
  <c r="AQ139" i="13"/>
  <c r="AU139" i="13"/>
  <c r="AS139" i="13"/>
  <c r="AK139" i="13"/>
  <c r="AZ139" i="13"/>
  <c r="AX139" i="13"/>
  <c r="AJ139" i="13"/>
  <c r="AR139" i="13"/>
  <c r="AW143" i="13"/>
  <c r="AV143" i="13"/>
  <c r="AU143" i="13"/>
  <c r="AT143" i="13"/>
  <c r="AS143" i="13"/>
  <c r="AQ143" i="13"/>
  <c r="AP143" i="13"/>
  <c r="AO143" i="13"/>
  <c r="AN143" i="13"/>
  <c r="AM143" i="13"/>
  <c r="AJ143" i="13"/>
  <c r="AX143" i="13"/>
  <c r="AI143" i="13"/>
  <c r="AK143" i="13"/>
  <c r="AZ143" i="13"/>
  <c r="AR143" i="13"/>
  <c r="AY143" i="13"/>
  <c r="BA143" i="13"/>
  <c r="AL143" i="13"/>
  <c r="AX147" i="13"/>
  <c r="AW147" i="13"/>
  <c r="AV147" i="13"/>
  <c r="BA147" i="13"/>
  <c r="AY147" i="13"/>
  <c r="AR147" i="13"/>
  <c r="AQ147" i="13"/>
  <c r="AP147" i="13"/>
  <c r="AU147" i="13"/>
  <c r="AM147" i="13"/>
  <c r="AZ147" i="13"/>
  <c r="AI147" i="13"/>
  <c r="AL147" i="13"/>
  <c r="AJ147" i="13"/>
  <c r="AS147" i="13"/>
  <c r="AO147" i="13"/>
  <c r="AN147" i="13"/>
  <c r="AK147" i="13"/>
  <c r="AT147" i="13"/>
  <c r="BA151" i="13"/>
  <c r="AZ151" i="13"/>
  <c r="AS151" i="13"/>
  <c r="AR151" i="13"/>
  <c r="AQ151" i="13"/>
  <c r="AU151" i="13"/>
  <c r="AT151" i="13"/>
  <c r="AM151" i="13"/>
  <c r="AL151" i="13"/>
  <c r="AO151" i="13"/>
  <c r="AV151" i="13"/>
  <c r="AK151" i="13"/>
  <c r="AI151" i="13"/>
  <c r="AX151" i="13"/>
  <c r="AJ151" i="13"/>
  <c r="AW151" i="13"/>
  <c r="AN151" i="13"/>
  <c r="AP151" i="13"/>
  <c r="AY151" i="13"/>
  <c r="AK155" i="13"/>
  <c r="AX155" i="13"/>
  <c r="AI155" i="13"/>
  <c r="AN155" i="13"/>
  <c r="AM155" i="13"/>
  <c r="AV155" i="13"/>
  <c r="BA155" i="13"/>
  <c r="AL155" i="13"/>
  <c r="AR155" i="13"/>
  <c r="AW155" i="13"/>
  <c r="AU155" i="13"/>
  <c r="AY155" i="13"/>
  <c r="AP155" i="13"/>
  <c r="AT155" i="13"/>
  <c r="AJ155" i="13"/>
  <c r="AS155" i="13"/>
  <c r="AO155" i="13"/>
  <c r="AZ155" i="13"/>
  <c r="AQ155" i="13"/>
  <c r="AS159" i="13"/>
  <c r="AR159" i="13"/>
  <c r="AK159" i="13"/>
  <c r="AT159" i="13"/>
  <c r="AI159" i="13"/>
  <c r="AM159" i="13"/>
  <c r="AL159" i="13"/>
  <c r="AV159" i="13"/>
  <c r="BA159" i="13"/>
  <c r="AZ159" i="13"/>
  <c r="AX159" i="13"/>
  <c r="AJ159" i="13"/>
  <c r="AW159" i="13"/>
  <c r="AU159" i="13"/>
  <c r="AP159" i="13"/>
  <c r="AY159" i="13"/>
  <c r="AO159" i="13"/>
  <c r="AN159" i="13"/>
  <c r="AQ159" i="13"/>
  <c r="AI163" i="13"/>
  <c r="AV163" i="13"/>
  <c r="AX163" i="13"/>
  <c r="AW163" i="13"/>
  <c r="BA163" i="13"/>
  <c r="AZ163" i="13"/>
  <c r="AY163" i="13"/>
  <c r="AR163" i="13"/>
  <c r="AQ163" i="13"/>
  <c r="AO163" i="13"/>
  <c r="AM163" i="13"/>
  <c r="AJ163" i="13"/>
  <c r="AT163" i="13"/>
  <c r="AL163" i="13"/>
  <c r="AS163" i="13"/>
  <c r="AP163" i="13"/>
  <c r="AN163" i="13"/>
  <c r="AK163" i="13"/>
  <c r="AU163" i="13"/>
  <c r="AW217" i="13"/>
  <c r="AP217" i="13"/>
  <c r="AO217" i="13"/>
  <c r="AT217" i="13"/>
  <c r="AS217" i="13"/>
  <c r="AQ217" i="13"/>
  <c r="AJ217" i="13"/>
  <c r="AI217" i="13"/>
  <c r="AN217" i="13"/>
  <c r="AM217" i="13"/>
  <c r="AK217" i="13"/>
  <c r="AR217" i="13"/>
  <c r="AL217" i="13"/>
  <c r="AU217" i="13"/>
  <c r="AZ217" i="13"/>
  <c r="AV217" i="13"/>
  <c r="AX217" i="13"/>
  <c r="AY217" i="13"/>
  <c r="BA217" i="13"/>
  <c r="AN221" i="13"/>
  <c r="AW221" i="13"/>
  <c r="AP221" i="13"/>
  <c r="AU221" i="13"/>
  <c r="AY221" i="13"/>
  <c r="AX221" i="13"/>
  <c r="AQ221" i="13"/>
  <c r="AJ221" i="13"/>
  <c r="AO221" i="13"/>
  <c r="AL221" i="13"/>
  <c r="BA221" i="13"/>
  <c r="AS221" i="13"/>
  <c r="AK221" i="13"/>
  <c r="AI221" i="13"/>
  <c r="AR221" i="13"/>
  <c r="AV221" i="13"/>
  <c r="AZ221" i="13"/>
  <c r="AM221" i="13"/>
  <c r="AT221" i="13"/>
  <c r="AU251" i="13"/>
  <c r="AT251" i="13"/>
  <c r="AM251" i="13"/>
  <c r="AL251" i="13"/>
  <c r="AK251" i="13"/>
  <c r="AO251" i="13"/>
  <c r="AN251" i="13"/>
  <c r="AV251" i="13"/>
  <c r="AP251" i="13"/>
  <c r="AJ251" i="13"/>
  <c r="AZ251" i="13"/>
  <c r="AR251" i="13"/>
  <c r="AY251" i="13"/>
  <c r="AW251" i="13"/>
  <c r="AI251" i="13"/>
  <c r="AS251" i="13"/>
  <c r="BA251" i="13"/>
  <c r="AX251" i="13"/>
  <c r="AQ251" i="13"/>
  <c r="AK275" i="13"/>
  <c r="AL275" i="13"/>
  <c r="AI275" i="13"/>
  <c r="AX275" i="13"/>
  <c r="AR275" i="13"/>
  <c r="BA275" i="13"/>
  <c r="AZ275" i="13"/>
  <c r="AY275" i="13"/>
  <c r="AV275" i="13"/>
  <c r="AO275" i="13"/>
  <c r="AM275" i="13"/>
  <c r="AQ275" i="13"/>
  <c r="AT275" i="13"/>
  <c r="AP275" i="13"/>
  <c r="AN275" i="13"/>
  <c r="AJ275" i="13"/>
  <c r="AS275" i="13"/>
  <c r="AW275" i="13"/>
  <c r="AU275" i="13"/>
  <c r="AS279" i="13"/>
  <c r="AL279" i="13"/>
  <c r="AK279" i="13"/>
  <c r="AT279" i="13"/>
  <c r="AI279" i="13"/>
  <c r="AM279" i="13"/>
  <c r="AN279" i="13"/>
  <c r="AV279" i="13"/>
  <c r="BA279" i="13"/>
  <c r="AZ279" i="13"/>
  <c r="AY279" i="13"/>
  <c r="AQ279" i="13"/>
  <c r="AO279" i="13"/>
  <c r="AX279" i="13"/>
  <c r="AP279" i="13"/>
  <c r="AU279" i="13"/>
  <c r="AR279" i="13"/>
  <c r="AW279" i="13"/>
  <c r="AJ279" i="13"/>
  <c r="AI300" i="13"/>
  <c r="AN300" i="13"/>
  <c r="AM300" i="13"/>
  <c r="AJ300" i="13"/>
  <c r="BA300" i="13"/>
  <c r="AP300" i="13"/>
  <c r="AV300" i="13"/>
  <c r="AX300" i="13"/>
  <c r="AW300" i="13"/>
  <c r="AT300" i="13"/>
  <c r="AL300" i="13"/>
  <c r="AU300" i="13"/>
  <c r="AY300" i="13"/>
  <c r="AQ300" i="13"/>
  <c r="AR300" i="13"/>
  <c r="AO300" i="13"/>
  <c r="AK300" i="13"/>
  <c r="AZ300" i="13"/>
  <c r="AS300" i="13"/>
  <c r="AW304" i="13"/>
  <c r="AV304" i="13"/>
  <c r="AU304" i="13"/>
  <c r="AT304" i="13"/>
  <c r="AS304" i="13"/>
  <c r="AQ304" i="13"/>
  <c r="AP304" i="13"/>
  <c r="AO304" i="13"/>
  <c r="AN304" i="13"/>
  <c r="AM304" i="13"/>
  <c r="AX304" i="13"/>
  <c r="AZ304" i="13"/>
  <c r="AJ304" i="13"/>
  <c r="AY304" i="13"/>
  <c r="BA304" i="13"/>
  <c r="AR304" i="13"/>
  <c r="AI304" i="13"/>
  <c r="AL304" i="13"/>
  <c r="AK304" i="13"/>
  <c r="AX308" i="13"/>
  <c r="AW308" i="13"/>
  <c r="AV308" i="13"/>
  <c r="AU308" i="13"/>
  <c r="AY308" i="13"/>
  <c r="AR308" i="13"/>
  <c r="AQ308" i="13"/>
  <c r="AP308" i="13"/>
  <c r="AO308" i="13"/>
  <c r="AM308" i="13"/>
  <c r="AN308" i="13"/>
  <c r="AZ308" i="13"/>
  <c r="AL308" i="13"/>
  <c r="AJ308" i="13"/>
  <c r="AK308" i="13"/>
  <c r="BA308" i="13"/>
  <c r="AS308" i="13"/>
  <c r="AI308" i="13"/>
  <c r="AT308" i="13"/>
  <c r="AU312" i="13"/>
  <c r="AZ312" i="13"/>
  <c r="AS312" i="13"/>
  <c r="AR312" i="13"/>
  <c r="AK312" i="13"/>
  <c r="AO312" i="13"/>
  <c r="AT312" i="13"/>
  <c r="AM312" i="13"/>
  <c r="AL312" i="13"/>
  <c r="AJ312" i="13"/>
  <c r="BA312" i="13"/>
  <c r="AY312" i="13"/>
  <c r="AQ312" i="13"/>
  <c r="AI312" i="13"/>
  <c r="AV312" i="13"/>
  <c r="AN312" i="13"/>
  <c r="AX312" i="13"/>
  <c r="AW312" i="13"/>
  <c r="AP312" i="13"/>
  <c r="AK331" i="13"/>
  <c r="AP331" i="13"/>
  <c r="AU331" i="13"/>
  <c r="AT331" i="13"/>
  <c r="AM331" i="13"/>
  <c r="AR331" i="13"/>
  <c r="AJ331" i="13"/>
  <c r="AO331" i="13"/>
  <c r="AN331" i="13"/>
  <c r="AV331" i="13"/>
  <c r="AZ331" i="13"/>
  <c r="AW331" i="13"/>
  <c r="BA331" i="13"/>
  <c r="AQ331" i="13"/>
  <c r="AI331" i="13"/>
  <c r="AL331" i="13"/>
  <c r="AY331" i="13"/>
  <c r="AX331" i="13"/>
  <c r="AS331" i="13"/>
  <c r="AS541" i="13"/>
  <c r="AR541" i="13"/>
  <c r="AQ541" i="13"/>
  <c r="AJ541" i="13"/>
  <c r="AI541" i="13"/>
  <c r="AM541" i="13"/>
  <c r="AL541" i="13"/>
  <c r="AK541" i="13"/>
  <c r="BA541" i="13"/>
  <c r="AN541" i="13"/>
  <c r="AX541" i="13"/>
  <c r="AP541" i="13"/>
  <c r="AU541" i="13"/>
  <c r="AZ541" i="13"/>
  <c r="AT541" i="13"/>
  <c r="AW541" i="13"/>
  <c r="AV541" i="13"/>
  <c r="AY541" i="13"/>
  <c r="AO541" i="13"/>
  <c r="AI545" i="13"/>
  <c r="AN545" i="13"/>
  <c r="BA545" i="13"/>
  <c r="AJ545" i="13"/>
  <c r="AO545" i="13"/>
  <c r="AS545" i="13"/>
  <c r="AR545" i="13"/>
  <c r="AQ545" i="13"/>
  <c r="AZ545" i="13"/>
  <c r="AM545" i="13"/>
  <c r="AL545" i="13"/>
  <c r="AK545" i="13"/>
  <c r="AU545" i="13"/>
  <c r="AX545" i="13"/>
  <c r="AT545" i="13"/>
  <c r="AV545" i="13"/>
  <c r="AP545" i="13"/>
  <c r="AW545" i="13"/>
  <c r="AY545" i="13"/>
  <c r="AW549" i="13"/>
  <c r="AV549" i="13"/>
  <c r="AU549" i="13"/>
  <c r="AT549" i="13"/>
  <c r="AS549" i="13"/>
  <c r="AQ549" i="13"/>
  <c r="AP549" i="13"/>
  <c r="AO549" i="13"/>
  <c r="AN549" i="13"/>
  <c r="AM549" i="13"/>
  <c r="AJ549" i="13"/>
  <c r="AR549" i="13"/>
  <c r="BA549" i="13"/>
  <c r="AY549" i="13"/>
  <c r="AK549" i="13"/>
  <c r="AI549" i="13"/>
  <c r="AX549" i="13"/>
  <c r="AZ549" i="13"/>
  <c r="AL549" i="13"/>
  <c r="AT553" i="13"/>
  <c r="AW553" i="13"/>
  <c r="AP553" i="13"/>
  <c r="AU553" i="13"/>
  <c r="AY553" i="13"/>
  <c r="AX553" i="13"/>
  <c r="AQ553" i="13"/>
  <c r="AJ553" i="13"/>
  <c r="AO553" i="13"/>
  <c r="AL553" i="13"/>
  <c r="BA553" i="13"/>
  <c r="AS553" i="13"/>
  <c r="AK553" i="13"/>
  <c r="AI553" i="13"/>
  <c r="AN553" i="13"/>
  <c r="AM553" i="13"/>
  <c r="AZ553" i="13"/>
  <c r="AR553" i="13"/>
  <c r="AV553" i="13"/>
  <c r="AI557" i="13"/>
  <c r="AN557" i="13"/>
  <c r="AX557" i="13"/>
  <c r="AW557" i="13"/>
  <c r="BA557" i="13"/>
  <c r="AJ557" i="13"/>
  <c r="AY557" i="13"/>
  <c r="AR557" i="13"/>
  <c r="AQ557" i="13"/>
  <c r="AT557" i="13"/>
  <c r="AV557" i="13"/>
  <c r="AU557" i="13"/>
  <c r="AS557" i="13"/>
  <c r="AK557" i="13"/>
  <c r="AZ557" i="13"/>
  <c r="AM557" i="13"/>
  <c r="AP557" i="13"/>
  <c r="AO557" i="13"/>
  <c r="AL557" i="13"/>
  <c r="AJ27" i="13"/>
  <c r="AO27" i="13"/>
  <c r="AN27" i="13"/>
  <c r="AM27" i="13"/>
  <c r="AK27" i="13"/>
  <c r="AQ27" i="13"/>
  <c r="AI27" i="13"/>
  <c r="AW27" i="13"/>
  <c r="AX27" i="13"/>
  <c r="AV27" i="13"/>
  <c r="AZ27" i="13"/>
  <c r="AR27" i="13"/>
  <c r="AP27" i="13"/>
  <c r="AT27" i="13"/>
  <c r="AL27" i="13"/>
  <c r="BA27" i="13"/>
  <c r="AY27" i="13"/>
  <c r="AS27" i="13"/>
  <c r="AU27" i="13"/>
  <c r="AX7" i="13"/>
  <c r="AW7" i="13"/>
  <c r="AP7" i="13"/>
  <c r="AU7" i="13"/>
  <c r="AT7" i="13"/>
  <c r="AR7" i="13"/>
  <c r="AQ7" i="13"/>
  <c r="AJ7" i="13"/>
  <c r="AO7" i="13"/>
  <c r="AN7" i="13"/>
  <c r="AS7" i="13"/>
  <c r="BA7" i="13"/>
  <c r="AK7" i="13"/>
  <c r="AI7" i="13"/>
  <c r="AY7" i="13"/>
  <c r="AZ7" i="13"/>
  <c r="AL7" i="13"/>
  <c r="AM7" i="13"/>
  <c r="AV7" i="13"/>
  <c r="AT29" i="13"/>
  <c r="AS29" i="13"/>
  <c r="AR29" i="13"/>
  <c r="AQ29" i="13"/>
  <c r="AJ29" i="13"/>
  <c r="AN29" i="13"/>
  <c r="AM29" i="13"/>
  <c r="AL29" i="13"/>
  <c r="AK29" i="13"/>
  <c r="AI29" i="13"/>
  <c r="AZ29" i="13"/>
  <c r="AX29" i="13"/>
  <c r="AP29" i="13"/>
  <c r="AO29" i="13"/>
  <c r="AU29" i="13"/>
  <c r="AV29" i="13"/>
  <c r="AY29" i="13"/>
  <c r="AW29" i="13"/>
  <c r="BA29" i="13"/>
  <c r="AQ33" i="13"/>
  <c r="AI33" i="13"/>
  <c r="AN33" i="13"/>
  <c r="AX33" i="13"/>
  <c r="AV33" i="13"/>
  <c r="BA33" i="13"/>
  <c r="AK33" i="13"/>
  <c r="AY33" i="13"/>
  <c r="AU33" i="13"/>
  <c r="AS33" i="13"/>
  <c r="AW33" i="13"/>
  <c r="AO33" i="13"/>
  <c r="AM33" i="13"/>
  <c r="AP33" i="13"/>
  <c r="AZ33" i="13"/>
  <c r="AR33" i="13"/>
  <c r="AL33" i="13"/>
  <c r="AJ33" i="13"/>
  <c r="AT33" i="13"/>
  <c r="AL37" i="13"/>
  <c r="AK37" i="13"/>
  <c r="AJ37" i="13"/>
  <c r="AI37" i="13"/>
  <c r="AY37" i="13"/>
  <c r="AM37" i="13"/>
  <c r="AS37" i="13"/>
  <c r="BA37" i="13"/>
  <c r="AZ37" i="13"/>
  <c r="AQ37" i="13"/>
  <c r="AO37" i="13"/>
  <c r="AX37" i="13"/>
  <c r="AV37" i="13"/>
  <c r="AT37" i="13"/>
  <c r="AW37" i="13"/>
  <c r="AP37" i="13"/>
  <c r="AU37" i="13"/>
  <c r="AR37" i="13"/>
  <c r="AN37" i="13"/>
  <c r="BA41" i="13"/>
  <c r="AO41" i="13"/>
  <c r="AI41" i="13"/>
  <c r="AV41" i="13"/>
  <c r="AZ41" i="13"/>
  <c r="AY41" i="13"/>
  <c r="AX41" i="13"/>
  <c r="AW41" i="13"/>
  <c r="AP41" i="13"/>
  <c r="AN41" i="13"/>
  <c r="AL41" i="13"/>
  <c r="AU41" i="13"/>
  <c r="AS41" i="13"/>
  <c r="AQ41" i="13"/>
  <c r="AR41" i="13"/>
  <c r="AK41" i="13"/>
  <c r="AM41" i="13"/>
  <c r="AJ41" i="13"/>
  <c r="AT41" i="13"/>
  <c r="AP45" i="13"/>
  <c r="AO45" i="13"/>
  <c r="AT45" i="13"/>
  <c r="AS45" i="13"/>
  <c r="AL45" i="13"/>
  <c r="AJ45" i="13"/>
  <c r="AQ45" i="13"/>
  <c r="AY45" i="13"/>
  <c r="AW45" i="13"/>
  <c r="BA45" i="13"/>
  <c r="AZ45" i="13"/>
  <c r="AM45" i="13"/>
  <c r="AU45" i="13"/>
  <c r="AN45" i="13"/>
  <c r="AX45" i="13"/>
  <c r="AI45" i="13"/>
  <c r="AK45" i="13"/>
  <c r="AR45" i="13"/>
  <c r="AV45" i="13"/>
  <c r="AX49" i="13"/>
  <c r="AQ49" i="13"/>
  <c r="AJ49" i="13"/>
  <c r="AO49" i="13"/>
  <c r="AN49" i="13"/>
  <c r="AW49" i="13"/>
  <c r="AS49" i="13"/>
  <c r="AZ49" i="13"/>
  <c r="BA49" i="13"/>
  <c r="AT49" i="13"/>
  <c r="AK49" i="13"/>
  <c r="AP49" i="13"/>
  <c r="AM49" i="13"/>
  <c r="AR49" i="13"/>
  <c r="AU49" i="13"/>
  <c r="AL49" i="13"/>
  <c r="AI49" i="13"/>
  <c r="AV49" i="13"/>
  <c r="AY49" i="13"/>
  <c r="AT53" i="13"/>
  <c r="AM53" i="13"/>
  <c r="AL53" i="13"/>
  <c r="AK53" i="13"/>
  <c r="AJ53" i="13"/>
  <c r="AN53" i="13"/>
  <c r="AI53" i="13"/>
  <c r="AU53" i="13"/>
  <c r="AO53" i="13"/>
  <c r="BA53" i="13"/>
  <c r="AS53" i="13"/>
  <c r="AQ53" i="13"/>
  <c r="AX53" i="13"/>
  <c r="AV53" i="13"/>
  <c r="AY53" i="13"/>
  <c r="AR53" i="13"/>
  <c r="AZ53" i="13"/>
  <c r="AW53" i="13"/>
  <c r="AP53" i="13"/>
  <c r="BA57" i="13"/>
  <c r="AK57" i="13"/>
  <c r="AY57" i="13"/>
  <c r="AR57" i="13"/>
  <c r="AP57" i="13"/>
  <c r="AI57" i="13"/>
  <c r="AS57" i="13"/>
  <c r="AW57" i="13"/>
  <c r="AJ57" i="13"/>
  <c r="AZ57" i="13"/>
  <c r="AM57" i="13"/>
  <c r="AQ57" i="13"/>
  <c r="AU57" i="13"/>
  <c r="AT57" i="13"/>
  <c r="AX57" i="13"/>
  <c r="AN57" i="13"/>
  <c r="AL57" i="13"/>
  <c r="AV57" i="13"/>
  <c r="AO57" i="13"/>
  <c r="AL61" i="13"/>
  <c r="AV61" i="13"/>
  <c r="BA61" i="13"/>
  <c r="AS61" i="13"/>
  <c r="AY61" i="13"/>
  <c r="AW61" i="13"/>
  <c r="AJ61" i="13"/>
  <c r="AI61" i="13"/>
  <c r="AQ61" i="13"/>
  <c r="AZ61" i="13"/>
  <c r="AM61" i="13"/>
  <c r="AR61" i="13"/>
  <c r="AO61" i="13"/>
  <c r="AK61" i="13"/>
  <c r="AT61" i="13"/>
  <c r="AP61" i="13"/>
  <c r="AN61" i="13"/>
  <c r="AX61" i="13"/>
  <c r="AU61" i="13"/>
  <c r="AO65" i="13"/>
  <c r="AU65" i="13"/>
  <c r="AW65" i="13"/>
  <c r="AV65" i="13"/>
  <c r="AZ65" i="13"/>
  <c r="AY65" i="13"/>
  <c r="AX65" i="13"/>
  <c r="AQ65" i="13"/>
  <c r="AP65" i="13"/>
  <c r="AM65" i="13"/>
  <c r="BA65" i="13"/>
  <c r="AT65" i="13"/>
  <c r="AR65" i="13"/>
  <c r="AJ65" i="13"/>
  <c r="AK65" i="13"/>
  <c r="AN65" i="13"/>
  <c r="AI65" i="13"/>
  <c r="AS65" i="13"/>
  <c r="AL65" i="13"/>
  <c r="AP69" i="13"/>
  <c r="AO69" i="13"/>
  <c r="AT69" i="13"/>
  <c r="AS69" i="13"/>
  <c r="AR69" i="13"/>
  <c r="AV69" i="13"/>
  <c r="AI69" i="13"/>
  <c r="AW69" i="13"/>
  <c r="AX69" i="13"/>
  <c r="AJ69" i="13"/>
  <c r="AK69" i="13"/>
  <c r="AY69" i="13"/>
  <c r="AL69" i="13"/>
  <c r="BA69" i="13"/>
  <c r="AZ69" i="13"/>
  <c r="AM69" i="13"/>
  <c r="AQ69" i="13"/>
  <c r="AN69" i="13"/>
  <c r="AU69" i="13"/>
  <c r="AX100" i="13"/>
  <c r="AQ100" i="13"/>
  <c r="AJ100" i="13"/>
  <c r="AI100" i="13"/>
  <c r="AS100" i="13"/>
  <c r="AL100" i="13"/>
  <c r="AP100" i="13"/>
  <c r="AZ100" i="13"/>
  <c r="AY100" i="13"/>
  <c r="BA100" i="13"/>
  <c r="AT100" i="13"/>
  <c r="AW100" i="13"/>
  <c r="AV100" i="13"/>
  <c r="AM100" i="13"/>
  <c r="AU100" i="13"/>
  <c r="AR100" i="13"/>
  <c r="AO100" i="13"/>
  <c r="AK100" i="13"/>
  <c r="AN100" i="13"/>
  <c r="AT104" i="13"/>
  <c r="AS104" i="13"/>
  <c r="AL104" i="13"/>
  <c r="AK104" i="13"/>
  <c r="AI104" i="13"/>
  <c r="AN104" i="13"/>
  <c r="AM104" i="13"/>
  <c r="BA104" i="13"/>
  <c r="AV104" i="13"/>
  <c r="AU104" i="13"/>
  <c r="AZ104" i="13"/>
  <c r="AR104" i="13"/>
  <c r="AJ104" i="13"/>
  <c r="AO104" i="13"/>
  <c r="AW104" i="13"/>
  <c r="AX104" i="13"/>
  <c r="AQ104" i="13"/>
  <c r="AY104" i="13"/>
  <c r="AP104" i="13"/>
  <c r="BA108" i="13"/>
  <c r="AZ108" i="13"/>
  <c r="AS108" i="13"/>
  <c r="AR108" i="13"/>
  <c r="AV108" i="13"/>
  <c r="AO108" i="13"/>
  <c r="AY108" i="13"/>
  <c r="AL108" i="13"/>
  <c r="AP108" i="13"/>
  <c r="AI108" i="13"/>
  <c r="AM108" i="13"/>
  <c r="AW108" i="13"/>
  <c r="AJ108" i="13"/>
  <c r="AT108" i="13"/>
  <c r="AQ108" i="13"/>
  <c r="AK108" i="13"/>
  <c r="AX108" i="13"/>
  <c r="AU108" i="13"/>
  <c r="AN108" i="13"/>
  <c r="AL112" i="13"/>
  <c r="AV112" i="13"/>
  <c r="AU112" i="13"/>
  <c r="AZ112" i="13"/>
  <c r="AS112" i="13"/>
  <c r="AR112" i="13"/>
  <c r="AP112" i="13"/>
  <c r="AI112" i="13"/>
  <c r="AM112" i="13"/>
  <c r="AJ112" i="13"/>
  <c r="AY112" i="13"/>
  <c r="AW112" i="13"/>
  <c r="AX112" i="13"/>
  <c r="AO112" i="13"/>
  <c r="AQ112" i="13"/>
  <c r="AT112" i="13"/>
  <c r="AK112" i="13"/>
  <c r="AN112" i="13"/>
  <c r="BA112" i="13"/>
  <c r="AY116" i="13"/>
  <c r="AX116" i="13"/>
  <c r="AQ116" i="13"/>
  <c r="AJ116" i="13"/>
  <c r="AZ116" i="13"/>
  <c r="AS116" i="13"/>
  <c r="AR116" i="13"/>
  <c r="AK116" i="13"/>
  <c r="BA116" i="13"/>
  <c r="AN116" i="13"/>
  <c r="AW116" i="13"/>
  <c r="AO116" i="13"/>
  <c r="AM116" i="13"/>
  <c r="AV116" i="13"/>
  <c r="AT116" i="13"/>
  <c r="AI116" i="13"/>
  <c r="AU116" i="13"/>
  <c r="AP116" i="13"/>
  <c r="AL116" i="13"/>
  <c r="AP120" i="13"/>
  <c r="AU120" i="13"/>
  <c r="AZ120" i="13"/>
  <c r="AS120" i="13"/>
  <c r="AL120" i="13"/>
  <c r="BA120" i="13"/>
  <c r="AT120" i="13"/>
  <c r="AX120" i="13"/>
  <c r="AV120" i="13"/>
  <c r="AO120" i="13"/>
  <c r="AN120" i="13"/>
  <c r="AR120" i="13"/>
  <c r="AJ120" i="13"/>
  <c r="AI120" i="13"/>
  <c r="AY120" i="13"/>
  <c r="AW120" i="13"/>
  <c r="AQ120" i="13"/>
  <c r="AK120" i="13"/>
  <c r="AM120" i="13"/>
  <c r="AX124" i="13"/>
  <c r="AW124" i="13"/>
  <c r="AP124" i="13"/>
  <c r="AU124" i="13"/>
  <c r="AT124" i="13"/>
  <c r="AR124" i="13"/>
  <c r="AK124" i="13"/>
  <c r="BA124" i="13"/>
  <c r="AN124" i="13"/>
  <c r="AL124" i="13"/>
  <c r="AV124" i="13"/>
  <c r="AO124" i="13"/>
  <c r="AY124" i="13"/>
  <c r="AQ124" i="13"/>
  <c r="AZ124" i="13"/>
  <c r="AJ124" i="13"/>
  <c r="AS124" i="13"/>
  <c r="AI124" i="13"/>
  <c r="AM124" i="13"/>
  <c r="AT128" i="13"/>
  <c r="AM128" i="13"/>
  <c r="AI128" i="13"/>
  <c r="BA128" i="13"/>
  <c r="AU128" i="13"/>
  <c r="AN128" i="13"/>
  <c r="AX128" i="13"/>
  <c r="AW128" i="13"/>
  <c r="AV128" i="13"/>
  <c r="AO128" i="13"/>
  <c r="AS128" i="13"/>
  <c r="AK128" i="13"/>
  <c r="AR128" i="13"/>
  <c r="AP128" i="13"/>
  <c r="AQ128" i="13"/>
  <c r="AZ128" i="13"/>
  <c r="AJ128" i="13"/>
  <c r="AL128" i="13"/>
  <c r="AY128" i="13"/>
  <c r="BA132" i="13"/>
  <c r="AZ132" i="13"/>
  <c r="AY132" i="13"/>
  <c r="AR132" i="13"/>
  <c r="AU132" i="13"/>
  <c r="AN132" i="13"/>
  <c r="AX132" i="13"/>
  <c r="AV132" i="13"/>
  <c r="AP132" i="13"/>
  <c r="AI132" i="13"/>
  <c r="AS132" i="13"/>
  <c r="AK132" i="13"/>
  <c r="AO132" i="13"/>
  <c r="AL132" i="13"/>
  <c r="AM132" i="13"/>
  <c r="AT132" i="13"/>
  <c r="AW132" i="13"/>
  <c r="AQ132" i="13"/>
  <c r="AJ132" i="13"/>
  <c r="AL136" i="13"/>
  <c r="AK136" i="13"/>
  <c r="AS136" i="13"/>
  <c r="AI136" i="13"/>
  <c r="AY136" i="13"/>
  <c r="AX136" i="13"/>
  <c r="AQ136" i="13"/>
  <c r="BA136" i="13"/>
  <c r="AT136" i="13"/>
  <c r="AR136" i="13"/>
  <c r="AV136" i="13"/>
  <c r="AU136" i="13"/>
  <c r="AN136" i="13"/>
  <c r="AJ136" i="13"/>
  <c r="AM136" i="13"/>
  <c r="AO136" i="13"/>
  <c r="AW136" i="13"/>
  <c r="AZ136" i="13"/>
  <c r="AP136" i="13"/>
  <c r="AO140" i="13"/>
  <c r="AX140" i="13"/>
  <c r="AW140" i="13"/>
  <c r="AV140" i="13"/>
  <c r="AZ140" i="13"/>
  <c r="AY140" i="13"/>
  <c r="AR140" i="13"/>
  <c r="AQ140" i="13"/>
  <c r="AP140" i="13"/>
  <c r="AM140" i="13"/>
  <c r="AU140" i="13"/>
  <c r="AT140" i="13"/>
  <c r="AL140" i="13"/>
  <c r="AJ140" i="13"/>
  <c r="AS140" i="13"/>
  <c r="BA140" i="13"/>
  <c r="AN140" i="13"/>
  <c r="AK140" i="13"/>
  <c r="AI140" i="13"/>
  <c r="AP144" i="13"/>
  <c r="AO144" i="13"/>
  <c r="AT144" i="13"/>
  <c r="AS144" i="13"/>
  <c r="AL144" i="13"/>
  <c r="BA144" i="13"/>
  <c r="AZ144" i="13"/>
  <c r="AM144" i="13"/>
  <c r="AV144" i="13"/>
  <c r="AI144" i="13"/>
  <c r="AW144" i="13"/>
  <c r="AR144" i="13"/>
  <c r="AN144" i="13"/>
  <c r="AJ144" i="13"/>
  <c r="AY144" i="13"/>
  <c r="AK144" i="13"/>
  <c r="AU144" i="13"/>
  <c r="AX144" i="13"/>
  <c r="AQ144" i="13"/>
  <c r="AX148" i="13"/>
  <c r="AS148" i="13"/>
  <c r="AV148" i="13"/>
  <c r="AU148" i="13"/>
  <c r="AT148" i="13"/>
  <c r="AW148" i="13"/>
  <c r="AJ148" i="13"/>
  <c r="AZ148" i="13"/>
  <c r="AR148" i="13"/>
  <c r="AQ148" i="13"/>
  <c r="BA148" i="13"/>
  <c r="AN148" i="13"/>
  <c r="AK148" i="13"/>
  <c r="AM148" i="13"/>
  <c r="AP148" i="13"/>
  <c r="AY148" i="13"/>
  <c r="AO148" i="13"/>
  <c r="AI148" i="13"/>
  <c r="AL148" i="13"/>
  <c r="AT152" i="13"/>
  <c r="AY152" i="13"/>
  <c r="AX152" i="13"/>
  <c r="AQ152" i="13"/>
  <c r="AJ152" i="13"/>
  <c r="AN152" i="13"/>
  <c r="AS152" i="13"/>
  <c r="AR152" i="13"/>
  <c r="AK152" i="13"/>
  <c r="AO152" i="13"/>
  <c r="AZ152" i="13"/>
  <c r="BA152" i="13"/>
  <c r="AP152" i="13"/>
  <c r="AU152" i="13"/>
  <c r="AL152" i="13"/>
  <c r="AV152" i="13"/>
  <c r="AI152" i="13"/>
  <c r="AM152" i="13"/>
  <c r="AW152" i="13"/>
  <c r="AK156" i="13"/>
  <c r="AI156" i="13"/>
  <c r="AW156" i="13"/>
  <c r="AX156" i="13"/>
  <c r="AJ156" i="13"/>
  <c r="AZ156" i="13"/>
  <c r="AS156" i="13"/>
  <c r="AQ156" i="13"/>
  <c r="AV156" i="13"/>
  <c r="AU156" i="13"/>
  <c r="AN156" i="13"/>
  <c r="AR156" i="13"/>
  <c r="BA156" i="13"/>
  <c r="AM156" i="13"/>
  <c r="AY156" i="13"/>
  <c r="AO156" i="13"/>
  <c r="AL156" i="13"/>
  <c r="AT156" i="13"/>
  <c r="AP156" i="13"/>
  <c r="AL160" i="13"/>
  <c r="AK160" i="13"/>
  <c r="AS160" i="13"/>
  <c r="AI160" i="13"/>
  <c r="AY160" i="13"/>
  <c r="AW160" i="13"/>
  <c r="AJ160" i="13"/>
  <c r="AZ160" i="13"/>
  <c r="AX160" i="13"/>
  <c r="AQ160" i="13"/>
  <c r="BA160" i="13"/>
  <c r="AT160" i="13"/>
  <c r="AR160" i="13"/>
  <c r="AU160" i="13"/>
  <c r="AM160" i="13"/>
  <c r="AO160" i="13"/>
  <c r="AP160" i="13"/>
  <c r="AN160" i="13"/>
  <c r="AV160" i="13"/>
  <c r="AI172" i="13"/>
  <c r="AX172" i="13"/>
  <c r="AW172" i="13"/>
  <c r="AV172" i="13"/>
  <c r="AZ172" i="13"/>
  <c r="AY172" i="13"/>
  <c r="AR172" i="13"/>
  <c r="AQ172" i="13"/>
  <c r="AP172" i="13"/>
  <c r="AN172" i="13"/>
  <c r="AU172" i="13"/>
  <c r="AO172" i="13"/>
  <c r="AS172" i="13"/>
  <c r="AK172" i="13"/>
  <c r="AL172" i="13"/>
  <c r="BA172" i="13"/>
  <c r="AT172" i="13"/>
  <c r="AM172" i="13"/>
  <c r="AJ172" i="13"/>
  <c r="AP218" i="13"/>
  <c r="AU218" i="13"/>
  <c r="AZ218" i="13"/>
  <c r="AS218" i="13"/>
  <c r="AL218" i="13"/>
  <c r="AJ218" i="13"/>
  <c r="AI218" i="13"/>
  <c r="AY218" i="13"/>
  <c r="AW218" i="13"/>
  <c r="BA218" i="13"/>
  <c r="AT218" i="13"/>
  <c r="AX218" i="13"/>
  <c r="AK218" i="13"/>
  <c r="AR218" i="13"/>
  <c r="AV218" i="13"/>
  <c r="AN218" i="13"/>
  <c r="AQ218" i="13"/>
  <c r="AM218" i="13"/>
  <c r="AO218" i="13"/>
  <c r="AX222" i="13"/>
  <c r="AW222" i="13"/>
  <c r="AV222" i="13"/>
  <c r="BA222" i="13"/>
  <c r="AZ222" i="13"/>
  <c r="AY222" i="13"/>
  <c r="AP222" i="13"/>
  <c r="AO222" i="13"/>
  <c r="AQ222" i="13"/>
  <c r="AJ222" i="13"/>
  <c r="AI222" i="13"/>
  <c r="AK222" i="13"/>
  <c r="AT222" i="13"/>
  <c r="AS222" i="13"/>
  <c r="AN222" i="13"/>
  <c r="AU222" i="13"/>
  <c r="AR222" i="13"/>
  <c r="AL222" i="13"/>
  <c r="AM222" i="13"/>
  <c r="AT272" i="13"/>
  <c r="AS272" i="13"/>
  <c r="AR272" i="13"/>
  <c r="AK272" i="13"/>
  <c r="AJ272" i="13"/>
  <c r="AN272" i="13"/>
  <c r="AM272" i="13"/>
  <c r="AL272" i="13"/>
  <c r="AU272" i="13"/>
  <c r="AI272" i="13"/>
  <c r="AY272" i="13"/>
  <c r="AQ272" i="13"/>
  <c r="BA272" i="13"/>
  <c r="AV272" i="13"/>
  <c r="AO272" i="13"/>
  <c r="AX272" i="13"/>
  <c r="AP272" i="13"/>
  <c r="AW272" i="13"/>
  <c r="AZ272" i="13"/>
  <c r="AK276" i="13"/>
  <c r="AI276" i="13"/>
  <c r="AQ276" i="13"/>
  <c r="AX276" i="13"/>
  <c r="AP276" i="13"/>
  <c r="AO276" i="13"/>
  <c r="AY276" i="13"/>
  <c r="AL276" i="13"/>
  <c r="BA276" i="13"/>
  <c r="AT276" i="13"/>
  <c r="AM276" i="13"/>
  <c r="AJ276" i="13"/>
  <c r="AS276" i="13"/>
  <c r="AV276" i="13"/>
  <c r="AU276" i="13"/>
  <c r="AR276" i="13"/>
  <c r="AZ276" i="13"/>
  <c r="AW276" i="13"/>
  <c r="AN276" i="13"/>
  <c r="AL280" i="13"/>
  <c r="AK280" i="13"/>
  <c r="AM280" i="13"/>
  <c r="AI280" i="13"/>
  <c r="AY280" i="13"/>
  <c r="AS280" i="13"/>
  <c r="AP280" i="13"/>
  <c r="AO280" i="13"/>
  <c r="AW280" i="13"/>
  <c r="AJ280" i="13"/>
  <c r="AZ280" i="13"/>
  <c r="AX280" i="13"/>
  <c r="BA280" i="13"/>
  <c r="AR280" i="13"/>
  <c r="AU280" i="13"/>
  <c r="AN280" i="13"/>
  <c r="AQ280" i="13"/>
  <c r="AV280" i="13"/>
  <c r="AT280" i="13"/>
  <c r="BA301" i="13"/>
  <c r="AX301" i="13"/>
  <c r="AW301" i="13"/>
  <c r="AV301" i="13"/>
  <c r="AZ301" i="13"/>
  <c r="AY301" i="13"/>
  <c r="AR301" i="13"/>
  <c r="AQ301" i="13"/>
  <c r="AP301" i="13"/>
  <c r="AM301" i="13"/>
  <c r="AU301" i="13"/>
  <c r="AT301" i="13"/>
  <c r="AL301" i="13"/>
  <c r="AJ301" i="13"/>
  <c r="AK301" i="13"/>
  <c r="AN301" i="13"/>
  <c r="AO301" i="13"/>
  <c r="AI301" i="13"/>
  <c r="AS301" i="13"/>
  <c r="AP305" i="13"/>
  <c r="AO305" i="13"/>
  <c r="AT305" i="13"/>
  <c r="AS305" i="13"/>
  <c r="AL305" i="13"/>
  <c r="AV305" i="13"/>
  <c r="AI305" i="13"/>
  <c r="AK305" i="13"/>
  <c r="AR305" i="13"/>
  <c r="BA305" i="13"/>
  <c r="AZ305" i="13"/>
  <c r="AM305" i="13"/>
  <c r="AQ305" i="13"/>
  <c r="AW305" i="13"/>
  <c r="AN305" i="13"/>
  <c r="AJ305" i="13"/>
  <c r="AY305" i="13"/>
  <c r="AU305" i="13"/>
  <c r="AX305" i="13"/>
  <c r="AX309" i="13"/>
  <c r="AW309" i="13"/>
  <c r="AP309" i="13"/>
  <c r="AO309" i="13"/>
  <c r="AT309" i="13"/>
  <c r="AL309" i="13"/>
  <c r="AV309" i="13"/>
  <c r="AI309" i="13"/>
  <c r="AM309" i="13"/>
  <c r="AS309" i="13"/>
  <c r="AJ309" i="13"/>
  <c r="AY309" i="13"/>
  <c r="AQ309" i="13"/>
  <c r="AZ309" i="13"/>
  <c r="AK309" i="13"/>
  <c r="AR309" i="13"/>
  <c r="BA309" i="13"/>
  <c r="AU309" i="13"/>
  <c r="AN309" i="13"/>
  <c r="AT328" i="13"/>
  <c r="AS328" i="13"/>
  <c r="AR328" i="13"/>
  <c r="AK328" i="13"/>
  <c r="AJ328" i="13"/>
  <c r="AN328" i="13"/>
  <c r="AM328" i="13"/>
  <c r="AL328" i="13"/>
  <c r="AI328" i="13"/>
  <c r="BA328" i="13"/>
  <c r="AY328" i="13"/>
  <c r="AQ328" i="13"/>
  <c r="AO328" i="13"/>
  <c r="AV328" i="13"/>
  <c r="AW328" i="13"/>
  <c r="AZ328" i="13"/>
  <c r="AP328" i="13"/>
  <c r="AU328" i="13"/>
  <c r="AX328" i="13"/>
  <c r="BA332" i="13"/>
  <c r="AZ332" i="13"/>
  <c r="AY332" i="13"/>
  <c r="AX332" i="13"/>
  <c r="AV332" i="13"/>
  <c r="AO332" i="13"/>
  <c r="AJ332" i="13"/>
  <c r="AP332" i="13"/>
  <c r="AN332" i="13"/>
  <c r="AK332" i="13"/>
  <c r="AQ332" i="13"/>
  <c r="AU332" i="13"/>
  <c r="AW332" i="13"/>
  <c r="AR332" i="13"/>
  <c r="AT332" i="13"/>
  <c r="AI332" i="13"/>
  <c r="AS332" i="13"/>
  <c r="AL332" i="13"/>
  <c r="AM332" i="13"/>
  <c r="AL542" i="13"/>
  <c r="AV542" i="13"/>
  <c r="BA542" i="13"/>
  <c r="AS542" i="13"/>
  <c r="AY542" i="13"/>
  <c r="AR542" i="13"/>
  <c r="AP542" i="13"/>
  <c r="AO542" i="13"/>
  <c r="AN542" i="13"/>
  <c r="AW542" i="13"/>
  <c r="AJ542" i="13"/>
  <c r="AI542" i="13"/>
  <c r="AM542" i="13"/>
  <c r="AU542" i="13"/>
  <c r="AX542" i="13"/>
  <c r="AZ542" i="13"/>
  <c r="AQ542" i="13"/>
  <c r="AT542" i="13"/>
  <c r="AK542" i="13"/>
  <c r="AY546" i="13"/>
  <c r="AI546" i="13"/>
  <c r="AW546" i="13"/>
  <c r="AV546" i="13"/>
  <c r="AZ546" i="13"/>
  <c r="AS546" i="13"/>
  <c r="AX546" i="13"/>
  <c r="AQ546" i="13"/>
  <c r="AP546" i="13"/>
  <c r="BA546" i="13"/>
  <c r="AU546" i="13"/>
  <c r="AT546" i="13"/>
  <c r="AR546" i="13"/>
  <c r="AJ546" i="13"/>
  <c r="AM546" i="13"/>
  <c r="AL546" i="13"/>
  <c r="AO546" i="13"/>
  <c r="AN546" i="13"/>
  <c r="AK546" i="13"/>
  <c r="AP550" i="13"/>
  <c r="AU550" i="13"/>
  <c r="AZ550" i="13"/>
  <c r="AS550" i="13"/>
  <c r="AL550" i="13"/>
  <c r="AQ550" i="13"/>
  <c r="AK550" i="13"/>
  <c r="AM550" i="13"/>
  <c r="AJ550" i="13"/>
  <c r="AY550" i="13"/>
  <c r="BA550" i="13"/>
  <c r="AT550" i="13"/>
  <c r="AX550" i="13"/>
  <c r="AV550" i="13"/>
  <c r="AO550" i="13"/>
  <c r="AN550" i="13"/>
  <c r="AR550" i="13"/>
  <c r="AI550" i="13"/>
  <c r="AW550" i="13"/>
  <c r="AX554" i="13"/>
  <c r="AW554" i="13"/>
  <c r="AV554" i="13"/>
  <c r="BA554" i="13"/>
  <c r="AZ554" i="13"/>
  <c r="AR554" i="13"/>
  <c r="AK554" i="13"/>
  <c r="AY554" i="13"/>
  <c r="AT554" i="13"/>
  <c r="AL554" i="13"/>
  <c r="AM554" i="13"/>
  <c r="AU554" i="13"/>
  <c r="AN554" i="13"/>
  <c r="AS554" i="13"/>
  <c r="AO554" i="13"/>
  <c r="AI554" i="13"/>
  <c r="AQ554" i="13"/>
  <c r="AP554" i="13"/>
  <c r="AJ554" i="13"/>
  <c r="AT558" i="13"/>
  <c r="AS558" i="13"/>
  <c r="AR558" i="13"/>
  <c r="AK558" i="13"/>
  <c r="AO558" i="13"/>
  <c r="AN558" i="13"/>
  <c r="AM558" i="13"/>
  <c r="AL558" i="13"/>
  <c r="AV558" i="13"/>
  <c r="BA558" i="13"/>
  <c r="AZ558" i="13"/>
  <c r="AX558" i="13"/>
  <c r="AJ558" i="13"/>
  <c r="AU558" i="13"/>
  <c r="AW558" i="13"/>
  <c r="AP558" i="13"/>
  <c r="AY558" i="13"/>
  <c r="AQ558" i="13"/>
  <c r="AI558" i="13"/>
  <c r="BP5" i="13"/>
  <c r="BO5" i="13"/>
  <c r="BN5" i="13"/>
  <c r="BM5" i="13"/>
  <c r="BL5" i="13"/>
  <c r="BJ5" i="13"/>
  <c r="BI5" i="13"/>
  <c r="BH5" i="13"/>
  <c r="BG5" i="13"/>
  <c r="BF5" i="13"/>
  <c r="BV5" i="13"/>
  <c r="BT5" i="13"/>
  <c r="BR5" i="13"/>
  <c r="BE5" i="13"/>
  <c r="BK5" i="13"/>
  <c r="BU5" i="13"/>
  <c r="BS5" i="13"/>
  <c r="BD5" i="13"/>
  <c r="BQ5" i="13"/>
  <c r="BV30" i="13"/>
  <c r="BU30" i="13"/>
  <c r="BN30" i="13"/>
  <c r="BG30" i="13"/>
  <c r="BE30" i="13"/>
  <c r="BO30" i="13"/>
  <c r="BS30" i="13"/>
  <c r="BF30" i="13"/>
  <c r="BQ30" i="13"/>
  <c r="BJ30" i="13"/>
  <c r="BT30" i="13"/>
  <c r="BR30" i="13"/>
  <c r="BK30" i="13"/>
  <c r="BD30" i="13"/>
  <c r="BH30" i="13"/>
  <c r="BL30" i="13"/>
  <c r="BP30" i="13"/>
  <c r="BI30" i="13"/>
  <c r="BM30" i="13"/>
  <c r="BR34" i="13"/>
  <c r="BK34" i="13"/>
  <c r="BJ34" i="13"/>
  <c r="BI34" i="13"/>
  <c r="BS34" i="13"/>
  <c r="BL34" i="13"/>
  <c r="BE34" i="13"/>
  <c r="BD34" i="13"/>
  <c r="BT34" i="13"/>
  <c r="BG34" i="13"/>
  <c r="BP34" i="13"/>
  <c r="BH34" i="13"/>
  <c r="BF34" i="13"/>
  <c r="BU34" i="13"/>
  <c r="BQ34" i="13"/>
  <c r="BO34" i="13"/>
  <c r="BN34" i="13"/>
  <c r="BM34" i="13"/>
  <c r="BV34" i="13"/>
  <c r="BO38" i="13"/>
  <c r="BH38" i="13"/>
  <c r="BR38" i="13"/>
  <c r="BK38" i="13"/>
  <c r="BJ38" i="13"/>
  <c r="BI38" i="13"/>
  <c r="BS38" i="13"/>
  <c r="BL38" i="13"/>
  <c r="BE38" i="13"/>
  <c r="BD38" i="13"/>
  <c r="BU38" i="13"/>
  <c r="BG38" i="13"/>
  <c r="BP38" i="13"/>
  <c r="BT38" i="13"/>
  <c r="BF38" i="13"/>
  <c r="BM38" i="13"/>
  <c r="BQ38" i="13"/>
  <c r="BV38" i="13"/>
  <c r="BN38" i="13"/>
  <c r="BK42" i="13"/>
  <c r="BJ42" i="13"/>
  <c r="BI42" i="13"/>
  <c r="BS42" i="13"/>
  <c r="BL42" i="13"/>
  <c r="BE42" i="13"/>
  <c r="BU42" i="13"/>
  <c r="BH42" i="13"/>
  <c r="BF42" i="13"/>
  <c r="BP42" i="13"/>
  <c r="BT42" i="13"/>
  <c r="BG42" i="13"/>
  <c r="BN42" i="13"/>
  <c r="BQ42" i="13"/>
  <c r="BD42" i="13"/>
  <c r="BR42" i="13"/>
  <c r="BV42" i="13"/>
  <c r="BO42" i="13"/>
  <c r="BM42" i="13"/>
  <c r="BM46" i="13"/>
  <c r="BF46" i="13"/>
  <c r="BV46" i="13"/>
  <c r="BU46" i="13"/>
  <c r="BN46" i="13"/>
  <c r="BG46" i="13"/>
  <c r="BQ46" i="13"/>
  <c r="BP46" i="13"/>
  <c r="BO46" i="13"/>
  <c r="BH46" i="13"/>
  <c r="BL46" i="13"/>
  <c r="BD46" i="13"/>
  <c r="BK46" i="13"/>
  <c r="BI46" i="13"/>
  <c r="BS46" i="13"/>
  <c r="BE46" i="13"/>
  <c r="BT46" i="13"/>
  <c r="BJ46" i="13"/>
  <c r="BR46" i="13"/>
  <c r="BT50" i="13"/>
  <c r="BM50" i="13"/>
  <c r="BF50" i="13"/>
  <c r="BV50" i="13"/>
  <c r="BU50" i="13"/>
  <c r="BN50" i="13"/>
  <c r="BG50" i="13"/>
  <c r="BQ50" i="13"/>
  <c r="BP50" i="13"/>
  <c r="BI50" i="13"/>
  <c r="BL50" i="13"/>
  <c r="BD50" i="13"/>
  <c r="BH50" i="13"/>
  <c r="BK50" i="13"/>
  <c r="BO50" i="13"/>
  <c r="BJ50" i="13"/>
  <c r="BS50" i="13"/>
  <c r="BR50" i="13"/>
  <c r="BE50" i="13"/>
  <c r="BV54" i="13"/>
  <c r="BU54" i="13"/>
  <c r="BN54" i="13"/>
  <c r="BG54" i="13"/>
  <c r="BK54" i="13"/>
  <c r="BD54" i="13"/>
  <c r="BH54" i="13"/>
  <c r="BL54" i="13"/>
  <c r="BP54" i="13"/>
  <c r="BI54" i="13"/>
  <c r="BM54" i="13"/>
  <c r="BJ54" i="13"/>
  <c r="BQ54" i="13"/>
  <c r="BT54" i="13"/>
  <c r="BR54" i="13"/>
  <c r="BO54" i="13"/>
  <c r="BS54" i="13"/>
  <c r="BF54" i="13"/>
  <c r="BE54" i="13"/>
  <c r="BR58" i="13"/>
  <c r="BK58" i="13"/>
  <c r="BJ58" i="13"/>
  <c r="BI58" i="13"/>
  <c r="BS58" i="13"/>
  <c r="BL58" i="13"/>
  <c r="BE58" i="13"/>
  <c r="BD58" i="13"/>
  <c r="BT58" i="13"/>
  <c r="BQ58" i="13"/>
  <c r="BO58" i="13"/>
  <c r="BM58" i="13"/>
  <c r="BV58" i="13"/>
  <c r="BN58" i="13"/>
  <c r="BG58" i="13"/>
  <c r="BP58" i="13"/>
  <c r="BH58" i="13"/>
  <c r="BF58" i="13"/>
  <c r="BU58" i="13"/>
  <c r="BO62" i="13"/>
  <c r="BH62" i="13"/>
  <c r="BR62" i="13"/>
  <c r="BK62" i="13"/>
  <c r="BJ62" i="13"/>
  <c r="BI62" i="13"/>
  <c r="BS62" i="13"/>
  <c r="BL62" i="13"/>
  <c r="BE62" i="13"/>
  <c r="BD62" i="13"/>
  <c r="BN62" i="13"/>
  <c r="BQ62" i="13"/>
  <c r="BM62" i="13"/>
  <c r="BV62" i="13"/>
  <c r="BF62" i="13"/>
  <c r="BU62" i="13"/>
  <c r="BP62" i="13"/>
  <c r="BT62" i="13"/>
  <c r="BG62" i="13"/>
  <c r="BK66" i="13"/>
  <c r="BJ66" i="13"/>
  <c r="BI66" i="13"/>
  <c r="BS66" i="13"/>
  <c r="BL66" i="13"/>
  <c r="BQ66" i="13"/>
  <c r="BD66" i="13"/>
  <c r="BN66" i="13"/>
  <c r="BR66" i="13"/>
  <c r="BV66" i="13"/>
  <c r="BO66" i="13"/>
  <c r="BM66" i="13"/>
  <c r="BT66" i="13"/>
  <c r="BP66" i="13"/>
  <c r="BG66" i="13"/>
  <c r="BH66" i="13"/>
  <c r="BF66" i="13"/>
  <c r="BE66" i="13"/>
  <c r="BU66" i="13"/>
  <c r="BM70" i="13"/>
  <c r="BF70" i="13"/>
  <c r="BV70" i="13"/>
  <c r="BU70" i="13"/>
  <c r="BN70" i="13"/>
  <c r="BG70" i="13"/>
  <c r="BQ70" i="13"/>
  <c r="BP70" i="13"/>
  <c r="BO70" i="13"/>
  <c r="BH70" i="13"/>
  <c r="BS70" i="13"/>
  <c r="BE70" i="13"/>
  <c r="BT70" i="13"/>
  <c r="BR70" i="13"/>
  <c r="BJ70" i="13"/>
  <c r="BL70" i="13"/>
  <c r="BD70" i="13"/>
  <c r="BK70" i="13"/>
  <c r="BI70" i="13"/>
  <c r="BT101" i="13"/>
  <c r="BM101" i="13"/>
  <c r="BF101" i="13"/>
  <c r="BV101" i="13"/>
  <c r="BU101" i="13"/>
  <c r="BN101" i="13"/>
  <c r="BG101" i="13"/>
  <c r="BQ101" i="13"/>
  <c r="BP101" i="13"/>
  <c r="BS101" i="13"/>
  <c r="BE101" i="13"/>
  <c r="BO101" i="13"/>
  <c r="BR101" i="13"/>
  <c r="BJ101" i="13"/>
  <c r="BH101" i="13"/>
  <c r="BL101" i="13"/>
  <c r="BK101" i="13"/>
  <c r="BI101" i="13"/>
  <c r="BD101" i="13"/>
  <c r="BV105" i="13"/>
  <c r="BU105" i="13"/>
  <c r="BN105" i="13"/>
  <c r="BG105" i="13"/>
  <c r="BQ105" i="13"/>
  <c r="BJ105" i="13"/>
  <c r="BT105" i="13"/>
  <c r="BR105" i="13"/>
  <c r="BE105" i="13"/>
  <c r="BO105" i="13"/>
  <c r="BS105" i="13"/>
  <c r="BF105" i="13"/>
  <c r="BP105" i="13"/>
  <c r="BM105" i="13"/>
  <c r="BI105" i="13"/>
  <c r="BL105" i="13"/>
  <c r="BD105" i="13"/>
  <c r="BK105" i="13"/>
  <c r="BH105" i="13"/>
  <c r="BR109" i="13"/>
  <c r="BK109" i="13"/>
  <c r="BJ109" i="13"/>
  <c r="BI109" i="13"/>
  <c r="BS109" i="13"/>
  <c r="BL109" i="13"/>
  <c r="BE109" i="13"/>
  <c r="BD109" i="13"/>
  <c r="BT109" i="13"/>
  <c r="BG109" i="13"/>
  <c r="BP109" i="13"/>
  <c r="BH109" i="13"/>
  <c r="BF109" i="13"/>
  <c r="BU109" i="13"/>
  <c r="BQ109" i="13"/>
  <c r="BO109" i="13"/>
  <c r="BM109" i="13"/>
  <c r="BV109" i="13"/>
  <c r="BN109" i="13"/>
  <c r="BO113" i="13"/>
  <c r="BH113" i="13"/>
  <c r="BR113" i="13"/>
  <c r="BK113" i="13"/>
  <c r="BJ113" i="13"/>
  <c r="BI113" i="13"/>
  <c r="BS113" i="13"/>
  <c r="BL113" i="13"/>
  <c r="BE113" i="13"/>
  <c r="BD113" i="13"/>
  <c r="BU113" i="13"/>
  <c r="BG113" i="13"/>
  <c r="BP113" i="13"/>
  <c r="BT113" i="13"/>
  <c r="BF113" i="13"/>
  <c r="BV113" i="13"/>
  <c r="BN113" i="13"/>
  <c r="BM113" i="13"/>
  <c r="BQ113" i="13"/>
  <c r="BK117" i="13"/>
  <c r="BJ117" i="13"/>
  <c r="BI117" i="13"/>
  <c r="BS117" i="13"/>
  <c r="BL117" i="13"/>
  <c r="BP117" i="13"/>
  <c r="BT117" i="13"/>
  <c r="BG117" i="13"/>
  <c r="BE117" i="13"/>
  <c r="BU117" i="13"/>
  <c r="BH117" i="13"/>
  <c r="BF117" i="13"/>
  <c r="BO117" i="13"/>
  <c r="BV117" i="13"/>
  <c r="BM117" i="13"/>
  <c r="BQ117" i="13"/>
  <c r="BD117" i="13"/>
  <c r="BN117" i="13"/>
  <c r="BR117" i="13"/>
  <c r="BM121" i="13"/>
  <c r="BF121" i="13"/>
  <c r="BV121" i="13"/>
  <c r="BU121" i="13"/>
  <c r="BN121" i="13"/>
  <c r="BG121" i="13"/>
  <c r="BQ121" i="13"/>
  <c r="BP121" i="13"/>
  <c r="BO121" i="13"/>
  <c r="BH121" i="13"/>
  <c r="BL121" i="13"/>
  <c r="BD121" i="13"/>
  <c r="BK121" i="13"/>
  <c r="BI121" i="13"/>
  <c r="BS121" i="13"/>
  <c r="BE121" i="13"/>
  <c r="BT121" i="13"/>
  <c r="BR121" i="13"/>
  <c r="BJ121" i="13"/>
  <c r="BT125" i="13"/>
  <c r="BM125" i="13"/>
  <c r="BF125" i="13"/>
  <c r="BV125" i="13"/>
  <c r="BU125" i="13"/>
  <c r="BN125" i="13"/>
  <c r="BG125" i="13"/>
  <c r="BQ125" i="13"/>
  <c r="BP125" i="13"/>
  <c r="BI125" i="13"/>
  <c r="BL125" i="13"/>
  <c r="BD125" i="13"/>
  <c r="BH125" i="13"/>
  <c r="BK125" i="13"/>
  <c r="BR125" i="13"/>
  <c r="BE125" i="13"/>
  <c r="BO125" i="13"/>
  <c r="BJ125" i="13"/>
  <c r="BS125" i="13"/>
  <c r="BV129" i="13"/>
  <c r="BU129" i="13"/>
  <c r="BN129" i="13"/>
  <c r="BG129" i="13"/>
  <c r="BP129" i="13"/>
  <c r="BI129" i="13"/>
  <c r="BM129" i="13"/>
  <c r="BK129" i="13"/>
  <c r="BD129" i="13"/>
  <c r="BH129" i="13"/>
  <c r="BL129" i="13"/>
  <c r="BO129" i="13"/>
  <c r="BS129" i="13"/>
  <c r="BE129" i="13"/>
  <c r="BF129" i="13"/>
  <c r="BJ129" i="13"/>
  <c r="BT129" i="13"/>
  <c r="BR129" i="13"/>
  <c r="BQ129" i="13"/>
  <c r="BR133" i="13"/>
  <c r="BK133" i="13"/>
  <c r="BJ133" i="13"/>
  <c r="BI133" i="13"/>
  <c r="BS133" i="13"/>
  <c r="BL133" i="13"/>
  <c r="BE133" i="13"/>
  <c r="BD133" i="13"/>
  <c r="BT133" i="13"/>
  <c r="BQ133" i="13"/>
  <c r="BO133" i="13"/>
  <c r="BM133" i="13"/>
  <c r="BV133" i="13"/>
  <c r="BN133" i="13"/>
  <c r="BG133" i="13"/>
  <c r="BP133" i="13"/>
  <c r="BH133" i="13"/>
  <c r="BU133" i="13"/>
  <c r="BF133" i="13"/>
  <c r="BO137" i="13"/>
  <c r="BH137" i="13"/>
  <c r="BR137" i="13"/>
  <c r="BK137" i="13"/>
  <c r="BJ137" i="13"/>
  <c r="BI137" i="13"/>
  <c r="BS137" i="13"/>
  <c r="BL137" i="13"/>
  <c r="BE137" i="13"/>
  <c r="BD137" i="13"/>
  <c r="BN137" i="13"/>
  <c r="BQ137" i="13"/>
  <c r="BM137" i="13"/>
  <c r="BV137" i="13"/>
  <c r="BT137" i="13"/>
  <c r="BG137" i="13"/>
  <c r="BF137" i="13"/>
  <c r="BU137" i="13"/>
  <c r="BP137" i="13"/>
  <c r="BK141" i="13"/>
  <c r="BJ141" i="13"/>
  <c r="BI141" i="13"/>
  <c r="BS141" i="13"/>
  <c r="BL141" i="13"/>
  <c r="BV141" i="13"/>
  <c r="BO141" i="13"/>
  <c r="BM141" i="13"/>
  <c r="BQ141" i="13"/>
  <c r="BD141" i="13"/>
  <c r="BN141" i="13"/>
  <c r="BR141" i="13"/>
  <c r="BU141" i="13"/>
  <c r="BF141" i="13"/>
  <c r="BE141" i="13"/>
  <c r="BH141" i="13"/>
  <c r="BT141" i="13"/>
  <c r="BG141" i="13"/>
  <c r="BP141" i="13"/>
  <c r="BM145" i="13"/>
  <c r="BF145" i="13"/>
  <c r="BV145" i="13"/>
  <c r="BU145" i="13"/>
  <c r="BN145" i="13"/>
  <c r="BG145" i="13"/>
  <c r="BQ145" i="13"/>
  <c r="BP145" i="13"/>
  <c r="BO145" i="13"/>
  <c r="BH145" i="13"/>
  <c r="BS145" i="13"/>
  <c r="BE145" i="13"/>
  <c r="BT145" i="13"/>
  <c r="BR145" i="13"/>
  <c r="BJ145" i="13"/>
  <c r="BL145" i="13"/>
  <c r="BD145" i="13"/>
  <c r="BK145" i="13"/>
  <c r="BI145" i="13"/>
  <c r="BT149" i="13"/>
  <c r="BM149" i="13"/>
  <c r="BF149" i="13"/>
  <c r="BV149" i="13"/>
  <c r="BU149" i="13"/>
  <c r="BN149" i="13"/>
  <c r="BG149" i="13"/>
  <c r="BQ149" i="13"/>
  <c r="BP149" i="13"/>
  <c r="BS149" i="13"/>
  <c r="BE149" i="13"/>
  <c r="BO149" i="13"/>
  <c r="BR149" i="13"/>
  <c r="BJ149" i="13"/>
  <c r="BK149" i="13"/>
  <c r="BI149" i="13"/>
  <c r="BD149" i="13"/>
  <c r="BH149" i="13"/>
  <c r="BL149" i="13"/>
  <c r="BV153" i="13"/>
  <c r="BU153" i="13"/>
  <c r="BN153" i="13"/>
  <c r="BG153" i="13"/>
  <c r="BE153" i="13"/>
  <c r="BO153" i="13"/>
  <c r="BS153" i="13"/>
  <c r="BF153" i="13"/>
  <c r="BQ153" i="13"/>
  <c r="BJ153" i="13"/>
  <c r="BT153" i="13"/>
  <c r="BR153" i="13"/>
  <c r="BD153" i="13"/>
  <c r="BL153" i="13"/>
  <c r="BK153" i="13"/>
  <c r="BH153" i="13"/>
  <c r="BM153" i="13"/>
  <c r="BP153" i="13"/>
  <c r="BI153" i="13"/>
  <c r="BR157" i="13"/>
  <c r="BK157" i="13"/>
  <c r="BJ157" i="13"/>
  <c r="BI157" i="13"/>
  <c r="BS157" i="13"/>
  <c r="BL157" i="13"/>
  <c r="BE157" i="13"/>
  <c r="BD157" i="13"/>
  <c r="BT157" i="13"/>
  <c r="BG157" i="13"/>
  <c r="BP157" i="13"/>
  <c r="BH157" i="13"/>
  <c r="BF157" i="13"/>
  <c r="BU157" i="13"/>
  <c r="BQ157" i="13"/>
  <c r="BO157" i="13"/>
  <c r="BM157" i="13"/>
  <c r="BV157" i="13"/>
  <c r="BN157" i="13"/>
  <c r="BO161" i="13"/>
  <c r="BH161" i="13"/>
  <c r="BR161" i="13"/>
  <c r="BK161" i="13"/>
  <c r="BJ161" i="13"/>
  <c r="BI161" i="13"/>
  <c r="BS161" i="13"/>
  <c r="BL161" i="13"/>
  <c r="BE161" i="13"/>
  <c r="BD161" i="13"/>
  <c r="BU161" i="13"/>
  <c r="BG161" i="13"/>
  <c r="BP161" i="13"/>
  <c r="BT161" i="13"/>
  <c r="BF161" i="13"/>
  <c r="BM161" i="13"/>
  <c r="BQ161" i="13"/>
  <c r="BV161" i="13"/>
  <c r="BN161" i="13"/>
  <c r="BM219" i="13"/>
  <c r="BF219" i="13"/>
  <c r="BV219" i="13"/>
  <c r="BU219" i="13"/>
  <c r="BN219" i="13"/>
  <c r="BG219" i="13"/>
  <c r="BQ219" i="13"/>
  <c r="BP219" i="13"/>
  <c r="BO219" i="13"/>
  <c r="BH219" i="13"/>
  <c r="BL219" i="13"/>
  <c r="BD219" i="13"/>
  <c r="BK219" i="13"/>
  <c r="BI219" i="13"/>
  <c r="BS219" i="13"/>
  <c r="BE219" i="13"/>
  <c r="BT219" i="13"/>
  <c r="BR219" i="13"/>
  <c r="BJ219" i="13"/>
  <c r="BT223" i="13"/>
  <c r="BM223" i="13"/>
  <c r="BF223" i="13"/>
  <c r="BV223" i="13"/>
  <c r="BU223" i="13"/>
  <c r="BN223" i="13"/>
  <c r="BG223" i="13"/>
  <c r="BQ223" i="13"/>
  <c r="BP223" i="13"/>
  <c r="BI223" i="13"/>
  <c r="BL223" i="13"/>
  <c r="BD223" i="13"/>
  <c r="BH223" i="13"/>
  <c r="BK223" i="13"/>
  <c r="BO223" i="13"/>
  <c r="BJ223" i="13"/>
  <c r="BS223" i="13"/>
  <c r="BR223" i="13"/>
  <c r="BE223" i="13"/>
  <c r="BV273" i="13"/>
  <c r="BU273" i="13"/>
  <c r="BN273" i="13"/>
  <c r="BG273" i="13"/>
  <c r="BK273" i="13"/>
  <c r="BD273" i="13"/>
  <c r="BH273" i="13"/>
  <c r="BL273" i="13"/>
  <c r="BP273" i="13"/>
  <c r="BI273" i="13"/>
  <c r="BM273" i="13"/>
  <c r="BQ273" i="13"/>
  <c r="BR273" i="13"/>
  <c r="BJ273" i="13"/>
  <c r="BT273" i="13"/>
  <c r="BE273" i="13"/>
  <c r="BO273" i="13"/>
  <c r="BS273" i="13"/>
  <c r="BF273" i="13"/>
  <c r="BR277" i="13"/>
  <c r="BK277" i="13"/>
  <c r="BJ277" i="13"/>
  <c r="BI277" i="13"/>
  <c r="BS277" i="13"/>
  <c r="BL277" i="13"/>
  <c r="BE277" i="13"/>
  <c r="BD277" i="13"/>
  <c r="BT277" i="13"/>
  <c r="BQ277" i="13"/>
  <c r="BO277" i="13"/>
  <c r="BM277" i="13"/>
  <c r="BV277" i="13"/>
  <c r="BN277" i="13"/>
  <c r="BG277" i="13"/>
  <c r="BP277" i="13"/>
  <c r="BH277" i="13"/>
  <c r="BF277" i="13"/>
  <c r="BU277" i="13"/>
  <c r="BO281" i="13"/>
  <c r="BH281" i="13"/>
  <c r="BR281" i="13"/>
  <c r="BK281" i="13"/>
  <c r="BJ281" i="13"/>
  <c r="BI281" i="13"/>
  <c r="BS281" i="13"/>
  <c r="BL281" i="13"/>
  <c r="BE281" i="13"/>
  <c r="BD281" i="13"/>
  <c r="BN281" i="13"/>
  <c r="BQ281" i="13"/>
  <c r="BM281" i="13"/>
  <c r="BV281" i="13"/>
  <c r="BU281" i="13"/>
  <c r="BG281" i="13"/>
  <c r="BP281" i="13"/>
  <c r="BF281" i="13"/>
  <c r="BT281" i="13"/>
  <c r="BV302" i="13"/>
  <c r="BU302" i="13"/>
  <c r="BN302" i="13"/>
  <c r="BG302" i="13"/>
  <c r="BK302" i="13"/>
  <c r="BJ302" i="13"/>
  <c r="BI302" i="13"/>
  <c r="BS302" i="13"/>
  <c r="BL302" i="13"/>
  <c r="BE302" i="13"/>
  <c r="BT302" i="13"/>
  <c r="BF302" i="13"/>
  <c r="BD302" i="13"/>
  <c r="BM302" i="13"/>
  <c r="BQ302" i="13"/>
  <c r="BR302" i="13"/>
  <c r="BP302" i="13"/>
  <c r="BO302" i="13"/>
  <c r="BH302" i="13"/>
  <c r="BG306" i="13"/>
  <c r="BQ306" i="13"/>
  <c r="BP306" i="13"/>
  <c r="BO306" i="13"/>
  <c r="BH306" i="13"/>
  <c r="BL306" i="13"/>
  <c r="BV306" i="13"/>
  <c r="BI306" i="13"/>
  <c r="BS306" i="13"/>
  <c r="BF306" i="13"/>
  <c r="BJ306" i="13"/>
  <c r="BT306" i="13"/>
  <c r="BM306" i="13"/>
  <c r="BK306" i="13"/>
  <c r="BD306" i="13"/>
  <c r="BN306" i="13"/>
  <c r="BR306" i="13"/>
  <c r="BE306" i="13"/>
  <c r="BU306" i="13"/>
  <c r="BT310" i="13"/>
  <c r="BM310" i="13"/>
  <c r="BF310" i="13"/>
  <c r="BV310" i="13"/>
  <c r="BU310" i="13"/>
  <c r="BN310" i="13"/>
  <c r="BG310" i="13"/>
  <c r="BQ310" i="13"/>
  <c r="BP310" i="13"/>
  <c r="BS310" i="13"/>
  <c r="BE310" i="13"/>
  <c r="BO310" i="13"/>
  <c r="BR310" i="13"/>
  <c r="BJ310" i="13"/>
  <c r="BI310" i="13"/>
  <c r="BL310" i="13"/>
  <c r="BD310" i="13"/>
  <c r="BH310" i="13"/>
  <c r="BK310" i="13"/>
  <c r="BK329" i="13"/>
  <c r="BJ329" i="13"/>
  <c r="BI329" i="13"/>
  <c r="BS329" i="13"/>
  <c r="BL329" i="13"/>
  <c r="BV329" i="13"/>
  <c r="BU329" i="13"/>
  <c r="BN329" i="13"/>
  <c r="BG329" i="13"/>
  <c r="BP329" i="13"/>
  <c r="BR329" i="13"/>
  <c r="BQ329" i="13"/>
  <c r="BO329" i="13"/>
  <c r="BH329" i="13"/>
  <c r="BT329" i="13"/>
  <c r="BE329" i="13"/>
  <c r="BM329" i="13"/>
  <c r="BF329" i="13"/>
  <c r="BD329" i="13"/>
  <c r="BS333" i="13"/>
  <c r="BL333" i="13"/>
  <c r="BE333" i="13"/>
  <c r="BD333" i="13"/>
  <c r="BT333" i="13"/>
  <c r="BR333" i="13"/>
  <c r="BV333" i="13"/>
  <c r="BO333" i="13"/>
  <c r="BF333" i="13"/>
  <c r="BP333" i="13"/>
  <c r="BI333" i="13"/>
  <c r="BM333" i="13"/>
  <c r="BQ333" i="13"/>
  <c r="BJ333" i="13"/>
  <c r="BN333" i="13"/>
  <c r="BK333" i="13"/>
  <c r="BU333" i="13"/>
  <c r="BH333" i="13"/>
  <c r="BG333" i="13"/>
  <c r="BO543" i="13"/>
  <c r="BH543" i="13"/>
  <c r="BR543" i="13"/>
  <c r="BK543" i="13"/>
  <c r="BJ543" i="13"/>
  <c r="BI543" i="13"/>
  <c r="BS543" i="13"/>
  <c r="BL543" i="13"/>
  <c r="BE543" i="13"/>
  <c r="BD543" i="13"/>
  <c r="BU543" i="13"/>
  <c r="BG543" i="13"/>
  <c r="BP543" i="13"/>
  <c r="BT543" i="13"/>
  <c r="BF543" i="13"/>
  <c r="BN543" i="13"/>
  <c r="BQ543" i="13"/>
  <c r="BM543" i="13"/>
  <c r="BV543" i="13"/>
  <c r="BV547" i="13"/>
  <c r="BU547" i="13"/>
  <c r="BN547" i="13"/>
  <c r="BG547" i="13"/>
  <c r="BK547" i="13"/>
  <c r="BJ547" i="13"/>
  <c r="BI547" i="13"/>
  <c r="BS547" i="13"/>
  <c r="BL547" i="13"/>
  <c r="BE547" i="13"/>
  <c r="BT547" i="13"/>
  <c r="BF547" i="13"/>
  <c r="BD547" i="13"/>
  <c r="BM547" i="13"/>
  <c r="BP547" i="13"/>
  <c r="BO547" i="13"/>
  <c r="BH547" i="13"/>
  <c r="BQ547" i="13"/>
  <c r="BR547" i="13"/>
  <c r="BG551" i="13"/>
  <c r="BQ551" i="13"/>
  <c r="BP551" i="13"/>
  <c r="BO551" i="13"/>
  <c r="BH551" i="13"/>
  <c r="BR551" i="13"/>
  <c r="BE551" i="13"/>
  <c r="BU551" i="13"/>
  <c r="BL551" i="13"/>
  <c r="BV551" i="13"/>
  <c r="BI551" i="13"/>
  <c r="BS551" i="13"/>
  <c r="BF551" i="13"/>
  <c r="BJ551" i="13"/>
  <c r="BT551" i="13"/>
  <c r="BD551" i="13"/>
  <c r="BN551" i="13"/>
  <c r="BM551" i="13"/>
  <c r="BK551" i="13"/>
  <c r="BT555" i="13"/>
  <c r="BM555" i="13"/>
  <c r="BF555" i="13"/>
  <c r="BV555" i="13"/>
  <c r="BU555" i="13"/>
  <c r="BN555" i="13"/>
  <c r="BG555" i="13"/>
  <c r="BQ555" i="13"/>
  <c r="BP555" i="13"/>
  <c r="BI555" i="13"/>
  <c r="BL555" i="13"/>
  <c r="BD555" i="13"/>
  <c r="BH555" i="13"/>
  <c r="BK555" i="13"/>
  <c r="BS555" i="13"/>
  <c r="BE555" i="13"/>
  <c r="BO555" i="13"/>
  <c r="BR555" i="13"/>
  <c r="BJ555" i="13"/>
  <c r="BQ6" i="13"/>
  <c r="BP6" i="13"/>
  <c r="BO6" i="13"/>
  <c r="BH6" i="13"/>
  <c r="BR6" i="13"/>
  <c r="BK6" i="13"/>
  <c r="BJ6" i="13"/>
  <c r="BI6" i="13"/>
  <c r="BS6" i="13"/>
  <c r="BL6" i="13"/>
  <c r="BD6" i="13"/>
  <c r="BM6" i="13"/>
  <c r="BE6" i="13"/>
  <c r="BT6" i="13"/>
  <c r="BV6" i="13"/>
  <c r="BN6" i="13"/>
  <c r="BF6" i="13"/>
  <c r="BU6" i="13"/>
  <c r="BG6" i="13"/>
  <c r="BN27" i="13"/>
  <c r="BG27" i="13"/>
  <c r="BQ27" i="13"/>
  <c r="BP27" i="13"/>
  <c r="BO27" i="13"/>
  <c r="BH27" i="13"/>
  <c r="BL27" i="13"/>
  <c r="BV27" i="13"/>
  <c r="BI27" i="13"/>
  <c r="BT27" i="13"/>
  <c r="BR27" i="13"/>
  <c r="BE27" i="13"/>
  <c r="BU27" i="13"/>
  <c r="BS27" i="13"/>
  <c r="BJ27" i="13"/>
  <c r="BM27" i="13"/>
  <c r="BD27" i="13"/>
  <c r="BK27" i="13"/>
  <c r="BF27" i="13"/>
  <c r="BV31" i="13"/>
  <c r="BU31" i="13"/>
  <c r="BN31" i="13"/>
  <c r="BG31" i="13"/>
  <c r="BQ31" i="13"/>
  <c r="BO31" i="13"/>
  <c r="BS31" i="13"/>
  <c r="BF31" i="13"/>
  <c r="BP31" i="13"/>
  <c r="BI31" i="13"/>
  <c r="BM31" i="13"/>
  <c r="BK31" i="13"/>
  <c r="BD31" i="13"/>
  <c r="BL31" i="13"/>
  <c r="BT31" i="13"/>
  <c r="BE31" i="13"/>
  <c r="BH31" i="13"/>
  <c r="BJ31" i="13"/>
  <c r="BR31" i="13"/>
  <c r="BL35" i="13"/>
  <c r="BE35" i="13"/>
  <c r="BD35" i="13"/>
  <c r="BT35" i="13"/>
  <c r="BM35" i="13"/>
  <c r="BF35" i="13"/>
  <c r="BV35" i="13"/>
  <c r="BU35" i="13"/>
  <c r="BN35" i="13"/>
  <c r="BG35" i="13"/>
  <c r="BQ35" i="13"/>
  <c r="BO35" i="13"/>
  <c r="BI35" i="13"/>
  <c r="BP35" i="13"/>
  <c r="BH35" i="13"/>
  <c r="BR35" i="13"/>
  <c r="BJ35" i="13"/>
  <c r="BS35" i="13"/>
  <c r="BK35" i="13"/>
  <c r="BS39" i="13"/>
  <c r="BL39" i="13"/>
  <c r="BE39" i="13"/>
  <c r="BD39" i="13"/>
  <c r="BN39" i="13"/>
  <c r="BR39" i="13"/>
  <c r="BV39" i="13"/>
  <c r="BO39" i="13"/>
  <c r="BT39" i="13"/>
  <c r="BG39" i="13"/>
  <c r="BK39" i="13"/>
  <c r="BU39" i="13"/>
  <c r="BF39" i="13"/>
  <c r="BI39" i="13"/>
  <c r="BQ39" i="13"/>
  <c r="BM39" i="13"/>
  <c r="BJ39" i="13"/>
  <c r="BP39" i="13"/>
  <c r="BH39" i="13"/>
  <c r="BJ43" i="13"/>
  <c r="BI43" i="13"/>
  <c r="BS43" i="13"/>
  <c r="BL43" i="13"/>
  <c r="BE43" i="13"/>
  <c r="BU43" i="13"/>
  <c r="BH43" i="13"/>
  <c r="BF43" i="13"/>
  <c r="BV43" i="13"/>
  <c r="BO43" i="13"/>
  <c r="BM43" i="13"/>
  <c r="BQ43" i="13"/>
  <c r="BN43" i="13"/>
  <c r="BP43" i="13"/>
  <c r="BG43" i="13"/>
  <c r="BD43" i="13"/>
  <c r="BR43" i="13"/>
  <c r="BT43" i="13"/>
  <c r="BK43" i="13"/>
  <c r="BQ47" i="13"/>
  <c r="BP47" i="13"/>
  <c r="BO47" i="13"/>
  <c r="BH47" i="13"/>
  <c r="BR47" i="13"/>
  <c r="BK47" i="13"/>
  <c r="BJ47" i="13"/>
  <c r="BI47" i="13"/>
  <c r="BS47" i="13"/>
  <c r="BE47" i="13"/>
  <c r="BT47" i="13"/>
  <c r="BN47" i="13"/>
  <c r="BL47" i="13"/>
  <c r="BD47" i="13"/>
  <c r="BM47" i="13"/>
  <c r="BV47" i="13"/>
  <c r="BF47" i="13"/>
  <c r="BU47" i="13"/>
  <c r="BG47" i="13"/>
  <c r="BN51" i="13"/>
  <c r="BG51" i="13"/>
  <c r="BQ51" i="13"/>
  <c r="BP51" i="13"/>
  <c r="BO51" i="13"/>
  <c r="BT51" i="13"/>
  <c r="BR51" i="13"/>
  <c r="BE51" i="13"/>
  <c r="BU51" i="13"/>
  <c r="BM51" i="13"/>
  <c r="BK51" i="13"/>
  <c r="BD51" i="13"/>
  <c r="BH51" i="13"/>
  <c r="BV51" i="13"/>
  <c r="BS51" i="13"/>
  <c r="BJ51" i="13"/>
  <c r="BF51" i="13"/>
  <c r="BI51" i="13"/>
  <c r="BL51" i="13"/>
  <c r="BV55" i="13"/>
  <c r="BU55" i="13"/>
  <c r="BN55" i="13"/>
  <c r="BG55" i="13"/>
  <c r="BQ55" i="13"/>
  <c r="BD55" i="13"/>
  <c r="BH55" i="13"/>
  <c r="BL55" i="13"/>
  <c r="BO55" i="13"/>
  <c r="BS55" i="13"/>
  <c r="BF55" i="13"/>
  <c r="BJ55" i="13"/>
  <c r="BR55" i="13"/>
  <c r="BI55" i="13"/>
  <c r="BK55" i="13"/>
  <c r="BT55" i="13"/>
  <c r="BE55" i="13"/>
  <c r="BP55" i="13"/>
  <c r="BM55" i="13"/>
  <c r="BL59" i="13"/>
  <c r="BE59" i="13"/>
  <c r="BD59" i="13"/>
  <c r="BT59" i="13"/>
  <c r="BM59" i="13"/>
  <c r="BF59" i="13"/>
  <c r="BV59" i="13"/>
  <c r="BU59" i="13"/>
  <c r="BN59" i="13"/>
  <c r="BG59" i="13"/>
  <c r="BP59" i="13"/>
  <c r="BH59" i="13"/>
  <c r="BS59" i="13"/>
  <c r="BQ59" i="13"/>
  <c r="BO59" i="13"/>
  <c r="BR59" i="13"/>
  <c r="BK59" i="13"/>
  <c r="BI59" i="13"/>
  <c r="BJ59" i="13"/>
  <c r="BS63" i="13"/>
  <c r="BL63" i="13"/>
  <c r="BE63" i="13"/>
  <c r="BD63" i="13"/>
  <c r="BT63" i="13"/>
  <c r="BG63" i="13"/>
  <c r="BK63" i="13"/>
  <c r="BU63" i="13"/>
  <c r="BM63" i="13"/>
  <c r="BQ63" i="13"/>
  <c r="BJ63" i="13"/>
  <c r="BR63" i="13"/>
  <c r="BO63" i="13"/>
  <c r="BF63" i="13"/>
  <c r="BI63" i="13"/>
  <c r="BH63" i="13"/>
  <c r="BP63" i="13"/>
  <c r="BN63" i="13"/>
  <c r="BV63" i="13"/>
  <c r="BJ67" i="13"/>
  <c r="BI67" i="13"/>
  <c r="BS67" i="13"/>
  <c r="BL67" i="13"/>
  <c r="BE67" i="13"/>
  <c r="BD67" i="13"/>
  <c r="BN67" i="13"/>
  <c r="BR67" i="13"/>
  <c r="BU67" i="13"/>
  <c r="BH67" i="13"/>
  <c r="BF67" i="13"/>
  <c r="BT67" i="13"/>
  <c r="BK67" i="13"/>
  <c r="BV67" i="13"/>
  <c r="BM67" i="13"/>
  <c r="BP67" i="13"/>
  <c r="BG67" i="13"/>
  <c r="BO67" i="13"/>
  <c r="BQ67" i="13"/>
  <c r="BQ71" i="13"/>
  <c r="BP71" i="13"/>
  <c r="BO71" i="13"/>
  <c r="BH71" i="13"/>
  <c r="BR71" i="13"/>
  <c r="BK71" i="13"/>
  <c r="BJ71" i="13"/>
  <c r="BI71" i="13"/>
  <c r="BS71" i="13"/>
  <c r="BL71" i="13"/>
  <c r="BD71" i="13"/>
  <c r="BM71" i="13"/>
  <c r="BF71" i="13"/>
  <c r="BE71" i="13"/>
  <c r="BT71" i="13"/>
  <c r="BU71" i="13"/>
  <c r="BV71" i="13"/>
  <c r="BN71" i="13"/>
  <c r="BG71" i="13"/>
  <c r="BN102" i="13"/>
  <c r="BG102" i="13"/>
  <c r="BQ102" i="13"/>
  <c r="BP102" i="13"/>
  <c r="BO102" i="13"/>
  <c r="BM102" i="13"/>
  <c r="BK102" i="13"/>
  <c r="BD102" i="13"/>
  <c r="BS102" i="13"/>
  <c r="BF102" i="13"/>
  <c r="BJ102" i="13"/>
  <c r="BT102" i="13"/>
  <c r="BE102" i="13"/>
  <c r="BH102" i="13"/>
  <c r="BV102" i="13"/>
  <c r="BL102" i="13"/>
  <c r="BI102" i="13"/>
  <c r="BR102" i="13"/>
  <c r="BU102" i="13"/>
  <c r="BV106" i="13"/>
  <c r="BU106" i="13"/>
  <c r="BN106" i="13"/>
  <c r="BG106" i="13"/>
  <c r="BQ106" i="13"/>
  <c r="BJ106" i="13"/>
  <c r="BT106" i="13"/>
  <c r="BR106" i="13"/>
  <c r="BE106" i="13"/>
  <c r="BD106" i="13"/>
  <c r="BH106" i="13"/>
  <c r="BL106" i="13"/>
  <c r="BP106" i="13"/>
  <c r="BM106" i="13"/>
  <c r="BO106" i="13"/>
  <c r="BF106" i="13"/>
  <c r="BI106" i="13"/>
  <c r="BK106" i="13"/>
  <c r="BS106" i="13"/>
  <c r="BL110" i="13"/>
  <c r="BE110" i="13"/>
  <c r="BD110" i="13"/>
  <c r="BT110" i="13"/>
  <c r="BM110" i="13"/>
  <c r="BF110" i="13"/>
  <c r="BV110" i="13"/>
  <c r="BU110" i="13"/>
  <c r="BN110" i="13"/>
  <c r="BG110" i="13"/>
  <c r="BQ110" i="13"/>
  <c r="BO110" i="13"/>
  <c r="BP110" i="13"/>
  <c r="BH110" i="13"/>
  <c r="BK110" i="13"/>
  <c r="BR110" i="13"/>
  <c r="BJ110" i="13"/>
  <c r="BS110" i="13"/>
  <c r="BI110" i="13"/>
  <c r="BS114" i="13"/>
  <c r="BL114" i="13"/>
  <c r="BE114" i="13"/>
  <c r="BD114" i="13"/>
  <c r="BM114" i="13"/>
  <c r="BQ114" i="13"/>
  <c r="BJ114" i="13"/>
  <c r="BH114" i="13"/>
  <c r="BF114" i="13"/>
  <c r="BP114" i="13"/>
  <c r="BI114" i="13"/>
  <c r="BG114" i="13"/>
  <c r="BU114" i="13"/>
  <c r="BR114" i="13"/>
  <c r="BO114" i="13"/>
  <c r="BN114" i="13"/>
  <c r="BV114" i="13"/>
  <c r="BT114" i="13"/>
  <c r="BK114" i="13"/>
  <c r="BJ118" i="13"/>
  <c r="BI118" i="13"/>
  <c r="BS118" i="13"/>
  <c r="BL118" i="13"/>
  <c r="BE118" i="13"/>
  <c r="BP118" i="13"/>
  <c r="BT118" i="13"/>
  <c r="BG118" i="13"/>
  <c r="BK118" i="13"/>
  <c r="BD118" i="13"/>
  <c r="BN118" i="13"/>
  <c r="BR118" i="13"/>
  <c r="BO118" i="13"/>
  <c r="BQ118" i="13"/>
  <c r="BH118" i="13"/>
  <c r="BV118" i="13"/>
  <c r="BM118" i="13"/>
  <c r="BU118" i="13"/>
  <c r="BF118" i="13"/>
  <c r="BQ122" i="13"/>
  <c r="BP122" i="13"/>
  <c r="BO122" i="13"/>
  <c r="BH122" i="13"/>
  <c r="BR122" i="13"/>
  <c r="BK122" i="13"/>
  <c r="BJ122" i="13"/>
  <c r="BI122" i="13"/>
  <c r="BS122" i="13"/>
  <c r="BE122" i="13"/>
  <c r="BT122" i="13"/>
  <c r="BN122" i="13"/>
  <c r="BL122" i="13"/>
  <c r="BD122" i="13"/>
  <c r="BM122" i="13"/>
  <c r="BV122" i="13"/>
  <c r="BF122" i="13"/>
  <c r="BU122" i="13"/>
  <c r="BG122" i="13"/>
  <c r="BN126" i="13"/>
  <c r="BG126" i="13"/>
  <c r="BQ126" i="13"/>
  <c r="BP126" i="13"/>
  <c r="BO126" i="13"/>
  <c r="BS126" i="13"/>
  <c r="BF126" i="13"/>
  <c r="BJ126" i="13"/>
  <c r="BH126" i="13"/>
  <c r="BL126" i="13"/>
  <c r="BV126" i="13"/>
  <c r="BI126" i="13"/>
  <c r="BK126" i="13"/>
  <c r="BT126" i="13"/>
  <c r="BE126" i="13"/>
  <c r="BR126" i="13"/>
  <c r="BU126" i="13"/>
  <c r="BM126" i="13"/>
  <c r="BD126" i="13"/>
  <c r="BV130" i="13"/>
  <c r="BU130" i="13"/>
  <c r="BN130" i="13"/>
  <c r="BG130" i="13"/>
  <c r="BQ130" i="13"/>
  <c r="BP130" i="13"/>
  <c r="BI130" i="13"/>
  <c r="BM130" i="13"/>
  <c r="BK130" i="13"/>
  <c r="BJ130" i="13"/>
  <c r="BT130" i="13"/>
  <c r="BR130" i="13"/>
  <c r="BE130" i="13"/>
  <c r="BS130" i="13"/>
  <c r="BD130" i="13"/>
  <c r="BL130" i="13"/>
  <c r="BO130" i="13"/>
  <c r="BF130" i="13"/>
  <c r="BH130" i="13"/>
  <c r="BL134" i="13"/>
  <c r="BE134" i="13"/>
  <c r="BD134" i="13"/>
  <c r="BT134" i="13"/>
  <c r="BM134" i="13"/>
  <c r="BF134" i="13"/>
  <c r="BV134" i="13"/>
  <c r="BU134" i="13"/>
  <c r="BN134" i="13"/>
  <c r="BG134" i="13"/>
  <c r="BP134" i="13"/>
  <c r="BH134" i="13"/>
  <c r="BJ134" i="13"/>
  <c r="BQ134" i="13"/>
  <c r="BO134" i="13"/>
  <c r="BR134" i="13"/>
  <c r="BK134" i="13"/>
  <c r="BI134" i="13"/>
  <c r="BS134" i="13"/>
  <c r="BS138" i="13"/>
  <c r="BL138" i="13"/>
  <c r="BE138" i="13"/>
  <c r="BD138" i="13"/>
  <c r="BH138" i="13"/>
  <c r="BF138" i="13"/>
  <c r="BP138" i="13"/>
  <c r="BI138" i="13"/>
  <c r="BN138" i="13"/>
  <c r="BR138" i="13"/>
  <c r="BV138" i="13"/>
  <c r="BO138" i="13"/>
  <c r="BM138" i="13"/>
  <c r="BJ138" i="13"/>
  <c r="BG138" i="13"/>
  <c r="BU138" i="13"/>
  <c r="BT138" i="13"/>
  <c r="BK138" i="13"/>
  <c r="BQ138" i="13"/>
  <c r="BJ142" i="13"/>
  <c r="BI142" i="13"/>
  <c r="BS142" i="13"/>
  <c r="BL142" i="13"/>
  <c r="BE142" i="13"/>
  <c r="BV142" i="13"/>
  <c r="BO142" i="13"/>
  <c r="BM142" i="13"/>
  <c r="BQ142" i="13"/>
  <c r="BP142" i="13"/>
  <c r="BT142" i="13"/>
  <c r="BG142" i="13"/>
  <c r="BK142" i="13"/>
  <c r="BU142" i="13"/>
  <c r="BF142" i="13"/>
  <c r="BN142" i="13"/>
  <c r="BH142" i="13"/>
  <c r="BD142" i="13"/>
  <c r="BR142" i="13"/>
  <c r="BQ146" i="13"/>
  <c r="BP146" i="13"/>
  <c r="BO146" i="13"/>
  <c r="BH146" i="13"/>
  <c r="BR146" i="13"/>
  <c r="BK146" i="13"/>
  <c r="BJ146" i="13"/>
  <c r="BI146" i="13"/>
  <c r="BS146" i="13"/>
  <c r="BL146" i="13"/>
  <c r="BD146" i="13"/>
  <c r="BM146" i="13"/>
  <c r="BE146" i="13"/>
  <c r="BT146" i="13"/>
  <c r="BV146" i="13"/>
  <c r="BN146" i="13"/>
  <c r="BF146" i="13"/>
  <c r="BU146" i="13"/>
  <c r="BG146" i="13"/>
  <c r="BN150" i="13"/>
  <c r="BG150" i="13"/>
  <c r="BQ150" i="13"/>
  <c r="BP150" i="13"/>
  <c r="BO150" i="13"/>
  <c r="BH150" i="13"/>
  <c r="BL150" i="13"/>
  <c r="BV150" i="13"/>
  <c r="BI150" i="13"/>
  <c r="BT150" i="13"/>
  <c r="BR150" i="13"/>
  <c r="BE150" i="13"/>
  <c r="BU150" i="13"/>
  <c r="BF150" i="13"/>
  <c r="BK150" i="13"/>
  <c r="BM150" i="13"/>
  <c r="BD150" i="13"/>
  <c r="BS150" i="13"/>
  <c r="BJ150" i="13"/>
  <c r="BV154" i="13"/>
  <c r="BU154" i="13"/>
  <c r="BN154" i="13"/>
  <c r="BG154" i="13"/>
  <c r="BQ154" i="13"/>
  <c r="BO154" i="13"/>
  <c r="BS154" i="13"/>
  <c r="BF154" i="13"/>
  <c r="BP154" i="13"/>
  <c r="BI154" i="13"/>
  <c r="BM154" i="13"/>
  <c r="BK154" i="13"/>
  <c r="BH154" i="13"/>
  <c r="BJ154" i="13"/>
  <c r="BR154" i="13"/>
  <c r="BD154" i="13"/>
  <c r="BL154" i="13"/>
  <c r="BT154" i="13"/>
  <c r="BE154" i="13"/>
  <c r="BL158" i="13"/>
  <c r="BE158" i="13"/>
  <c r="BD158" i="13"/>
  <c r="BT158" i="13"/>
  <c r="BM158" i="13"/>
  <c r="BF158" i="13"/>
  <c r="BV158" i="13"/>
  <c r="BU158" i="13"/>
  <c r="BN158" i="13"/>
  <c r="BG158" i="13"/>
  <c r="BQ158" i="13"/>
  <c r="BO158" i="13"/>
  <c r="BP158" i="13"/>
  <c r="BH158" i="13"/>
  <c r="BR158" i="13"/>
  <c r="BJ158" i="13"/>
  <c r="BS158" i="13"/>
  <c r="BK158" i="13"/>
  <c r="BI158" i="13"/>
  <c r="BS162" i="13"/>
  <c r="BL162" i="13"/>
  <c r="BE162" i="13"/>
  <c r="BD162" i="13"/>
  <c r="BN162" i="13"/>
  <c r="BR162" i="13"/>
  <c r="BV162" i="13"/>
  <c r="BO162" i="13"/>
  <c r="BT162" i="13"/>
  <c r="BG162" i="13"/>
  <c r="BK162" i="13"/>
  <c r="BU162" i="13"/>
  <c r="BH162" i="13"/>
  <c r="BP162" i="13"/>
  <c r="BM162" i="13"/>
  <c r="BJ162" i="13"/>
  <c r="BQ162" i="13"/>
  <c r="BF162" i="13"/>
  <c r="BI162" i="13"/>
  <c r="BJ216" i="13"/>
  <c r="BI216" i="13"/>
  <c r="BS216" i="13"/>
  <c r="BL216" i="13"/>
  <c r="BE216" i="13"/>
  <c r="BD216" i="13"/>
  <c r="BT216" i="13"/>
  <c r="BM216" i="13"/>
  <c r="BF216" i="13"/>
  <c r="BO216" i="13"/>
  <c r="BR216" i="13"/>
  <c r="BV216" i="13"/>
  <c r="BN216" i="13"/>
  <c r="BQ216" i="13"/>
  <c r="BP216" i="13"/>
  <c r="BH216" i="13"/>
  <c r="BK216" i="13"/>
  <c r="BU216" i="13"/>
  <c r="BG216" i="13"/>
  <c r="BQ220" i="13"/>
  <c r="BP220" i="13"/>
  <c r="BO220" i="13"/>
  <c r="BH220" i="13"/>
  <c r="BR220" i="13"/>
  <c r="BK220" i="13"/>
  <c r="BJ220" i="13"/>
  <c r="BI220" i="13"/>
  <c r="BS220" i="13"/>
  <c r="BE220" i="13"/>
  <c r="BT220" i="13"/>
  <c r="BL220" i="13"/>
  <c r="BD220" i="13"/>
  <c r="BM220" i="13"/>
  <c r="BF220" i="13"/>
  <c r="BU220" i="13"/>
  <c r="BG220" i="13"/>
  <c r="BN220" i="13"/>
  <c r="BV220" i="13"/>
  <c r="BN224" i="13"/>
  <c r="BG224" i="13"/>
  <c r="BQ224" i="13"/>
  <c r="BP224" i="13"/>
  <c r="BO224" i="13"/>
  <c r="BT224" i="13"/>
  <c r="BR224" i="13"/>
  <c r="BE224" i="13"/>
  <c r="BU224" i="13"/>
  <c r="BM224" i="13"/>
  <c r="BK224" i="13"/>
  <c r="BL224" i="13"/>
  <c r="BD224" i="13"/>
  <c r="BF224" i="13"/>
  <c r="BI224" i="13"/>
  <c r="BS224" i="13"/>
  <c r="BJ224" i="13"/>
  <c r="BV224" i="13"/>
  <c r="BH224" i="13"/>
  <c r="BV274" i="13"/>
  <c r="BU274" i="13"/>
  <c r="BN274" i="13"/>
  <c r="BG274" i="13"/>
  <c r="BQ274" i="13"/>
  <c r="BP274" i="13"/>
  <c r="BO274" i="13"/>
  <c r="BH274" i="13"/>
  <c r="BR274" i="13"/>
  <c r="BK274" i="13"/>
  <c r="BT274" i="13"/>
  <c r="BF274" i="13"/>
  <c r="BJ274" i="13"/>
  <c r="BS274" i="13"/>
  <c r="BE274" i="13"/>
  <c r="BD274" i="13"/>
  <c r="BM274" i="13"/>
  <c r="BI274" i="13"/>
  <c r="BL274" i="13"/>
  <c r="BL278" i="13"/>
  <c r="BE278" i="13"/>
  <c r="BD278" i="13"/>
  <c r="BT278" i="13"/>
  <c r="BM278" i="13"/>
  <c r="BF278" i="13"/>
  <c r="BV278" i="13"/>
  <c r="BU278" i="13"/>
  <c r="BN278" i="13"/>
  <c r="BG278" i="13"/>
  <c r="BP278" i="13"/>
  <c r="BH278" i="13"/>
  <c r="BQ278" i="13"/>
  <c r="BO278" i="13"/>
  <c r="BK278" i="13"/>
  <c r="BI278" i="13"/>
  <c r="BJ278" i="13"/>
  <c r="BS278" i="13"/>
  <c r="BR278" i="13"/>
  <c r="BS299" i="13"/>
  <c r="BL299" i="13"/>
  <c r="BE299" i="13"/>
  <c r="BD299" i="13"/>
  <c r="BT299" i="13"/>
  <c r="BG299" i="13"/>
  <c r="BK299" i="13"/>
  <c r="BU299" i="13"/>
  <c r="BR299" i="13"/>
  <c r="BP299" i="13"/>
  <c r="BN299" i="13"/>
  <c r="BF299" i="13"/>
  <c r="BJ299" i="13"/>
  <c r="BM299" i="13"/>
  <c r="BV299" i="13"/>
  <c r="BI299" i="13"/>
  <c r="BH299" i="13"/>
  <c r="BQ299" i="13"/>
  <c r="BO299" i="13"/>
  <c r="BD303" i="13"/>
  <c r="BT303" i="13"/>
  <c r="BM303" i="13"/>
  <c r="BF303" i="13"/>
  <c r="BJ303" i="13"/>
  <c r="BN303" i="13"/>
  <c r="BR303" i="13"/>
  <c r="BE303" i="13"/>
  <c r="BU303" i="13"/>
  <c r="BH303" i="13"/>
  <c r="BL303" i="13"/>
  <c r="BV303" i="13"/>
  <c r="BO303" i="13"/>
  <c r="BS303" i="13"/>
  <c r="BQ303" i="13"/>
  <c r="BP303" i="13"/>
  <c r="BI303" i="13"/>
  <c r="BG303" i="13"/>
  <c r="BK303" i="13"/>
  <c r="BQ307" i="13"/>
  <c r="BP307" i="13"/>
  <c r="BO307" i="13"/>
  <c r="BH307" i="13"/>
  <c r="BR307" i="13"/>
  <c r="BK307" i="13"/>
  <c r="BJ307" i="13"/>
  <c r="BI307" i="13"/>
  <c r="BS307" i="13"/>
  <c r="BL307" i="13"/>
  <c r="BD307" i="13"/>
  <c r="BM307" i="13"/>
  <c r="BE307" i="13"/>
  <c r="BT307" i="13"/>
  <c r="BV307" i="13"/>
  <c r="BN307" i="13"/>
  <c r="BF307" i="13"/>
  <c r="BU307" i="13"/>
  <c r="BG307" i="13"/>
  <c r="BN311" i="13"/>
  <c r="BG311" i="13"/>
  <c r="BQ311" i="13"/>
  <c r="BP311" i="13"/>
  <c r="BO311" i="13"/>
  <c r="BM311" i="13"/>
  <c r="BK311" i="13"/>
  <c r="BD311" i="13"/>
  <c r="BS311" i="13"/>
  <c r="BE311" i="13"/>
  <c r="BI311" i="13"/>
  <c r="BR311" i="13"/>
  <c r="BV311" i="13"/>
  <c r="BH311" i="13"/>
  <c r="BF311" i="13"/>
  <c r="BU311" i="13"/>
  <c r="BT311" i="13"/>
  <c r="BL311" i="13"/>
  <c r="BJ311" i="13"/>
  <c r="BP330" i="13"/>
  <c r="BO330" i="13"/>
  <c r="BH330" i="13"/>
  <c r="BR330" i="13"/>
  <c r="BK330" i="13"/>
  <c r="BJ330" i="13"/>
  <c r="BT330" i="13"/>
  <c r="BG330" i="13"/>
  <c r="BE330" i="13"/>
  <c r="BD330" i="13"/>
  <c r="BN330" i="13"/>
  <c r="BL330" i="13"/>
  <c r="BU330" i="13"/>
  <c r="BS330" i="13"/>
  <c r="BF330" i="13"/>
  <c r="BV330" i="13"/>
  <c r="BI330" i="13"/>
  <c r="BM330" i="13"/>
  <c r="BQ330" i="13"/>
  <c r="BL334" i="13"/>
  <c r="BE334" i="13"/>
  <c r="BD334" i="13"/>
  <c r="BT334" i="13"/>
  <c r="BM334" i="13"/>
  <c r="BF334" i="13"/>
  <c r="BV334" i="13"/>
  <c r="BU334" i="13"/>
  <c r="BN334" i="13"/>
  <c r="BG334" i="13"/>
  <c r="BQ334" i="13"/>
  <c r="BO334" i="13"/>
  <c r="BP334" i="13"/>
  <c r="BH334" i="13"/>
  <c r="BR334" i="13"/>
  <c r="BJ334" i="13"/>
  <c r="BS334" i="13"/>
  <c r="BK334" i="13"/>
  <c r="BI334" i="13"/>
  <c r="BS544" i="13"/>
  <c r="BL544" i="13"/>
  <c r="BE544" i="13"/>
  <c r="BM544" i="13"/>
  <c r="BQ544" i="13"/>
  <c r="BJ544" i="13"/>
  <c r="BI544" i="13"/>
  <c r="BN544" i="13"/>
  <c r="BF544" i="13"/>
  <c r="BD544" i="13"/>
  <c r="BH544" i="13"/>
  <c r="BK544" i="13"/>
  <c r="BU544" i="13"/>
  <c r="BT544" i="13"/>
  <c r="BR544" i="13"/>
  <c r="BP544" i="13"/>
  <c r="BV544" i="13"/>
  <c r="BO544" i="13"/>
  <c r="BG544" i="13"/>
  <c r="BD548" i="13"/>
  <c r="BT548" i="13"/>
  <c r="BM548" i="13"/>
  <c r="BF548" i="13"/>
  <c r="BP548" i="13"/>
  <c r="BI548" i="13"/>
  <c r="BG548" i="13"/>
  <c r="BK548" i="13"/>
  <c r="BJ548" i="13"/>
  <c r="BN548" i="13"/>
  <c r="BR548" i="13"/>
  <c r="BE548" i="13"/>
  <c r="BU548" i="13"/>
  <c r="BH548" i="13"/>
  <c r="BL548" i="13"/>
  <c r="BV548" i="13"/>
  <c r="BO548" i="13"/>
  <c r="BS548" i="13"/>
  <c r="BQ548" i="13"/>
  <c r="BQ552" i="13"/>
  <c r="BP552" i="13"/>
  <c r="BO552" i="13"/>
  <c r="BH552" i="13"/>
  <c r="BR552" i="13"/>
  <c r="BK552" i="13"/>
  <c r="BJ552" i="13"/>
  <c r="BI552" i="13"/>
  <c r="BS552" i="13"/>
  <c r="BE552" i="13"/>
  <c r="BT552" i="13"/>
  <c r="BL552" i="13"/>
  <c r="BD552" i="13"/>
  <c r="BM552" i="13"/>
  <c r="BF552" i="13"/>
  <c r="BU552" i="13"/>
  <c r="BG552" i="13"/>
  <c r="BV552" i="13"/>
  <c r="BN552" i="13"/>
  <c r="BT556" i="13"/>
  <c r="BM556" i="13"/>
  <c r="BF556" i="13"/>
  <c r="BV556" i="13"/>
  <c r="BU556" i="13"/>
  <c r="BS556" i="13"/>
  <c r="BQ556" i="13"/>
  <c r="BJ556" i="13"/>
  <c r="BG556" i="13"/>
  <c r="BK556" i="13"/>
  <c r="BD556" i="13"/>
  <c r="BH556" i="13"/>
  <c r="BL556" i="13"/>
  <c r="BP556" i="13"/>
  <c r="BI556" i="13"/>
  <c r="BO556" i="13"/>
  <c r="BN556" i="13"/>
  <c r="BR556" i="13"/>
  <c r="BE556" i="13"/>
  <c r="BG28" i="13"/>
  <c r="BQ28" i="13"/>
  <c r="BP28" i="13"/>
  <c r="BO28" i="13"/>
  <c r="BH28" i="13"/>
  <c r="BR28" i="13"/>
  <c r="BK28" i="13"/>
  <c r="BJ28" i="13"/>
  <c r="BI28" i="13"/>
  <c r="BF28" i="13"/>
  <c r="BU28" i="13"/>
  <c r="BS28" i="13"/>
  <c r="BE28" i="13"/>
  <c r="BT28" i="13"/>
  <c r="BM28" i="13"/>
  <c r="BV28" i="13"/>
  <c r="BN28" i="13"/>
  <c r="BL28" i="13"/>
  <c r="BD28" i="13"/>
  <c r="BU32" i="13"/>
  <c r="BN32" i="13"/>
  <c r="BG32" i="13"/>
  <c r="BQ32" i="13"/>
  <c r="BP32" i="13"/>
  <c r="BO32" i="13"/>
  <c r="BH32" i="13"/>
  <c r="BR32" i="13"/>
  <c r="BK32" i="13"/>
  <c r="BJ32" i="13"/>
  <c r="BT32" i="13"/>
  <c r="BF32" i="13"/>
  <c r="BS32" i="13"/>
  <c r="BE32" i="13"/>
  <c r="BL32" i="13"/>
  <c r="BV32" i="13"/>
  <c r="BI32" i="13"/>
  <c r="BD32" i="13"/>
  <c r="BM32" i="13"/>
  <c r="BQ36" i="13"/>
  <c r="BP36" i="13"/>
  <c r="BO36" i="13"/>
  <c r="BH36" i="13"/>
  <c r="BR36" i="13"/>
  <c r="BJ36" i="13"/>
  <c r="BT36" i="13"/>
  <c r="BG36" i="13"/>
  <c r="BE36" i="13"/>
  <c r="BU36" i="13"/>
  <c r="BS36" i="13"/>
  <c r="BF36" i="13"/>
  <c r="BV36" i="13"/>
  <c r="BI36" i="13"/>
  <c r="BM36" i="13"/>
  <c r="BK36" i="13"/>
  <c r="BD36" i="13"/>
  <c r="BN36" i="13"/>
  <c r="BL36" i="13"/>
  <c r="BS40" i="13"/>
  <c r="BL40" i="13"/>
  <c r="BE40" i="13"/>
  <c r="BD40" i="13"/>
  <c r="BT40" i="13"/>
  <c r="BM40" i="13"/>
  <c r="BF40" i="13"/>
  <c r="BV40" i="13"/>
  <c r="BU40" i="13"/>
  <c r="BN40" i="13"/>
  <c r="BK40" i="13"/>
  <c r="BI40" i="13"/>
  <c r="BG40" i="13"/>
  <c r="BP40" i="13"/>
  <c r="BH40" i="13"/>
  <c r="BR40" i="13"/>
  <c r="BJ40" i="13"/>
  <c r="BQ40" i="13"/>
  <c r="BO40" i="13"/>
  <c r="BI44" i="13"/>
  <c r="BS44" i="13"/>
  <c r="BL44" i="13"/>
  <c r="BE44" i="13"/>
  <c r="BD44" i="13"/>
  <c r="BT44" i="13"/>
  <c r="BM44" i="13"/>
  <c r="BF44" i="13"/>
  <c r="BV44" i="13"/>
  <c r="BH44" i="13"/>
  <c r="BK44" i="13"/>
  <c r="BU44" i="13"/>
  <c r="BG44" i="13"/>
  <c r="BP44" i="13"/>
  <c r="BN44" i="13"/>
  <c r="BR44" i="13"/>
  <c r="BQ44" i="13"/>
  <c r="BO44" i="13"/>
  <c r="BJ44" i="13"/>
  <c r="BE48" i="13"/>
  <c r="BD48" i="13"/>
  <c r="BT48" i="13"/>
  <c r="BM48" i="13"/>
  <c r="BF48" i="13"/>
  <c r="BP48" i="13"/>
  <c r="BI48" i="13"/>
  <c r="BG48" i="13"/>
  <c r="BK48" i="13"/>
  <c r="BU48" i="13"/>
  <c r="BH48" i="13"/>
  <c r="BL48" i="13"/>
  <c r="BV48" i="13"/>
  <c r="BO48" i="13"/>
  <c r="BS48" i="13"/>
  <c r="BJ48" i="13"/>
  <c r="BR48" i="13"/>
  <c r="BN48" i="13"/>
  <c r="BQ48" i="13"/>
  <c r="BG52" i="13"/>
  <c r="BQ52" i="13"/>
  <c r="BP52" i="13"/>
  <c r="BO52" i="13"/>
  <c r="BH52" i="13"/>
  <c r="BR52" i="13"/>
  <c r="BK52" i="13"/>
  <c r="BJ52" i="13"/>
  <c r="BI52" i="13"/>
  <c r="BM52" i="13"/>
  <c r="BV52" i="13"/>
  <c r="BN52" i="13"/>
  <c r="BL52" i="13"/>
  <c r="BD52" i="13"/>
  <c r="BF52" i="13"/>
  <c r="BU52" i="13"/>
  <c r="BS52" i="13"/>
  <c r="BE52" i="13"/>
  <c r="BT52" i="13"/>
  <c r="BU56" i="13"/>
  <c r="BN56" i="13"/>
  <c r="BG56" i="13"/>
  <c r="BQ56" i="13"/>
  <c r="BP56" i="13"/>
  <c r="BO56" i="13"/>
  <c r="BH56" i="13"/>
  <c r="BR56" i="13"/>
  <c r="BK56" i="13"/>
  <c r="BJ56" i="13"/>
  <c r="BM56" i="13"/>
  <c r="BV56" i="13"/>
  <c r="BI56" i="13"/>
  <c r="BL56" i="13"/>
  <c r="BD56" i="13"/>
  <c r="BE56" i="13"/>
  <c r="BT56" i="13"/>
  <c r="BS56" i="13"/>
  <c r="BF56" i="13"/>
  <c r="BQ60" i="13"/>
  <c r="BP60" i="13"/>
  <c r="BO60" i="13"/>
  <c r="BH60" i="13"/>
  <c r="BR60" i="13"/>
  <c r="BV60" i="13"/>
  <c r="BI60" i="13"/>
  <c r="BM60" i="13"/>
  <c r="BK60" i="13"/>
  <c r="BD60" i="13"/>
  <c r="BN60" i="13"/>
  <c r="BL60" i="13"/>
  <c r="BE60" i="13"/>
  <c r="BS60" i="13"/>
  <c r="BU60" i="13"/>
  <c r="BF60" i="13"/>
  <c r="BT60" i="13"/>
  <c r="BG60" i="13"/>
  <c r="BJ60" i="13"/>
  <c r="BS64" i="13"/>
  <c r="BL64" i="13"/>
  <c r="BE64" i="13"/>
  <c r="BD64" i="13"/>
  <c r="BT64" i="13"/>
  <c r="BM64" i="13"/>
  <c r="BF64" i="13"/>
  <c r="BV64" i="13"/>
  <c r="BU64" i="13"/>
  <c r="BN64" i="13"/>
  <c r="BR64" i="13"/>
  <c r="BJ64" i="13"/>
  <c r="BQ64" i="13"/>
  <c r="BO64" i="13"/>
  <c r="BK64" i="13"/>
  <c r="BI64" i="13"/>
  <c r="BH64" i="13"/>
  <c r="BG64" i="13"/>
  <c r="BP64" i="13"/>
  <c r="BI68" i="13"/>
  <c r="BS68" i="13"/>
  <c r="BL68" i="13"/>
  <c r="BE68" i="13"/>
  <c r="BD68" i="13"/>
  <c r="BT68" i="13"/>
  <c r="BM68" i="13"/>
  <c r="BF68" i="13"/>
  <c r="BV68" i="13"/>
  <c r="BO68" i="13"/>
  <c r="BR68" i="13"/>
  <c r="BJ68" i="13"/>
  <c r="BN68" i="13"/>
  <c r="BQ68" i="13"/>
  <c r="BG68" i="13"/>
  <c r="BK68" i="13"/>
  <c r="BU68" i="13"/>
  <c r="BP68" i="13"/>
  <c r="BH68" i="13"/>
  <c r="BE99" i="13"/>
  <c r="BD99" i="13"/>
  <c r="BT99" i="13"/>
  <c r="BM99" i="13"/>
  <c r="BF99" i="13"/>
  <c r="BV99" i="13"/>
  <c r="BO99" i="13"/>
  <c r="BS99" i="13"/>
  <c r="BQ99" i="13"/>
  <c r="BJ99" i="13"/>
  <c r="BN99" i="13"/>
  <c r="BR99" i="13"/>
  <c r="BU99" i="13"/>
  <c r="BH99" i="13"/>
  <c r="BK99" i="13"/>
  <c r="BL99" i="13"/>
  <c r="BG99" i="13"/>
  <c r="BP99" i="13"/>
  <c r="BI99" i="13"/>
  <c r="BG103" i="13"/>
  <c r="BQ103" i="13"/>
  <c r="BP103" i="13"/>
  <c r="BO103" i="13"/>
  <c r="BH103" i="13"/>
  <c r="BR103" i="13"/>
  <c r="BK103" i="13"/>
  <c r="BJ103" i="13"/>
  <c r="BI103" i="13"/>
  <c r="BF103" i="13"/>
  <c r="BU103" i="13"/>
  <c r="BS103" i="13"/>
  <c r="BE103" i="13"/>
  <c r="BT103" i="13"/>
  <c r="BM103" i="13"/>
  <c r="BV103" i="13"/>
  <c r="BN103" i="13"/>
  <c r="BD103" i="13"/>
  <c r="BL103" i="13"/>
  <c r="BU107" i="13"/>
  <c r="BN107" i="13"/>
  <c r="BG107" i="13"/>
  <c r="BQ107" i="13"/>
  <c r="BP107" i="13"/>
  <c r="BO107" i="13"/>
  <c r="BH107" i="13"/>
  <c r="BR107" i="13"/>
  <c r="BK107" i="13"/>
  <c r="BJ107" i="13"/>
  <c r="BT107" i="13"/>
  <c r="BF107" i="13"/>
  <c r="BS107" i="13"/>
  <c r="BE107" i="13"/>
  <c r="BI107" i="13"/>
  <c r="BD107" i="13"/>
  <c r="BM107" i="13"/>
  <c r="BL107" i="13"/>
  <c r="BV107" i="13"/>
  <c r="BQ111" i="13"/>
  <c r="BP111" i="13"/>
  <c r="BO111" i="13"/>
  <c r="BH111" i="13"/>
  <c r="BR111" i="13"/>
  <c r="BE111" i="13"/>
  <c r="BU111" i="13"/>
  <c r="BS111" i="13"/>
  <c r="BF111" i="13"/>
  <c r="BJ111" i="13"/>
  <c r="BT111" i="13"/>
  <c r="BG111" i="13"/>
  <c r="BD111" i="13"/>
  <c r="BL111" i="13"/>
  <c r="BK111" i="13"/>
  <c r="BN111" i="13"/>
  <c r="BV111" i="13"/>
  <c r="BI111" i="13"/>
  <c r="BM111" i="13"/>
  <c r="BS115" i="13"/>
  <c r="BL115" i="13"/>
  <c r="BE115" i="13"/>
  <c r="BD115" i="13"/>
  <c r="BT115" i="13"/>
  <c r="BM115" i="13"/>
  <c r="BF115" i="13"/>
  <c r="BV115" i="13"/>
  <c r="BU115" i="13"/>
  <c r="BN115" i="13"/>
  <c r="BK115" i="13"/>
  <c r="BI115" i="13"/>
  <c r="BG115" i="13"/>
  <c r="BP115" i="13"/>
  <c r="BH115" i="13"/>
  <c r="BR115" i="13"/>
  <c r="BJ115" i="13"/>
  <c r="BQ115" i="13"/>
  <c r="BO115" i="13"/>
  <c r="BI119" i="13"/>
  <c r="BS119" i="13"/>
  <c r="BL119" i="13"/>
  <c r="BE119" i="13"/>
  <c r="BD119" i="13"/>
  <c r="BT119" i="13"/>
  <c r="BM119" i="13"/>
  <c r="BF119" i="13"/>
  <c r="BV119" i="13"/>
  <c r="BH119" i="13"/>
  <c r="BK119" i="13"/>
  <c r="BU119" i="13"/>
  <c r="BG119" i="13"/>
  <c r="BP119" i="13"/>
  <c r="BQ119" i="13"/>
  <c r="BO119" i="13"/>
  <c r="BJ119" i="13"/>
  <c r="BN119" i="13"/>
  <c r="BR119" i="13"/>
  <c r="BE123" i="13"/>
  <c r="BD123" i="13"/>
  <c r="BT123" i="13"/>
  <c r="BM123" i="13"/>
  <c r="BF123" i="13"/>
  <c r="BK123" i="13"/>
  <c r="BU123" i="13"/>
  <c r="BH123" i="13"/>
  <c r="BL123" i="13"/>
  <c r="BP123" i="13"/>
  <c r="BI123" i="13"/>
  <c r="BG123" i="13"/>
  <c r="BQ123" i="13"/>
  <c r="BJ123" i="13"/>
  <c r="BR123" i="13"/>
  <c r="BN123" i="13"/>
  <c r="BV123" i="13"/>
  <c r="BS123" i="13"/>
  <c r="BO123" i="13"/>
  <c r="BG127" i="13"/>
  <c r="BQ127" i="13"/>
  <c r="BP127" i="13"/>
  <c r="BO127" i="13"/>
  <c r="BH127" i="13"/>
  <c r="BR127" i="13"/>
  <c r="BK127" i="13"/>
  <c r="BJ127" i="13"/>
  <c r="BI127" i="13"/>
  <c r="BM127" i="13"/>
  <c r="BV127" i="13"/>
  <c r="BN127" i="13"/>
  <c r="BL127" i="13"/>
  <c r="BD127" i="13"/>
  <c r="BF127" i="13"/>
  <c r="BU127" i="13"/>
  <c r="BS127" i="13"/>
  <c r="BE127" i="13"/>
  <c r="BT127" i="13"/>
  <c r="BU131" i="13"/>
  <c r="BN131" i="13"/>
  <c r="BG131" i="13"/>
  <c r="BQ131" i="13"/>
  <c r="BP131" i="13"/>
  <c r="BO131" i="13"/>
  <c r="BH131" i="13"/>
  <c r="BR131" i="13"/>
  <c r="BK131" i="13"/>
  <c r="BJ131" i="13"/>
  <c r="BM131" i="13"/>
  <c r="BV131" i="13"/>
  <c r="BI131" i="13"/>
  <c r="BL131" i="13"/>
  <c r="BD131" i="13"/>
  <c r="BS131" i="13"/>
  <c r="BF131" i="13"/>
  <c r="BE131" i="13"/>
  <c r="BT131" i="13"/>
  <c r="BQ135" i="13"/>
  <c r="BP135" i="13"/>
  <c r="BO135" i="13"/>
  <c r="BH135" i="13"/>
  <c r="BR135" i="13"/>
  <c r="BK135" i="13"/>
  <c r="BD135" i="13"/>
  <c r="BN135" i="13"/>
  <c r="BL135" i="13"/>
  <c r="BV135" i="13"/>
  <c r="BI135" i="13"/>
  <c r="BM135" i="13"/>
  <c r="BJ135" i="13"/>
  <c r="BG135" i="13"/>
  <c r="BT135" i="13"/>
  <c r="BU135" i="13"/>
  <c r="BF135" i="13"/>
  <c r="BS135" i="13"/>
  <c r="BE135" i="13"/>
  <c r="BS139" i="13"/>
  <c r="BL139" i="13"/>
  <c r="BE139" i="13"/>
  <c r="BD139" i="13"/>
  <c r="BT139" i="13"/>
  <c r="BM139" i="13"/>
  <c r="BF139" i="13"/>
  <c r="BV139" i="13"/>
  <c r="BU139" i="13"/>
  <c r="BN139" i="13"/>
  <c r="BR139" i="13"/>
  <c r="BJ139" i="13"/>
  <c r="BQ139" i="13"/>
  <c r="BO139" i="13"/>
  <c r="BK139" i="13"/>
  <c r="BI139" i="13"/>
  <c r="BG139" i="13"/>
  <c r="BP139" i="13"/>
  <c r="BH139" i="13"/>
  <c r="BI143" i="13"/>
  <c r="BS143" i="13"/>
  <c r="BL143" i="13"/>
  <c r="BE143" i="13"/>
  <c r="BD143" i="13"/>
  <c r="BT143" i="13"/>
  <c r="BM143" i="13"/>
  <c r="BF143" i="13"/>
  <c r="BV143" i="13"/>
  <c r="BO143" i="13"/>
  <c r="BR143" i="13"/>
  <c r="BJ143" i="13"/>
  <c r="BN143" i="13"/>
  <c r="BQ143" i="13"/>
  <c r="BU143" i="13"/>
  <c r="BP143" i="13"/>
  <c r="BH143" i="13"/>
  <c r="BG143" i="13"/>
  <c r="BK143" i="13"/>
  <c r="BE147" i="13"/>
  <c r="BD147" i="13"/>
  <c r="BT147" i="13"/>
  <c r="BM147" i="13"/>
  <c r="BF147" i="13"/>
  <c r="BQ147" i="13"/>
  <c r="BJ147" i="13"/>
  <c r="BN147" i="13"/>
  <c r="BR147" i="13"/>
  <c r="BV147" i="13"/>
  <c r="BO147" i="13"/>
  <c r="BS147" i="13"/>
  <c r="BP147" i="13"/>
  <c r="BG147" i="13"/>
  <c r="BI147" i="13"/>
  <c r="BH147" i="13"/>
  <c r="BL147" i="13"/>
  <c r="BK147" i="13"/>
  <c r="BU147" i="13"/>
  <c r="BG151" i="13"/>
  <c r="BQ151" i="13"/>
  <c r="BP151" i="13"/>
  <c r="BO151" i="13"/>
  <c r="BH151" i="13"/>
  <c r="BR151" i="13"/>
  <c r="BK151" i="13"/>
  <c r="BJ151" i="13"/>
  <c r="BI151" i="13"/>
  <c r="BF151" i="13"/>
  <c r="BU151" i="13"/>
  <c r="BS151" i="13"/>
  <c r="BE151" i="13"/>
  <c r="BT151" i="13"/>
  <c r="BM151" i="13"/>
  <c r="BV151" i="13"/>
  <c r="BN151" i="13"/>
  <c r="BL151" i="13"/>
  <c r="BD151" i="13"/>
  <c r="BU155" i="13"/>
  <c r="BN155" i="13"/>
  <c r="BG155" i="13"/>
  <c r="BQ155" i="13"/>
  <c r="BP155" i="13"/>
  <c r="BO155" i="13"/>
  <c r="BH155" i="13"/>
  <c r="BR155" i="13"/>
  <c r="BK155" i="13"/>
  <c r="BJ155" i="13"/>
  <c r="BT155" i="13"/>
  <c r="BF155" i="13"/>
  <c r="BS155" i="13"/>
  <c r="BE155" i="13"/>
  <c r="BL155" i="13"/>
  <c r="BV155" i="13"/>
  <c r="BI155" i="13"/>
  <c r="BD155" i="13"/>
  <c r="BM155" i="13"/>
  <c r="BQ159" i="13"/>
  <c r="BP159" i="13"/>
  <c r="BO159" i="13"/>
  <c r="BH159" i="13"/>
  <c r="BR159" i="13"/>
  <c r="BJ159" i="13"/>
  <c r="BT159" i="13"/>
  <c r="BG159" i="13"/>
  <c r="BE159" i="13"/>
  <c r="BU159" i="13"/>
  <c r="BS159" i="13"/>
  <c r="BF159" i="13"/>
  <c r="BV159" i="13"/>
  <c r="BM159" i="13"/>
  <c r="BI159" i="13"/>
  <c r="BL159" i="13"/>
  <c r="BK159" i="13"/>
  <c r="BD159" i="13"/>
  <c r="BN159" i="13"/>
  <c r="BS163" i="13"/>
  <c r="BL163" i="13"/>
  <c r="BE163" i="13"/>
  <c r="BD163" i="13"/>
  <c r="BT163" i="13"/>
  <c r="BM163" i="13"/>
  <c r="BF163" i="13"/>
  <c r="BV163" i="13"/>
  <c r="BU163" i="13"/>
  <c r="BN163" i="13"/>
  <c r="BK163" i="13"/>
  <c r="BI163" i="13"/>
  <c r="BG163" i="13"/>
  <c r="BP163" i="13"/>
  <c r="BH163" i="13"/>
  <c r="BR163" i="13"/>
  <c r="BJ163" i="13"/>
  <c r="BO163" i="13"/>
  <c r="BQ163" i="13"/>
  <c r="BI217" i="13"/>
  <c r="BS217" i="13"/>
  <c r="BL217" i="13"/>
  <c r="BE217" i="13"/>
  <c r="BD217" i="13"/>
  <c r="BT217" i="13"/>
  <c r="BM217" i="13"/>
  <c r="BF217" i="13"/>
  <c r="BV217" i="13"/>
  <c r="BH217" i="13"/>
  <c r="BK217" i="13"/>
  <c r="BU217" i="13"/>
  <c r="BG217" i="13"/>
  <c r="BP217" i="13"/>
  <c r="BN217" i="13"/>
  <c r="BR217" i="13"/>
  <c r="BQ217" i="13"/>
  <c r="BJ217" i="13"/>
  <c r="BO217" i="13"/>
  <c r="BE221" i="13"/>
  <c r="BD221" i="13"/>
  <c r="BT221" i="13"/>
  <c r="BM221" i="13"/>
  <c r="BF221" i="13"/>
  <c r="BP221" i="13"/>
  <c r="BI221" i="13"/>
  <c r="BG221" i="13"/>
  <c r="BK221" i="13"/>
  <c r="BU221" i="13"/>
  <c r="BH221" i="13"/>
  <c r="BL221" i="13"/>
  <c r="BV221" i="13"/>
  <c r="BO221" i="13"/>
  <c r="BS221" i="13"/>
  <c r="BQ221" i="13"/>
  <c r="BJ221" i="13"/>
  <c r="BN221" i="13"/>
  <c r="BR221" i="13"/>
  <c r="BG251" i="13"/>
  <c r="BQ251" i="13"/>
  <c r="BP251" i="13"/>
  <c r="BO251" i="13"/>
  <c r="BH251" i="13"/>
  <c r="BR251" i="13"/>
  <c r="BK251" i="13"/>
  <c r="BJ251" i="13"/>
  <c r="BI251" i="13"/>
  <c r="BM251" i="13"/>
  <c r="BV251" i="13"/>
  <c r="BN251" i="13"/>
  <c r="BL251" i="13"/>
  <c r="BD251" i="13"/>
  <c r="BF251" i="13"/>
  <c r="BU251" i="13"/>
  <c r="BE251" i="13"/>
  <c r="BT251" i="13"/>
  <c r="BS251" i="13"/>
  <c r="BU275" i="13"/>
  <c r="BN275" i="13"/>
  <c r="BG275" i="13"/>
  <c r="BQ275" i="13"/>
  <c r="BP275" i="13"/>
  <c r="BO275" i="13"/>
  <c r="BH275" i="13"/>
  <c r="BR275" i="13"/>
  <c r="BK275" i="13"/>
  <c r="BM275" i="13"/>
  <c r="BV275" i="13"/>
  <c r="BI275" i="13"/>
  <c r="BL275" i="13"/>
  <c r="BJ275" i="13"/>
  <c r="BE275" i="13"/>
  <c r="BT275" i="13"/>
  <c r="BD275" i="13"/>
  <c r="BS275" i="13"/>
  <c r="BF275" i="13"/>
  <c r="BE279" i="13"/>
  <c r="BD279" i="13"/>
  <c r="BT279" i="13"/>
  <c r="BM279" i="13"/>
  <c r="BF279" i="13"/>
  <c r="BQ279" i="13"/>
  <c r="BP279" i="13"/>
  <c r="BO279" i="13"/>
  <c r="BH279" i="13"/>
  <c r="BR279" i="13"/>
  <c r="BK279" i="13"/>
  <c r="BI279" i="13"/>
  <c r="BS279" i="13"/>
  <c r="BL279" i="13"/>
  <c r="BJ279" i="13"/>
  <c r="BV279" i="13"/>
  <c r="BN279" i="13"/>
  <c r="BU279" i="13"/>
  <c r="BG279" i="13"/>
  <c r="BM300" i="13"/>
  <c r="BF300" i="13"/>
  <c r="BV300" i="13"/>
  <c r="BU300" i="13"/>
  <c r="BN300" i="13"/>
  <c r="BG300" i="13"/>
  <c r="BK300" i="13"/>
  <c r="BD300" i="13"/>
  <c r="BH300" i="13"/>
  <c r="BR300" i="13"/>
  <c r="BE300" i="13"/>
  <c r="BO300" i="13"/>
  <c r="BL300" i="13"/>
  <c r="BP300" i="13"/>
  <c r="BI300" i="13"/>
  <c r="BS300" i="13"/>
  <c r="BQ300" i="13"/>
  <c r="BJ300" i="13"/>
  <c r="BT300" i="13"/>
  <c r="BI304" i="13"/>
  <c r="BS304" i="13"/>
  <c r="BL304" i="13"/>
  <c r="BE304" i="13"/>
  <c r="BD304" i="13"/>
  <c r="BT304" i="13"/>
  <c r="BM304" i="13"/>
  <c r="BF304" i="13"/>
  <c r="BV304" i="13"/>
  <c r="BO304" i="13"/>
  <c r="BR304" i="13"/>
  <c r="BJ304" i="13"/>
  <c r="BN304" i="13"/>
  <c r="BQ304" i="13"/>
  <c r="BH304" i="13"/>
  <c r="BK304" i="13"/>
  <c r="BU304" i="13"/>
  <c r="BG304" i="13"/>
  <c r="BP304" i="13"/>
  <c r="BQ308" i="13"/>
  <c r="BP308" i="13"/>
  <c r="BO308" i="13"/>
  <c r="BH308" i="13"/>
  <c r="BR308" i="13"/>
  <c r="BE308" i="13"/>
  <c r="BD308" i="13"/>
  <c r="BT308" i="13"/>
  <c r="BM308" i="13"/>
  <c r="BF308" i="13"/>
  <c r="BU308" i="13"/>
  <c r="BG308" i="13"/>
  <c r="BV308" i="13"/>
  <c r="BN308" i="13"/>
  <c r="BS308" i="13"/>
  <c r="BK308" i="13"/>
  <c r="BL308" i="13"/>
  <c r="BJ308" i="13"/>
  <c r="BI308" i="13"/>
  <c r="BR312" i="13"/>
  <c r="BK312" i="13"/>
  <c r="BJ312" i="13"/>
  <c r="BI312" i="13"/>
  <c r="BM312" i="13"/>
  <c r="BQ312" i="13"/>
  <c r="BD312" i="13"/>
  <c r="BN312" i="13"/>
  <c r="BG312" i="13"/>
  <c r="BE312" i="13"/>
  <c r="BU312" i="13"/>
  <c r="BH312" i="13"/>
  <c r="BL312" i="13"/>
  <c r="BV312" i="13"/>
  <c r="BO312" i="13"/>
  <c r="BF312" i="13"/>
  <c r="BP312" i="13"/>
  <c r="BT312" i="13"/>
  <c r="BS312" i="13"/>
  <c r="BU331" i="13"/>
  <c r="BN331" i="13"/>
  <c r="BG331" i="13"/>
  <c r="BQ331" i="13"/>
  <c r="BP331" i="13"/>
  <c r="BO331" i="13"/>
  <c r="BH331" i="13"/>
  <c r="BR331" i="13"/>
  <c r="BK331" i="13"/>
  <c r="BJ331" i="13"/>
  <c r="BT331" i="13"/>
  <c r="BF331" i="13"/>
  <c r="BS331" i="13"/>
  <c r="BE331" i="13"/>
  <c r="BM331" i="13"/>
  <c r="BV331" i="13"/>
  <c r="BD331" i="13"/>
  <c r="BI331" i="13"/>
  <c r="BL331" i="13"/>
  <c r="BE541" i="13"/>
  <c r="BD541" i="13"/>
  <c r="BT541" i="13"/>
  <c r="BM541" i="13"/>
  <c r="BF541" i="13"/>
  <c r="BQ541" i="13"/>
  <c r="BP541" i="13"/>
  <c r="BO541" i="13"/>
  <c r="BH541" i="13"/>
  <c r="BR541" i="13"/>
  <c r="BJ541" i="13"/>
  <c r="BS541" i="13"/>
  <c r="BK541" i="13"/>
  <c r="BI541" i="13"/>
  <c r="BL541" i="13"/>
  <c r="BU541" i="13"/>
  <c r="BG541" i="13"/>
  <c r="BN541" i="13"/>
  <c r="BV541" i="13"/>
  <c r="BM545" i="13"/>
  <c r="BF545" i="13"/>
  <c r="BV545" i="13"/>
  <c r="BU545" i="13"/>
  <c r="BN545" i="13"/>
  <c r="BS545" i="13"/>
  <c r="BQ545" i="13"/>
  <c r="BJ545" i="13"/>
  <c r="BT545" i="13"/>
  <c r="BG545" i="13"/>
  <c r="BK545" i="13"/>
  <c r="BD545" i="13"/>
  <c r="BH545" i="13"/>
  <c r="BR545" i="13"/>
  <c r="BE545" i="13"/>
  <c r="BO545" i="13"/>
  <c r="BP545" i="13"/>
  <c r="BI545" i="13"/>
  <c r="BL545" i="13"/>
  <c r="BI549" i="13"/>
  <c r="BS549" i="13"/>
  <c r="BL549" i="13"/>
  <c r="BE549" i="13"/>
  <c r="BD549" i="13"/>
  <c r="BT549" i="13"/>
  <c r="BM549" i="13"/>
  <c r="BF549" i="13"/>
  <c r="BV549" i="13"/>
  <c r="BH549" i="13"/>
  <c r="BK549" i="13"/>
  <c r="BU549" i="13"/>
  <c r="BG549" i="13"/>
  <c r="BP549" i="13"/>
  <c r="BO549" i="13"/>
  <c r="BR549" i="13"/>
  <c r="BJ549" i="13"/>
  <c r="BQ549" i="13"/>
  <c r="BN549" i="13"/>
  <c r="BQ553" i="13"/>
  <c r="BP553" i="13"/>
  <c r="BO553" i="13"/>
  <c r="BH553" i="13"/>
  <c r="BR553" i="13"/>
  <c r="BE553" i="13"/>
  <c r="BD553" i="13"/>
  <c r="BT553" i="13"/>
  <c r="BM553" i="13"/>
  <c r="BF553" i="13"/>
  <c r="BU553" i="13"/>
  <c r="BG553" i="13"/>
  <c r="BV553" i="13"/>
  <c r="BN553" i="13"/>
  <c r="BK553" i="13"/>
  <c r="BL553" i="13"/>
  <c r="BJ553" i="13"/>
  <c r="BI553" i="13"/>
  <c r="BS553" i="13"/>
  <c r="BR557" i="13"/>
  <c r="BK557" i="13"/>
  <c r="BJ557" i="13"/>
  <c r="BI557" i="13"/>
  <c r="BS557" i="13"/>
  <c r="BF557" i="13"/>
  <c r="BP557" i="13"/>
  <c r="BT557" i="13"/>
  <c r="BM557" i="13"/>
  <c r="BQ557" i="13"/>
  <c r="BD557" i="13"/>
  <c r="BN557" i="13"/>
  <c r="BG557" i="13"/>
  <c r="BE557" i="13"/>
  <c r="BU557" i="13"/>
  <c r="BH557" i="13"/>
  <c r="BO557" i="13"/>
  <c r="BL557" i="13"/>
  <c r="BV557" i="13"/>
  <c r="BD7" i="13"/>
  <c r="BT7" i="13"/>
  <c r="BM7" i="13"/>
  <c r="BF7" i="13"/>
  <c r="BJ7" i="13"/>
  <c r="BN7" i="13"/>
  <c r="BR7" i="13"/>
  <c r="BE7" i="13"/>
  <c r="BU7" i="13"/>
  <c r="BH7" i="13"/>
  <c r="BL7" i="13"/>
  <c r="BP7" i="13"/>
  <c r="BG7" i="13"/>
  <c r="BO7" i="13"/>
  <c r="BQ7" i="13"/>
  <c r="BI7" i="13"/>
  <c r="BK7" i="13"/>
  <c r="BV7" i="13"/>
  <c r="BS7" i="13"/>
  <c r="BR29" i="13"/>
  <c r="BK29" i="13"/>
  <c r="BJ29" i="13"/>
  <c r="BI29" i="13"/>
  <c r="BS29" i="13"/>
  <c r="BL29" i="13"/>
  <c r="BE29" i="13"/>
  <c r="BD29" i="13"/>
  <c r="BT29" i="13"/>
  <c r="BM29" i="13"/>
  <c r="BV29" i="13"/>
  <c r="BN29" i="13"/>
  <c r="BF29" i="13"/>
  <c r="BU29" i="13"/>
  <c r="BG29" i="13"/>
  <c r="BQ29" i="13"/>
  <c r="BO29" i="13"/>
  <c r="BP29" i="13"/>
  <c r="BH29" i="13"/>
  <c r="BH33" i="13"/>
  <c r="BR33" i="13"/>
  <c r="BK33" i="13"/>
  <c r="BJ33" i="13"/>
  <c r="BI33" i="13"/>
  <c r="BM33" i="13"/>
  <c r="BQ33" i="13"/>
  <c r="BD33" i="13"/>
  <c r="BS33" i="13"/>
  <c r="BF33" i="13"/>
  <c r="BP33" i="13"/>
  <c r="BG33" i="13"/>
  <c r="BU33" i="13"/>
  <c r="BL33" i="13"/>
  <c r="BO33" i="13"/>
  <c r="BN33" i="13"/>
  <c r="BV33" i="13"/>
  <c r="BT33" i="13"/>
  <c r="BE33" i="13"/>
  <c r="BP37" i="13"/>
  <c r="BO37" i="13"/>
  <c r="BH37" i="13"/>
  <c r="BR37" i="13"/>
  <c r="BK37" i="13"/>
  <c r="BJ37" i="13"/>
  <c r="BT37" i="13"/>
  <c r="BG37" i="13"/>
  <c r="BE37" i="13"/>
  <c r="BD37" i="13"/>
  <c r="BN37" i="13"/>
  <c r="BL37" i="13"/>
  <c r="BI37" i="13"/>
  <c r="BQ37" i="13"/>
  <c r="BS37" i="13"/>
  <c r="BV37" i="13"/>
  <c r="BM37" i="13"/>
  <c r="BU37" i="13"/>
  <c r="BF37" i="13"/>
  <c r="BF41" i="13"/>
  <c r="BV41" i="13"/>
  <c r="BU41" i="13"/>
  <c r="BN41" i="13"/>
  <c r="BG41" i="13"/>
  <c r="BQ41" i="13"/>
  <c r="BP41" i="13"/>
  <c r="BO41" i="13"/>
  <c r="BH41" i="13"/>
  <c r="BR41" i="13"/>
  <c r="BJ41" i="13"/>
  <c r="BS41" i="13"/>
  <c r="BK41" i="13"/>
  <c r="BI41" i="13"/>
  <c r="BL41" i="13"/>
  <c r="BE41" i="13"/>
  <c r="BT41" i="13"/>
  <c r="BD41" i="13"/>
  <c r="BM41" i="13"/>
  <c r="BT45" i="13"/>
  <c r="BM45" i="13"/>
  <c r="BF45" i="13"/>
  <c r="BV45" i="13"/>
  <c r="BU45" i="13"/>
  <c r="BS45" i="13"/>
  <c r="BQ45" i="13"/>
  <c r="BJ45" i="13"/>
  <c r="BH45" i="13"/>
  <c r="BL45" i="13"/>
  <c r="BP45" i="13"/>
  <c r="BI45" i="13"/>
  <c r="BK45" i="13"/>
  <c r="BN45" i="13"/>
  <c r="BE45" i="13"/>
  <c r="BR45" i="13"/>
  <c r="BO45" i="13"/>
  <c r="BG45" i="13"/>
  <c r="BD45" i="13"/>
  <c r="BD49" i="13"/>
  <c r="BT49" i="13"/>
  <c r="BM49" i="13"/>
  <c r="BF49" i="13"/>
  <c r="BP49" i="13"/>
  <c r="BI49" i="13"/>
  <c r="BG49" i="13"/>
  <c r="BK49" i="13"/>
  <c r="BJ49" i="13"/>
  <c r="BN49" i="13"/>
  <c r="BR49" i="13"/>
  <c r="BE49" i="13"/>
  <c r="BV49" i="13"/>
  <c r="BS49" i="13"/>
  <c r="BU49" i="13"/>
  <c r="BL49" i="13"/>
  <c r="BO49" i="13"/>
  <c r="BQ49" i="13"/>
  <c r="BH49" i="13"/>
  <c r="BR53" i="13"/>
  <c r="BK53" i="13"/>
  <c r="BJ53" i="13"/>
  <c r="BI53" i="13"/>
  <c r="BS53" i="13"/>
  <c r="BL53" i="13"/>
  <c r="BE53" i="13"/>
  <c r="BD53" i="13"/>
  <c r="BT53" i="13"/>
  <c r="BM53" i="13"/>
  <c r="BF53" i="13"/>
  <c r="BU53" i="13"/>
  <c r="BG53" i="13"/>
  <c r="BO53" i="13"/>
  <c r="BV53" i="13"/>
  <c r="BN53" i="13"/>
  <c r="BP53" i="13"/>
  <c r="BH53" i="13"/>
  <c r="BQ53" i="13"/>
  <c r="BH57" i="13"/>
  <c r="BR57" i="13"/>
  <c r="BK57" i="13"/>
  <c r="BJ57" i="13"/>
  <c r="BI57" i="13"/>
  <c r="BS57" i="13"/>
  <c r="BF57" i="13"/>
  <c r="BP57" i="13"/>
  <c r="BN57" i="13"/>
  <c r="BL57" i="13"/>
  <c r="BV57" i="13"/>
  <c r="BO57" i="13"/>
  <c r="BM57" i="13"/>
  <c r="BD57" i="13"/>
  <c r="BG57" i="13"/>
  <c r="BU57" i="13"/>
  <c r="BT57" i="13"/>
  <c r="BE57" i="13"/>
  <c r="BQ57" i="13"/>
  <c r="BP61" i="13"/>
  <c r="BO61" i="13"/>
  <c r="BH61" i="13"/>
  <c r="BR61" i="13"/>
  <c r="BK61" i="13"/>
  <c r="BV61" i="13"/>
  <c r="BI61" i="13"/>
  <c r="BM61" i="13"/>
  <c r="BQ61" i="13"/>
  <c r="BJ61" i="13"/>
  <c r="BT61" i="13"/>
  <c r="BG61" i="13"/>
  <c r="BE61" i="13"/>
  <c r="BU61" i="13"/>
  <c r="BF61" i="13"/>
  <c r="BN61" i="13"/>
  <c r="BS61" i="13"/>
  <c r="BD61" i="13"/>
  <c r="BL61" i="13"/>
  <c r="BF65" i="13"/>
  <c r="BV65" i="13"/>
  <c r="BU65" i="13"/>
  <c r="BN65" i="13"/>
  <c r="BG65" i="13"/>
  <c r="BQ65" i="13"/>
  <c r="BP65" i="13"/>
  <c r="BO65" i="13"/>
  <c r="BH65" i="13"/>
  <c r="BK65" i="13"/>
  <c r="BI65" i="13"/>
  <c r="BR65" i="13"/>
  <c r="BJ65" i="13"/>
  <c r="BS65" i="13"/>
  <c r="BE65" i="13"/>
  <c r="BL65" i="13"/>
  <c r="BD65" i="13"/>
  <c r="BM65" i="13"/>
  <c r="BT65" i="13"/>
  <c r="BT69" i="13"/>
  <c r="BM69" i="13"/>
  <c r="BF69" i="13"/>
  <c r="BV69" i="13"/>
  <c r="BU69" i="13"/>
  <c r="BH69" i="13"/>
  <c r="BL69" i="13"/>
  <c r="BP69" i="13"/>
  <c r="BI69" i="13"/>
  <c r="BN69" i="13"/>
  <c r="BR69" i="13"/>
  <c r="BE69" i="13"/>
  <c r="BO69" i="13"/>
  <c r="BQ69" i="13"/>
  <c r="BK69" i="13"/>
  <c r="BG69" i="13"/>
  <c r="BD69" i="13"/>
  <c r="BS69" i="13"/>
  <c r="BJ69" i="13"/>
  <c r="BD100" i="13"/>
  <c r="BT100" i="13"/>
  <c r="BM100" i="13"/>
  <c r="BF100" i="13"/>
  <c r="BV100" i="13"/>
  <c r="BO100" i="13"/>
  <c r="BS100" i="13"/>
  <c r="BQ100" i="13"/>
  <c r="BP100" i="13"/>
  <c r="BI100" i="13"/>
  <c r="BG100" i="13"/>
  <c r="BK100" i="13"/>
  <c r="BH100" i="13"/>
  <c r="BJ100" i="13"/>
  <c r="BR100" i="13"/>
  <c r="BU100" i="13"/>
  <c r="BL100" i="13"/>
  <c r="BN100" i="13"/>
  <c r="BE100" i="13"/>
  <c r="BR104" i="13"/>
  <c r="BK104" i="13"/>
  <c r="BJ104" i="13"/>
  <c r="BI104" i="13"/>
  <c r="BS104" i="13"/>
  <c r="BL104" i="13"/>
  <c r="BE104" i="13"/>
  <c r="BD104" i="13"/>
  <c r="BT104" i="13"/>
  <c r="BM104" i="13"/>
  <c r="BV104" i="13"/>
  <c r="BN104" i="13"/>
  <c r="BP104" i="13"/>
  <c r="BH104" i="13"/>
  <c r="BF104" i="13"/>
  <c r="BU104" i="13"/>
  <c r="BG104" i="13"/>
  <c r="BQ104" i="13"/>
  <c r="BO104" i="13"/>
  <c r="BH108" i="13"/>
  <c r="BR108" i="13"/>
  <c r="BK108" i="13"/>
  <c r="BJ108" i="13"/>
  <c r="BI108" i="13"/>
  <c r="BN108" i="13"/>
  <c r="BL108" i="13"/>
  <c r="BV108" i="13"/>
  <c r="BO108" i="13"/>
  <c r="BT108" i="13"/>
  <c r="BG108" i="13"/>
  <c r="BE108" i="13"/>
  <c r="BU108" i="13"/>
  <c r="BS108" i="13"/>
  <c r="BP108" i="13"/>
  <c r="BM108" i="13"/>
  <c r="BD108" i="13"/>
  <c r="BQ108" i="13"/>
  <c r="BF108" i="13"/>
  <c r="BP112" i="13"/>
  <c r="BO112" i="13"/>
  <c r="BH112" i="13"/>
  <c r="BR112" i="13"/>
  <c r="BK112" i="13"/>
  <c r="BU112" i="13"/>
  <c r="BS112" i="13"/>
  <c r="BF112" i="13"/>
  <c r="BV112" i="13"/>
  <c r="BI112" i="13"/>
  <c r="BM112" i="13"/>
  <c r="BQ112" i="13"/>
  <c r="BD112" i="13"/>
  <c r="BL112" i="13"/>
  <c r="BT112" i="13"/>
  <c r="BE112" i="13"/>
  <c r="BN112" i="13"/>
  <c r="BJ112" i="13"/>
  <c r="BG112" i="13"/>
  <c r="BF116" i="13"/>
  <c r="BV116" i="13"/>
  <c r="BU116" i="13"/>
  <c r="BN116" i="13"/>
  <c r="BG116" i="13"/>
  <c r="BQ116" i="13"/>
  <c r="BP116" i="13"/>
  <c r="BO116" i="13"/>
  <c r="BH116" i="13"/>
  <c r="BR116" i="13"/>
  <c r="BJ116" i="13"/>
  <c r="BS116" i="13"/>
  <c r="BM116" i="13"/>
  <c r="BD116" i="13"/>
  <c r="BK116" i="13"/>
  <c r="BI116" i="13"/>
  <c r="BL116" i="13"/>
  <c r="BE116" i="13"/>
  <c r="BT116" i="13"/>
  <c r="BT120" i="13"/>
  <c r="BM120" i="13"/>
  <c r="BF120" i="13"/>
  <c r="BV120" i="13"/>
  <c r="BU120" i="13"/>
  <c r="BN120" i="13"/>
  <c r="BR120" i="13"/>
  <c r="BE120" i="13"/>
  <c r="BO120" i="13"/>
  <c r="BG120" i="13"/>
  <c r="BK120" i="13"/>
  <c r="BD120" i="13"/>
  <c r="BL120" i="13"/>
  <c r="BI120" i="13"/>
  <c r="BQ120" i="13"/>
  <c r="BS120" i="13"/>
  <c r="BJ120" i="13"/>
  <c r="BP120" i="13"/>
  <c r="BH120" i="13"/>
  <c r="BD124" i="13"/>
  <c r="BT124" i="13"/>
  <c r="BM124" i="13"/>
  <c r="BF124" i="13"/>
  <c r="BU124" i="13"/>
  <c r="BH124" i="13"/>
  <c r="BL124" i="13"/>
  <c r="BV124" i="13"/>
  <c r="BO124" i="13"/>
  <c r="BS124" i="13"/>
  <c r="BQ124" i="13"/>
  <c r="BN124" i="13"/>
  <c r="BE124" i="13"/>
  <c r="BP124" i="13"/>
  <c r="BG124" i="13"/>
  <c r="BJ124" i="13"/>
  <c r="BR124" i="13"/>
  <c r="BI124" i="13"/>
  <c r="BK124" i="13"/>
  <c r="BR128" i="13"/>
  <c r="BK128" i="13"/>
  <c r="BJ128" i="13"/>
  <c r="BI128" i="13"/>
  <c r="BS128" i="13"/>
  <c r="BL128" i="13"/>
  <c r="BE128" i="13"/>
  <c r="BD128" i="13"/>
  <c r="BT128" i="13"/>
  <c r="BM128" i="13"/>
  <c r="BF128" i="13"/>
  <c r="BU128" i="13"/>
  <c r="BG128" i="13"/>
  <c r="BO128" i="13"/>
  <c r="BV128" i="13"/>
  <c r="BN128" i="13"/>
  <c r="BP128" i="13"/>
  <c r="BH128" i="13"/>
  <c r="BQ128" i="13"/>
  <c r="BH132" i="13"/>
  <c r="BR132" i="13"/>
  <c r="BK132" i="13"/>
  <c r="BJ132" i="13"/>
  <c r="BI132" i="13"/>
  <c r="BT132" i="13"/>
  <c r="BG132" i="13"/>
  <c r="BE132" i="13"/>
  <c r="BU132" i="13"/>
  <c r="BM132" i="13"/>
  <c r="BQ132" i="13"/>
  <c r="BD132" i="13"/>
  <c r="BN132" i="13"/>
  <c r="BV132" i="13"/>
  <c r="BS132" i="13"/>
  <c r="BP132" i="13"/>
  <c r="BF132" i="13"/>
  <c r="BO132" i="13"/>
  <c r="BL132" i="13"/>
  <c r="BP136" i="13"/>
  <c r="BO136" i="13"/>
  <c r="BH136" i="13"/>
  <c r="BR136" i="13"/>
  <c r="BK136" i="13"/>
  <c r="BD136" i="13"/>
  <c r="BN136" i="13"/>
  <c r="BL136" i="13"/>
  <c r="BU136" i="13"/>
  <c r="BS136" i="13"/>
  <c r="BF136" i="13"/>
  <c r="BJ136" i="13"/>
  <c r="BG136" i="13"/>
  <c r="BI136" i="13"/>
  <c r="BQ136" i="13"/>
  <c r="BT136" i="13"/>
  <c r="BE136" i="13"/>
  <c r="BV136" i="13"/>
  <c r="BM136" i="13"/>
  <c r="BF140" i="13"/>
  <c r="BV140" i="13"/>
  <c r="BU140" i="13"/>
  <c r="BN140" i="13"/>
  <c r="BG140" i="13"/>
  <c r="BQ140" i="13"/>
  <c r="BP140" i="13"/>
  <c r="BO140" i="13"/>
  <c r="BH140" i="13"/>
  <c r="BK140" i="13"/>
  <c r="BI140" i="13"/>
  <c r="BR140" i="13"/>
  <c r="BJ140" i="13"/>
  <c r="BS140" i="13"/>
  <c r="BL140" i="13"/>
  <c r="BD140" i="13"/>
  <c r="BM140" i="13"/>
  <c r="BT140" i="13"/>
  <c r="BE140" i="13"/>
  <c r="BT144" i="13"/>
  <c r="BM144" i="13"/>
  <c r="BF144" i="13"/>
  <c r="BV144" i="13"/>
  <c r="BU144" i="13"/>
  <c r="BG144" i="13"/>
  <c r="BK144" i="13"/>
  <c r="BD144" i="13"/>
  <c r="BS144" i="13"/>
  <c r="BQ144" i="13"/>
  <c r="BJ144" i="13"/>
  <c r="BR144" i="13"/>
  <c r="BO144" i="13"/>
  <c r="BL144" i="13"/>
  <c r="BI144" i="13"/>
  <c r="BH144" i="13"/>
  <c r="BP144" i="13"/>
  <c r="BN144" i="13"/>
  <c r="BE144" i="13"/>
  <c r="BD148" i="13"/>
  <c r="BT148" i="13"/>
  <c r="BM148" i="13"/>
  <c r="BF148" i="13"/>
  <c r="BJ148" i="13"/>
  <c r="BN148" i="13"/>
  <c r="BR148" i="13"/>
  <c r="BE148" i="13"/>
  <c r="BU148" i="13"/>
  <c r="BH148" i="13"/>
  <c r="BL148" i="13"/>
  <c r="BI148" i="13"/>
  <c r="BK148" i="13"/>
  <c r="BV148" i="13"/>
  <c r="BS148" i="13"/>
  <c r="BP148" i="13"/>
  <c r="BG148" i="13"/>
  <c r="BO148" i="13"/>
  <c r="BQ148" i="13"/>
  <c r="BR152" i="13"/>
  <c r="BK152" i="13"/>
  <c r="BJ152" i="13"/>
  <c r="BI152" i="13"/>
  <c r="BS152" i="13"/>
  <c r="BL152" i="13"/>
  <c r="BE152" i="13"/>
  <c r="BD152" i="13"/>
  <c r="BT152" i="13"/>
  <c r="BM152" i="13"/>
  <c r="BV152" i="13"/>
  <c r="BN152" i="13"/>
  <c r="BF152" i="13"/>
  <c r="BU152" i="13"/>
  <c r="BG152" i="13"/>
  <c r="BQ152" i="13"/>
  <c r="BO152" i="13"/>
  <c r="BP152" i="13"/>
  <c r="BH152" i="13"/>
  <c r="BH156" i="13"/>
  <c r="BR156" i="13"/>
  <c r="BK156" i="13"/>
  <c r="BJ156" i="13"/>
  <c r="BI156" i="13"/>
  <c r="BM156" i="13"/>
  <c r="BQ156" i="13"/>
  <c r="BD156" i="13"/>
  <c r="BS156" i="13"/>
  <c r="BF156" i="13"/>
  <c r="BP156" i="13"/>
  <c r="BT156" i="13"/>
  <c r="BE156" i="13"/>
  <c r="BN156" i="13"/>
  <c r="BV156" i="13"/>
  <c r="BL156" i="13"/>
  <c r="BO156" i="13"/>
  <c r="BG156" i="13"/>
  <c r="BU156" i="13"/>
  <c r="BP160" i="13"/>
  <c r="BO160" i="13"/>
  <c r="BH160" i="13"/>
  <c r="BR160" i="13"/>
  <c r="BK160" i="13"/>
  <c r="BJ160" i="13"/>
  <c r="BI160" i="13"/>
  <c r="BS160" i="13"/>
  <c r="BL160" i="13"/>
  <c r="BE160" i="13"/>
  <c r="BV160" i="13"/>
  <c r="BN160" i="13"/>
  <c r="BQ160" i="13"/>
  <c r="BD160" i="13"/>
  <c r="BM160" i="13"/>
  <c r="BU160" i="13"/>
  <c r="BG160" i="13"/>
  <c r="BT160" i="13"/>
  <c r="BF160" i="13"/>
  <c r="BF172" i="13"/>
  <c r="BV172" i="13"/>
  <c r="BU172" i="13"/>
  <c r="BN172" i="13"/>
  <c r="BG172" i="13"/>
  <c r="BQ172" i="13"/>
  <c r="BP172" i="13"/>
  <c r="BO172" i="13"/>
  <c r="BH172" i="13"/>
  <c r="BR172" i="13"/>
  <c r="BJ172" i="13"/>
  <c r="BS172" i="13"/>
  <c r="BK172" i="13"/>
  <c r="BI172" i="13"/>
  <c r="BE172" i="13"/>
  <c r="BT172" i="13"/>
  <c r="BL172" i="13"/>
  <c r="BD172" i="13"/>
  <c r="BM172" i="13"/>
  <c r="BT218" i="13"/>
  <c r="BM218" i="13"/>
  <c r="BF218" i="13"/>
  <c r="BV218" i="13"/>
  <c r="BU218" i="13"/>
  <c r="BS218" i="13"/>
  <c r="BQ218" i="13"/>
  <c r="BJ218" i="13"/>
  <c r="BH218" i="13"/>
  <c r="BL218" i="13"/>
  <c r="BP218" i="13"/>
  <c r="BI218" i="13"/>
  <c r="BG218" i="13"/>
  <c r="BD218" i="13"/>
  <c r="BR218" i="13"/>
  <c r="BO218" i="13"/>
  <c r="BN218" i="13"/>
  <c r="BE218" i="13"/>
  <c r="BK218" i="13"/>
  <c r="BD222" i="13"/>
  <c r="BT222" i="13"/>
  <c r="BM222" i="13"/>
  <c r="BF222" i="13"/>
  <c r="BV222" i="13"/>
  <c r="BU222" i="13"/>
  <c r="BN222" i="13"/>
  <c r="BG222" i="13"/>
  <c r="BQ222" i="13"/>
  <c r="BJ222" i="13"/>
  <c r="BS222" i="13"/>
  <c r="BE222" i="13"/>
  <c r="BO222" i="13"/>
  <c r="BR222" i="13"/>
  <c r="BI222" i="13"/>
  <c r="BL222" i="13"/>
  <c r="BP222" i="13"/>
  <c r="BH222" i="13"/>
  <c r="BK222" i="13"/>
  <c r="BR272" i="13"/>
  <c r="BK272" i="13"/>
  <c r="BJ272" i="13"/>
  <c r="BI272" i="13"/>
  <c r="BS272" i="13"/>
  <c r="BL272" i="13"/>
  <c r="BE272" i="13"/>
  <c r="BD272" i="13"/>
  <c r="BT272" i="13"/>
  <c r="BM272" i="13"/>
  <c r="BF272" i="13"/>
  <c r="BU272" i="13"/>
  <c r="BG272" i="13"/>
  <c r="BV272" i="13"/>
  <c r="BN272" i="13"/>
  <c r="BP272" i="13"/>
  <c r="BH272" i="13"/>
  <c r="BQ272" i="13"/>
  <c r="BO272" i="13"/>
  <c r="BH276" i="13"/>
  <c r="BR276" i="13"/>
  <c r="BK276" i="13"/>
  <c r="BJ276" i="13"/>
  <c r="BI276" i="13"/>
  <c r="BS276" i="13"/>
  <c r="BF276" i="13"/>
  <c r="BP276" i="13"/>
  <c r="BM276" i="13"/>
  <c r="BE276" i="13"/>
  <c r="BO276" i="13"/>
  <c r="BG276" i="13"/>
  <c r="BV276" i="13"/>
  <c r="BN276" i="13"/>
  <c r="BQ276" i="13"/>
  <c r="BU276" i="13"/>
  <c r="BT276" i="13"/>
  <c r="BL276" i="13"/>
  <c r="BD276" i="13"/>
  <c r="BP280" i="13"/>
  <c r="BO280" i="13"/>
  <c r="BJ280" i="13"/>
  <c r="BI280" i="13"/>
  <c r="BS280" i="13"/>
  <c r="BL280" i="13"/>
  <c r="BE280" i="13"/>
  <c r="BU280" i="13"/>
  <c r="BM280" i="13"/>
  <c r="BQ280" i="13"/>
  <c r="BT280" i="13"/>
  <c r="BG280" i="13"/>
  <c r="BK280" i="13"/>
  <c r="BV280" i="13"/>
  <c r="BN280" i="13"/>
  <c r="BR280" i="13"/>
  <c r="BD280" i="13"/>
  <c r="BH280" i="13"/>
  <c r="BF280" i="13"/>
  <c r="BF301" i="13"/>
  <c r="BV301" i="13"/>
  <c r="BU301" i="13"/>
  <c r="BN301" i="13"/>
  <c r="BG301" i="13"/>
  <c r="BQ301" i="13"/>
  <c r="BP301" i="13"/>
  <c r="BO301" i="13"/>
  <c r="BH301" i="13"/>
  <c r="BK301" i="13"/>
  <c r="BI301" i="13"/>
  <c r="BR301" i="13"/>
  <c r="BJ301" i="13"/>
  <c r="BS301" i="13"/>
  <c r="BL301" i="13"/>
  <c r="BD301" i="13"/>
  <c r="BM301" i="13"/>
  <c r="BE301" i="13"/>
  <c r="BT301" i="13"/>
  <c r="BT305" i="13"/>
  <c r="BM305" i="13"/>
  <c r="BF305" i="13"/>
  <c r="BV305" i="13"/>
  <c r="BU305" i="13"/>
  <c r="BH305" i="13"/>
  <c r="BL305" i="13"/>
  <c r="BP305" i="13"/>
  <c r="BI305" i="13"/>
  <c r="BN305" i="13"/>
  <c r="BQ305" i="13"/>
  <c r="BD305" i="13"/>
  <c r="BS305" i="13"/>
  <c r="BK305" i="13"/>
  <c r="BO305" i="13"/>
  <c r="BR305" i="13"/>
  <c r="BJ305" i="13"/>
  <c r="BE305" i="13"/>
  <c r="BG305" i="13"/>
  <c r="BV309" i="13"/>
  <c r="BU309" i="13"/>
  <c r="BN309" i="13"/>
  <c r="BG309" i="13"/>
  <c r="BQ309" i="13"/>
  <c r="BO309" i="13"/>
  <c r="BS309" i="13"/>
  <c r="BF309" i="13"/>
  <c r="BP309" i="13"/>
  <c r="BI309" i="13"/>
  <c r="BM309" i="13"/>
  <c r="BK309" i="13"/>
  <c r="BJ309" i="13"/>
  <c r="BT309" i="13"/>
  <c r="BR309" i="13"/>
  <c r="BE309" i="13"/>
  <c r="BD309" i="13"/>
  <c r="BH309" i="13"/>
  <c r="BL309" i="13"/>
  <c r="BR328" i="13"/>
  <c r="BK328" i="13"/>
  <c r="BJ328" i="13"/>
  <c r="BI328" i="13"/>
  <c r="BS328" i="13"/>
  <c r="BL328" i="13"/>
  <c r="BE328" i="13"/>
  <c r="BD328" i="13"/>
  <c r="BT328" i="13"/>
  <c r="BM328" i="13"/>
  <c r="BV328" i="13"/>
  <c r="BN328" i="13"/>
  <c r="BF328" i="13"/>
  <c r="BU328" i="13"/>
  <c r="BG328" i="13"/>
  <c r="BQ328" i="13"/>
  <c r="BO328" i="13"/>
  <c r="BH328" i="13"/>
  <c r="BP328" i="13"/>
  <c r="BH332" i="13"/>
  <c r="BR332" i="13"/>
  <c r="BK332" i="13"/>
  <c r="BJ332" i="13"/>
  <c r="BI332" i="13"/>
  <c r="BN332" i="13"/>
  <c r="BL332" i="13"/>
  <c r="BV332" i="13"/>
  <c r="BO332" i="13"/>
  <c r="BG332" i="13"/>
  <c r="BP332" i="13"/>
  <c r="BT332" i="13"/>
  <c r="BF332" i="13"/>
  <c r="BD332" i="13"/>
  <c r="BM332" i="13"/>
  <c r="BE332" i="13"/>
  <c r="BS332" i="13"/>
  <c r="BQ332" i="13"/>
  <c r="BU332" i="13"/>
  <c r="BJ542" i="13"/>
  <c r="BI542" i="13"/>
  <c r="BS542" i="13"/>
  <c r="BL542" i="13"/>
  <c r="BE542" i="13"/>
  <c r="BU542" i="13"/>
  <c r="BH542" i="13"/>
  <c r="BF542" i="13"/>
  <c r="BV542" i="13"/>
  <c r="BO542" i="13"/>
  <c r="BM542" i="13"/>
  <c r="BQ542" i="13"/>
  <c r="BP542" i="13"/>
  <c r="BT542" i="13"/>
  <c r="BG542" i="13"/>
  <c r="BK542" i="13"/>
  <c r="BD542" i="13"/>
  <c r="BN542" i="13"/>
  <c r="BR542" i="13"/>
  <c r="BF546" i="13"/>
  <c r="BV546" i="13"/>
  <c r="BU546" i="13"/>
  <c r="BN546" i="13"/>
  <c r="BG546" i="13"/>
  <c r="BQ546" i="13"/>
  <c r="BP546" i="13"/>
  <c r="BO546" i="13"/>
  <c r="BH546" i="13"/>
  <c r="BR546" i="13"/>
  <c r="BJ546" i="13"/>
  <c r="BS546" i="13"/>
  <c r="BK546" i="13"/>
  <c r="BI546" i="13"/>
  <c r="BE546" i="13"/>
  <c r="BT546" i="13"/>
  <c r="BD546" i="13"/>
  <c r="BM546" i="13"/>
  <c r="BL546" i="13"/>
  <c r="BS550" i="13"/>
  <c r="BL550" i="13"/>
  <c r="BE550" i="13"/>
  <c r="BD550" i="13"/>
  <c r="BN550" i="13"/>
  <c r="BR550" i="13"/>
  <c r="BV550" i="13"/>
  <c r="BO550" i="13"/>
  <c r="BH550" i="13"/>
  <c r="BF550" i="13"/>
  <c r="BP550" i="13"/>
  <c r="BI550" i="13"/>
  <c r="BT550" i="13"/>
  <c r="BG550" i="13"/>
  <c r="BK550" i="13"/>
  <c r="BU550" i="13"/>
  <c r="BJ550" i="13"/>
  <c r="BM550" i="13"/>
  <c r="BQ550" i="13"/>
  <c r="BV554" i="13"/>
  <c r="BU554" i="13"/>
  <c r="BN554" i="13"/>
  <c r="BG554" i="13"/>
  <c r="BQ554" i="13"/>
  <c r="BD554" i="13"/>
  <c r="BH554" i="13"/>
  <c r="BL554" i="13"/>
  <c r="BO554" i="13"/>
  <c r="BS554" i="13"/>
  <c r="BF554" i="13"/>
  <c r="BP554" i="13"/>
  <c r="BI554" i="13"/>
  <c r="BM554" i="13"/>
  <c r="BK554" i="13"/>
  <c r="BJ554" i="13"/>
  <c r="BT554" i="13"/>
  <c r="BR554" i="13"/>
  <c r="BE554" i="13"/>
  <c r="BR558" i="13"/>
  <c r="BK558" i="13"/>
  <c r="BJ558" i="13"/>
  <c r="BI558" i="13"/>
  <c r="BS558" i="13"/>
  <c r="BL558" i="13"/>
  <c r="BE558" i="13"/>
  <c r="BD558" i="13"/>
  <c r="BT558" i="13"/>
  <c r="BM558" i="13"/>
  <c r="BF558" i="13"/>
  <c r="BU558" i="13"/>
  <c r="BG558" i="13"/>
  <c r="BV558" i="13"/>
  <c r="BN558" i="13"/>
  <c r="BP558" i="13"/>
  <c r="BH558" i="13"/>
  <c r="BQ558" i="13"/>
  <c r="BO558" i="13"/>
  <c r="B558" i="13"/>
  <c r="B557" i="13"/>
  <c r="B556" i="13"/>
  <c r="B555" i="13"/>
  <c r="B554" i="13"/>
  <c r="B553" i="13"/>
  <c r="B552" i="13"/>
  <c r="B551" i="13"/>
  <c r="B550" i="13"/>
  <c r="B549" i="13"/>
  <c r="B548" i="13"/>
  <c r="B547" i="13"/>
  <c r="B546" i="13"/>
  <c r="B545" i="13"/>
  <c r="B544" i="13"/>
  <c r="B543" i="13"/>
  <c r="B542" i="13"/>
  <c r="B541" i="13"/>
  <c r="B334" i="13"/>
  <c r="B333" i="13"/>
  <c r="B332" i="13"/>
  <c r="B331" i="13"/>
  <c r="B330" i="13"/>
  <c r="B329" i="13"/>
  <c r="B328" i="13"/>
  <c r="B312" i="13"/>
  <c r="B311" i="13"/>
  <c r="B310" i="13"/>
  <c r="B309" i="13"/>
  <c r="B308" i="13"/>
  <c r="B307" i="13"/>
  <c r="B306" i="13"/>
  <c r="B305" i="13"/>
  <c r="B304" i="13"/>
  <c r="B303" i="13"/>
  <c r="B302" i="13"/>
  <c r="B301" i="13"/>
  <c r="B300" i="13"/>
  <c r="B299" i="13"/>
  <c r="B281" i="13"/>
  <c r="B280" i="13"/>
  <c r="B279" i="13"/>
  <c r="B278" i="13"/>
  <c r="B277" i="13"/>
  <c r="B276" i="13"/>
  <c r="B275" i="13"/>
  <c r="B274" i="13"/>
  <c r="B273" i="13"/>
  <c r="B272" i="13"/>
  <c r="B251" i="13"/>
  <c r="B224" i="13"/>
  <c r="B223" i="13"/>
  <c r="B222" i="13"/>
  <c r="B221" i="13"/>
  <c r="B220" i="13"/>
  <c r="B219" i="13"/>
  <c r="B218" i="13"/>
  <c r="B217" i="13"/>
  <c r="B216" i="13"/>
  <c r="B163" i="13"/>
  <c r="B162" i="13"/>
  <c r="B161" i="13"/>
  <c r="B160" i="13"/>
  <c r="B159" i="13"/>
  <c r="B158" i="13"/>
  <c r="B157" i="13"/>
  <c r="B156" i="13"/>
  <c r="B155" i="13"/>
  <c r="B154" i="13"/>
  <c r="B153" i="13"/>
  <c r="B152" i="13"/>
  <c r="B151" i="13"/>
  <c r="B150" i="13"/>
  <c r="B149" i="13"/>
  <c r="B148" i="13"/>
  <c r="B147" i="13"/>
  <c r="B146" i="13"/>
  <c r="B145" i="13"/>
  <c r="B144" i="13"/>
  <c r="B143" i="13"/>
  <c r="B142" i="13"/>
  <c r="B141" i="13"/>
  <c r="B140" i="13"/>
  <c r="B139" i="13"/>
  <c r="B138" i="13"/>
  <c r="B137" i="13"/>
  <c r="B136" i="13"/>
  <c r="B135" i="13"/>
  <c r="B134" i="13"/>
  <c r="B133" i="13"/>
  <c r="B132" i="13"/>
  <c r="B131" i="13"/>
  <c r="B130" i="13"/>
  <c r="B129" i="13"/>
  <c r="B128" i="13"/>
  <c r="B127" i="13"/>
  <c r="B126" i="13"/>
  <c r="B125" i="13"/>
  <c r="B124" i="13"/>
  <c r="B123"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1" i="13"/>
  <c r="B30" i="13"/>
  <c r="B29" i="13"/>
  <c r="B28" i="13"/>
  <c r="B27" i="13"/>
  <c r="B7" i="13"/>
  <c r="B6" i="13"/>
  <c r="B5" i="13"/>
  <c r="F21" i="38" l="1"/>
  <c r="H21" i="38" s="1"/>
  <c r="I21" i="38" s="1"/>
  <c r="B21" i="38"/>
  <c r="D34" i="19" l="1"/>
  <c r="D37" i="19"/>
  <c r="D40" i="19"/>
  <c r="D43" i="19"/>
  <c r="D46" i="19"/>
  <c r="D41" i="19"/>
  <c r="D35" i="19"/>
  <c r="D39" i="19"/>
  <c r="D38" i="19"/>
  <c r="D47" i="19"/>
  <c r="D44" i="19"/>
  <c r="D36" i="19"/>
  <c r="D42" i="19"/>
  <c r="D45" i="19"/>
  <c r="D31" i="19"/>
  <c r="D30" i="19"/>
  <c r="D33" i="19"/>
  <c r="D32" i="19"/>
  <c r="I118" i="38" l="1"/>
  <c r="D29" i="19"/>
  <c r="D48" i="19" s="1"/>
  <c r="H118" i="38"/>
  <c r="G26" i="22" l="1"/>
  <c r="E44" i="19" l="1"/>
  <c r="E36" i="19"/>
  <c r="E46" i="19"/>
  <c r="E37" i="19"/>
  <c r="E41" i="19"/>
  <c r="E42" i="19"/>
  <c r="E40" i="19"/>
  <c r="E34" i="19"/>
  <c r="E39" i="19"/>
  <c r="E35" i="19"/>
  <c r="E38" i="19"/>
  <c r="E47" i="19"/>
  <c r="E45" i="19"/>
  <c r="E43" i="19"/>
  <c r="H26" i="22"/>
  <c r="E32" i="19"/>
  <c r="E33" i="19"/>
  <c r="E31" i="19"/>
  <c r="E30" i="19"/>
  <c r="B29" i="19"/>
  <c r="K172" i="13" l="1"/>
  <c r="K163" i="13"/>
  <c r="K5" i="13" l="1"/>
  <c r="K6" i="13"/>
  <c r="K7"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G24" i="22" l="1"/>
  <c r="H24" i="22" s="1"/>
  <c r="G22" i="22"/>
  <c r="K54" i="13"/>
  <c r="K55" i="13"/>
  <c r="K56" i="13"/>
  <c r="K57" i="13"/>
  <c r="K58" i="13"/>
  <c r="K59" i="13"/>
  <c r="K60" i="13"/>
  <c r="K61" i="13"/>
  <c r="K62" i="13"/>
  <c r="K63" i="13"/>
  <c r="K64" i="13"/>
  <c r="K65" i="13"/>
  <c r="K66" i="13"/>
  <c r="K67" i="13"/>
  <c r="K68" i="13"/>
  <c r="K69" i="13"/>
  <c r="K70" i="13"/>
  <c r="K71"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K141" i="13"/>
  <c r="K142" i="13"/>
  <c r="K143" i="13"/>
  <c r="K144" i="13"/>
  <c r="K145" i="13"/>
  <c r="K146" i="13"/>
  <c r="K147" i="13"/>
  <c r="K148" i="13"/>
  <c r="K149" i="13"/>
  <c r="K150" i="13"/>
  <c r="K151" i="13"/>
  <c r="K152" i="13"/>
  <c r="K153" i="13"/>
  <c r="K154" i="13"/>
  <c r="K155" i="13"/>
  <c r="K156" i="13"/>
  <c r="K157" i="13"/>
  <c r="K158" i="13"/>
  <c r="K159" i="13"/>
  <c r="K160" i="13"/>
  <c r="K161" i="13"/>
  <c r="K162" i="13"/>
  <c r="K216" i="13"/>
  <c r="K217" i="13"/>
  <c r="K218" i="13"/>
  <c r="K219" i="13"/>
  <c r="K220" i="13"/>
  <c r="K221" i="13"/>
  <c r="K222" i="13"/>
  <c r="K223" i="13"/>
  <c r="K224" i="13"/>
  <c r="K251" i="13"/>
  <c r="K272" i="13"/>
  <c r="K273" i="13"/>
  <c r="K274" i="13"/>
  <c r="K275" i="13"/>
  <c r="K276" i="13"/>
  <c r="K277" i="13"/>
  <c r="K278" i="13"/>
  <c r="K279" i="13"/>
  <c r="K280" i="13"/>
  <c r="K281" i="13"/>
  <c r="K299" i="13"/>
  <c r="K300" i="13"/>
  <c r="K301" i="13"/>
  <c r="K302" i="13"/>
  <c r="K303" i="13"/>
  <c r="K304" i="13"/>
  <c r="K305" i="13"/>
  <c r="K306" i="13"/>
  <c r="K307" i="13"/>
  <c r="K308" i="13"/>
  <c r="K309" i="13"/>
  <c r="K310" i="13"/>
  <c r="K311" i="13"/>
  <c r="K312" i="13"/>
  <c r="K328" i="13"/>
  <c r="K329" i="13"/>
  <c r="K330" i="13"/>
  <c r="K331" i="13"/>
  <c r="K332" i="13"/>
  <c r="K333" i="13"/>
  <c r="K334" i="13"/>
  <c r="K541" i="13"/>
  <c r="K542" i="13"/>
  <c r="K543" i="13"/>
  <c r="K544" i="13"/>
  <c r="K545" i="13"/>
  <c r="K546" i="13"/>
  <c r="K547" i="13"/>
  <c r="K548" i="13"/>
  <c r="K549" i="13"/>
  <c r="K550" i="13"/>
  <c r="K551" i="13"/>
  <c r="K552" i="13"/>
  <c r="K553" i="13"/>
  <c r="K554" i="13"/>
  <c r="K555" i="13"/>
  <c r="K556" i="13"/>
  <c r="K557" i="13"/>
  <c r="K558" i="13"/>
  <c r="H22" i="22" l="1"/>
  <c r="G23" i="22"/>
  <c r="H23" i="22" s="1"/>
  <c r="F29" i="19" l="1"/>
  <c r="F48" i="19" s="1"/>
  <c r="H112" i="22"/>
  <c r="G112" i="22"/>
  <c r="G24" i="32" l="1"/>
  <c r="E29" i="19" s="1"/>
  <c r="E48" i="19" s="1"/>
  <c r="H24" i="32" l="1"/>
  <c r="P558" i="13" l="1"/>
  <c r="P557" i="13"/>
  <c r="P556" i="13"/>
  <c r="P555" i="13"/>
  <c r="P554" i="13"/>
  <c r="P553" i="13"/>
  <c r="P552" i="13"/>
  <c r="P551" i="13"/>
  <c r="P550" i="13"/>
  <c r="P549" i="13"/>
  <c r="P548" i="13"/>
  <c r="P547" i="13"/>
  <c r="P546" i="13"/>
  <c r="P545" i="13"/>
  <c r="P544" i="13"/>
  <c r="P543" i="13"/>
  <c r="P542" i="13"/>
  <c r="P541" i="13"/>
  <c r="S5" i="13" l="1"/>
  <c r="T5" i="13" s="1"/>
  <c r="Y5" i="13"/>
  <c r="AA5" i="13" l="1"/>
  <c r="Z5" i="13"/>
  <c r="AB5" i="13" s="1"/>
  <c r="AC5" i="13" s="1"/>
  <c r="U5" i="13"/>
  <c r="AD5" i="13" l="1"/>
  <c r="V5" i="13"/>
  <c r="W5" i="13" l="1"/>
  <c r="AE5" i="13"/>
  <c r="D7" i="19" s="1"/>
  <c r="C25" i="19" l="1"/>
  <c r="AF5" i="13" l="1"/>
  <c r="C40" i="19" l="1"/>
  <c r="G40" i="19" s="1"/>
  <c r="C34" i="19"/>
  <c r="G34" i="19" s="1"/>
  <c r="C45" i="19"/>
  <c r="G45" i="19" s="1"/>
  <c r="C39" i="19"/>
  <c r="G39" i="19" s="1"/>
  <c r="C36" i="19"/>
  <c r="G36" i="19" s="1"/>
  <c r="C41" i="19"/>
  <c r="G41" i="19" s="1"/>
  <c r="C47" i="19"/>
  <c r="G47" i="19" s="1"/>
  <c r="C46" i="19"/>
  <c r="G46" i="19" s="1"/>
  <c r="C37" i="19"/>
  <c r="G37" i="19" s="1"/>
  <c r="C43" i="19"/>
  <c r="G43" i="19" s="1"/>
  <c r="C35" i="19"/>
  <c r="G35" i="19" s="1"/>
  <c r="C44" i="19"/>
  <c r="G44" i="19" s="1"/>
  <c r="C42" i="19"/>
  <c r="G42" i="19" s="1"/>
  <c r="C38" i="19"/>
  <c r="G38" i="19" s="1"/>
  <c r="C29" i="19"/>
  <c r="E7" i="19"/>
  <c r="F7" i="19" s="1"/>
  <c r="C32" i="19"/>
  <c r="G32" i="19" s="1"/>
  <c r="C30" i="19"/>
  <c r="G30" i="19" s="1"/>
  <c r="C33" i="19"/>
  <c r="G33" i="19" s="1"/>
  <c r="C31" i="19"/>
  <c r="G31" i="19" s="1"/>
  <c r="G29" i="19" l="1"/>
  <c r="C48" i="19"/>
  <c r="D25" i="19"/>
  <c r="E25" i="19"/>
  <c r="F25" i="19" l="1"/>
  <c r="G48" i="19" l="1"/>
</calcChain>
</file>

<file path=xl/sharedStrings.xml><?xml version="1.0" encoding="utf-8"?>
<sst xmlns="http://schemas.openxmlformats.org/spreadsheetml/2006/main" count="30421" uniqueCount="1920">
  <si>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</si>
  <si>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</si>
  <si>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</si>
  <si>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</si>
  <si>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</si>
  <si>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</si>
  <si>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</si>
  <si>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</si>
  <si>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</si>
  <si>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</si>
  <si>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</si>
  <si>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</si>
  <si>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</si>
  <si>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</si>
  <si>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</si>
  <si>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</si>
  <si>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</si>
  <si>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</si>
  <si>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</si>
  <si>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</si>
  <si>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</si>
  <si>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</si>
  <si>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</si>
  <si>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</si>
  <si>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</si>
  <si>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</si>
  <si>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</si>
  <si>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</si>
  <si>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</si>
  <si>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</si>
  <si>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</si>
  <si>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</si>
  <si>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</si>
  <si>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</si>
  <si>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</si>
  <si>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</si>
  <si>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</si>
  <si>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</si>
  <si>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</si>
  <si>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</si>
  <si>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</si>
  <si>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</si>
  <si>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</si>
  <si>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</si>
  <si>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</si>
  <si>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</si>
  <si>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</si>
  <si>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</si>
  <si>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</si>
  <si>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</si>
  <si>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</si>
  <si>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</si>
  <si>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</si>
  <si>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</si>
  <si>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</si>
  <si>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</si>
  <si>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</si>
  <si>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</si>
  <si>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</si>
  <si>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</si>
  <si>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</si>
  <si>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</si>
  <si>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</si>
  <si>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</si>
  <si>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</si>
  <si>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</si>
  <si>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</si>
  <si>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</si>
  <si>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</si>
  <si>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</si>
  <si>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</si>
  <si>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</si>
  <si>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</si>
  <si>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</si>
  <si>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</si>
  <si>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</si>
  <si>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</si>
  <si>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</si>
  <si>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</si>
  <si>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</si>
  <si>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</si>
  <si>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</si>
  <si>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</si>
  <si>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</si>
  <si>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</si>
  <si>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</si>
  <si>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</si>
  <si>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</si>
  <si>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</si>
  <si>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</si>
  <si>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</si>
  <si>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</si>
  <si>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</si>
  <si>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</si>
  <si>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</si>
  <si>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</si>
  <si>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</si>
  <si>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</si>
  <si>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</si>
  <si>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</si>
  <si>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</si>
  <si>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</si>
  <si>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</si>
  <si>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</si>
  <si>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</si>
  <si>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</si>
  <si>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</si>
  <si>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</si>
  <si>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</si>
  <si>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</si>
  <si>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</si>
  <si>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</si>
  <si>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</si>
  <si>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</si>
  <si>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</si>
  <si>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</si>
  <si>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</si>
  <si>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</si>
  <si>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</si>
  <si>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</si>
  <si>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</si>
  <si>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</si>
  <si>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</si>
  <si>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</si>
  <si>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</si>
  <si>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</si>
  <si>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</si>
  <si>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</si>
  <si>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</si>
  <si>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</si>
  <si>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</si>
  <si>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</si>
  <si>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</si>
  <si>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</si>
  <si>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</si>
  <si>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</si>
  <si>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</si>
  <si>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</si>
  <si>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</si>
  <si>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</si>
  <si>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</si>
  <si>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</si>
  <si>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</si>
  <si>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</si>
  <si>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</si>
  <si>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</si>
  <si>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</si>
  <si>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</si>
  <si>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</si>
  <si>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</si>
  <si>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</si>
  <si>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</si>
  <si>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</si>
  <si>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</si>
  <si>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</si>
  <si>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</si>
  <si>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</si>
  <si>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</si>
  <si>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</si>
  <si>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</si>
  <si>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</si>
  <si>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</si>
  <si>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</si>
  <si>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</si>
  <si>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</si>
  <si>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</si>
  <si>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</si>
  <si>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</si>
  <si>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</si>
  <si>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</si>
  <si>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</si>
  <si>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</si>
  <si>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</si>
  <si>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</si>
  <si>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</si>
  <si>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</si>
  <si>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</si>
  <si>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</si>
  <si>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</si>
  <si>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</si>
  <si>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</si>
  <si>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</si>
  <si>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</si>
  <si>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</si>
  <si>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</si>
  <si>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</si>
  <si>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</si>
  <si>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</si>
  <si>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</si>
  <si>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</si>
  <si>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</si>
  <si>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</si>
  <si>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</si>
  <si>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</si>
  <si>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</si>
  <si>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</si>
  <si>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</si>
  <si>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</si>
  <si>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</si>
  <si>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</si>
  <si>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</si>
  <si>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</si>
  <si>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</si>
  <si>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</si>
  <si>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</si>
  <si>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</si>
  <si>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</si>
  <si>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</si>
  <si>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</si>
  <si>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</si>
  <si>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</si>
  <si>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</si>
  <si>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</si>
  <si>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</si>
  <si>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</si>
  <si>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</si>
  <si>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</si>
  <si>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</si>
  <si>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</si>
  <si>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</si>
  <si>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</si>
  <si>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</si>
  <si>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</si>
  <si>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</si>
  <si>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</si>
  <si>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</si>
  <si>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</si>
  <si>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</si>
  <si>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</si>
  <si>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</si>
  <si>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</si>
  <si>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</si>
  <si>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</si>
  <si>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</si>
  <si>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</si>
  <si>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</si>
  <si>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</si>
  <si>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</si>
  <si>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</si>
  <si>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</si>
  <si>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</si>
  <si>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</si>
  <si>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</si>
  <si>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</si>
  <si>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</si>
  <si>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</si>
  <si>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</si>
  <si>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</si>
  <si>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</si>
  <si>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</si>
  <si>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</si>
  <si>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</si>
  <si>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</si>
  <si>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</si>
  <si>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</si>
  <si>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</si>
  <si>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</si>
  <si>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</si>
  <si>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</si>
  <si>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</si>
  <si>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</si>
  <si>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</si>
  <si>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</si>
  <si>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</si>
  <si>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</si>
  <si>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</si>
  <si>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</si>
  <si>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</si>
  <si>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</si>
  <si>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</si>
  <si>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</si>
  <si>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</si>
  <si>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</si>
  <si>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</si>
  <si>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</si>
  <si>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</si>
  <si>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</si>
  <si>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</si>
  <si>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</si>
  <si>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</si>
  <si>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</si>
  <si>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</si>
  <si>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</si>
  <si>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</si>
  <si>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</si>
  <si>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</si>
  <si>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</si>
  <si>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</si>
  <si>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</si>
  <si>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</si>
  <si>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</si>
  <si>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</si>
  <si>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</si>
  <si>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</si>
  <si>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</si>
  <si>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</si>
  <si>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</si>
  <si>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</si>
  <si>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</si>
  <si>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</si>
  <si>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</si>
  <si>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</si>
  <si>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</si>
  <si>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</si>
  <si>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</si>
  <si>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</si>
  <si>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</si>
  <si>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</si>
  <si>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</si>
  <si>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</si>
  <si>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</si>
  <si>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</si>
  <si>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</si>
  <si>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</si>
  <si>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</si>
  <si>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</si>
  <si>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</si>
  <si>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</si>
  <si>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</si>
  <si>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</si>
  <si>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</si>
  <si>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</si>
  <si>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</si>
  <si>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</si>
  <si>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</si>
  <si>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</si>
  <si>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</si>
  <si>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</si>
  <si>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</si>
  <si>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</si>
  <si>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</si>
  <si>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</si>
  <si>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</si>
  <si>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</si>
  <si>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</si>
  <si>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</si>
  <si>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</si>
  <si>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</si>
  <si>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</si>
  <si>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</si>
  <si>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</si>
  <si>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</si>
  <si>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</si>
  <si>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</si>
  <si>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</si>
  <si>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</si>
  <si>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</si>
  <si>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</si>
  <si>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</si>
  <si>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</si>
  <si>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</si>
  <si>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</si>
  <si>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</si>
  <si>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</si>
  <si>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</si>
  <si>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</si>
  <si>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</si>
  <si>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</si>
  <si>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</si>
  <si>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</si>
  <si>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</si>
  <si>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</si>
  <si>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</si>
  <si>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</si>
  <si>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</si>
  <si>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</si>
  <si>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</si>
  <si>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</si>
  <si>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</si>
  <si>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</si>
  <si>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</si>
  <si>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</si>
  <si>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</si>
  <si>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</si>
  <si>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</si>
  <si>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</si>
  <si>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</si>
  <si>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</si>
  <si>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</si>
  <si>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</si>
  <si>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</si>
  <si>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</si>
  <si>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</si>
  <si>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</si>
  <si>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</si>
  <si>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</si>
  <si>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</si>
  <si>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</si>
  <si>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</si>
  <si>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</si>
  <si>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</si>
  <si>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</si>
  <si>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</si>
  <si>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</si>
  <si>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</si>
  <si>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</si>
  <si>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</si>
  <si>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</si>
  <si>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</si>
  <si>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</si>
  <si>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</si>
  <si>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</si>
  <si>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</si>
  <si>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</si>
  <si>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</si>
  <si>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</si>
  <si>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</si>
  <si>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</si>
  <si>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</si>
  <si>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</si>
  <si>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</si>
  <si>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</si>
  <si>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</si>
  <si>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</si>
  <si>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</si>
  <si>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</si>
  <si>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</si>
  <si>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</si>
  <si>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</si>
  <si>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</si>
  <si>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</si>
  <si>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</si>
  <si>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</si>
  <si>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</si>
  <si>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</si>
  <si>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</si>
  <si>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</si>
  <si>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</si>
  <si>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</si>
  <si>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</si>
  <si>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</si>
  <si>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</si>
  <si>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</si>
  <si>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</si>
  <si>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</si>
  <si>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</si>
  <si>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</si>
  <si>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</si>
  <si>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</si>
  <si>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</si>
  <si>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</si>
  <si>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</si>
  <si>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</si>
  <si>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</si>
  <si>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</si>
  <si>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</si>
  <si>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</si>
  <si>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</si>
  <si>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</si>
  <si>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</si>
  <si>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</si>
  <si>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</si>
  <si>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</si>
  <si>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</si>
  <si>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</si>
  <si>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</si>
  <si>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</si>
  <si>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</si>
  <si>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</si>
  <si>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</si>
  <si>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</si>
  <si>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</si>
  <si>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</si>
  <si>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</si>
  <si>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</si>
  <si>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</si>
  <si>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</si>
  <si>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</si>
  <si>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</si>
  <si>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</si>
  <si>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</si>
  <si>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</si>
  <si>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</si>
  <si>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</si>
  <si>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</si>
  <si>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</si>
  <si>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</si>
  <si>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</si>
  <si>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</si>
  <si>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</si>
  <si>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</si>
  <si>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</si>
  <si>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</si>
  <si>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</si>
  <si>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</si>
  <si>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</si>
  <si>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</si>
  <si>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</si>
  <si>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</si>
  <si>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</si>
  <si>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</si>
  <si>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</si>
  <si>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</si>
  <si>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</si>
  <si>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</si>
  <si>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</si>
  <si>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</si>
  <si>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</si>
  <si>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</si>
  <si>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</si>
  <si>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</si>
  <si>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</si>
  <si>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</si>
  <si>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</si>
  <si>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</si>
  <si>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</si>
  <si>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</si>
  <si>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</si>
  <si>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</si>
  <si>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</si>
  <si>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</si>
  <si>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</si>
  <si>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</si>
  <si>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</si>
  <si>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</si>
  <si>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</si>
  <si>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</si>
  <si>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</si>
  <si>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</si>
  <si>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</si>
  <si>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</si>
  <si>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</si>
  <si>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</si>
  <si>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</si>
  <si>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</si>
  <si>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</si>
  <si>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</si>
  <si>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</si>
  <si>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</si>
  <si>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</si>
  <si>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</si>
  <si>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</si>
  <si>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</si>
  <si>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</si>
  <si>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</si>
  <si>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</si>
  <si>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</si>
  <si>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</si>
  <si>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</si>
  <si>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</si>
  <si>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</si>
  <si>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</si>
  <si>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</si>
  <si>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</si>
  <si>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</si>
  <si>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</si>
  <si>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</si>
  <si>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</si>
  <si>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</si>
  <si>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</si>
  <si>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</si>
  <si>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</si>
  <si>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</si>
  <si>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</si>
  <si>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</si>
  <si>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</si>
  <si>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</si>
  <si>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</si>
  <si>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</si>
  <si>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</si>
  <si>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</si>
  <si>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</si>
  <si>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</si>
  <si>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</si>
  <si>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</si>
  <si>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</si>
  <si>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</si>
  <si>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</si>
  <si>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</si>
  <si>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</si>
  <si>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</si>
  <si>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</si>
  <si>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</si>
  <si>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</si>
  <si>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</si>
  <si>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</si>
  <si>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</si>
  <si>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</si>
  <si>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</si>
  <si>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</si>
  <si>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</si>
  <si>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</si>
  <si>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</si>
  <si>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</si>
  <si>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</si>
  <si>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</si>
  <si>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</si>
  <si>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</si>
  <si>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</si>
  <si>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</si>
  <si>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</si>
  <si>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</si>
  <si>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</si>
  <si>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</si>
  <si>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</si>
  <si>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</si>
  <si>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</si>
  <si>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</si>
  <si>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</si>
  <si>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</si>
  <si>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</si>
  <si>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</si>
  <si>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</si>
  <si>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</si>
  <si>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</si>
  <si>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</si>
  <si>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</si>
  <si>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</si>
  <si>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</si>
  <si>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</si>
  <si>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</si>
  <si>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</si>
  <si>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</si>
  <si>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</si>
  <si>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</si>
  <si>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</si>
  <si>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</si>
  <si>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</si>
  <si>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</si>
  <si>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</si>
  <si>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</si>
  <si>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</si>
  <si>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</si>
  <si>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</si>
  <si>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</si>
  <si>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</si>
  <si>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</si>
  <si>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</si>
  <si>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</si>
  <si>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</si>
  <si>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</si>
  <si>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</si>
  <si>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</si>
  <si>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</si>
  <si>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</si>
  <si>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</si>
  <si>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</si>
  <si>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</si>
  <si>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</si>
  <si>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</si>
  <si>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</si>
  <si>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</si>
  <si>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</si>
  <si>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</si>
  <si>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</si>
  <si>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</si>
  <si>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</si>
  <si>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</si>
  <si>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</si>
  <si>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</si>
  <si>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</si>
  <si>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</si>
  <si>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</si>
  <si>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</si>
  <si>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</si>
  <si>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</si>
  <si>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</si>
  <si>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</si>
  <si>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</si>
  <si>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</si>
  <si>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</si>
  <si>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</si>
  <si>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</si>
  <si>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</si>
  <si>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</si>
  <si>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</si>
  <si>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</si>
  <si>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</si>
  <si>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</si>
  <si>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</si>
  <si>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</si>
  <si>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</si>
  <si>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</si>
  <si>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</si>
  <si>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</si>
  <si>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</si>
  <si>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</si>
  <si>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</si>
  <si>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</si>
  <si>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</si>
  <si>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</si>
  <si>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</si>
  <si>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</si>
  <si>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</si>
  <si>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</si>
  <si>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</si>
  <si>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</si>
  <si>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</si>
  <si>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</si>
  <si>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</si>
  <si>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</si>
  <si>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</si>
  <si>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</si>
  <si>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</si>
  <si>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</si>
  <si>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</si>
  <si>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</si>
  <si>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</si>
  <si>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</si>
  <si>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</si>
  <si>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</si>
  <si>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</si>
  <si>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</si>
  <si>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</si>
  <si>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</si>
  <si>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</si>
  <si>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</si>
  <si>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</si>
  <si>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</si>
  <si>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</si>
  <si>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</si>
  <si>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</si>
  <si>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</si>
  <si>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</si>
  <si>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</si>
  <si>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</si>
  <si>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</si>
  <si>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</si>
  <si>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</si>
  <si>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</si>
  <si>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</si>
  <si>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</si>
  <si>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</si>
  <si>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</si>
  <si>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</si>
  <si>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</si>
  <si>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</si>
  <si>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</si>
  <si>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</si>
  <si>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</si>
  <si>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</si>
  <si>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</si>
  <si>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</si>
  <si>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</si>
  <si>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</si>
  <si>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</si>
  <si>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</si>
  <si>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</si>
  <si>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</si>
  <si>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</si>
  <si>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</si>
  <si>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</si>
  <si>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</si>
  <si>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</si>
  <si>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</si>
  <si>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</si>
  <si>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</si>
  <si>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</si>
  <si>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</si>
  <si>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</si>
  <si>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</si>
  <si>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</si>
  <si>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</si>
  <si>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</si>
  <si>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</si>
  <si>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</si>
  <si>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</si>
  <si>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</si>
  <si>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</si>
  <si>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</si>
  <si>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</si>
  <si>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</si>
  <si>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</si>
  <si>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</si>
  <si>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</si>
  <si>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</si>
  <si>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</si>
  <si>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</si>
  <si>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</si>
  <si>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</si>
  <si>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</si>
  <si>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</si>
  <si>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</si>
  <si>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</si>
  <si>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</si>
  <si>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</si>
  <si>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</si>
  <si>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</si>
  <si>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</si>
  <si>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</si>
  <si>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</si>
  <si>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</si>
  <si>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</si>
  <si>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</si>
  <si>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</si>
  <si>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</si>
  <si>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</si>
  <si>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</si>
  <si>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</si>
  <si>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</si>
  <si>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</si>
  <si>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</si>
  <si>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</si>
  <si>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</si>
  <si>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</si>
  <si>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</si>
  <si>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</si>
  <si>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</si>
  <si>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</si>
  <si>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</si>
  <si>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</si>
  <si>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</si>
  <si>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</si>
  <si>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</si>
  <si>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</si>
  <si>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</si>
  <si>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</si>
  <si>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</si>
  <si>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</si>
  <si>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</si>
  <si>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</si>
  <si>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</si>
  <si>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</si>
  <si>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</si>
  <si>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</si>
  <si>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</si>
  <si>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</si>
  <si>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</si>
  <si>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</si>
  <si>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</si>
  <si>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</si>
  <si>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</si>
  <si>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</si>
  <si>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</si>
  <si>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</si>
  <si>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</si>
  <si>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</si>
  <si>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</si>
  <si>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</si>
  <si>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</si>
  <si>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</si>
  <si>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</si>
  <si>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</si>
  <si>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</si>
  <si>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</si>
  <si>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</si>
  <si>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</si>
  <si>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</si>
  <si>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</si>
  <si>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</si>
  <si>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</si>
  <si>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</si>
  <si>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</si>
  <si>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</si>
  <si>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</si>
  <si>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</si>
  <si>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</si>
  <si>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</si>
  <si>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</si>
  <si>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</si>
  <si>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</si>
  <si>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</si>
  <si>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</si>
  <si>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</si>
  <si>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</si>
  <si>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</si>
  <si>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</si>
  <si>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</si>
  <si>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</si>
  <si>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</si>
  <si>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</si>
  <si>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</si>
  <si>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</si>
  <si>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</si>
  <si>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</si>
  <si>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</si>
  <si>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</si>
  <si>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</si>
  <si>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</si>
  <si>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</si>
  <si>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</si>
  <si>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</si>
  <si>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</si>
  <si>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</si>
  <si>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</si>
  <si>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</si>
  <si>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</si>
  <si>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</si>
  <si>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</si>
  <si>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</si>
  <si>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</si>
  <si>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</si>
  <si>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</si>
  <si>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</si>
  <si>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</si>
  <si>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</si>
  <si>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</si>
  <si>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</si>
  <si>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</si>
  <si>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</si>
  <si>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</si>
  <si>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</si>
  <si>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</si>
  <si>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</si>
  <si>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</si>
  <si>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</si>
  <si>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</si>
  <si>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</si>
  <si>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</si>
  <si>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</si>
  <si>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</si>
  <si>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</si>
  <si>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</si>
  <si>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</si>
  <si>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</si>
  <si>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</si>
  <si>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</si>
  <si>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</si>
  <si>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</si>
  <si>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</si>
  <si>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</si>
  <si>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</si>
  <si>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</si>
  <si>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</si>
  <si>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</si>
  <si>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</si>
  <si>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</si>
  <si>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</si>
  <si>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</si>
  <si>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</si>
  <si>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</si>
  <si>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</si>
  <si>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</si>
  <si>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</si>
  <si>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</si>
  <si>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</si>
  <si>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</si>
  <si>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</si>
  <si>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</si>
  <si>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</si>
  <si>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</si>
  <si>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</si>
  <si>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</si>
  <si>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</si>
  <si>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</si>
  <si>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</si>
  <si>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</si>
  <si>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</si>
  <si>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</si>
  <si>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</si>
  <si>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</si>
  <si>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</si>
  <si>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</si>
  <si>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</si>
  <si>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</si>
  <si>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</si>
  <si>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</si>
  <si>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</si>
  <si>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</si>
  <si>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</si>
  <si>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</si>
  <si>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</si>
  <si>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</si>
  <si>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</si>
  <si>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</si>
  <si>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</si>
  <si>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</si>
  <si>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</si>
  <si>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</si>
  <si>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</si>
  <si>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</si>
  <si>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</si>
  <si>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</si>
  <si>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</si>
  <si>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</si>
  <si>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</si>
  <si>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</si>
  <si>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</si>
  <si>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</si>
  <si>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</si>
  <si>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</si>
  <si>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</si>
  <si>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</si>
  <si>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</si>
  <si>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</si>
  <si>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</si>
  <si>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</si>
  <si>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</si>
  <si>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</si>
  <si>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</si>
  <si>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</si>
  <si>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</si>
  <si>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</si>
  <si>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</si>
  <si>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</si>
  <si>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</si>
  <si>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</si>
  <si>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</si>
  <si>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</si>
  <si>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</si>
  <si>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</si>
  <si>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</si>
  <si>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</si>
  <si>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</si>
  <si>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</si>
  <si>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</si>
  <si>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</si>
  <si>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</si>
  <si>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</si>
  <si>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</si>
  <si>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</si>
  <si>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</si>
  <si>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</si>
  <si>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</si>
  <si>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</si>
  <si>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</si>
  <si>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</si>
  <si>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</si>
  <si>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</si>
  <si>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</si>
  <si>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</si>
  <si>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</si>
  <si>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</si>
  <si>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</si>
  <si>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</si>
  <si>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</si>
  <si>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</si>
  <si>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</si>
  <si>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</si>
  <si>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</si>
  <si>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</si>
  <si>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</si>
  <si>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</si>
  <si>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</si>
  <si>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</si>
  <si>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</si>
  <si>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</si>
  <si>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</si>
  <si>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</si>
  <si>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</si>
  <si>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</si>
  <si>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</si>
  <si>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</si>
  <si>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</si>
  <si>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</si>
  <si>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</si>
  <si>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</si>
  <si>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</si>
  <si>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</si>
  <si>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</si>
  <si>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</si>
  <si>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</si>
  <si>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</si>
  <si>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</si>
  <si>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</si>
  <si>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</si>
  <si>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</si>
  <si>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</si>
  <si>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</si>
  <si>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</si>
  <si>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</si>
  <si>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</si>
  <si>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</si>
  <si>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</si>
  <si>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</si>
  <si>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</si>
  <si>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</si>
  <si>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</si>
  <si>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</si>
  <si>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</si>
  <si>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</si>
  <si>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</si>
  <si>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</si>
  <si>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</si>
  <si>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</si>
  <si>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</si>
  <si>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</si>
  <si>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</si>
  <si>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</si>
  <si>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</si>
  <si>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</si>
  <si>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</si>
  <si>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</si>
  <si>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</si>
  <si>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</si>
  <si>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</si>
  <si>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</si>
  <si>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</si>
  <si>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</si>
  <si>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</si>
  <si>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</si>
  <si>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</si>
  <si>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</si>
  <si>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</si>
  <si>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</si>
  <si>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</si>
  <si>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</si>
  <si>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</si>
  <si>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</si>
  <si>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</si>
  <si>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</si>
  <si>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</si>
  <si>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</si>
  <si>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</si>
  <si>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</si>
  <si>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</si>
  <si>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</si>
  <si>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</si>
  <si>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</si>
  <si>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</si>
  <si>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</si>
  <si>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</si>
  <si>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</si>
  <si>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</si>
  <si>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</si>
  <si>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</si>
  <si>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</si>
  <si>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</si>
  <si>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</si>
  <si>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</si>
  <si>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</si>
  <si>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</si>
  <si>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</si>
  <si>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</si>
  <si>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</si>
  <si>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</si>
  <si>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</si>
  <si>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</si>
  <si>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</si>
  <si>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</si>
  <si>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</si>
  <si>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</si>
  <si>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</si>
  <si>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</si>
  <si>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</si>
  <si>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</si>
  <si>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</si>
  <si>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</si>
  <si>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</si>
  <si>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</si>
  <si>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</si>
  <si>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</si>
  <si>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</si>
  <si>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</si>
  <si>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</si>
  <si>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</si>
  <si>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</si>
  <si>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</si>
  <si>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</si>
  <si>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</si>
  <si>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</si>
  <si>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</si>
  <si>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</si>
  <si>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</si>
  <si>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</si>
  <si>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</si>
  <si>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</si>
  <si>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</si>
  <si>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</si>
  <si>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</si>
  <si>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</si>
  <si>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</si>
  <si>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</si>
  <si>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</si>
  <si>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</si>
  <si>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</si>
  <si>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</si>
  <si>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</si>
  <si>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</si>
  <si>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</si>
  <si>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</si>
  <si>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</si>
  <si>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</si>
  <si>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</si>
  <si>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</si>
  <si>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</si>
  <si>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</si>
  <si>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</si>
  <si>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</si>
  <si>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</si>
  <si>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</si>
  <si>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</si>
  <si>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</si>
  <si>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</si>
  <si>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</si>
  <si>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</si>
  <si>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</si>
  <si>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</si>
  <si>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</si>
  <si>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</si>
  <si>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</si>
  <si>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</si>
  <si>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</si>
  <si>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</si>
  <si>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</si>
  <si>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</si>
  <si>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</si>
  <si>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</si>
  <si>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</si>
  <si>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</si>
  <si>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</si>
  <si>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</si>
  <si>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</si>
  <si>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</si>
  <si>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</si>
  <si>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</si>
  <si>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</si>
  <si>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</si>
  <si>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</si>
  <si>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</si>
  <si>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</si>
  <si>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</si>
  <si>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</si>
  <si>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</si>
  <si>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</si>
  <si>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</si>
  <si>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</si>
  <si>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</si>
  <si>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</si>
  <si>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</si>
  <si>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</si>
  <si>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</si>
  <si>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</si>
  <si>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</si>
  <si>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</si>
  <si>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</si>
  <si>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</si>
  <si>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</si>
  <si>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</si>
  <si>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</si>
  <si>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</si>
  <si>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</si>
  <si>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</si>
  <si>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</si>
  <si>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</si>
  <si>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</si>
  <si>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</si>
  <si>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</si>
  <si>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</si>
  <si>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</si>
  <si>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</si>
  <si>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</si>
  <si>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</si>
  <si>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</si>
  <si>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</si>
  <si>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</si>
  <si>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</si>
  <si>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</si>
  <si>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</si>
  <si>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</si>
  <si>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</si>
  <si>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</si>
  <si>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</si>
  <si>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</si>
  <si>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</si>
  <si>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</si>
  <si>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</si>
  <si>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</si>
  <si>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</si>
  <si>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</si>
  <si>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</si>
  <si>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</si>
  <si>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</si>
  <si>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</si>
  <si>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</si>
  <si>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</si>
  <si>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</si>
  <si>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</si>
  <si>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</si>
  <si>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</si>
  <si>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</si>
  <si>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</si>
  <si>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</si>
  <si>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</si>
  <si>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</si>
  <si>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Glazen wandtuin</t>
  </si>
  <si>
    <t>Bibliotheek/OLC</t>
  </si>
  <si>
    <t>Garderobes</t>
  </si>
  <si>
    <t>Kantine/Aula</t>
  </si>
  <si>
    <t>Praktijklokalen</t>
  </si>
  <si>
    <t>Leslokalen</t>
  </si>
  <si>
    <t>Toestelberging</t>
  </si>
  <si>
    <t>Gymzaal</t>
  </si>
  <si>
    <t>Niet in Onderhoud</t>
  </si>
  <si>
    <t>Le</t>
  </si>
  <si>
    <t>Ve</t>
  </si>
  <si>
    <t>Bu</t>
  </si>
  <si>
    <t>Sa</t>
  </si>
  <si>
    <t>Sp</t>
  </si>
  <si>
    <t>Kinderopvang</t>
  </si>
  <si>
    <t>Adres</t>
  </si>
  <si>
    <t>Postcode</t>
  </si>
  <si>
    <t>Plaatsnaam</t>
  </si>
  <si>
    <t>Plaats</t>
  </si>
  <si>
    <t>Schoonmaakonderhoud
Kosten / jaar excl btw</t>
  </si>
  <si>
    <t>Vloeronderhoud
Kosten / jaar excl btw</t>
  </si>
  <si>
    <t>Extra werkzaamheden kosten/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</si>
  <si>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</si>
  <si>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</si>
  <si>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</si>
  <si>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</si>
  <si>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</si>
  <si>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</si>
  <si>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</si>
  <si>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</si>
  <si>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</si>
  <si>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</si>
  <si>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Prijs per uur, overgenomen van tariefsopbouw</t>
  </si>
  <si>
    <t xml:space="preserve">Beeldschermen dienen dagelijks te worden gereinigd (stof- en vlekvrij). </t>
  </si>
  <si>
    <t>Omschrijving</t>
  </si>
  <si>
    <t>2028</t>
  </si>
  <si>
    <t>Extra werkzaamheden</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</si>
  <si>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</si>
  <si>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</si>
  <si>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</si>
  <si>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</si>
  <si>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</si>
  <si>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</si>
  <si>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</si>
  <si>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</si>
  <si>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</si>
  <si>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</si>
  <si>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</si>
  <si>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</si>
  <si>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</si>
  <si>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</si>
  <si>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</si>
  <si>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</si>
  <si>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</si>
  <si>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</si>
  <si>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</si>
  <si>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</si>
  <si>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</si>
  <si>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</si>
  <si>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</si>
  <si>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</si>
  <si>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</si>
  <si>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</si>
  <si>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</si>
  <si>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</si>
  <si>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</si>
  <si>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</si>
  <si>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</si>
  <si>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</si>
  <si>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</si>
  <si>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</si>
  <si>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</si>
  <si>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</si>
  <si>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</si>
  <si>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</si>
  <si>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</si>
  <si>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</si>
  <si>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</si>
  <si>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</si>
  <si>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</si>
  <si>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</si>
  <si>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</si>
  <si>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</si>
  <si>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</si>
  <si>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</si>
  <si>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</si>
  <si>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</si>
  <si>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</si>
  <si>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</si>
  <si>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</si>
  <si>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</si>
  <si>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</si>
  <si>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</si>
  <si>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</si>
  <si>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</si>
  <si>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</si>
  <si>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</si>
  <si>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</si>
  <si>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</si>
  <si>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</si>
  <si>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</si>
  <si>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</si>
  <si>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</si>
  <si>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</si>
  <si>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</si>
  <si>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</si>
  <si>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</si>
  <si>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</si>
  <si>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</si>
  <si>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</si>
  <si>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</si>
  <si>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</si>
  <si>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</si>
  <si>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</si>
  <si>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</si>
  <si>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</si>
  <si>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</si>
  <si>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</si>
  <si>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</si>
  <si>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</si>
  <si>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</si>
  <si>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</si>
  <si>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</si>
  <si>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</si>
  <si>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</si>
  <si>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</si>
  <si>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</si>
  <si>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</si>
  <si>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</si>
  <si>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</si>
  <si>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</si>
  <si>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</si>
  <si>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</si>
  <si>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</si>
  <si>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</si>
  <si>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</si>
  <si>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</si>
  <si>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</si>
  <si>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</si>
  <si>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</si>
  <si>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</si>
  <si>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</si>
  <si>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</si>
  <si>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</si>
  <si>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</si>
  <si>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</si>
  <si>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</si>
  <si>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</si>
  <si>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</si>
  <si>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</si>
  <si>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</si>
  <si>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</si>
  <si>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</si>
  <si>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</si>
  <si>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</si>
  <si>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</si>
  <si>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</si>
  <si>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</si>
  <si>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</si>
  <si>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</si>
  <si>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</si>
  <si>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</si>
  <si>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</si>
  <si>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</si>
  <si>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</si>
  <si>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</si>
  <si>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</si>
  <si>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</si>
  <si>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</si>
  <si>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</si>
  <si>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</si>
  <si>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</si>
  <si>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</si>
  <si>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</si>
  <si>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</si>
  <si>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</si>
  <si>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</si>
  <si>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</si>
  <si>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</si>
  <si>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</si>
  <si>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</si>
  <si>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</si>
  <si>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</si>
  <si>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</si>
  <si>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</si>
  <si>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</si>
  <si>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</si>
  <si>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</si>
  <si>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</si>
  <si>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</si>
  <si>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</si>
  <si>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</si>
  <si>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</si>
  <si>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</si>
  <si>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</si>
  <si>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</si>
  <si>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</si>
  <si>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</si>
  <si>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</si>
  <si>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</si>
  <si>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</si>
  <si>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</si>
  <si>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</si>
  <si>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</si>
  <si>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</si>
  <si>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</si>
  <si>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</si>
  <si>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</si>
  <si>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</si>
  <si>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</si>
  <si>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</si>
  <si>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</si>
  <si>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</si>
  <si>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</si>
  <si>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</si>
  <si>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</si>
  <si>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</si>
  <si>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</si>
  <si>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</si>
  <si>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</si>
  <si>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</si>
  <si>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</si>
  <si>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</si>
  <si>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</si>
  <si>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</si>
  <si>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</si>
  <si>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</si>
  <si>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</si>
  <si>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</si>
  <si>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</si>
  <si>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</si>
  <si>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</si>
  <si>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</si>
  <si>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</si>
  <si>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</si>
  <si>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</si>
  <si>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</si>
  <si>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</si>
  <si>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</si>
  <si>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</si>
  <si>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</si>
  <si>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</si>
  <si>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</si>
  <si>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</si>
  <si>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</si>
  <si>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</si>
  <si>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</si>
  <si>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</si>
  <si>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</si>
  <si>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</si>
  <si>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</si>
  <si>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</si>
  <si>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</si>
  <si>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</si>
  <si>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</si>
  <si>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</si>
  <si>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</si>
  <si>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</si>
  <si>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</si>
  <si>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</si>
  <si>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</si>
  <si>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</si>
  <si>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</si>
  <si>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</si>
  <si>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</si>
  <si>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</si>
  <si>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</si>
  <si>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</si>
  <si>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</si>
  <si>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</si>
  <si>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</si>
  <si>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</si>
  <si>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</si>
  <si>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</si>
  <si>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</si>
  <si>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</si>
  <si>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</si>
  <si>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</si>
  <si>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</si>
  <si>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</si>
  <si>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</si>
  <si>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</si>
  <si>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</si>
  <si>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</si>
  <si>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</si>
  <si>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</si>
  <si>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</si>
  <si>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</si>
  <si>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</si>
  <si>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</si>
  <si>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</si>
  <si>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</si>
  <si>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</si>
  <si>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</si>
  <si>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</si>
  <si>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</si>
  <si>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</si>
  <si>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</si>
  <si>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</si>
  <si>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</si>
  <si>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</si>
  <si>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</si>
  <si>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</si>
  <si>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</si>
  <si>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</si>
  <si>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</si>
  <si>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</si>
  <si>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</si>
  <si>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Handelingen dieptereiniging 2x per jaar</t>
  </si>
  <si>
    <t>Glasbewassing kosten/ jaar excl. Btw</t>
  </si>
  <si>
    <t>Gewogen
indexering</t>
  </si>
  <si>
    <t>Code2</t>
  </si>
  <si>
    <t>2029</t>
  </si>
  <si>
    <t>Opmerkingen</t>
  </si>
  <si>
    <t>Prijs
Excl. BTW</t>
  </si>
  <si>
    <t>Toelichting</t>
  </si>
  <si>
    <t>Uren / eenheid</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</si>
  <si>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</si>
  <si>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</si>
  <si>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</si>
  <si>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</si>
  <si>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</si>
  <si>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</si>
  <si>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</si>
  <si>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</si>
  <si>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</si>
  <si>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</si>
  <si>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Enschede</t>
  </si>
  <si>
    <t>Belgiëlaan 75</t>
  </si>
  <si>
    <t>Het Bijvank 111</t>
  </si>
  <si>
    <t xml:space="preserve">OBS Molenbeek </t>
  </si>
  <si>
    <t>OBS De Spinner</t>
  </si>
  <si>
    <t>OBS De Sterrenborgh</t>
  </si>
  <si>
    <t>OBS Harry Bannink</t>
  </si>
  <si>
    <t>OBS Roombeek</t>
  </si>
  <si>
    <t>ODBS Europa</t>
  </si>
  <si>
    <t>OJBS Het Palet</t>
  </si>
  <si>
    <t>OMBS De Wielerbaan</t>
  </si>
  <si>
    <t>Prinseschool Prinsestraat</t>
  </si>
  <si>
    <t>Prinseschool Staringstraat</t>
  </si>
  <si>
    <t>OBS De Linde (Thij)</t>
  </si>
  <si>
    <t>Boekelerschoolpad 1</t>
  </si>
  <si>
    <t>Boekelo</t>
  </si>
  <si>
    <t>Joh. ter Horststraat 30</t>
  </si>
  <si>
    <t>Spinnerstraat 29</t>
  </si>
  <si>
    <t>Runenberghoek 5</t>
  </si>
  <si>
    <t>Schietbaanweg 30</t>
  </si>
  <si>
    <t>Lammerinkweg 10</t>
  </si>
  <si>
    <t>Bosuilstraat 3</t>
  </si>
  <si>
    <t>Ger. Terborghstraat 9</t>
  </si>
  <si>
    <t>Batshoek 5</t>
  </si>
  <si>
    <t>Dr. Benthemstraat 14</t>
  </si>
  <si>
    <t>Meeuwenstraat 4</t>
  </si>
  <si>
    <t>Prinsestraat 10-10a </t>
  </si>
  <si>
    <t>Staringstraat 15 </t>
  </si>
  <si>
    <t>Poolmansweg 245</t>
  </si>
  <si>
    <t>Dorpsstraat 104</t>
  </si>
  <si>
    <t>Zandhorstlaan 99</t>
  </si>
  <si>
    <t>Lonneker</t>
  </si>
  <si>
    <t>Oldenzaal</t>
  </si>
  <si>
    <t>IST Primary Campus</t>
  </si>
  <si>
    <t>2030</t>
  </si>
  <si>
    <t>7548 AH</t>
  </si>
  <si>
    <t>7513 ZH</t>
  </si>
  <si>
    <t>7545 TP</t>
  </si>
  <si>
    <t>7546 EG</t>
  </si>
  <si>
    <t>7546 RD</t>
  </si>
  <si>
    <t>OBS La Res Noord</t>
  </si>
  <si>
    <t>7521 DB</t>
  </si>
  <si>
    <t>7544 DA</t>
  </si>
  <si>
    <t>7523 BJ</t>
  </si>
  <si>
    <t>7543 ZJ</t>
  </si>
  <si>
    <t>7545 BV</t>
  </si>
  <si>
    <t>7546 LC</t>
  </si>
  <si>
    <t>7514 CM</t>
  </si>
  <si>
    <t>7523 XV</t>
  </si>
  <si>
    <t>7513 AL</t>
  </si>
  <si>
    <t>7514 DE</t>
  </si>
  <si>
    <t>7545 LR</t>
  </si>
  <si>
    <t>7524 CK</t>
  </si>
  <si>
    <t>7576 VR</t>
  </si>
  <si>
    <t>Begane grond</t>
  </si>
  <si>
    <t>0.01</t>
  </si>
  <si>
    <t>0.02</t>
  </si>
  <si>
    <t>Kantoor</t>
  </si>
  <si>
    <t>0.03</t>
  </si>
  <si>
    <t>Lokaal</t>
  </si>
  <si>
    <t>0.04</t>
  </si>
  <si>
    <t>0.05</t>
  </si>
  <si>
    <t>0.06</t>
  </si>
  <si>
    <t>Toilet</t>
  </si>
  <si>
    <t>0.07</t>
  </si>
  <si>
    <t>0.08</t>
  </si>
  <si>
    <t>Gang</t>
  </si>
  <si>
    <t>0.09</t>
  </si>
  <si>
    <t>0.10</t>
  </si>
  <si>
    <t>0.11</t>
  </si>
  <si>
    <t>0.12</t>
  </si>
  <si>
    <t>0.13</t>
  </si>
  <si>
    <t>0.14</t>
  </si>
  <si>
    <t>Garderobe</t>
  </si>
  <si>
    <t>0.15</t>
  </si>
  <si>
    <t>Miva toilet</t>
  </si>
  <si>
    <t>0.16</t>
  </si>
  <si>
    <t>0.17</t>
  </si>
  <si>
    <t>0.18</t>
  </si>
  <si>
    <t>0.19</t>
  </si>
  <si>
    <t>0.20</t>
  </si>
  <si>
    <t>0.21</t>
  </si>
  <si>
    <t>0.22</t>
  </si>
  <si>
    <t>0.23</t>
  </si>
  <si>
    <t>0.24</t>
  </si>
  <si>
    <t>Repro</t>
  </si>
  <si>
    <t>0.25</t>
  </si>
  <si>
    <t>Keuken</t>
  </si>
  <si>
    <t>0.26</t>
  </si>
  <si>
    <t>Hal</t>
  </si>
  <si>
    <t>Gietvloer</t>
  </si>
  <si>
    <t>Berging</t>
  </si>
  <si>
    <t>Toiletten</t>
  </si>
  <si>
    <t>Werkkast schoonmaak</t>
  </si>
  <si>
    <t>Lokaal bovenbouw</t>
  </si>
  <si>
    <t>Technische ruimte</t>
  </si>
  <si>
    <t>Lokaal onderbouw</t>
  </si>
  <si>
    <t>0.27</t>
  </si>
  <si>
    <t>Speellokaal</t>
  </si>
  <si>
    <t>0.28</t>
  </si>
  <si>
    <t>0.29</t>
  </si>
  <si>
    <t>0.30</t>
  </si>
  <si>
    <t>0.31</t>
  </si>
  <si>
    <t>0.32</t>
  </si>
  <si>
    <t>0.33</t>
  </si>
  <si>
    <t>Linoleum</t>
  </si>
  <si>
    <t>Beton</t>
  </si>
  <si>
    <t>Pvc</t>
  </si>
  <si>
    <t>Inloopmat</t>
  </si>
  <si>
    <t>tapijt</t>
  </si>
  <si>
    <t>Trap</t>
  </si>
  <si>
    <t>0.34</t>
  </si>
  <si>
    <t>0.35</t>
  </si>
  <si>
    <t>0.36</t>
  </si>
  <si>
    <t>0.37</t>
  </si>
  <si>
    <t>0.38</t>
  </si>
  <si>
    <t>0.39</t>
  </si>
  <si>
    <t>0.40</t>
  </si>
  <si>
    <t>0.41</t>
  </si>
  <si>
    <t>0.42</t>
  </si>
  <si>
    <t>0.43</t>
  </si>
  <si>
    <t>0.44</t>
  </si>
  <si>
    <t>1e etage</t>
  </si>
  <si>
    <t>1.01</t>
  </si>
  <si>
    <t>1.02</t>
  </si>
  <si>
    <t>1.03</t>
  </si>
  <si>
    <t>1.04</t>
  </si>
  <si>
    <t>Kinderdagverblijf</t>
  </si>
  <si>
    <t>0.03a</t>
  </si>
  <si>
    <t>Peuterspeelzaal</t>
  </si>
  <si>
    <t>Meterkast</t>
  </si>
  <si>
    <t>0.30a</t>
  </si>
  <si>
    <t>0.30b</t>
  </si>
  <si>
    <t>IB ruimte</t>
  </si>
  <si>
    <t>Hal/gang</t>
  </si>
  <si>
    <t>Sportvloer</t>
  </si>
  <si>
    <t>Gemeenschapsruimte</t>
  </si>
  <si>
    <t>Berging speellokaal</t>
  </si>
  <si>
    <t>0.06.1</t>
  </si>
  <si>
    <t>0.14.1</t>
  </si>
  <si>
    <t>Overloop</t>
  </si>
  <si>
    <t>1.05</t>
  </si>
  <si>
    <t>1.06</t>
  </si>
  <si>
    <t>1.07</t>
  </si>
  <si>
    <t>1.08</t>
  </si>
  <si>
    <t>1.09</t>
  </si>
  <si>
    <t>1.10</t>
  </si>
  <si>
    <t>1.11</t>
  </si>
  <si>
    <t>1.12</t>
  </si>
  <si>
    <t>1.13</t>
  </si>
  <si>
    <t>Rubber</t>
  </si>
  <si>
    <t xml:space="preserve">Lokaal </t>
  </si>
  <si>
    <t>1.14</t>
  </si>
  <si>
    <t>1.15</t>
  </si>
  <si>
    <t>1.16</t>
  </si>
  <si>
    <t>1.17</t>
  </si>
  <si>
    <t>1.18</t>
  </si>
  <si>
    <t>1.19</t>
  </si>
  <si>
    <t>1.20</t>
  </si>
  <si>
    <t>1.21</t>
  </si>
  <si>
    <t>1.22</t>
  </si>
  <si>
    <t>1.23</t>
  </si>
  <si>
    <t>1.24</t>
  </si>
  <si>
    <t>1.25</t>
  </si>
  <si>
    <t>1.26</t>
  </si>
  <si>
    <t>1.27</t>
  </si>
  <si>
    <t>Trappenhuis</t>
  </si>
  <si>
    <t>Lift</t>
  </si>
  <si>
    <t>2e etage</t>
  </si>
  <si>
    <t>2.01</t>
  </si>
  <si>
    <t>2.02</t>
  </si>
  <si>
    <t>2.03</t>
  </si>
  <si>
    <t>2.04</t>
  </si>
  <si>
    <t>2.05</t>
  </si>
  <si>
    <t>2.06</t>
  </si>
  <si>
    <t>U.03</t>
  </si>
  <si>
    <t>U.04</t>
  </si>
  <si>
    <t>U.05</t>
  </si>
  <si>
    <t>U.06</t>
  </si>
  <si>
    <t>U.07</t>
  </si>
  <si>
    <t>U.08</t>
  </si>
  <si>
    <t>U.09</t>
  </si>
  <si>
    <t>U.10</t>
  </si>
  <si>
    <t>U.11</t>
  </si>
  <si>
    <t>U.12</t>
  </si>
  <si>
    <t>U.13</t>
  </si>
  <si>
    <t>U.14</t>
  </si>
  <si>
    <t>U.15</t>
  </si>
  <si>
    <t>U.16</t>
  </si>
  <si>
    <t>U.17</t>
  </si>
  <si>
    <t>Spreekkamer</t>
  </si>
  <si>
    <t>U.18</t>
  </si>
  <si>
    <t>Kantoor directie</t>
  </si>
  <si>
    <t>U.21</t>
  </si>
  <si>
    <t>U.22</t>
  </si>
  <si>
    <t>U.23</t>
  </si>
  <si>
    <t>U.24</t>
  </si>
  <si>
    <t>Gang/trapopgang</t>
  </si>
  <si>
    <t>U.25</t>
  </si>
  <si>
    <t>U.26</t>
  </si>
  <si>
    <t>U.27</t>
  </si>
  <si>
    <t>T0.03</t>
  </si>
  <si>
    <t>Entree/trap</t>
  </si>
  <si>
    <t>1.09.1</t>
  </si>
  <si>
    <t>Unit</t>
  </si>
  <si>
    <t xml:space="preserve">Toilet </t>
  </si>
  <si>
    <t>Kleedruimte</t>
  </si>
  <si>
    <t>speellokaal unit</t>
  </si>
  <si>
    <t>begane grond</t>
  </si>
  <si>
    <t>Kleedruimtes</t>
  </si>
  <si>
    <t>Kluis</t>
  </si>
  <si>
    <t>2.07</t>
  </si>
  <si>
    <t>2.08</t>
  </si>
  <si>
    <t>2.09</t>
  </si>
  <si>
    <t>2.10</t>
  </si>
  <si>
    <t>2.11</t>
  </si>
  <si>
    <t>2.12</t>
  </si>
  <si>
    <t>2.13</t>
  </si>
  <si>
    <t>2.14</t>
  </si>
  <si>
    <t>2.15</t>
  </si>
  <si>
    <t>2.16</t>
  </si>
  <si>
    <t>2.17</t>
  </si>
  <si>
    <t>2.18</t>
  </si>
  <si>
    <t>2.19</t>
  </si>
  <si>
    <t>Kelder</t>
  </si>
  <si>
    <t>Handvaardigheidslokaal</t>
  </si>
  <si>
    <t>Gang trappenhuis</t>
  </si>
  <si>
    <t>0.07a</t>
  </si>
  <si>
    <t>Toiletten miva</t>
  </si>
  <si>
    <t>Leslokaal (vm personeelskamer)</t>
  </si>
  <si>
    <t>Personeelstoilet</t>
  </si>
  <si>
    <t>Lokaal BSO</t>
  </si>
  <si>
    <t>Sanitair BSO</t>
  </si>
  <si>
    <t>PU-coating</t>
  </si>
  <si>
    <r>
      <t>vl1</t>
    </r>
    <r>
      <rPr>
        <sz val="9"/>
        <color theme="6"/>
        <rFont val="Aptos"/>
        <family val="2"/>
      </rPr>
      <t>2</t>
    </r>
  </si>
  <si>
    <r>
      <t>vl2</t>
    </r>
    <r>
      <rPr>
        <sz val="9"/>
        <color theme="6"/>
        <rFont val="Aptos"/>
        <family val="2"/>
      </rPr>
      <t>3</t>
    </r>
  </si>
  <si>
    <r>
      <t>vl3</t>
    </r>
    <r>
      <rPr>
        <sz val="9"/>
        <color theme="6"/>
        <rFont val="Aptos"/>
        <family val="2"/>
      </rPr>
      <t>4</t>
    </r>
  </si>
  <si>
    <r>
      <t>vl4</t>
    </r>
    <r>
      <rPr>
        <sz val="9"/>
        <color theme="6"/>
        <rFont val="Aptos"/>
        <family val="2"/>
      </rPr>
      <t>5</t>
    </r>
  </si>
  <si>
    <r>
      <t>vl5</t>
    </r>
    <r>
      <rPr>
        <sz val="9"/>
        <color theme="6"/>
        <rFont val="Aptos"/>
        <family val="2"/>
      </rPr>
      <t>6</t>
    </r>
  </si>
  <si>
    <r>
      <t>vl6</t>
    </r>
    <r>
      <rPr>
        <sz val="9"/>
        <color theme="6"/>
        <rFont val="Aptos"/>
        <family val="2"/>
      </rPr>
      <t>7</t>
    </r>
  </si>
  <si>
    <r>
      <t>vl7</t>
    </r>
    <r>
      <rPr>
        <sz val="9"/>
        <color theme="6"/>
        <rFont val="Aptos"/>
        <family val="2"/>
      </rPr>
      <t>8</t>
    </r>
  </si>
  <si>
    <r>
      <t>vnl</t>
    </r>
    <r>
      <rPr>
        <sz val="9"/>
        <color theme="6"/>
        <rFont val="Aptos"/>
        <family val="2"/>
      </rPr>
      <t>9</t>
    </r>
  </si>
  <si>
    <r>
      <t>i8</t>
    </r>
    <r>
      <rPr>
        <sz val="9"/>
        <color theme="4" tint="0.39997558519241921"/>
        <rFont val="Aptos"/>
        <family val="2"/>
      </rPr>
      <t>10</t>
    </r>
  </si>
  <si>
    <r>
      <t>i9</t>
    </r>
    <r>
      <rPr>
        <sz val="9"/>
        <color theme="4" tint="0.39997558519241921"/>
        <rFont val="Aptos"/>
        <family val="2"/>
      </rPr>
      <t>11</t>
    </r>
  </si>
  <si>
    <r>
      <t>i10</t>
    </r>
    <r>
      <rPr>
        <sz val="9"/>
        <color theme="3" tint="0.59999389629810485"/>
        <rFont val="Aptos"/>
        <family val="2"/>
      </rPr>
      <t>2</t>
    </r>
  </si>
  <si>
    <r>
      <rPr>
        <sz val="9"/>
        <rFont val="Aptos"/>
        <family val="2"/>
      </rPr>
      <t>i11</t>
    </r>
    <r>
      <rPr>
        <sz val="9"/>
        <color theme="4" tint="0.39997558519241921"/>
        <rFont val="Aptos"/>
        <family val="2"/>
      </rPr>
      <t>2</t>
    </r>
  </si>
  <si>
    <r>
      <t>i12</t>
    </r>
    <r>
      <rPr>
        <sz val="9"/>
        <color theme="3" tint="0.59999389629810485"/>
        <rFont val="Aptos"/>
        <family val="2"/>
      </rPr>
      <t>2</t>
    </r>
  </si>
  <si>
    <r>
      <t>i13</t>
    </r>
    <r>
      <rPr>
        <sz val="9"/>
        <color theme="3" tint="0.59999389629810485"/>
        <rFont val="Aptos"/>
        <family val="2"/>
      </rPr>
      <t>2</t>
    </r>
  </si>
  <si>
    <r>
      <t>i14</t>
    </r>
    <r>
      <rPr>
        <sz val="9"/>
        <color theme="3" tint="0.59999389629810485"/>
        <rFont val="Aptos"/>
        <family val="2"/>
      </rPr>
      <t>2</t>
    </r>
  </si>
  <si>
    <r>
      <t>inl</t>
    </r>
    <r>
      <rPr>
        <sz val="9"/>
        <color theme="3" tint="0.59999389629810485"/>
        <rFont val="Aptos"/>
        <family val="2"/>
      </rPr>
      <t>2</t>
    </r>
  </si>
  <si>
    <r>
      <t>s15</t>
    </r>
    <r>
      <rPr>
        <sz val="9"/>
        <color theme="5" tint="0.39997558519241921"/>
        <rFont val="Aptos"/>
        <family val="2"/>
      </rPr>
      <t>2</t>
    </r>
  </si>
  <si>
    <r>
      <t>s16</t>
    </r>
    <r>
      <rPr>
        <sz val="9"/>
        <color theme="5" tint="0.39997558519241921"/>
        <rFont val="Aptos"/>
        <family val="2"/>
      </rPr>
      <t>2</t>
    </r>
  </si>
  <si>
    <r>
      <t>snl</t>
    </r>
    <r>
      <rPr>
        <sz val="9"/>
        <color theme="5" tint="0.39997558519241921"/>
        <rFont val="Aptos"/>
        <family val="2"/>
      </rPr>
      <t>2</t>
    </r>
  </si>
  <si>
    <t>ODBS Lonneker</t>
  </si>
  <si>
    <t>SBO Het Pontem (College)</t>
  </si>
  <si>
    <t>OMBS Het Zeggelt (Dr. Benthem)</t>
  </si>
  <si>
    <t>OMBS Het Zeggelt (Meeuwen)</t>
  </si>
  <si>
    <t>2031</t>
  </si>
  <si>
    <t>Totalisatie Consent - Perceel 2</t>
  </si>
  <si>
    <t>Bijlage 4b dient in Excel format te worden toegevoegd, deze pagina dient daarnaast rechtsgeldig ondertekend als PDF te worden toegevoegd.</t>
  </si>
  <si>
    <t>Aantal weken</t>
  </si>
  <si>
    <t>Detachering *</t>
  </si>
  <si>
    <t>Bepaalde tijd</t>
  </si>
  <si>
    <t>Ja</t>
  </si>
  <si>
    <t>Nee</t>
  </si>
  <si>
    <t>Mdw. Alg. Schoonmaakond. 1</t>
  </si>
  <si>
    <t>Onbepaalde tijd</t>
  </si>
  <si>
    <t>OBS Molenbeek (Boekelo)</t>
  </si>
  <si>
    <t>OBS Molenbeek (Usselo)</t>
  </si>
  <si>
    <t>niet bekend</t>
  </si>
  <si>
    <t>OBS De Linde (Essen &amp; Thij)</t>
  </si>
  <si>
    <t>* Detachering</t>
  </si>
  <si>
    <t>Dit betreft medewerkers die in de leidraad zijn benoemd als SW-medewerkers.</t>
  </si>
  <si>
    <t>Algemeen</t>
  </si>
  <si>
    <t>Telefoontoestellen, beeldschermen, toetsenborden e.d. stof en vlekvrij maken;</t>
  </si>
  <si>
    <t>Te factureren aan</t>
  </si>
  <si>
    <t>1.08a</t>
  </si>
  <si>
    <t>3.01</t>
  </si>
  <si>
    <t>3.02</t>
  </si>
  <si>
    <t>4.01</t>
  </si>
  <si>
    <t>5.01</t>
  </si>
  <si>
    <t>G 0.22</t>
  </si>
  <si>
    <t>G 0.23</t>
  </si>
  <si>
    <t>G 0.24</t>
  </si>
  <si>
    <t>G 0.25</t>
  </si>
  <si>
    <t>G 0.26</t>
  </si>
  <si>
    <t>G 0.27</t>
  </si>
  <si>
    <t>G 0.28</t>
  </si>
  <si>
    <t>G 0.29</t>
  </si>
  <si>
    <t>G 0.30</t>
  </si>
  <si>
    <t>G 0.31</t>
  </si>
  <si>
    <t>G 0.32</t>
  </si>
  <si>
    <t>Directiekantoor</t>
  </si>
  <si>
    <t>PC ruimte</t>
  </si>
  <si>
    <t>CV ruimte</t>
  </si>
  <si>
    <t>T0.04</t>
  </si>
  <si>
    <t>TU.09</t>
  </si>
  <si>
    <t>001</t>
  </si>
  <si>
    <t>002</t>
  </si>
  <si>
    <t>003</t>
  </si>
  <si>
    <t>004</t>
  </si>
  <si>
    <t>005</t>
  </si>
  <si>
    <t>006</t>
  </si>
  <si>
    <t>007</t>
  </si>
  <si>
    <t>008</t>
  </si>
  <si>
    <t>009</t>
  </si>
  <si>
    <t>010</t>
  </si>
  <si>
    <t>011</t>
  </si>
  <si>
    <t>012</t>
  </si>
  <si>
    <t>013</t>
  </si>
  <si>
    <t>014</t>
  </si>
  <si>
    <t>015</t>
  </si>
  <si>
    <t>016</t>
  </si>
  <si>
    <t>017</t>
  </si>
  <si>
    <t>018</t>
  </si>
  <si>
    <t>Extra werkzaamheden in schoolvakanties BSO</t>
  </si>
  <si>
    <t>Extra werkzaamheden in schoolvakanties PSZ</t>
  </si>
  <si>
    <t>Extra werkzaamheden in schoolvakanties KDV</t>
  </si>
  <si>
    <t>Humankind, KDV De Veldkijker</t>
  </si>
  <si>
    <t>Indicatief, maximaal 12 weken</t>
  </si>
  <si>
    <t>Partou, La Res Noord</t>
  </si>
  <si>
    <t>Humankind, BSO Europa</t>
  </si>
  <si>
    <t>Humankind, POV Europa</t>
  </si>
  <si>
    <t>Humankind, BSO Het Palet</t>
  </si>
  <si>
    <t>Humankind, POV Het Palet</t>
  </si>
  <si>
    <t>Humankind, BSO Stokhorst</t>
  </si>
  <si>
    <t>Humankind, POV Stokhorst</t>
  </si>
  <si>
    <t>Humankind, POV de Speellinde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</si>
</sst>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 numFmtId="187" formatCode="_(* #,##0_);_(* \(#,##0\);_(* &quot;-&quot;??_);_(@_)"/>
    <numFmt numFmtId="188" formatCode="#.##000"/>
  </numFmts>
  <fonts count="67">
    <font>
      <sz val="10"/>
      <name val="Arial"/>
    </font>
    <font>
      <sz val="11"/>
      <color theme="1"/>
      <name val="Calibri"/>
      <family val="2"/>
      <scheme val="minor"/>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b/>
      <sz val="9"/>
      <color theme="0"/>
      <name val="Aptos"/>
      <family val="2"/>
    </font>
    <font>
      <sz val="9"/>
      <color theme="1"/>
      <name val="Aptos"/>
      <family val="2"/>
    </font>
    <font>
      <sz val="10"/>
      <name val="Aptos"/>
      <family val="2"/>
    </font>
    <font>
      <b/>
      <sz val="22"/>
      <name val="Aptos"/>
      <family val="2"/>
    </font>
    <font>
      <b/>
      <sz val="10"/>
      <color indexed="10"/>
      <name val="Aptos"/>
      <family val="2"/>
    </font>
    <font>
      <b/>
      <sz val="10"/>
      <color indexed="9"/>
      <name val="Aptos"/>
      <family val="2"/>
    </font>
    <font>
      <sz val="10"/>
      <color indexed="9"/>
      <name val="Aptos"/>
      <family val="2"/>
    </font>
    <font>
      <b/>
      <u/>
      <sz val="10"/>
      <color indexed="9"/>
      <name val="Aptos"/>
      <family val="2"/>
    </font>
    <font>
      <b/>
      <u/>
      <sz val="10"/>
      <color theme="0"/>
      <name val="Aptos"/>
      <family val="2"/>
    </font>
    <font>
      <b/>
      <sz val="10"/>
      <name val="Aptos"/>
      <family val="2"/>
    </font>
    <font>
      <b/>
      <sz val="14"/>
      <name val="Aptos"/>
      <family val="2"/>
    </font>
    <font>
      <b/>
      <sz val="9"/>
      <name val="Aptos"/>
      <family val="2"/>
    </font>
    <font>
      <sz val="9"/>
      <name val="Aptos"/>
      <family val="2"/>
    </font>
    <font>
      <b/>
      <sz val="10"/>
      <color theme="0"/>
      <name val="Aptos"/>
      <family val="2"/>
    </font>
    <font>
      <b/>
      <sz val="26"/>
      <name val="Aptos"/>
      <family val="2"/>
    </font>
    <font>
      <b/>
      <sz val="11"/>
      <name val="Aptos"/>
      <family val="2"/>
    </font>
    <font>
      <b/>
      <sz val="12"/>
      <name val="Aptos"/>
      <family val="2"/>
    </font>
    <font>
      <b/>
      <sz val="10"/>
      <color theme="1"/>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b/>
      <sz val="9"/>
      <color rgb="FFFF0000"/>
      <name val="Aptos"/>
      <family val="2"/>
    </font>
    <font>
      <sz val="9"/>
      <color rgb="FFFF0000"/>
      <name val="Aptos"/>
      <family val="2"/>
    </font>
    <font>
      <b/>
      <sz val="11"/>
      <color theme="0"/>
      <name val="Aptos"/>
      <family val="2"/>
    </font>
    <font>
      <sz val="1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sz val="9"/>
      <color theme="6"/>
      <name val="Aptos"/>
      <family val="2"/>
    </font>
    <font>
      <sz val="9"/>
      <color theme="4" tint="0.39997558519241921"/>
      <name val="Aptos"/>
      <family val="2"/>
    </font>
    <font>
      <sz val="9"/>
      <color theme="3" tint="0.59999389629810485"/>
      <name val="Aptos"/>
      <family val="2"/>
    </font>
    <font>
      <sz val="9"/>
      <color theme="5" tint="0.39997558519241921"/>
      <name val="Aptos"/>
      <family val="2"/>
    </font>
  </fonts>
  <fills count="29">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00FF00"/>
        <bgColor indexed="64"/>
      </patternFill>
    </fill>
  </fills>
  <borders count="32">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s>
  <cellStyleXfs count="78">
    <xf numFmtId="0" fontId="0" fillId="0" borderId="0"/>
    <xf numFmtId="0" fontId="15" fillId="0" borderId="0"/>
    <xf numFmtId="171"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64" fontId="21"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16" fillId="0" borderId="0" applyNumberFormat="0" applyFill="0" applyBorder="0" applyAlignment="0" applyProtection="0">
      <alignment vertical="top"/>
      <protection locked="0"/>
    </xf>
    <xf numFmtId="168" fontId="8" fillId="0" borderId="0" applyFont="0" applyFill="0" applyBorder="0" applyAlignment="0" applyProtection="0"/>
    <xf numFmtId="168" fontId="7" fillId="0" borderId="0" applyFont="0" applyFill="0" applyBorder="0" applyAlignment="0" applyProtection="0"/>
    <xf numFmtId="165" fontId="10" fillId="0" borderId="0">
      <alignment horizontal="center" vertical="center" textRotation="90" wrapText="1"/>
    </xf>
    <xf numFmtId="0" fontId="17" fillId="2" borderId="1"/>
    <xf numFmtId="174" fontId="11" fillId="0" borderId="0"/>
    <xf numFmtId="0" fontId="18" fillId="0" borderId="0" applyNumberFormat="0" applyBorder="0">
      <protection locked="0"/>
    </xf>
    <xf numFmtId="0" fontId="19" fillId="0" borderId="0"/>
    <xf numFmtId="0" fontId="20" fillId="3" borderId="2" applyNumberFormat="0" applyFont="0" applyFill="0" applyBorder="0" applyAlignment="0">
      <alignment horizontal="right"/>
    </xf>
    <xf numFmtId="0" fontId="17" fillId="4" borderId="3" applyNumberFormat="0" applyFont="0" applyBorder="0">
      <alignment horizontal="center"/>
    </xf>
    <xf numFmtId="0" fontId="13" fillId="0" borderId="0"/>
    <xf numFmtId="0" fontId="24" fillId="0" borderId="0"/>
    <xf numFmtId="0" fontId="7" fillId="0" borderId="0"/>
    <xf numFmtId="167" fontId="7" fillId="0" borderId="0" applyFont="0" applyFill="0" applyBorder="0" applyAlignment="0" applyProtection="0"/>
    <xf numFmtId="175" fontId="15" fillId="0" borderId="0" applyFont="0" applyFill="0" applyBorder="0" applyAlignment="0" applyProtection="0"/>
    <xf numFmtId="176" fontId="15" fillId="0" borderId="0" applyFont="0" applyFill="0" applyBorder="0" applyAlignment="0" applyProtection="0"/>
    <xf numFmtId="0" fontId="25" fillId="0" borderId="0"/>
    <xf numFmtId="9" fontId="25" fillId="0" borderId="0" applyFont="0" applyFill="0" applyBorder="0" applyAlignment="0" applyProtection="0"/>
    <xf numFmtId="44" fontId="25" fillId="0" borderId="0" applyFont="0" applyFill="0" applyBorder="0" applyAlignment="0" applyProtection="0"/>
    <xf numFmtId="43" fontId="25" fillId="0" borderId="0" applyFont="0" applyFill="0" applyBorder="0" applyAlignment="0" applyProtection="0"/>
    <xf numFmtId="9" fontId="26" fillId="0" borderId="0" applyFont="0" applyFill="0" applyBorder="0" applyAlignment="0" applyProtection="0"/>
    <xf numFmtId="0" fontId="7" fillId="0" borderId="0"/>
    <xf numFmtId="164" fontId="7" fillId="0" borderId="0" applyFont="0" applyFill="0" applyBorder="0" applyAlignment="0" applyProtection="0"/>
    <xf numFmtId="0" fontId="11" fillId="2" borderId="1"/>
    <xf numFmtId="0" fontId="7" fillId="0" borderId="0"/>
    <xf numFmtId="0" fontId="6" fillId="0" borderId="0"/>
    <xf numFmtId="9" fontId="7" fillId="0" borderId="0" applyFont="0" applyFill="0" applyBorder="0" applyAlignment="0" applyProtection="0"/>
    <xf numFmtId="0" fontId="5" fillId="0" borderId="0"/>
    <xf numFmtId="44" fontId="7" fillId="0" borderId="0" applyFont="0" applyFill="0" applyBorder="0" applyAlignment="0" applyProtection="0"/>
    <xf numFmtId="0" fontId="5" fillId="0" borderId="0"/>
    <xf numFmtId="44" fontId="7"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44" fontId="27" fillId="0" borderId="0" applyFont="0" applyFill="0" applyBorder="0" applyAlignment="0" applyProtection="0"/>
    <xf numFmtId="0" fontId="28"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43" fontId="7" fillId="0" borderId="0" applyFont="0" applyFill="0" applyBorder="0" applyAlignment="0" applyProtection="0"/>
    <xf numFmtId="0" fontId="3" fillId="0" borderId="0"/>
    <xf numFmtId="44" fontId="25" fillId="0" borderId="0" applyFont="0" applyFill="0" applyBorder="0" applyAlignment="0" applyProtection="0"/>
    <xf numFmtId="43" fontId="25" fillId="0" borderId="0" applyFont="0" applyFill="0" applyBorder="0" applyAlignment="0" applyProtection="0"/>
    <xf numFmtId="0" fontId="3" fillId="0" borderId="0"/>
    <xf numFmtId="0" fontId="3" fillId="0" borderId="0"/>
    <xf numFmtId="44" fontId="7" fillId="0" borderId="0" applyFont="0" applyFill="0" applyBorder="0" applyAlignment="0" applyProtection="0"/>
    <xf numFmtId="0" fontId="3" fillId="0" borderId="0"/>
    <xf numFmtId="44"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 fillId="0" borderId="0"/>
    <xf numFmtId="0" fontId="1" fillId="0" borderId="0"/>
  </cellStyleXfs>
  <cellXfs count="444">
    <xf numFmtId="0" fontId="0" fillId="0" borderId="0" xfId="0"/>
    <xf numFmtId="0" fontId="31" fillId="0" borderId="9" xfId="0" applyFont="1" applyBorder="1" applyAlignment="1">
      <alignment horizontal="right" vertical="center"/>
    </xf>
    <xf numFmtId="0" fontId="31" fillId="0" borderId="9" xfId="0" applyFont="1" applyBorder="1" applyAlignment="1">
      <alignment vertical="center"/>
    </xf>
    <xf numFmtId="0" fontId="31" fillId="0" borderId="9" xfId="0" applyFont="1" applyBorder="1" applyAlignment="1">
      <alignment horizontal="center" vertical="center"/>
    </xf>
    <xf numFmtId="185" fontId="31" fillId="0" borderId="9" xfId="48" applyNumberFormat="1" applyFont="1" applyBorder="1" applyAlignment="1">
      <alignment horizontal="center" vertical="center"/>
    </xf>
    <xf numFmtId="0" fontId="32" fillId="0" borderId="0" xfId="0" applyFont="1"/>
    <xf numFmtId="0" fontId="31" fillId="0" borderId="0" xfId="0" applyFont="1"/>
    <xf numFmtId="0" fontId="31" fillId="0" borderId="0" xfId="0" applyFont="1" applyAlignment="1">
      <alignment horizontal="center"/>
    </xf>
    <xf numFmtId="0" fontId="33" fillId="0" borderId="0" xfId="30" applyFont="1"/>
    <xf numFmtId="0" fontId="32" fillId="0" borderId="0" xfId="30" applyFont="1"/>
    <xf numFmtId="0" fontId="32" fillId="0" borderId="0" xfId="42" applyFont="1" applyAlignment="1">
      <alignment wrapText="1"/>
    </xf>
    <xf numFmtId="0" fontId="34" fillId="0" borderId="0" xfId="30" applyFont="1" applyAlignment="1">
      <alignment vertical="top" wrapText="1"/>
    </xf>
    <xf numFmtId="0" fontId="35" fillId="22" borderId="20" xfId="30" applyFont="1" applyFill="1" applyBorder="1"/>
    <xf numFmtId="0" fontId="36" fillId="22" borderId="10" xfId="30" applyFont="1" applyFill="1" applyBorder="1"/>
    <xf numFmtId="0" fontId="37" fillId="22" borderId="10" xfId="30" applyFont="1" applyFill="1" applyBorder="1" applyAlignment="1">
      <alignment vertical="top" wrapText="1"/>
    </xf>
    <xf numFmtId="0" fontId="32" fillId="0" borderId="5" xfId="30" applyFont="1" applyBorder="1"/>
    <xf numFmtId="0" fontId="32" fillId="0" borderId="5" xfId="30" applyFont="1" applyBorder="1" applyAlignment="1">
      <alignment vertical="top" wrapText="1"/>
    </xf>
    <xf numFmtId="0" fontId="36" fillId="22" borderId="9" xfId="30" applyFont="1" applyFill="1" applyBorder="1"/>
    <xf numFmtId="0" fontId="37" fillId="22" borderId="9" xfId="30" applyFont="1" applyFill="1" applyBorder="1" applyAlignment="1">
      <alignment vertical="top" wrapText="1"/>
    </xf>
    <xf numFmtId="0" fontId="38" fillId="22" borderId="9" xfId="30" applyFont="1" applyFill="1" applyBorder="1" applyAlignment="1">
      <alignment vertical="top" wrapText="1"/>
    </xf>
    <xf numFmtId="0" fontId="32" fillId="0" borderId="10" xfId="30" applyFont="1" applyBorder="1"/>
    <xf numFmtId="0" fontId="32" fillId="0" borderId="10" xfId="30" applyFont="1" applyBorder="1" applyAlignment="1">
      <alignment vertical="top" wrapText="1"/>
    </xf>
    <xf numFmtId="0" fontId="32" fillId="0" borderId="21" xfId="30" applyFont="1" applyBorder="1"/>
    <xf numFmtId="0" fontId="32" fillId="0" borderId="22" xfId="30" applyFont="1" applyBorder="1" applyAlignment="1">
      <alignment vertical="top" wrapText="1"/>
    </xf>
    <xf numFmtId="0" fontId="39" fillId="0" borderId="21" xfId="30" applyFont="1" applyBorder="1"/>
    <xf numFmtId="0" fontId="32" fillId="0" borderId="22" xfId="30" applyFont="1" applyBorder="1"/>
    <xf numFmtId="0" fontId="36" fillId="23" borderId="9" xfId="30" applyFont="1" applyFill="1" applyBorder="1"/>
    <xf numFmtId="0" fontId="35" fillId="23" borderId="9" xfId="30" applyFont="1" applyFill="1" applyBorder="1"/>
    <xf numFmtId="0" fontId="32" fillId="0" borderId="5" xfId="30" applyFont="1" applyBorder="1" applyAlignment="1">
      <alignment wrapText="1"/>
    </xf>
    <xf numFmtId="0" fontId="37" fillId="23" borderId="9" xfId="30" applyFont="1" applyFill="1" applyBorder="1" applyAlignment="1">
      <alignment vertical="top" wrapText="1"/>
    </xf>
    <xf numFmtId="0" fontId="38" fillId="23" borderId="9" xfId="30" applyFont="1" applyFill="1" applyBorder="1" applyAlignment="1">
      <alignment vertical="top" wrapText="1"/>
    </xf>
    <xf numFmtId="0" fontId="32" fillId="0" borderId="10" xfId="30" applyFont="1" applyBorder="1" applyAlignment="1">
      <alignment wrapText="1"/>
    </xf>
    <xf numFmtId="0" fontId="39" fillId="24" borderId="20" xfId="30" applyFont="1" applyFill="1" applyBorder="1"/>
    <xf numFmtId="0" fontId="35" fillId="24" borderId="20" xfId="30" applyFont="1" applyFill="1" applyBorder="1"/>
    <xf numFmtId="0" fontId="39" fillId="24" borderId="10" xfId="30" applyFont="1" applyFill="1" applyBorder="1"/>
    <xf numFmtId="0" fontId="37" fillId="24" borderId="10" xfId="30" applyFont="1" applyFill="1" applyBorder="1"/>
    <xf numFmtId="0" fontId="39" fillId="0" borderId="5" xfId="30" applyFont="1" applyBorder="1"/>
    <xf numFmtId="0" fontId="39" fillId="24" borderId="9" xfId="30" applyFont="1" applyFill="1" applyBorder="1"/>
    <xf numFmtId="0" fontId="37" fillId="24" borderId="9" xfId="30" applyFont="1" applyFill="1" applyBorder="1"/>
    <xf numFmtId="0" fontId="32" fillId="0" borderId="0" xfId="30" applyFont="1" applyAlignment="1">
      <alignment wrapText="1"/>
    </xf>
    <xf numFmtId="0" fontId="40" fillId="13" borderId="8" xfId="30" applyFont="1" applyFill="1" applyBorder="1"/>
    <xf numFmtId="0" fontId="40" fillId="13" borderId="19" xfId="30" applyFont="1" applyFill="1" applyBorder="1"/>
    <xf numFmtId="0" fontId="40" fillId="13" borderId="12" xfId="30" applyFont="1" applyFill="1" applyBorder="1"/>
    <xf numFmtId="0" fontId="40" fillId="13" borderId="13" xfId="30" applyFont="1" applyFill="1" applyBorder="1"/>
    <xf numFmtId="0" fontId="41" fillId="0" borderId="7" xfId="0" applyFont="1" applyBorder="1" applyAlignment="1">
      <alignment vertical="center" wrapText="1"/>
    </xf>
    <xf numFmtId="0" fontId="42" fillId="0" borderId="9" xfId="0" applyFont="1" applyBorder="1" applyAlignment="1">
      <alignment vertical="center" wrapText="1"/>
    </xf>
    <xf numFmtId="0" fontId="41" fillId="0" borderId="0" xfId="0" applyFont="1" applyAlignment="1">
      <alignment vertical="center" wrapText="1"/>
    </xf>
    <xf numFmtId="0" fontId="42" fillId="0" borderId="22" xfId="30" applyFont="1" applyBorder="1" applyAlignment="1">
      <alignment vertical="center"/>
    </xf>
    <xf numFmtId="0" fontId="42" fillId="0" borderId="20" xfId="0" applyFont="1" applyBorder="1" applyAlignment="1">
      <alignment vertical="top" wrapText="1"/>
    </xf>
    <xf numFmtId="0" fontId="42" fillId="0" borderId="5" xfId="0" applyFont="1" applyBorder="1" applyAlignment="1">
      <alignment vertical="center" wrapText="1"/>
    </xf>
    <xf numFmtId="0" fontId="42" fillId="0" borderId="10" xfId="0" applyFont="1" applyBorder="1" applyAlignment="1">
      <alignment vertical="center" wrapText="1"/>
    </xf>
    <xf numFmtId="0" fontId="41" fillId="0" borderId="9" xfId="0" applyFont="1" applyBorder="1" applyAlignment="1">
      <alignment vertical="center" wrapText="1"/>
    </xf>
    <xf numFmtId="0" fontId="41" fillId="6" borderId="9" xfId="0" applyFont="1" applyFill="1" applyBorder="1" applyAlignment="1">
      <alignment vertical="center" wrapText="1"/>
    </xf>
    <xf numFmtId="0" fontId="42" fillId="6" borderId="9" xfId="0" applyFont="1" applyFill="1" applyBorder="1" applyAlignment="1">
      <alignment vertical="center" wrapText="1"/>
    </xf>
    <xf numFmtId="0" fontId="42" fillId="0" borderId="20" xfId="0" applyFont="1" applyBorder="1" applyAlignment="1">
      <alignment vertical="center" wrapText="1"/>
    </xf>
    <xf numFmtId="0" fontId="42" fillId="0" borderId="0" xfId="30" applyFont="1" applyAlignment="1">
      <alignment vertical="center"/>
    </xf>
    <xf numFmtId="0" fontId="44" fillId="0" borderId="0" xfId="0" applyFont="1" applyAlignment="1">
      <alignment horizontal="left"/>
    </xf>
    <xf numFmtId="0" fontId="32" fillId="0" borderId="0" xfId="0" applyFont="1" applyAlignment="1">
      <alignment horizontal="center"/>
    </xf>
    <xf numFmtId="0" fontId="32" fillId="0" borderId="13" xfId="0" applyFont="1" applyBorder="1" applyAlignment="1">
      <alignment horizontal="center"/>
    </xf>
    <xf numFmtId="0" fontId="32" fillId="0" borderId="10" xfId="0" applyFont="1" applyBorder="1"/>
    <xf numFmtId="0" fontId="32" fillId="0" borderId="10" xfId="0" applyFont="1" applyBorder="1" applyAlignment="1">
      <alignment horizontal="center"/>
    </xf>
    <xf numFmtId="0" fontId="47" fillId="22" borderId="9" xfId="0" applyFont="1" applyFill="1" applyBorder="1" applyAlignment="1">
      <alignment horizontal="left" vertical="top" textRotation="90"/>
    </xf>
    <xf numFmtId="0" fontId="48" fillId="14" borderId="9" xfId="0" applyFont="1" applyFill="1" applyBorder="1" applyAlignment="1">
      <alignment horizontal="left" vertical="top" textRotation="90"/>
    </xf>
    <xf numFmtId="0" fontId="48" fillId="18" borderId="9" xfId="0" applyFont="1" applyFill="1" applyBorder="1" applyAlignment="1">
      <alignment horizontal="left" vertical="top" textRotation="90"/>
    </xf>
    <xf numFmtId="0" fontId="32" fillId="0" borderId="14" xfId="0" applyFont="1" applyBorder="1" applyAlignment="1">
      <alignment horizontal="center"/>
    </xf>
    <xf numFmtId="0" fontId="32" fillId="0" borderId="9" xfId="0" applyFont="1" applyBorder="1"/>
    <xf numFmtId="0" fontId="32" fillId="0" borderId="9" xfId="0" applyFont="1" applyBorder="1" applyAlignment="1">
      <alignment horizontal="center"/>
    </xf>
    <xf numFmtId="0" fontId="32" fillId="19" borderId="9" xfId="0" applyFont="1" applyFill="1" applyBorder="1" applyAlignment="1">
      <alignment horizontal="center"/>
    </xf>
    <xf numFmtId="0" fontId="32" fillId="20" borderId="9" xfId="0" applyFont="1" applyFill="1" applyBorder="1" applyAlignment="1">
      <alignment horizontal="center"/>
    </xf>
    <xf numFmtId="0" fontId="32" fillId="21" borderId="9" xfId="0" applyFont="1" applyFill="1" applyBorder="1" applyAlignment="1">
      <alignment horizontal="center"/>
    </xf>
    <xf numFmtId="0" fontId="32" fillId="21" borderId="7" xfId="0" applyFont="1" applyFill="1" applyBorder="1" applyAlignment="1">
      <alignment horizontal="center"/>
    </xf>
    <xf numFmtId="168" fontId="32" fillId="19" borderId="9" xfId="19" applyFont="1" applyFill="1" applyBorder="1" applyAlignment="1">
      <alignment horizontal="center"/>
    </xf>
    <xf numFmtId="0" fontId="32" fillId="0" borderId="19" xfId="0" applyFont="1" applyBorder="1" applyAlignment="1">
      <alignment horizontal="center"/>
    </xf>
    <xf numFmtId="0" fontId="32" fillId="19" borderId="20" xfId="0" applyFont="1" applyFill="1" applyBorder="1" applyAlignment="1">
      <alignment horizontal="center"/>
    </xf>
    <xf numFmtId="0" fontId="32" fillId="20" borderId="20" xfId="0" applyFont="1" applyFill="1" applyBorder="1" applyAlignment="1">
      <alignment horizontal="center"/>
    </xf>
    <xf numFmtId="0" fontId="32" fillId="21" borderId="20" xfId="0" applyFont="1" applyFill="1" applyBorder="1" applyAlignment="1">
      <alignment horizontal="center"/>
    </xf>
    <xf numFmtId="0" fontId="32" fillId="21" borderId="8" xfId="0" applyFont="1" applyFill="1" applyBorder="1" applyAlignment="1">
      <alignment horizontal="center"/>
    </xf>
    <xf numFmtId="0" fontId="32" fillId="0" borderId="20" xfId="0" applyFont="1" applyBorder="1" applyAlignment="1">
      <alignment horizontal="center"/>
    </xf>
    <xf numFmtId="0" fontId="42" fillId="0" borderId="0" xfId="0" applyFont="1" applyAlignment="1">
      <alignment vertical="center"/>
    </xf>
    <xf numFmtId="0" fontId="42" fillId="0" borderId="0" xfId="0" applyFont="1" applyAlignment="1">
      <alignment vertical="center" wrapText="1"/>
    </xf>
    <xf numFmtId="173" fontId="42" fillId="0" borderId="9" xfId="0" applyNumberFormat="1" applyFont="1" applyBorder="1" applyAlignment="1">
      <alignment vertical="center"/>
    </xf>
    <xf numFmtId="0" fontId="42" fillId="0" borderId="9" xfId="0" applyFont="1" applyBorder="1" applyAlignment="1">
      <alignment vertical="center"/>
    </xf>
    <xf numFmtId="10" fontId="42" fillId="0" borderId="9" xfId="0" applyNumberFormat="1" applyFont="1" applyBorder="1" applyAlignment="1">
      <alignment horizontal="center" vertical="center"/>
    </xf>
    <xf numFmtId="9" fontId="42" fillId="0" borderId="9" xfId="0" applyNumberFormat="1" applyFont="1" applyBorder="1" applyAlignment="1">
      <alignment vertical="center"/>
    </xf>
    <xf numFmtId="170" fontId="31" fillId="11" borderId="9" xfId="0" applyNumberFormat="1" applyFont="1" applyFill="1" applyBorder="1" applyAlignment="1">
      <alignment horizontal="center" vertical="center"/>
    </xf>
    <xf numFmtId="172" fontId="31" fillId="11" borderId="9" xfId="31" applyNumberFormat="1" applyFont="1" applyFill="1" applyBorder="1" applyAlignment="1" applyProtection="1">
      <alignment horizontal="left" vertical="center"/>
      <protection hidden="1"/>
    </xf>
    <xf numFmtId="0" fontId="52" fillId="0" borderId="0" xfId="0" applyFont="1" applyAlignment="1">
      <alignment vertical="center"/>
    </xf>
    <xf numFmtId="0" fontId="41" fillId="0" borderId="0" xfId="0" applyFont="1" applyAlignment="1">
      <alignment horizontal="center" vertical="center"/>
    </xf>
    <xf numFmtId="170" fontId="42" fillId="0" borderId="0" xfId="0" applyNumberFormat="1" applyFont="1" applyAlignment="1">
      <alignment vertical="center"/>
    </xf>
    <xf numFmtId="0" fontId="42" fillId="0" borderId="9" xfId="0" applyFont="1" applyBorder="1" applyAlignment="1">
      <alignment horizontal="left" vertical="center"/>
    </xf>
    <xf numFmtId="172" fontId="42" fillId="0" borderId="9" xfId="31" applyNumberFormat="1" applyFont="1" applyBorder="1" applyAlignment="1" applyProtection="1">
      <alignment horizontal="left" vertical="center"/>
      <protection hidden="1"/>
    </xf>
    <xf numFmtId="182" fontId="42" fillId="0" borderId="9" xfId="0" applyNumberFormat="1" applyFont="1" applyBorder="1" applyAlignment="1">
      <alignment vertical="center"/>
    </xf>
    <xf numFmtId="170" fontId="31" fillId="11" borderId="9" xfId="0" applyNumberFormat="1" applyFont="1" applyFill="1" applyBorder="1" applyAlignment="1" applyProtection="1">
      <alignment horizontal="center" vertical="center"/>
      <protection locked="0"/>
    </xf>
    <xf numFmtId="172" fontId="31" fillId="11" borderId="9" xfId="2" applyNumberFormat="1" applyFont="1" applyFill="1" applyBorder="1" applyAlignment="1" applyProtection="1">
      <alignment horizontal="left" vertical="center"/>
      <protection hidden="1"/>
    </xf>
    <xf numFmtId="170" fontId="42" fillId="0" borderId="0" xfId="0" applyNumberFormat="1" applyFont="1" applyAlignment="1" applyProtection="1">
      <alignment horizontal="center" vertical="center"/>
      <protection locked="0"/>
    </xf>
    <xf numFmtId="166" fontId="42" fillId="0" borderId="0" xfId="0" applyNumberFormat="1" applyFont="1" applyAlignment="1" applyProtection="1">
      <alignment horizontal="left" vertical="center"/>
      <protection hidden="1"/>
    </xf>
    <xf numFmtId="170" fontId="42" fillId="0" borderId="9" xfId="0" applyNumberFormat="1" applyFont="1" applyBorder="1" applyAlignment="1">
      <alignment horizontal="center" vertical="center"/>
    </xf>
    <xf numFmtId="171" fontId="42" fillId="0" borderId="9" xfId="0" applyNumberFormat="1" applyFont="1" applyBorder="1" applyAlignment="1">
      <alignment vertical="center"/>
    </xf>
    <xf numFmtId="171" fontId="42" fillId="0" borderId="9" xfId="2" applyFont="1" applyBorder="1" applyAlignment="1" applyProtection="1">
      <alignment horizontal="left" vertical="center"/>
      <protection locked="0"/>
    </xf>
    <xf numFmtId="0" fontId="42" fillId="0" borderId="0" xfId="0" applyFont="1" applyAlignment="1">
      <alignment horizontal="center" vertical="center"/>
    </xf>
    <xf numFmtId="170" fontId="42" fillId="0" borderId="0" xfId="0" applyNumberFormat="1" applyFont="1" applyAlignment="1">
      <alignment horizontal="center" vertical="center"/>
    </xf>
    <xf numFmtId="172" fontId="42" fillId="0" borderId="0" xfId="31" applyNumberFormat="1" applyFont="1" applyAlignment="1" applyProtection="1">
      <alignment horizontal="left" vertical="center"/>
      <protection hidden="1"/>
    </xf>
    <xf numFmtId="170" fontId="42" fillId="0" borderId="9" xfId="44" applyNumberFormat="1" applyFont="1" applyFill="1" applyBorder="1" applyAlignment="1">
      <alignment horizontal="center" vertical="center"/>
    </xf>
    <xf numFmtId="171" fontId="31" fillId="11" borderId="9" xfId="2" applyFont="1" applyFill="1" applyBorder="1" applyAlignment="1" applyProtection="1">
      <alignment horizontal="left" vertical="center"/>
      <protection locked="0"/>
    </xf>
    <xf numFmtId="171" fontId="42" fillId="0" borderId="0" xfId="2" applyFont="1" applyAlignment="1" applyProtection="1">
      <alignment horizontal="left" vertical="center"/>
      <protection locked="0"/>
    </xf>
    <xf numFmtId="173" fontId="51" fillId="11" borderId="9" xfId="0" applyNumberFormat="1" applyFont="1" applyFill="1" applyBorder="1" applyAlignment="1">
      <alignment vertical="center"/>
    </xf>
    <xf numFmtId="173" fontId="42" fillId="0" borderId="0" xfId="0" applyNumberFormat="1" applyFont="1" applyAlignment="1">
      <alignment vertical="center"/>
    </xf>
    <xf numFmtId="9" fontId="42" fillId="0" borderId="9" xfId="0" applyNumberFormat="1" applyFont="1" applyBorder="1" applyAlignment="1">
      <alignment horizontal="center" vertical="center"/>
    </xf>
    <xf numFmtId="173" fontId="42" fillId="0" borderId="9" xfId="0" applyNumberFormat="1" applyFont="1" applyBorder="1" applyAlignment="1" applyProtection="1">
      <alignment vertical="center"/>
      <protection locked="0"/>
    </xf>
    <xf numFmtId="173" fontId="42" fillId="0" borderId="9" xfId="2" applyNumberFormat="1" applyFont="1" applyBorder="1" applyAlignment="1" applyProtection="1">
      <alignment horizontal="left" vertical="center"/>
      <protection hidden="1"/>
    </xf>
    <xf numFmtId="0" fontId="49" fillId="0" borderId="0" xfId="30" applyFont="1" applyAlignment="1">
      <alignment vertical="center"/>
    </xf>
    <xf numFmtId="170" fontId="42" fillId="5" borderId="0" xfId="0" applyNumberFormat="1" applyFont="1" applyFill="1" applyAlignment="1">
      <alignment vertical="center"/>
    </xf>
    <xf numFmtId="2" fontId="41" fillId="6" borderId="0" xfId="0" applyNumberFormat="1" applyFont="1" applyFill="1" applyAlignment="1">
      <alignment vertical="center"/>
    </xf>
    <xf numFmtId="0" fontId="42" fillId="6" borderId="0" xfId="0" applyFont="1" applyFill="1" applyAlignment="1">
      <alignment vertical="center"/>
    </xf>
    <xf numFmtId="0" fontId="42" fillId="6" borderId="0" xfId="0" applyFont="1" applyFill="1"/>
    <xf numFmtId="169" fontId="42" fillId="6" borderId="0" xfId="0" applyNumberFormat="1" applyFont="1" applyFill="1"/>
    <xf numFmtId="17" fontId="42" fillId="6" borderId="0" xfId="0" applyNumberFormat="1" applyFont="1" applyFill="1" applyAlignment="1">
      <alignment horizontal="center"/>
    </xf>
    <xf numFmtId="0" fontId="42" fillId="6" borderId="0" xfId="0" applyFont="1" applyFill="1" applyAlignment="1">
      <alignment horizontal="center"/>
    </xf>
    <xf numFmtId="169" fontId="42" fillId="0" borderId="0" xfId="0" applyNumberFormat="1" applyFont="1" applyAlignment="1">
      <alignment vertical="center"/>
    </xf>
    <xf numFmtId="0" fontId="42" fillId="0" borderId="15" xfId="30" applyFont="1" applyBorder="1" applyAlignment="1">
      <alignment horizontal="center" vertical="center"/>
    </xf>
    <xf numFmtId="0" fontId="42" fillId="0" borderId="15" xfId="30" applyFont="1" applyBorder="1" applyAlignment="1">
      <alignment horizontal="left" vertical="center"/>
    </xf>
    <xf numFmtId="0" fontId="42" fillId="0" borderId="0" xfId="30" applyFont="1" applyAlignment="1">
      <alignment horizontal="left" vertical="center"/>
    </xf>
    <xf numFmtId="0" fontId="42" fillId="0" borderId="23" xfId="0" applyFont="1" applyBorder="1" applyAlignment="1">
      <alignment vertical="center"/>
    </xf>
    <xf numFmtId="0" fontId="41" fillId="6" borderId="0" xfId="0" applyFont="1" applyFill="1" applyAlignment="1">
      <alignment horizontal="left" vertical="center"/>
    </xf>
    <xf numFmtId="2" fontId="42" fillId="6" borderId="0" xfId="0" applyNumberFormat="1" applyFont="1" applyFill="1"/>
    <xf numFmtId="0" fontId="42" fillId="0" borderId="0" xfId="30" applyFont="1" applyAlignment="1">
      <alignment horizontal="center" vertical="center"/>
    </xf>
    <xf numFmtId="2" fontId="42" fillId="0" borderId="0" xfId="0" applyNumberFormat="1" applyFont="1" applyAlignment="1">
      <alignment horizontal="center" vertical="center"/>
    </xf>
    <xf numFmtId="1" fontId="42" fillId="6" borderId="0" xfId="0" applyNumberFormat="1" applyFont="1" applyFill="1"/>
    <xf numFmtId="44" fontId="42" fillId="6" borderId="0" xfId="0" applyNumberFormat="1" applyFont="1" applyFill="1"/>
    <xf numFmtId="1" fontId="42" fillId="6" borderId="0" xfId="0" applyNumberFormat="1" applyFont="1" applyFill="1" applyAlignment="1">
      <alignment vertical="center"/>
    </xf>
    <xf numFmtId="1" fontId="42" fillId="6" borderId="0" xfId="0" applyNumberFormat="1" applyFont="1" applyFill="1" applyAlignment="1">
      <alignment wrapText="1"/>
    </xf>
    <xf numFmtId="44" fontId="42" fillId="6" borderId="0" xfId="0" applyNumberFormat="1" applyFont="1" applyFill="1" applyAlignment="1">
      <alignment horizontal="center"/>
    </xf>
    <xf numFmtId="44" fontId="42" fillId="6" borderId="0" xfId="54" applyFont="1" applyFill="1"/>
    <xf numFmtId="169" fontId="42" fillId="6" borderId="0" xfId="0" applyNumberFormat="1" applyFont="1" applyFill="1" applyAlignment="1">
      <alignment vertical="center"/>
    </xf>
    <xf numFmtId="0" fontId="42" fillId="6" borderId="0" xfId="0" applyFont="1" applyFill="1" applyAlignment="1">
      <alignment horizontal="center" vertical="center"/>
    </xf>
    <xf numFmtId="44" fontId="42" fillId="6" borderId="0" xfId="54" applyFont="1" applyFill="1" applyAlignment="1">
      <alignment horizontal="center" vertical="center"/>
    </xf>
    <xf numFmtId="44" fontId="42" fillId="6" borderId="0" xfId="54" applyFont="1" applyFill="1" applyAlignment="1">
      <alignment vertical="center"/>
    </xf>
    <xf numFmtId="0" fontId="42" fillId="6" borderId="0" xfId="0" applyFont="1" applyFill="1" applyAlignment="1">
      <alignment wrapText="1"/>
    </xf>
    <xf numFmtId="169" fontId="42" fillId="6" borderId="0" xfId="0" applyNumberFormat="1" applyFont="1" applyFill="1" applyAlignment="1">
      <alignment wrapText="1"/>
    </xf>
    <xf numFmtId="0" fontId="42" fillId="6" borderId="0" xfId="0" applyFont="1" applyFill="1" applyAlignment="1">
      <alignment horizontal="center" wrapText="1"/>
    </xf>
    <xf numFmtId="44" fontId="42" fillId="6" borderId="0" xfId="54" applyFont="1" applyFill="1" applyAlignment="1">
      <alignment horizontal="center" wrapText="1"/>
    </xf>
    <xf numFmtId="44" fontId="42" fillId="0" borderId="0" xfId="54" applyFont="1" applyAlignment="1">
      <alignment wrapText="1"/>
    </xf>
    <xf numFmtId="0" fontId="42" fillId="0" borderId="0" xfId="0" applyFont="1" applyAlignment="1">
      <alignment wrapText="1"/>
    </xf>
    <xf numFmtId="44" fontId="42" fillId="6" borderId="0" xfId="0" applyNumberFormat="1" applyFont="1" applyFill="1" applyAlignment="1">
      <alignment wrapText="1"/>
    </xf>
    <xf numFmtId="44" fontId="42" fillId="6" borderId="0" xfId="54" applyFont="1" applyFill="1" applyAlignment="1">
      <alignment wrapText="1"/>
    </xf>
    <xf numFmtId="0" fontId="41" fillId="6" borderId="0" xfId="0" applyFont="1" applyFill="1" applyAlignment="1">
      <alignment vertical="center"/>
    </xf>
    <xf numFmtId="44" fontId="42" fillId="6" borderId="0" xfId="0" applyNumberFormat="1" applyFont="1" applyFill="1" applyAlignment="1">
      <alignment vertical="center"/>
    </xf>
    <xf numFmtId="2" fontId="42" fillId="6" borderId="0" xfId="0" applyNumberFormat="1" applyFont="1" applyFill="1" applyAlignment="1">
      <alignment vertical="center"/>
    </xf>
    <xf numFmtId="2" fontId="42" fillId="0" borderId="0" xfId="0" applyNumberFormat="1" applyFont="1" applyAlignment="1">
      <alignment horizontal="center" vertical="center" wrapText="1"/>
    </xf>
    <xf numFmtId="0" fontId="42" fillId="0" borderId="0" xfId="0" applyFont="1" applyAlignment="1">
      <alignment horizontal="center" vertical="center" wrapText="1"/>
    </xf>
    <xf numFmtId="0" fontId="53" fillId="0" borderId="0" xfId="30" applyFont="1" applyAlignment="1">
      <alignment horizontal="center" vertical="center"/>
    </xf>
    <xf numFmtId="1" fontId="42" fillId="7" borderId="0" xfId="30" applyNumberFormat="1" applyFont="1" applyFill="1" applyAlignment="1">
      <alignment horizontal="center" vertical="center"/>
    </xf>
    <xf numFmtId="0" fontId="42" fillId="7" borderId="0" xfId="30" applyFont="1" applyFill="1" applyAlignment="1">
      <alignment horizontal="left" vertical="center"/>
    </xf>
    <xf numFmtId="1" fontId="42" fillId="8" borderId="0" xfId="30" applyNumberFormat="1" applyFont="1" applyFill="1" applyAlignment="1">
      <alignment horizontal="center" vertical="center"/>
    </xf>
    <xf numFmtId="0" fontId="42" fillId="8" borderId="0" xfId="30" applyFont="1" applyFill="1" applyAlignment="1">
      <alignment horizontal="left" vertical="center"/>
    </xf>
    <xf numFmtId="17" fontId="41" fillId="6" borderId="0" xfId="0" applyNumberFormat="1" applyFont="1" applyFill="1" applyAlignment="1">
      <alignment horizontal="center"/>
    </xf>
    <xf numFmtId="0" fontId="41" fillId="6" borderId="0" xfId="0" applyFont="1" applyFill="1" applyAlignment="1">
      <alignment horizontal="center"/>
    </xf>
    <xf numFmtId="0" fontId="42" fillId="0" borderId="0" xfId="0" applyFont="1"/>
    <xf numFmtId="17" fontId="42" fillId="6" borderId="0" xfId="0" applyNumberFormat="1" applyFont="1" applyFill="1" applyAlignment="1">
      <alignment horizontal="center" vertical="center"/>
    </xf>
    <xf numFmtId="10" fontId="42" fillId="6" borderId="0" xfId="0" applyNumberFormat="1" applyFont="1" applyFill="1"/>
    <xf numFmtId="0" fontId="41" fillId="0" borderId="0" xfId="0" applyFont="1" applyAlignment="1">
      <alignment horizontal="center"/>
    </xf>
    <xf numFmtId="2" fontId="42" fillId="0" borderId="0" xfId="0" applyNumberFormat="1" applyFont="1"/>
    <xf numFmtId="169" fontId="42" fillId="0" borderId="0" xfId="0" applyNumberFormat="1" applyFont="1"/>
    <xf numFmtId="0" fontId="42" fillId="0" borderId="0" xfId="0" applyFont="1" applyAlignment="1">
      <alignment horizontal="center"/>
    </xf>
    <xf numFmtId="0" fontId="42" fillId="6" borderId="0" xfId="0" applyFont="1" applyFill="1" applyAlignment="1">
      <alignment horizontal="left" vertical="top"/>
    </xf>
    <xf numFmtId="0" fontId="54" fillId="0" borderId="0" xfId="0" applyFont="1" applyAlignment="1">
      <alignment horizontal="left" vertical="center"/>
    </xf>
    <xf numFmtId="177" fontId="42" fillId="6" borderId="0" xfId="0" applyNumberFormat="1" applyFont="1" applyFill="1" applyAlignment="1">
      <alignment vertical="center"/>
    </xf>
    <xf numFmtId="177" fontId="42" fillId="6" borderId="0" xfId="0" applyNumberFormat="1" applyFont="1" applyFill="1" applyAlignment="1">
      <alignment horizontal="center" vertical="center"/>
    </xf>
    <xf numFmtId="49" fontId="42" fillId="6" borderId="0" xfId="0" applyNumberFormat="1" applyFont="1" applyFill="1" applyAlignment="1">
      <alignment horizontal="center" vertical="center"/>
    </xf>
    <xf numFmtId="0" fontId="50" fillId="0" borderId="0" xfId="0" applyFont="1" applyAlignment="1">
      <alignment vertical="center"/>
    </xf>
    <xf numFmtId="168" fontId="42" fillId="6" borderId="0" xfId="19" applyFont="1" applyFill="1" applyAlignment="1">
      <alignment vertical="center"/>
    </xf>
    <xf numFmtId="0" fontId="42" fillId="6" borderId="0" xfId="0" applyFont="1" applyFill="1" applyAlignment="1">
      <alignment horizontal="left" vertical="center"/>
    </xf>
    <xf numFmtId="0" fontId="41" fillId="11" borderId="0" xfId="0" applyFont="1" applyFill="1" applyAlignment="1">
      <alignment horizontal="center" vertical="center"/>
    </xf>
    <xf numFmtId="0" fontId="42" fillId="0" borderId="0" xfId="0" applyFont="1" applyAlignment="1">
      <alignment horizontal="left" vertical="center" wrapText="1"/>
    </xf>
    <xf numFmtId="173" fontId="42" fillId="0" borderId="0" xfId="0" applyNumberFormat="1" applyFont="1" applyAlignment="1">
      <alignment horizontal="center" vertical="center" wrapText="1"/>
    </xf>
    <xf numFmtId="0" fontId="42" fillId="6" borderId="0" xfId="0" applyFont="1" applyFill="1" applyAlignment="1">
      <alignment vertical="center" wrapText="1"/>
    </xf>
    <xf numFmtId="0" fontId="42" fillId="0" borderId="0" xfId="0" applyFont="1" applyAlignment="1">
      <alignment horizontal="left" vertical="top"/>
    </xf>
    <xf numFmtId="178" fontId="42" fillId="0" borderId="0" xfId="0" applyNumberFormat="1" applyFont="1" applyAlignment="1">
      <alignment vertical="center"/>
    </xf>
    <xf numFmtId="49" fontId="42" fillId="0" borderId="0" xfId="0" applyNumberFormat="1" applyFont="1" applyAlignment="1">
      <alignment horizontal="center" vertical="center"/>
    </xf>
    <xf numFmtId="168" fontId="42" fillId="0" borderId="0" xfId="19" applyFont="1" applyFill="1" applyAlignment="1">
      <alignment horizontal="center" vertical="center" wrapText="1"/>
    </xf>
    <xf numFmtId="44" fontId="42" fillId="0" borderId="0" xfId="54" applyFont="1" applyFill="1" applyAlignment="1">
      <alignment horizontal="center" vertical="center" wrapText="1"/>
    </xf>
    <xf numFmtId="173" fontId="42" fillId="0" borderId="16" xfId="0" applyNumberFormat="1" applyFont="1" applyBorder="1" applyAlignment="1">
      <alignment horizontal="center" vertical="center" wrapText="1"/>
    </xf>
    <xf numFmtId="173" fontId="42" fillId="0" borderId="0" xfId="0" applyNumberFormat="1" applyFont="1" applyAlignment="1">
      <alignment horizontal="center" vertical="center"/>
    </xf>
    <xf numFmtId="0" fontId="42" fillId="0" borderId="0" xfId="0" applyFont="1" applyAlignment="1">
      <alignment horizontal="left" vertical="center"/>
    </xf>
    <xf numFmtId="1" fontId="42" fillId="0" borderId="0" xfId="0" applyNumberFormat="1" applyFont="1" applyAlignment="1">
      <alignment horizontal="center" vertical="center"/>
    </xf>
    <xf numFmtId="173" fontId="42" fillId="0" borderId="9" xfId="0" applyNumberFormat="1" applyFont="1" applyBorder="1" applyAlignment="1">
      <alignment horizontal="center" vertical="center"/>
    </xf>
    <xf numFmtId="177" fontId="42" fillId="0" borderId="0" xfId="0" applyNumberFormat="1" applyFont="1" applyAlignment="1">
      <alignment vertical="center"/>
    </xf>
    <xf numFmtId="177" fontId="42" fillId="0" borderId="0" xfId="0" applyNumberFormat="1" applyFont="1" applyAlignment="1">
      <alignment horizontal="center" vertical="center"/>
    </xf>
    <xf numFmtId="169" fontId="42" fillId="0" borderId="0" xfId="0" applyNumberFormat="1" applyFont="1" applyAlignment="1" applyProtection="1">
      <alignment vertical="center"/>
      <protection hidden="1"/>
    </xf>
    <xf numFmtId="2" fontId="42" fillId="0" borderId="0" xfId="0" applyNumberFormat="1" applyFont="1" applyAlignment="1" applyProtection="1">
      <alignment vertical="center"/>
      <protection hidden="1"/>
    </xf>
    <xf numFmtId="168" fontId="42" fillId="0" borderId="0" xfId="19" applyFont="1" applyAlignment="1" applyProtection="1">
      <alignment vertical="center"/>
      <protection hidden="1"/>
    </xf>
    <xf numFmtId="44" fontId="41" fillId="0" borderId="0" xfId="54" applyFont="1" applyAlignment="1">
      <alignment horizontal="center" vertical="center"/>
    </xf>
    <xf numFmtId="0" fontId="42" fillId="0" borderId="0" xfId="0" applyFont="1" applyAlignment="1" applyProtection="1">
      <alignment vertical="center"/>
      <protection hidden="1"/>
    </xf>
    <xf numFmtId="168" fontId="42" fillId="0" borderId="0" xfId="19" applyFont="1" applyAlignment="1">
      <alignment vertical="center"/>
    </xf>
    <xf numFmtId="0" fontId="54" fillId="0" borderId="0" xfId="0" applyFont="1" applyAlignment="1">
      <alignment vertical="center"/>
    </xf>
    <xf numFmtId="0" fontId="55" fillId="0" borderId="0" xfId="0" applyFont="1" applyAlignment="1">
      <alignment vertical="center"/>
    </xf>
    <xf numFmtId="0" fontId="42" fillId="0" borderId="0" xfId="0" applyFont="1" applyAlignment="1">
      <alignment horizontal="right" vertical="center"/>
    </xf>
    <xf numFmtId="4" fontId="42" fillId="0" borderId="0" xfId="0" applyNumberFormat="1" applyFont="1" applyAlignment="1">
      <alignment horizontal="center" vertical="center"/>
    </xf>
    <xf numFmtId="164" fontId="42" fillId="0" borderId="0" xfId="8" applyFont="1" applyAlignment="1">
      <alignment horizontal="right" vertical="center"/>
    </xf>
    <xf numFmtId="164" fontId="42" fillId="0" borderId="0" xfId="8" applyFont="1" applyAlignment="1">
      <alignment vertical="center"/>
    </xf>
    <xf numFmtId="3" fontId="42" fillId="0" borderId="0" xfId="0" applyNumberFormat="1" applyFont="1" applyAlignment="1">
      <alignment horizontal="center" vertical="center"/>
    </xf>
    <xf numFmtId="2" fontId="58" fillId="0" borderId="0" xfId="0" applyNumberFormat="1" applyFont="1" applyAlignment="1">
      <alignment horizontal="left" vertical="center"/>
    </xf>
    <xf numFmtId="2" fontId="58" fillId="0" borderId="0" xfId="0" applyNumberFormat="1" applyFont="1" applyAlignment="1">
      <alignment horizontal="right" vertical="center"/>
    </xf>
    <xf numFmtId="4" fontId="42" fillId="0" borderId="0" xfId="0" applyNumberFormat="1" applyFont="1" applyAlignment="1">
      <alignment vertical="center"/>
    </xf>
    <xf numFmtId="44" fontId="42" fillId="0" borderId="0" xfId="0" applyNumberFormat="1" applyFont="1" applyAlignment="1">
      <alignment vertical="center"/>
    </xf>
    <xf numFmtId="44" fontId="42" fillId="0" borderId="0" xfId="0" applyNumberFormat="1" applyFont="1" applyAlignment="1">
      <alignment vertical="center" wrapText="1"/>
    </xf>
    <xf numFmtId="44" fontId="31" fillId="0" borderId="17" xfId="54" applyFont="1" applyFill="1" applyBorder="1" applyAlignment="1">
      <alignment horizontal="left" vertical="center"/>
    </xf>
    <xf numFmtId="184" fontId="42" fillId="0" borderId="0" xfId="0" applyNumberFormat="1" applyFont="1" applyAlignment="1">
      <alignment vertical="center"/>
    </xf>
    <xf numFmtId="1" fontId="42" fillId="0" borderId="0" xfId="0" applyNumberFormat="1" applyFont="1" applyAlignment="1">
      <alignment vertical="center"/>
    </xf>
    <xf numFmtId="164" fontId="42" fillId="6" borderId="0" xfId="0" applyNumberFormat="1" applyFont="1" applyFill="1" applyAlignment="1">
      <alignment horizontal="center" vertical="center"/>
    </xf>
    <xf numFmtId="4" fontId="42" fillId="0" borderId="0" xfId="0" applyNumberFormat="1" applyFont="1" applyAlignment="1">
      <alignment horizontal="right" vertical="center"/>
    </xf>
    <xf numFmtId="0" fontId="31" fillId="0" borderId="0" xfId="0" applyFont="1" applyAlignment="1">
      <alignment horizontal="center" vertical="center"/>
    </xf>
    <xf numFmtId="0" fontId="31" fillId="0" borderId="0" xfId="0" applyFont="1" applyAlignment="1">
      <alignment horizontal="left" vertical="center"/>
    </xf>
    <xf numFmtId="4" fontId="31" fillId="0" borderId="0" xfId="0" applyNumberFormat="1" applyFont="1" applyAlignment="1">
      <alignment vertical="center"/>
    </xf>
    <xf numFmtId="4" fontId="31" fillId="0" borderId="0" xfId="0" applyNumberFormat="1" applyFont="1" applyAlignment="1">
      <alignment horizontal="center" vertical="center"/>
    </xf>
    <xf numFmtId="4" fontId="31" fillId="0" borderId="0" xfId="0" applyNumberFormat="1" applyFont="1" applyAlignment="1">
      <alignment horizontal="right" vertical="center"/>
    </xf>
    <xf numFmtId="173" fontId="31" fillId="0" borderId="0" xfId="0" applyNumberFormat="1" applyFont="1" applyAlignment="1">
      <alignment horizontal="center" vertical="center"/>
    </xf>
    <xf numFmtId="44" fontId="31" fillId="0" borderId="0" xfId="54" applyFont="1" applyFill="1" applyAlignment="1">
      <alignment horizontal="center" vertical="center"/>
    </xf>
    <xf numFmtId="0" fontId="31" fillId="10" borderId="0" xfId="0" applyFont="1" applyFill="1" applyAlignment="1">
      <alignment horizontal="center" vertical="center"/>
    </xf>
    <xf numFmtId="0" fontId="31" fillId="10" borderId="0" xfId="0" applyFont="1" applyFill="1" applyAlignment="1">
      <alignment horizontal="left" vertical="center"/>
    </xf>
    <xf numFmtId="0" fontId="31" fillId="10" borderId="0" xfId="0" applyFont="1" applyFill="1" applyAlignment="1">
      <alignment vertical="center"/>
    </xf>
    <xf numFmtId="0" fontId="31" fillId="10" borderId="0" xfId="0" applyFont="1" applyFill="1" applyAlignment="1">
      <alignment horizontal="right" vertical="center"/>
    </xf>
    <xf numFmtId="173" fontId="31" fillId="10" borderId="0" xfId="0" applyNumberFormat="1" applyFont="1" applyFill="1" applyAlignment="1">
      <alignment horizontal="center" vertical="center"/>
    </xf>
    <xf numFmtId="0" fontId="41" fillId="0" borderId="0" xfId="0" applyFont="1" applyAlignment="1">
      <alignment vertical="center"/>
    </xf>
    <xf numFmtId="3" fontId="42" fillId="0" borderId="0" xfId="8" applyNumberFormat="1" applyFont="1" applyAlignment="1">
      <alignment vertical="center"/>
    </xf>
    <xf numFmtId="0" fontId="31" fillId="0" borderId="0" xfId="0" applyFont="1" applyAlignment="1">
      <alignment vertical="center"/>
    </xf>
    <xf numFmtId="0" fontId="41" fillId="0" borderId="0" xfId="0" applyFont="1" applyAlignment="1">
      <alignment horizontal="center" vertical="center" wrapText="1"/>
    </xf>
    <xf numFmtId="0" fontId="31" fillId="9" borderId="0" xfId="0" applyFont="1" applyFill="1" applyAlignment="1">
      <alignment horizontal="center" vertical="center"/>
    </xf>
    <xf numFmtId="0" fontId="31" fillId="9" borderId="0" xfId="0" applyFont="1" applyFill="1" applyAlignment="1">
      <alignment horizontal="left" vertical="center"/>
    </xf>
    <xf numFmtId="0" fontId="31" fillId="9" borderId="0" xfId="0" applyFont="1" applyFill="1" applyAlignment="1">
      <alignment vertical="center"/>
    </xf>
    <xf numFmtId="173" fontId="31" fillId="9" borderId="0" xfId="0" applyNumberFormat="1" applyFont="1" applyFill="1" applyAlignment="1">
      <alignment horizontal="center" vertical="center"/>
    </xf>
    <xf numFmtId="44" fontId="31" fillId="0" borderId="0" xfId="0" applyNumberFormat="1" applyFont="1" applyAlignment="1">
      <alignment horizontal="left" vertical="center"/>
    </xf>
    <xf numFmtId="1" fontId="31" fillId="0" borderId="0" xfId="0" applyNumberFormat="1" applyFont="1" applyAlignment="1">
      <alignment horizontal="center" vertical="center"/>
    </xf>
    <xf numFmtId="3" fontId="31" fillId="0" borderId="0" xfId="58" applyNumberFormat="1" applyFont="1" applyAlignment="1">
      <alignment horizontal="center" vertical="center"/>
    </xf>
    <xf numFmtId="0" fontId="42" fillId="6" borderId="0" xfId="0" applyFont="1" applyFill="1" applyAlignment="1">
      <alignment horizontal="center" vertical="center" textRotation="90"/>
    </xf>
    <xf numFmtId="0" fontId="42" fillId="0" borderId="0" xfId="0" applyFont="1" applyAlignment="1">
      <alignment horizontal="center" vertical="center" textRotation="90" wrapText="1"/>
    </xf>
    <xf numFmtId="173" fontId="42" fillId="0" borderId="16" xfId="0" applyNumberFormat="1" applyFont="1" applyBorder="1" applyAlignment="1">
      <alignment horizontal="left" vertical="center" wrapText="1"/>
    </xf>
    <xf numFmtId="0" fontId="31" fillId="0" borderId="0" xfId="0" applyFont="1" applyAlignment="1">
      <alignment horizontal="center" vertical="center" textRotation="90"/>
    </xf>
    <xf numFmtId="0" fontId="31" fillId="11" borderId="0" xfId="0" applyFont="1" applyFill="1" applyAlignment="1">
      <alignment horizontal="left" vertical="center" wrapText="1"/>
    </xf>
    <xf numFmtId="0" fontId="42" fillId="0" borderId="0" xfId="0" applyFont="1" applyAlignment="1">
      <alignment horizontal="center" vertical="center" textRotation="90"/>
    </xf>
    <xf numFmtId="0" fontId="32" fillId="0" borderId="24" xfId="0" applyFont="1" applyBorder="1" applyAlignment="1">
      <alignment horizontal="center"/>
    </xf>
    <xf numFmtId="0" fontId="46" fillId="0" borderId="2" xfId="0" applyFont="1" applyBorder="1"/>
    <xf numFmtId="0" fontId="32" fillId="0" borderId="25" xfId="0" applyFont="1" applyBorder="1"/>
    <xf numFmtId="0" fontId="32" fillId="0" borderId="21" xfId="0" applyFont="1" applyBorder="1" applyAlignment="1">
      <alignment horizontal="center"/>
    </xf>
    <xf numFmtId="0" fontId="32" fillId="0" borderId="22" xfId="0" applyFont="1" applyBorder="1"/>
    <xf numFmtId="0" fontId="60" fillId="0" borderId="0" xfId="0" applyFont="1"/>
    <xf numFmtId="0" fontId="39" fillId="0" borderId="0" xfId="0" applyFont="1"/>
    <xf numFmtId="0" fontId="32" fillId="0" borderId="21" xfId="0" applyFont="1" applyBorder="1" applyAlignment="1">
      <alignment horizontal="center" vertical="center"/>
    </xf>
    <xf numFmtId="0" fontId="32" fillId="0" borderId="0" xfId="0" applyFont="1" applyAlignment="1">
      <alignment horizontal="left" indent="1"/>
    </xf>
    <xf numFmtId="0" fontId="39" fillId="0" borderId="0" xfId="0" applyFont="1" applyAlignment="1">
      <alignment horizontal="left" indent="1"/>
    </xf>
    <xf numFmtId="0" fontId="32" fillId="0" borderId="26" xfId="0" applyFont="1" applyBorder="1" applyAlignment="1">
      <alignment horizontal="center" vertical="center"/>
    </xf>
    <xf numFmtId="9" fontId="42" fillId="0" borderId="0" xfId="38" applyFont="1" applyAlignment="1">
      <alignment vertical="center"/>
    </xf>
    <xf numFmtId="0" fontId="61" fillId="0" borderId="0" xfId="29" applyFont="1" applyAlignment="1">
      <alignment horizontal="center"/>
    </xf>
    <xf numFmtId="0" fontId="61" fillId="0" borderId="0" xfId="29" applyFont="1"/>
    <xf numFmtId="9" fontId="61" fillId="0" borderId="0" xfId="38" applyFont="1"/>
    <xf numFmtId="0" fontId="61" fillId="0" borderId="0" xfId="29" applyFont="1" applyAlignment="1">
      <alignment horizontal="center" vertical="center"/>
    </xf>
    <xf numFmtId="3" fontId="31" fillId="0" borderId="9" xfId="0" applyNumberFormat="1" applyFont="1" applyBorder="1" applyAlignment="1">
      <alignment vertical="center"/>
    </xf>
    <xf numFmtId="179" fontId="31" fillId="0" borderId="9" xfId="0" applyNumberFormat="1" applyFont="1" applyBorder="1" applyAlignment="1">
      <alignment vertical="center"/>
    </xf>
    <xf numFmtId="173" fontId="31" fillId="0" borderId="9" xfId="0" applyNumberFormat="1" applyFont="1" applyBorder="1" applyAlignment="1">
      <alignment vertical="center"/>
    </xf>
    <xf numFmtId="173" fontId="31" fillId="0" borderId="14" xfId="0" applyNumberFormat="1" applyFont="1" applyBorder="1" applyAlignment="1">
      <alignment vertical="center"/>
    </xf>
    <xf numFmtId="0" fontId="48" fillId="11" borderId="9" xfId="0" applyFont="1" applyFill="1" applyBorder="1" applyAlignment="1">
      <alignment horizontal="center" vertical="center"/>
    </xf>
    <xf numFmtId="0" fontId="48" fillId="11" borderId="9" xfId="0" applyFont="1" applyFill="1" applyBorder="1" applyAlignment="1">
      <alignment vertical="center"/>
    </xf>
    <xf numFmtId="180" fontId="48" fillId="11" borderId="9" xfId="0" applyNumberFormat="1" applyFont="1" applyFill="1" applyBorder="1" applyAlignment="1">
      <alignment vertical="center"/>
    </xf>
    <xf numFmtId="181" fontId="48" fillId="11" borderId="9" xfId="0" applyNumberFormat="1" applyFont="1" applyFill="1" applyBorder="1" applyAlignment="1">
      <alignment vertical="center"/>
    </xf>
    <xf numFmtId="173" fontId="48" fillId="11" borderId="9" xfId="0" applyNumberFormat="1" applyFont="1" applyFill="1" applyBorder="1" applyAlignment="1">
      <alignment vertical="center"/>
    </xf>
    <xf numFmtId="173" fontId="48" fillId="11" borderId="0" xfId="0" applyNumberFormat="1" applyFont="1" applyFill="1" applyAlignment="1">
      <alignment vertical="center"/>
    </xf>
    <xf numFmtId="0" fontId="62" fillId="0" borderId="0" xfId="29" applyFont="1"/>
    <xf numFmtId="173" fontId="32" fillId="0" borderId="9" xfId="0" applyNumberFormat="1" applyFont="1" applyBorder="1" applyAlignment="1">
      <alignment vertical="center"/>
    </xf>
    <xf numFmtId="184" fontId="61" fillId="0" borderId="0" xfId="29" applyNumberFormat="1" applyFont="1"/>
    <xf numFmtId="173" fontId="61" fillId="0" borderId="0" xfId="29" applyNumberFormat="1" applyFont="1"/>
    <xf numFmtId="0" fontId="31" fillId="7" borderId="9" xfId="0" applyFont="1" applyFill="1" applyBorder="1" applyAlignment="1">
      <alignment horizontal="left" vertical="center"/>
    </xf>
    <xf numFmtId="0" fontId="31" fillId="8" borderId="9" xfId="0" applyFont="1" applyFill="1" applyBorder="1" applyAlignment="1">
      <alignment horizontal="left" vertical="center"/>
    </xf>
    <xf numFmtId="0" fontId="42" fillId="7" borderId="9" xfId="0" applyFont="1" applyFill="1" applyBorder="1" applyAlignment="1">
      <alignment vertical="center"/>
    </xf>
    <xf numFmtId="182" fontId="42" fillId="7" borderId="9" xfId="0" applyNumberFormat="1" applyFont="1" applyFill="1" applyBorder="1" applyAlignment="1">
      <alignment horizontal="center" vertical="center"/>
    </xf>
    <xf numFmtId="0" fontId="42" fillId="7" borderId="7" xfId="0" applyFont="1" applyFill="1" applyBorder="1" applyAlignment="1">
      <alignment vertical="center"/>
    </xf>
    <xf numFmtId="0" fontId="42" fillId="7" borderId="4" xfId="0" applyFont="1" applyFill="1" applyBorder="1" applyAlignment="1">
      <alignment vertical="center"/>
    </xf>
    <xf numFmtId="0" fontId="42" fillId="7" borderId="14" xfId="0" applyFont="1" applyFill="1" applyBorder="1" applyAlignment="1">
      <alignment vertical="center"/>
    </xf>
    <xf numFmtId="44" fontId="61" fillId="0" borderId="0" xfId="54" applyFont="1"/>
    <xf numFmtId="10" fontId="42" fillId="0" borderId="9" xfId="0" applyNumberFormat="1" applyFont="1" applyBorder="1" applyAlignment="1">
      <alignment vertical="center"/>
    </xf>
    <xf numFmtId="10" fontId="42" fillId="0" borderId="9" xfId="44" applyNumberFormat="1" applyFont="1" applyBorder="1" applyAlignment="1">
      <alignment vertical="center"/>
    </xf>
    <xf numFmtId="0" fontId="56" fillId="27" borderId="9" xfId="0" applyFont="1" applyFill="1" applyBorder="1" applyAlignment="1">
      <alignment vertical="center" wrapText="1"/>
    </xf>
    <xf numFmtId="0" fontId="43" fillId="27" borderId="9" xfId="0" applyFont="1" applyFill="1" applyBorder="1" applyAlignment="1">
      <alignment vertical="center" wrapText="1"/>
    </xf>
    <xf numFmtId="0" fontId="57" fillId="0" borderId="0" xfId="0" applyFont="1" applyAlignment="1">
      <alignment vertical="center"/>
    </xf>
    <xf numFmtId="0" fontId="30" fillId="27" borderId="9" xfId="0" applyFont="1" applyFill="1" applyBorder="1" applyAlignment="1">
      <alignment vertical="center" wrapText="1"/>
    </xf>
    <xf numFmtId="0" fontId="30" fillId="27" borderId="7" xfId="0" applyFont="1" applyFill="1" applyBorder="1" applyAlignment="1">
      <alignment horizontal="left" vertical="center" wrapText="1"/>
    </xf>
    <xf numFmtId="1" fontId="42" fillId="0" borderId="0" xfId="0" applyNumberFormat="1" applyFont="1" applyAlignment="1">
      <alignment horizontal="center" vertical="center" wrapText="1"/>
    </xf>
    <xf numFmtId="1" fontId="41" fillId="0" borderId="0" xfId="0" applyNumberFormat="1" applyFont="1" applyAlignment="1">
      <alignment horizontal="center" vertical="center" wrapText="1"/>
    </xf>
    <xf numFmtId="169" fontId="42" fillId="0" borderId="0" xfId="0" applyNumberFormat="1" applyFont="1" applyAlignment="1" applyProtection="1">
      <alignment horizontal="center" vertical="center" wrapText="1"/>
      <protection hidden="1"/>
    </xf>
    <xf numFmtId="168" fontId="42" fillId="0" borderId="0" xfId="19" applyFont="1" applyFill="1" applyAlignment="1" applyProtection="1">
      <alignment horizontal="center" vertical="center" wrapText="1"/>
      <protection hidden="1"/>
    </xf>
    <xf numFmtId="44" fontId="42" fillId="0" borderId="0" xfId="54" applyFont="1" applyFill="1" applyAlignment="1" applyProtection="1">
      <alignment horizontal="center" vertical="center" wrapText="1"/>
      <protection hidden="1"/>
    </xf>
    <xf numFmtId="169" fontId="42" fillId="0" borderId="0" xfId="0" applyNumberFormat="1" applyFont="1" applyAlignment="1">
      <alignment horizontal="center" vertical="center" wrapText="1"/>
    </xf>
    <xf numFmtId="0" fontId="42" fillId="0" borderId="0" xfId="0" applyFont="1" applyAlignment="1" applyProtection="1">
      <alignment horizontal="center" vertical="center" wrapText="1"/>
      <protection hidden="1"/>
    </xf>
    <xf numFmtId="44" fontId="31" fillId="0" borderId="30" xfId="54" applyFont="1" applyFill="1" applyBorder="1" applyAlignment="1">
      <alignment horizontal="left" vertical="center"/>
    </xf>
    <xf numFmtId="44" fontId="31" fillId="0" borderId="17" xfId="0" applyNumberFormat="1" applyFont="1" applyBorder="1" applyAlignment="1">
      <alignment horizontal="left" vertical="center"/>
    </xf>
    <xf numFmtId="44" fontId="31" fillId="0" borderId="29" xfId="54" applyFont="1" applyFill="1" applyBorder="1" applyAlignment="1">
      <alignment horizontal="left" vertical="center"/>
    </xf>
    <xf numFmtId="44" fontId="31" fillId="0" borderId="31" xfId="54" applyFont="1" applyFill="1" applyBorder="1" applyAlignment="1">
      <alignment horizontal="left" vertical="center"/>
    </xf>
    <xf numFmtId="4" fontId="31" fillId="0" borderId="0" xfId="0" applyNumberFormat="1" applyFont="1" applyAlignment="1">
      <alignment horizontal="left" vertical="center"/>
    </xf>
    <xf numFmtId="0" fontId="42" fillId="0" borderId="0" xfId="0" applyFont="1" applyAlignment="1">
      <alignment horizontal="center" wrapText="1"/>
    </xf>
    <xf numFmtId="0" fontId="50" fillId="6" borderId="0" xfId="0" applyFont="1" applyFill="1" applyAlignment="1">
      <alignment horizontal="center" wrapText="1"/>
    </xf>
    <xf numFmtId="0" fontId="30" fillId="6" borderId="0" xfId="0" applyFont="1" applyFill="1" applyAlignment="1">
      <alignment horizontal="center" wrapText="1"/>
    </xf>
    <xf numFmtId="2" fontId="42" fillId="0" borderId="0" xfId="0" applyNumberFormat="1" applyFont="1" applyAlignment="1" applyProtection="1">
      <alignment horizontal="center"/>
      <protection hidden="1"/>
    </xf>
    <xf numFmtId="0" fontId="42" fillId="0" borderId="0" xfId="0" applyFont="1" applyProtection="1">
      <protection hidden="1"/>
    </xf>
    <xf numFmtId="1" fontId="42" fillId="0" borderId="0" xfId="0" applyNumberFormat="1" applyFont="1" applyAlignment="1" applyProtection="1">
      <alignment horizontal="center"/>
      <protection hidden="1"/>
    </xf>
    <xf numFmtId="0" fontId="42" fillId="0" borderId="16" xfId="0" applyFont="1" applyBorder="1" applyAlignment="1">
      <alignment vertical="center"/>
    </xf>
    <xf numFmtId="0" fontId="30" fillId="27" borderId="9" xfId="0" applyFont="1" applyFill="1" applyBorder="1" applyAlignment="1">
      <alignment horizontal="center" vertical="center" wrapText="1"/>
    </xf>
    <xf numFmtId="0" fontId="56" fillId="27" borderId="9" xfId="0" applyFont="1" applyFill="1" applyBorder="1" applyAlignment="1">
      <alignment horizontal="center" vertical="center" wrapText="1"/>
    </xf>
    <xf numFmtId="0" fontId="42" fillId="0" borderId="9" xfId="0" applyFont="1" applyBorder="1" applyAlignment="1">
      <alignment horizontal="left"/>
    </xf>
    <xf numFmtId="187" fontId="31" fillId="0" borderId="0" xfId="0" applyNumberFormat="1" applyFont="1"/>
    <xf numFmtId="0" fontId="31" fillId="12" borderId="9" xfId="0" applyFont="1" applyFill="1" applyBorder="1" applyAlignment="1">
      <alignment horizontal="right" vertical="center"/>
    </xf>
    <xf numFmtId="0" fontId="31" fillId="12" borderId="9" xfId="0" applyFont="1" applyFill="1" applyBorder="1" applyAlignment="1">
      <alignment vertical="center"/>
    </xf>
    <xf numFmtId="0" fontId="31" fillId="12" borderId="9" xfId="0" applyFont="1" applyFill="1" applyBorder="1" applyAlignment="1">
      <alignment horizontal="center" vertical="center"/>
    </xf>
    <xf numFmtId="0" fontId="42" fillId="12" borderId="9" xfId="0" applyFont="1" applyFill="1" applyBorder="1" applyAlignment="1">
      <alignment horizontal="left"/>
    </xf>
    <xf numFmtId="185" fontId="31" fillId="12" borderId="9" xfId="48" applyNumberFormat="1" applyFont="1" applyFill="1" applyBorder="1" applyAlignment="1">
      <alignment horizontal="center" vertical="center"/>
    </xf>
    <xf numFmtId="14" fontId="42" fillId="12" borderId="9" xfId="77" applyNumberFormat="1" applyFont="1" applyFill="1" applyBorder="1" applyAlignment="1">
      <alignment horizontal="center"/>
    </xf>
    <xf numFmtId="14" fontId="42" fillId="12" borderId="9" xfId="0" applyNumberFormat="1" applyFont="1" applyFill="1" applyBorder="1" applyAlignment="1">
      <alignment horizontal="center"/>
    </xf>
    <xf numFmtId="14" fontId="31" fillId="12" borderId="9" xfId="0" applyNumberFormat="1" applyFont="1" applyFill="1" applyBorder="1" applyAlignment="1">
      <alignment horizontal="center" vertical="center"/>
    </xf>
    <xf numFmtId="14" fontId="42" fillId="0" borderId="9" xfId="77" applyNumberFormat="1" applyFont="1" applyBorder="1" applyAlignment="1">
      <alignment horizontal="center"/>
    </xf>
    <xf numFmtId="14" fontId="31" fillId="0" borderId="9" xfId="0" applyNumberFormat="1" applyFont="1" applyBorder="1" applyAlignment="1">
      <alignment horizontal="center" vertical="center"/>
    </xf>
    <xf numFmtId="168" fontId="31" fillId="12" borderId="9" xfId="20" applyFont="1" applyFill="1" applyBorder="1" applyAlignment="1">
      <alignment horizontal="center" vertical="center"/>
    </xf>
    <xf numFmtId="187" fontId="31" fillId="12" borderId="9" xfId="20" applyNumberFormat="1" applyFont="1" applyFill="1" applyBorder="1" applyAlignment="1">
      <alignment horizontal="center" vertical="center"/>
    </xf>
    <xf numFmtId="168" fontId="31" fillId="0" borderId="9" xfId="20" applyFont="1" applyBorder="1" applyAlignment="1">
      <alignment horizontal="center" vertical="center"/>
    </xf>
    <xf numFmtId="187" fontId="31" fillId="0" borderId="9" xfId="20" applyNumberFormat="1" applyFont="1" applyBorder="1" applyAlignment="1">
      <alignment horizontal="center" vertical="center"/>
    </xf>
    <xf numFmtId="0" fontId="42" fillId="12" borderId="9" xfId="0" applyFont="1" applyFill="1" applyBorder="1" applyAlignment="1">
      <alignment horizontal="center"/>
    </xf>
    <xf numFmtId="44" fontId="31" fillId="12" borderId="9" xfId="48" applyFont="1" applyFill="1" applyBorder="1" applyAlignment="1">
      <alignment horizontal="center" vertical="center"/>
    </xf>
    <xf numFmtId="186" fontId="31" fillId="0" borderId="9" xfId="20" applyNumberFormat="1" applyFont="1" applyBorder="1" applyAlignment="1">
      <alignment horizontal="center" vertical="center"/>
    </xf>
    <xf numFmtId="186" fontId="31" fillId="12" borderId="9" xfId="20" applyNumberFormat="1" applyFont="1" applyFill="1" applyBorder="1" applyAlignment="1">
      <alignment horizontal="center" vertical="center"/>
    </xf>
    <xf numFmtId="0" fontId="31" fillId="0" borderId="9" xfId="0" applyFont="1" applyBorder="1" applyAlignment="1">
      <alignment horizontal="left" vertical="center"/>
    </xf>
    <xf numFmtId="0" fontId="31" fillId="12" borderId="9" xfId="0" applyFont="1" applyFill="1" applyBorder="1" applyAlignment="1">
      <alignment horizontal="left" vertical="center"/>
    </xf>
    <xf numFmtId="0" fontId="32" fillId="0" borderId="0" xfId="30" applyFont="1" applyAlignment="1">
      <alignment vertical="center"/>
    </xf>
    <xf numFmtId="0" fontId="39" fillId="0" borderId="0" xfId="58" applyFont="1"/>
    <xf numFmtId="0" fontId="32" fillId="0" borderId="0" xfId="58" applyFont="1"/>
    <xf numFmtId="0" fontId="32" fillId="0" borderId="0" xfId="58" applyFont="1" applyAlignment="1">
      <alignment horizontal="center" vertical="center"/>
    </xf>
    <xf numFmtId="0" fontId="32" fillId="0" borderId="0" xfId="58" applyFont="1" applyAlignment="1">
      <alignment horizontal="center"/>
    </xf>
    <xf numFmtId="0" fontId="32" fillId="0" borderId="0" xfId="58" applyFont="1" applyAlignment="1">
      <alignment horizontal="left" indent="1"/>
    </xf>
    <xf numFmtId="0" fontId="39" fillId="0" borderId="0" xfId="58" applyFont="1" applyAlignment="1">
      <alignment horizontal="left" indent="1"/>
    </xf>
    <xf numFmtId="188" fontId="42" fillId="10" borderId="0" xfId="0" applyNumberFormat="1" applyFont="1" applyFill="1"/>
    <xf numFmtId="188" fontId="31" fillId="0" borderId="0" xfId="0" applyNumberFormat="1" applyFont="1" applyAlignment="1">
      <alignment horizontal="center" vertical="center"/>
    </xf>
    <xf numFmtId="0" fontId="30" fillId="27" borderId="10" xfId="0" applyFont="1" applyFill="1" applyBorder="1" applyAlignment="1">
      <alignment vertical="center" wrapText="1"/>
    </xf>
    <xf numFmtId="0" fontId="31" fillId="12" borderId="20" xfId="0" applyFont="1" applyFill="1" applyBorder="1" applyAlignment="1">
      <alignment horizontal="left" vertical="center"/>
    </xf>
    <xf numFmtId="0" fontId="31" fillId="12" borderId="10" xfId="0" applyFont="1" applyFill="1" applyBorder="1" applyAlignment="1">
      <alignment horizontal="left" vertical="center"/>
    </xf>
    <xf numFmtId="0" fontId="31" fillId="0" borderId="20" xfId="0" applyFont="1" applyBorder="1" applyAlignment="1">
      <alignment horizontal="left" vertical="center"/>
    </xf>
    <xf numFmtId="0" fontId="31" fillId="0" borderId="10" xfId="0" applyFont="1" applyBorder="1" applyAlignment="1">
      <alignment horizontal="left" vertical="center"/>
    </xf>
    <xf numFmtId="0" fontId="31" fillId="12" borderId="5" xfId="0" applyFont="1" applyFill="1" applyBorder="1" applyAlignment="1">
      <alignment horizontal="left" vertical="center"/>
    </xf>
    <xf numFmtId="0" fontId="39" fillId="0" borderId="0" xfId="30" applyFont="1" applyAlignment="1">
      <alignment horizontal="center" vertical="center" wrapText="1"/>
    </xf>
    <xf numFmtId="0" fontId="41" fillId="0" borderId="8" xfId="0" applyFont="1" applyBorder="1" applyAlignment="1">
      <alignment horizontal="left" vertical="center" wrapText="1"/>
    </xf>
    <xf numFmtId="0" fontId="41" fillId="0" borderId="11" xfId="0" applyFont="1" applyBorder="1" applyAlignment="1">
      <alignment horizontal="left" vertical="center" wrapText="1"/>
    </xf>
    <xf numFmtId="0" fontId="41" fillId="0" borderId="12" xfId="0" applyFont="1" applyBorder="1" applyAlignment="1">
      <alignment horizontal="left" vertical="center" wrapText="1"/>
    </xf>
    <xf numFmtId="0" fontId="41" fillId="0" borderId="20" xfId="0" applyFont="1" applyBorder="1" applyAlignment="1">
      <alignment horizontal="left" vertical="center" wrapText="1"/>
    </xf>
    <xf numFmtId="0" fontId="41" fillId="0" borderId="5" xfId="0" applyFont="1" applyBorder="1" applyAlignment="1">
      <alignment horizontal="left" vertical="center" wrapText="1"/>
    </xf>
    <xf numFmtId="0" fontId="41" fillId="0" borderId="10" xfId="0" applyFont="1" applyBorder="1" applyAlignment="1">
      <alignment horizontal="left" vertical="center" wrapText="1"/>
    </xf>
    <xf numFmtId="0" fontId="32" fillId="0" borderId="0" xfId="58" applyFont="1" applyAlignment="1">
      <alignment horizontal="left" wrapText="1"/>
    </xf>
    <xf numFmtId="0" fontId="56" fillId="27" borderId="8" xfId="58" applyFont="1" applyFill="1" applyBorder="1" applyAlignment="1">
      <alignment horizontal="center" vertical="center" wrapText="1"/>
    </xf>
    <xf numFmtId="0" fontId="56" fillId="27" borderId="19" xfId="58" applyFont="1" applyFill="1" applyBorder="1" applyAlignment="1">
      <alignment horizontal="center" vertical="center" wrapText="1"/>
    </xf>
    <xf numFmtId="0" fontId="56" fillId="27" borderId="12" xfId="58" applyFont="1" applyFill="1" applyBorder="1" applyAlignment="1">
      <alignment horizontal="center" vertical="center" wrapText="1"/>
    </xf>
    <xf numFmtId="0" fontId="56" fillId="27" borderId="13" xfId="58" applyFont="1" applyFill="1" applyBorder="1" applyAlignment="1">
      <alignment horizontal="center" vertical="center" wrapText="1"/>
    </xf>
    <xf numFmtId="0" fontId="32" fillId="0" borderId="0" xfId="58" applyFont="1" applyAlignment="1">
      <alignment horizontal="left"/>
    </xf>
    <xf numFmtId="0" fontId="45" fillId="17" borderId="9" xfId="0" applyFont="1" applyFill="1" applyBorder="1" applyAlignment="1">
      <alignment horizontal="center" wrapText="1"/>
    </xf>
    <xf numFmtId="0" fontId="45" fillId="14" borderId="9" xfId="0" applyFont="1" applyFill="1" applyBorder="1" applyAlignment="1">
      <alignment horizontal="center" wrapText="1"/>
    </xf>
    <xf numFmtId="0" fontId="46" fillId="18" borderId="9" xfId="0" applyFont="1" applyFill="1" applyBorder="1" applyAlignment="1">
      <alignment horizontal="center"/>
    </xf>
    <xf numFmtId="0" fontId="30" fillId="27" borderId="7" xfId="0" applyFont="1" applyFill="1" applyBorder="1" applyAlignment="1">
      <alignment horizontal="left" vertical="center" wrapText="1"/>
    </xf>
    <xf numFmtId="0" fontId="30" fillId="27" borderId="14" xfId="0" applyFont="1" applyFill="1" applyBorder="1" applyAlignment="1">
      <alignment horizontal="left" vertical="center" wrapText="1"/>
    </xf>
    <xf numFmtId="0" fontId="42" fillId="0" borderId="9" xfId="0" applyFont="1" applyBorder="1" applyAlignment="1">
      <alignment horizontal="left" vertical="center"/>
    </xf>
    <xf numFmtId="0" fontId="42" fillId="0" borderId="9" xfId="0" applyFont="1" applyBorder="1" applyAlignment="1">
      <alignment vertical="center"/>
    </xf>
    <xf numFmtId="0" fontId="49" fillId="0" borderId="0" xfId="30" applyFont="1" applyAlignment="1">
      <alignment horizontal="center" vertical="center"/>
    </xf>
    <xf numFmtId="0" fontId="51" fillId="11" borderId="9" xfId="0" applyFont="1" applyFill="1" applyBorder="1" applyAlignment="1">
      <alignment horizontal="center" vertical="center"/>
    </xf>
    <xf numFmtId="9" fontId="42" fillId="0" borderId="7" xfId="0" applyNumberFormat="1" applyFont="1" applyBorder="1" applyAlignment="1">
      <alignment horizontal="left" vertical="center" wrapText="1"/>
    </xf>
    <xf numFmtId="9" fontId="42" fillId="0" borderId="14" xfId="0" applyNumberFormat="1" applyFont="1" applyBorder="1" applyAlignment="1">
      <alignment horizontal="left" vertical="center" wrapText="1"/>
    </xf>
    <xf numFmtId="9" fontId="42" fillId="0" borderId="7" xfId="0" applyNumberFormat="1" applyFont="1" applyBorder="1" applyAlignment="1">
      <alignment horizontal="left" vertical="center"/>
    </xf>
    <xf numFmtId="9" fontId="42" fillId="0" borderId="4" xfId="0" applyNumberFormat="1" applyFont="1" applyBorder="1" applyAlignment="1">
      <alignment horizontal="left" vertical="center"/>
    </xf>
    <xf numFmtId="9" fontId="42" fillId="0" borderId="14" xfId="0" applyNumberFormat="1" applyFont="1" applyBorder="1" applyAlignment="1">
      <alignment horizontal="left" vertical="center"/>
    </xf>
    <xf numFmtId="0" fontId="42" fillId="0" borderId="7" xfId="0" applyFont="1" applyBorder="1" applyAlignment="1">
      <alignment horizontal="left" vertical="center"/>
    </xf>
    <xf numFmtId="0" fontId="42" fillId="0" borderId="14" xfId="0" applyFont="1" applyBorder="1" applyAlignment="1">
      <alignment horizontal="left" vertical="center"/>
    </xf>
    <xf numFmtId="0" fontId="41" fillId="0" borderId="9" xfId="30" applyFont="1" applyBorder="1" applyAlignment="1">
      <alignment horizontal="center" vertical="center"/>
    </xf>
    <xf numFmtId="0" fontId="43" fillId="27" borderId="7" xfId="0" applyFont="1" applyFill="1" applyBorder="1" applyAlignment="1">
      <alignment horizontal="center" vertical="center" wrapText="1"/>
    </xf>
    <xf numFmtId="0" fontId="43" fillId="27" borderId="14" xfId="0" applyFont="1" applyFill="1" applyBorder="1" applyAlignment="1">
      <alignment horizontal="center" vertical="center" wrapText="1"/>
    </xf>
    <xf numFmtId="0" fontId="51" fillId="11" borderId="7" xfId="0" applyFont="1" applyFill="1" applyBorder="1" applyAlignment="1">
      <alignment horizontal="left" vertical="center"/>
    </xf>
    <xf numFmtId="0" fontId="51" fillId="11" borderId="4" xfId="0" applyFont="1" applyFill="1" applyBorder="1" applyAlignment="1">
      <alignment horizontal="left" vertical="center"/>
    </xf>
    <xf numFmtId="0" fontId="51" fillId="11" borderId="14" xfId="0" applyFont="1" applyFill="1" applyBorder="1" applyAlignment="1">
      <alignment horizontal="left" vertical="center"/>
    </xf>
    <xf numFmtId="0" fontId="42" fillId="0" borderId="4" xfId="0" applyFont="1" applyBorder="1" applyAlignment="1">
      <alignment horizontal="left" vertical="center"/>
    </xf>
    <xf numFmtId="0" fontId="49" fillId="0" borderId="6" xfId="30" applyFont="1" applyBorder="1" applyAlignment="1">
      <alignment horizontal="center" vertical="center"/>
    </xf>
    <xf numFmtId="0" fontId="53" fillId="0" borderId="0" xfId="30" applyFont="1" applyAlignment="1">
      <alignment horizontal="left" vertical="center"/>
    </xf>
    <xf numFmtId="0" fontId="53" fillId="0" borderId="0" xfId="30" applyFont="1" applyAlignment="1">
      <alignment horizontal="center" vertical="center"/>
    </xf>
    <xf numFmtId="0" fontId="41" fillId="11" borderId="7" xfId="0" applyFont="1" applyFill="1" applyBorder="1" applyAlignment="1">
      <alignment horizontal="center" vertical="center"/>
    </xf>
    <xf numFmtId="0" fontId="41" fillId="11" borderId="4" xfId="0" applyFont="1" applyFill="1" applyBorder="1" applyAlignment="1">
      <alignment horizontal="center" vertical="center"/>
    </xf>
    <xf numFmtId="0" fontId="41" fillId="11" borderId="14" xfId="0" applyFont="1" applyFill="1" applyBorder="1" applyAlignment="1">
      <alignment horizontal="center" vertical="center"/>
    </xf>
    <xf numFmtId="0" fontId="41" fillId="12" borderId="8" xfId="0" applyFont="1" applyFill="1" applyBorder="1" applyAlignment="1">
      <alignment horizontal="center" vertical="center"/>
    </xf>
    <xf numFmtId="0" fontId="41" fillId="12" borderId="18" xfId="0" applyFont="1" applyFill="1" applyBorder="1" applyAlignment="1">
      <alignment horizontal="center" vertical="center"/>
    </xf>
    <xf numFmtId="0" fontId="41" fillId="12" borderId="19" xfId="0" applyFont="1" applyFill="1" applyBorder="1" applyAlignment="1">
      <alignment horizontal="center" vertical="center"/>
    </xf>
    <xf numFmtId="0" fontId="41" fillId="11" borderId="8" xfId="0" applyFont="1" applyFill="1" applyBorder="1" applyAlignment="1">
      <alignment horizontal="center" vertical="center"/>
    </xf>
    <xf numFmtId="0" fontId="41" fillId="11" borderId="18" xfId="0" applyFont="1" applyFill="1" applyBorder="1" applyAlignment="1">
      <alignment horizontal="center" vertical="center"/>
    </xf>
    <xf numFmtId="0" fontId="41" fillId="11" borderId="19" xfId="0" applyFont="1" applyFill="1" applyBorder="1" applyAlignment="1">
      <alignment horizontal="center" vertical="center"/>
    </xf>
    <xf numFmtId="0" fontId="30" fillId="15" borderId="9" xfId="0" applyFont="1" applyFill="1" applyBorder="1" applyAlignment="1">
      <alignment horizontal="center" vertical="center" wrapText="1"/>
    </xf>
    <xf numFmtId="0" fontId="30" fillId="16" borderId="9" xfId="0" applyFont="1" applyFill="1" applyBorder="1" applyAlignment="1">
      <alignment horizontal="center" vertical="center" wrapText="1"/>
    </xf>
    <xf numFmtId="0" fontId="41" fillId="17" borderId="9" xfId="0" applyFont="1" applyFill="1" applyBorder="1" applyAlignment="1">
      <alignment horizontal="center" wrapText="1"/>
    </xf>
    <xf numFmtId="0" fontId="41" fillId="14" borderId="9" xfId="0" applyFont="1" applyFill="1" applyBorder="1" applyAlignment="1">
      <alignment horizontal="center" wrapText="1"/>
    </xf>
    <xf numFmtId="0" fontId="41" fillId="18" borderId="9" xfId="0" applyFont="1" applyFill="1" applyBorder="1" applyAlignment="1">
      <alignment horizontal="center" wrapText="1"/>
    </xf>
    <xf numFmtId="4" fontId="42" fillId="0" borderId="9" xfId="0" applyNumberFormat="1" applyFont="1" applyBorder="1" applyAlignment="1">
      <alignment horizontal="center" vertical="center"/>
    </xf>
    <xf numFmtId="0" fontId="42" fillId="0" borderId="8" xfId="0" applyFont="1" applyBorder="1" applyAlignment="1">
      <alignment horizontal="center" vertical="center" textRotation="90"/>
    </xf>
    <xf numFmtId="0" fontId="42" fillId="0" borderId="11" xfId="0" applyFont="1" applyBorder="1" applyAlignment="1">
      <alignment horizontal="center" vertical="center" textRotation="90"/>
    </xf>
    <xf numFmtId="0" fontId="42" fillId="0" borderId="12" xfId="0" applyFont="1" applyBorder="1" applyAlignment="1">
      <alignment horizontal="center" vertical="center" textRotation="90"/>
    </xf>
    <xf numFmtId="0" fontId="42" fillId="0" borderId="8" xfId="0" applyFont="1" applyBorder="1" applyAlignment="1">
      <alignment horizontal="center" vertical="center" textRotation="90" wrapText="1"/>
    </xf>
    <xf numFmtId="0" fontId="42" fillId="0" borderId="11" xfId="0" applyFont="1" applyBorder="1" applyAlignment="1">
      <alignment horizontal="center" vertical="center" textRotation="90" wrapText="1"/>
    </xf>
    <xf numFmtId="0" fontId="42" fillId="0" borderId="12" xfId="0" applyFont="1" applyBorder="1" applyAlignment="1">
      <alignment horizontal="center" vertical="center" textRotation="90" wrapText="1"/>
    </xf>
    <xf numFmtId="0" fontId="32" fillId="0" borderId="0" xfId="0" applyFont="1" applyAlignment="1">
      <alignment horizontal="left" wrapText="1"/>
    </xf>
    <xf numFmtId="0" fontId="32" fillId="0" borderId="22" xfId="0" applyFont="1" applyBorder="1" applyAlignment="1">
      <alignment horizontal="left" wrapText="1"/>
    </xf>
    <xf numFmtId="0" fontId="32" fillId="0" borderId="0" xfId="0" applyFont="1" applyAlignment="1">
      <alignment horizontal="left"/>
    </xf>
    <xf numFmtId="0" fontId="32" fillId="0" borderId="22" xfId="0" applyFont="1" applyBorder="1" applyAlignment="1">
      <alignment horizontal="left"/>
    </xf>
    <xf numFmtId="0" fontId="32" fillId="0" borderId="27" xfId="0" applyFont="1" applyBorder="1" applyAlignment="1">
      <alignment horizontal="left"/>
    </xf>
    <xf numFmtId="0" fontId="32" fillId="0" borderId="28" xfId="0" applyFont="1" applyBorder="1" applyAlignment="1">
      <alignment horizontal="left"/>
    </xf>
    <xf numFmtId="0" fontId="30" fillId="27" borderId="7" xfId="0" applyFont="1" applyFill="1" applyBorder="1" applyAlignment="1">
      <alignment horizontal="center" vertical="center" wrapText="1"/>
    </xf>
    <xf numFmtId="0" fontId="30" fillId="27" borderId="14" xfId="0" applyFont="1" applyFill="1" applyBorder="1" applyAlignment="1">
      <alignment horizontal="center" vertical="center" wrapText="1"/>
    </xf>
    <xf numFmtId="170" fontId="42" fillId="5" borderId="9" xfId="0" applyNumberFormat="1" applyFont="1" applyFill="1" applyBorder="1" applyAlignment="1" applyProtection="1">
      <alignment horizontal="center" vertical="center"/>
      <protection locked="0" hidden="1"/>
    </xf>
    <xf numFmtId="164" fontId="42" fillId="5" borderId="9" xfId="0" applyNumberFormat="1" applyFont="1" applyFill="1" applyBorder="1" applyAlignment="1" applyProtection="1">
      <alignment horizontal="left" vertical="center"/>
      <protection locked="0" hidden="1"/>
    </xf>
    <xf numFmtId="10" fontId="42" fillId="5" borderId="9" xfId="0" applyNumberFormat="1" applyFont="1" applyFill="1" applyBorder="1" applyAlignment="1" applyProtection="1">
      <alignment horizontal="center" vertical="center"/>
      <protection locked="0" hidden="1"/>
    </xf>
    <xf numFmtId="10" fontId="42" fillId="5" borderId="7" xfId="0" applyNumberFormat="1" applyFont="1" applyFill="1" applyBorder="1" applyAlignment="1" applyProtection="1">
      <alignment horizontal="left" vertical="center"/>
      <protection locked="0" hidden="1"/>
    </xf>
    <xf numFmtId="10" fontId="42" fillId="5" borderId="14" xfId="0" applyNumberFormat="1" applyFont="1" applyFill="1" applyBorder="1" applyAlignment="1" applyProtection="1">
      <alignment horizontal="left" vertical="center"/>
      <protection locked="0" hidden="1"/>
    </xf>
    <xf numFmtId="170" fontId="42" fillId="5" borderId="9" xfId="0" applyNumberFormat="1" applyFont="1" applyFill="1" applyBorder="1" applyAlignment="1" applyProtection="1">
      <alignment horizontal="center" vertical="center"/>
      <protection locked="0" hidden="1"/>
    </xf>
    <xf numFmtId="10" fontId="42" fillId="5" borderId="4" xfId="0" applyNumberFormat="1" applyFont="1" applyFill="1" applyBorder="1" applyAlignment="1" applyProtection="1">
      <alignment horizontal="left" vertical="center"/>
      <protection locked="0" hidden="1"/>
    </xf>
    <xf numFmtId="44" fontId="42" fillId="5" borderId="9" xfId="48" applyFont="1" applyFill="1" applyBorder="1" applyAlignment="1" applyProtection="1">
      <alignment horizontal="center" vertical="center"/>
      <protection locked="0" hidden="1"/>
    </xf>
    <xf numFmtId="170" fontId="41" fillId="5" borderId="7" xfId="0" applyNumberFormat="1" applyFont="1" applyFill="1" applyBorder="1" applyAlignment="1" applyProtection="1">
      <alignment horizontal="center" vertical="center"/>
      <protection locked="0" hidden="1"/>
    </xf>
    <xf numFmtId="170" fontId="42" fillId="5" borderId="4" xfId="0" applyNumberFormat="1" applyFont="1" applyFill="1" applyBorder="1" applyAlignment="1" applyProtection="1">
      <alignment horizontal="center" vertical="center"/>
      <protection locked="0" hidden="1"/>
    </xf>
    <xf numFmtId="183" fontId="41" fillId="5" borderId="17" xfId="38" applyNumberFormat="1" applyFont="1" applyFill="1" applyBorder="1" applyAlignment="1" applyProtection="1">
      <alignment horizontal="center" vertical="center"/>
      <protection locked="0" hidden="1"/>
    </xf>
    <xf numFmtId="1" fontId="41" fillId="5" borderId="0" xfId="0" applyNumberFormat="1" applyFont="1" applyFill="1" applyAlignment="1" applyProtection="1">
      <alignment horizontal="center" vertical="center"/>
      <protection locked="0" hidden="1"/>
    </xf>
    <xf numFmtId="9" fontId="41" fillId="5" borderId="0" xfId="44" applyFont="1" applyFill="1" applyAlignment="1" applyProtection="1">
      <alignment horizontal="center" vertical="center"/>
      <protection locked="0" hidden="1"/>
    </xf>
    <xf numFmtId="9" fontId="41" fillId="5" borderId="0" xfId="38" applyFont="1" applyFill="1" applyAlignment="1" applyProtection="1">
      <alignment horizontal="center" vertical="center"/>
      <protection locked="0" hidden="1"/>
    </xf>
    <xf numFmtId="170" fontId="41" fillId="5" borderId="9" xfId="0" applyNumberFormat="1" applyFont="1" applyFill="1" applyBorder="1" applyAlignment="1" applyProtection="1">
      <alignment horizontal="center" vertical="center"/>
      <protection locked="0" hidden="1"/>
    </xf>
    <xf numFmtId="164" fontId="31" fillId="5" borderId="0" xfId="0" applyNumberFormat="1" applyFont="1" applyFill="1" applyAlignment="1" applyProtection="1">
      <alignment horizontal="center" vertical="center"/>
      <protection locked="0" hidden="1"/>
    </xf>
    <xf numFmtId="170" fontId="41" fillId="5" borderId="4" xfId="0" applyNumberFormat="1" applyFont="1" applyFill="1" applyBorder="1" applyAlignment="1" applyProtection="1">
      <alignment horizontal="center" vertical="center"/>
      <protection locked="0" hidden="1"/>
    </xf>
    <xf numFmtId="170" fontId="41" fillId="5" borderId="14" xfId="0" applyNumberFormat="1" applyFont="1" applyFill="1" applyBorder="1" applyAlignment="1" applyProtection="1">
      <alignment horizontal="center" vertical="center"/>
      <protection locked="0" hidden="1"/>
    </xf>
    <xf numFmtId="0" fontId="31" fillId="5" borderId="0" xfId="0" applyFont="1" applyFill="1" applyAlignment="1" applyProtection="1">
      <alignment horizontal="center" vertical="center"/>
      <protection locked="0" hidden="1"/>
    </xf>
    <xf numFmtId="0" fontId="42" fillId="5" borderId="0" xfId="0" applyFont="1" applyFill="1" applyAlignment="1" applyProtection="1">
      <alignment horizontal="center" vertical="center"/>
      <protection locked="0" hidden="1"/>
    </xf>
    <xf numFmtId="164" fontId="31" fillId="28" borderId="0" xfId="0" applyNumberFormat="1" applyFont="1" applyFill="1" applyAlignment="1" applyProtection="1">
      <alignment horizontal="center" vertical="center"/>
      <protection locked="0" hidden="1"/>
    </xf>
    <xf numFmtId="170" fontId="42" fillId="5" borderId="7" xfId="0" applyNumberFormat="1" applyFont="1" applyFill="1" applyBorder="1" applyAlignment="1" applyProtection="1">
      <alignment horizontal="center" vertical="center"/>
      <protection locked="0" hidden="1"/>
    </xf>
    <xf numFmtId="170" fontId="42" fillId="5" borderId="14" xfId="0" applyNumberFormat="1" applyFont="1" applyFill="1" applyBorder="1" applyAlignment="1" applyProtection="1">
      <alignment horizontal="center" vertical="center"/>
      <protection locked="0" hidden="1"/>
    </xf>
    <xf numFmtId="173" fontId="42" fillId="5" borderId="0" xfId="0" applyNumberFormat="1" applyFont="1" applyFill="1" applyAlignment="1" applyProtection="1">
      <alignment vertical="center"/>
      <protection locked="0" hidden="1"/>
    </xf>
    <xf numFmtId="49" fontId="42" fillId="25" borderId="7" xfId="0" applyNumberFormat="1" applyFont="1" applyFill="1" applyBorder="1" applyAlignment="1" applyProtection="1">
      <alignment horizontal="center" vertical="center"/>
      <protection locked="0" hidden="1"/>
    </xf>
    <xf numFmtId="49" fontId="42" fillId="25" borderId="4" xfId="0" applyNumberFormat="1" applyFont="1" applyFill="1" applyBorder="1" applyAlignment="1" applyProtection="1">
      <alignment horizontal="center" vertical="center"/>
      <protection locked="0" hidden="1"/>
    </xf>
    <xf numFmtId="49" fontId="42" fillId="25" borderId="14" xfId="0" applyNumberFormat="1" applyFont="1" applyFill="1" applyBorder="1" applyAlignment="1" applyProtection="1">
      <alignment horizontal="center" vertical="center"/>
      <protection locked="0" hidden="1"/>
    </xf>
    <xf numFmtId="49" fontId="42" fillId="26" borderId="7" xfId="0" applyNumberFormat="1" applyFont="1" applyFill="1" applyBorder="1" applyAlignment="1" applyProtection="1">
      <alignment horizontal="center" vertical="center"/>
      <protection locked="0" hidden="1"/>
    </xf>
    <xf numFmtId="49" fontId="42" fillId="26" borderId="14" xfId="0" applyNumberFormat="1" applyFont="1" applyFill="1" applyBorder="1" applyAlignment="1" applyProtection="1">
      <alignment horizontal="center" vertical="center"/>
      <protection locked="0" hidden="1"/>
    </xf>
    <xf numFmtId="49" fontId="42" fillId="26" borderId="4" xfId="0" applyNumberFormat="1" applyFont="1" applyFill="1" applyBorder="1" applyAlignment="1" applyProtection="1">
      <alignment horizontal="center" vertical="center"/>
      <protection locked="0" hidden="1"/>
    </xf>
    <xf numFmtId="0" fontId="42" fillId="26" borderId="7" xfId="0" applyFont="1" applyFill="1" applyBorder="1" applyAlignment="1" applyProtection="1">
      <alignment horizontal="center" vertical="center"/>
      <protection locked="0" hidden="1"/>
    </xf>
    <xf numFmtId="0" fontId="42" fillId="26" borderId="4" xfId="0" applyFont="1" applyFill="1" applyBorder="1" applyAlignment="1" applyProtection="1">
      <alignment horizontal="center" vertical="center"/>
      <protection locked="0" hidden="1"/>
    </xf>
    <xf numFmtId="0" fontId="42" fillId="26" borderId="14" xfId="0" applyFont="1" applyFill="1" applyBorder="1" applyAlignment="1" applyProtection="1">
      <alignment horizontal="center" vertical="center"/>
      <protection locked="0" hidden="1"/>
    </xf>
  </cellXfs>
  <cellStyles count="78">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Normal 2" xfId="77" xr:uid="{33ABCA82-7AB0-4E9C-9887-9E6576D54843}"/>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28">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indexed="64"/>
          <bgColor rgb="FF00FF00"/>
        </patternFill>
      </fill>
      <alignment horizontal="left"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protection locked="0" hidden="1"/>
    </dxf>
    <dxf>
      <font>
        <color rgb="FF9C0006"/>
      </font>
      <fill>
        <patternFill>
          <bgColor rgb="FFFFC7CE"/>
        </patternFill>
      </fill>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ptos"/>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dxf>
    <dxf>
      <border outline="0">
        <top style="thin">
          <color indexed="64"/>
        </top>
        <bottom style="thin">
          <color indexed="64"/>
        </bottom>
      </border>
    </dxf>
    <dxf>
      <font>
        <strike val="0"/>
        <outline val="0"/>
        <shadow val="0"/>
        <vertAlign val="baseline"/>
        <name val="Aptos"/>
        <family val="2"/>
        <scheme val="none"/>
      </font>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ptos"/>
        <family val="2"/>
        <scheme val="none"/>
      </font>
      <numFmt numFmtId="188"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8"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88"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8"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8" formatCode="#.##000"/>
      <fill>
        <patternFill patternType="solid">
          <fgColor theme="4" tint="0.59999389629810485"/>
          <bgColor theme="0" tint="-0.249977111117893"/>
        </patternFill>
      </fill>
    </dxf>
    <dxf>
      <font>
        <b val="0"/>
        <i val="0"/>
        <strike val="0"/>
        <condense val="0"/>
        <extend val="0"/>
        <outline val="0"/>
        <shadow val="0"/>
        <u val="none"/>
        <vertAlign val="baseline"/>
        <sz val="9"/>
        <color theme="1"/>
        <name val="Aptos"/>
        <family val="2"/>
        <scheme val="none"/>
      </font>
      <numFmt numFmtId="188" formatCode="#.##000"/>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vertAlign val="baseline"/>
        <name val="Aptos"/>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8" formatCode="#.##000"/>
      <fill>
        <patternFill patternType="solid">
          <fgColor theme="4" tint="0.79998168889431442"/>
          <bgColor theme="0" tint="-0.249977111117893"/>
        </patternFill>
      </fill>
    </dxf>
    <dxf>
      <font>
        <b val="0"/>
        <i val="0"/>
        <strike val="0"/>
        <condense val="0"/>
        <extend val="0"/>
        <outline val="0"/>
        <shadow val="0"/>
        <u val="none"/>
        <vertAlign val="baseline"/>
        <sz val="9"/>
        <color theme="1"/>
        <name val="Aptos"/>
        <family val="2"/>
        <scheme val="none"/>
      </font>
      <numFmt numFmtId="188" formatCode="#.##000"/>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strike val="0"/>
        <outline val="0"/>
        <shadow val="0"/>
        <u val="none"/>
        <vertAlign val="baseline"/>
        <sz val="9"/>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numFmt numFmtId="188"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8" formatCode="#.##000"/>
      <fill>
        <patternFill patternType="none">
          <fgColor indexed="64"/>
          <bgColor auto="1"/>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outline="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outline="0">
        <right style="thin">
          <color theme="0"/>
        </right>
      </border>
    </dxf>
    <dxf>
      <font>
        <strike val="0"/>
        <outline val="0"/>
        <shadow val="0"/>
        <u val="none"/>
        <vertAlign val="baseline"/>
        <sz val="9"/>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9"/>
        <name val="Aptos"/>
        <family val="2"/>
        <scheme val="none"/>
      </font>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outline="0">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border outline="0">
        <right style="thin">
          <color theme="0"/>
        </right>
      </border>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0"/>
        <name val="Aptos"/>
        <family val="2"/>
        <scheme val="none"/>
      </font>
      <fill>
        <patternFill patternType="solid">
          <fgColor indexed="64"/>
          <bgColor rgb="FF2B415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27" dataDxfId="325" headerRowBorderDxfId="326" tableBorderDxfId="324" totalsRowBorderDxfId="323">
  <autoFilter ref="A3:Y1101" xr:uid="{EFA13895-E364-4C8A-AA8D-12C726A7AC31}"/>
  <tableColumns count="25">
    <tableColumn id="1" xr3:uid="{6B145318-7F04-4B27-80E3-EDDB80D8AA5F}" name="Code" dataDxfId="322"/>
    <tableColumn id="2" xr3:uid="{A3A88513-89B7-4FB7-9DB5-CF77936D6328}" name="Locatie" dataDxfId="321"/>
    <tableColumn id="3" xr3:uid="{962D7CAE-D138-4226-9114-7A665E66FE09}" name="Frequentie" dataDxfId="320"/>
    <tableColumn id="4" xr3:uid="{02A05A85-F557-4E8F-81CA-782514C3EB0B}" name="Frequentieomschrijving" dataDxfId="319"/>
    <tableColumn id="5" xr3:uid="{3D41A4F3-0BA0-4F3A-8059-E98FA4296AD9}" name="Vloercode" dataDxfId="318"/>
    <tableColumn id="6" xr3:uid="{9F60BC29-F803-467C-9E8A-B9FD3FAED5FC}" name="Code2" dataDxfId="317"/>
    <tableColumn id="7" xr3:uid="{624EFF30-884A-4A63-9192-06AA3C4453EA}" name="vl1" dataDxfId="316"/>
    <tableColumn id="8" xr3:uid="{C944B72C-E6D7-4E79-85F6-914704F2E65C}" name="vl2" dataDxfId="315"/>
    <tableColumn id="9" xr3:uid="{D65DE689-F9B8-430B-B34E-7DF95793D674}" name="vl3" dataDxfId="314"/>
    <tableColumn id="10" xr3:uid="{43A4B773-0F96-4280-9C3F-EAF80A14A709}" name="vl4" dataDxfId="313"/>
    <tableColumn id="11" xr3:uid="{380012B2-3312-431D-8946-41856C56FB2C}" name="vl5" dataDxfId="312"/>
    <tableColumn id="12" xr3:uid="{2B1C9BF4-8C96-4C73-984A-DE131A286832}" name="vl6" dataDxfId="311"/>
    <tableColumn id="13" xr3:uid="{B5514BB9-74E0-4ABE-9E20-CCE23D228131}" name="vl7" dataDxfId="310"/>
    <tableColumn id="14" xr3:uid="{F791ACCD-A47B-41ED-BECD-6641D8F9B18D}" name="vnl" dataDxfId="309"/>
    <tableColumn id="15" xr3:uid="{20BAF86F-0248-4538-95CC-65053CB39BEF}" name="i8" dataDxfId="308"/>
    <tableColumn id="16" xr3:uid="{678C2240-F553-40F8-8F75-1C080929C9FC}" name="i9" dataDxfId="307"/>
    <tableColumn id="17" xr3:uid="{C2F746AF-E6E8-4646-8431-CFDAE0006C0B}" name="i10" dataDxfId="306"/>
    <tableColumn id="18" xr3:uid="{87F5E1E5-AB4E-4E20-BA95-D8FB4BB75EC7}" name="i11" dataDxfId="305"/>
    <tableColumn id="19" xr3:uid="{9C49B827-4B78-47E3-AF74-E39A99170859}" name="i12" dataDxfId="304"/>
    <tableColumn id="20" xr3:uid="{52B1AE75-DD29-4ADA-956E-361F983699DB}" name="i13" dataDxfId="303"/>
    <tableColumn id="21" xr3:uid="{9EF47AA6-0AC0-40A4-BB2C-B58ABE40EEF2}" name="i14" dataDxfId="302"/>
    <tableColumn id="22" xr3:uid="{5E7A7D3D-FCD2-4FB4-BE26-536C0F75A359}" name="inl" dataDxfId="301"/>
    <tableColumn id="23" xr3:uid="{4FDE95B9-743A-4E1C-BBAB-5F5DE7DAE90F}" name="s15" dataDxfId="300"/>
    <tableColumn id="24" xr3:uid="{F08AC32D-BF76-4C5E-A2C7-ABF0B3ADEC32}" name="s16" dataDxfId="299"/>
    <tableColumn id="25" xr3:uid="{F5AC86BA-6517-4B7E-AA9D-85C454384A01}" name="snl" dataDxfId="298"/>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112" totalsRowCount="1" headerRowDxfId="120" dataDxfId="118" totalsRowDxfId="117" headerRowBorderDxfId="119">
  <autoFilter ref="A21:I111" xr:uid="{00000000-0009-0000-0100-000004000000}"/>
  <sortState xmlns:xlrd2="http://schemas.microsoft.com/office/spreadsheetml/2017/richdata2" ref="A22:G26">
    <sortCondition ref="A22:A26"/>
  </sortState>
  <tableColumns count="9">
    <tableColumn id="1" xr3:uid="{00000000-0010-0000-0600-000001000000}" name="Code Locatie" totalsRowLabel="Totaal" dataDxfId="116" totalsRowDxfId="115"/>
    <tableColumn id="2" xr3:uid="{00000000-0010-0000-0600-000002000000}" name="Locatie" dataDxfId="114" totalsRowDxfId="113">
      <calculatedColumnFormula>VLOOKUP(OverzichtGlas[[#This Row],[Code Locatie]],Totalisatie!$A$7:$B$24,2,FALSE)</calculatedColumnFormula>
    </tableColumn>
    <tableColumn id="3" xr3:uid="{00000000-0010-0000-0600-000003000000}" name="Code taak" dataDxfId="112" totalsRowDxfId="111"/>
    <tableColumn id="4" xr3:uid="{00000000-0010-0000-0600-000004000000}" name="Glassoort/voorziening" dataDxfId="110" totalsRowDxfId="109">
      <calculatedColumnFormula>IF(Glasbewassing!$C22&gt;0,VLOOKUP(Glasbewassing!$C22,$A$8:$B$19,2,FALSE),"Hier vult u de inzet van eventuele hoogwerkers in")</calculatedColumnFormula>
    </tableColumn>
    <tableColumn id="5" xr3:uid="{00000000-0010-0000-0600-000005000000}" name="Oppervlakte of dagen" dataDxfId="108" totalsRowDxfId="107"/>
    <tableColumn id="7" xr3:uid="{00000000-0010-0000-0600-000007000000}" name="Frequentie" dataDxfId="106" totalsRowDxfId="105"/>
    <tableColumn id="8" xr3:uid="{00000000-0010-0000-0600-000008000000}" name="Kosten/jaar excl. BTW" totalsRowFunction="sum" dataDxfId="104" totalsRowDxfId="103">
      <calculatedColumnFormula>IF(C22&gt;0,VLOOKUP(OverzichtGlas[[#This Row],[Code taak]],InvulGlas[],3,0)*E22*F22,0)</calculatedColumnFormula>
    </tableColumn>
    <tableColumn id="9" xr3:uid="{C6828B68-C5ED-4DD8-81B9-05DF00D6C1BD}" name="Kosten/jaar incl. BTW" totalsRowFunction="sum" dataDxfId="102" totalsRowDxfId="101">
      <calculatedColumnFormula>OverzichtGlas[[#This Row],[Kosten/jaar excl. BTW]]*1.21</calculatedColumnFormula>
    </tableColumn>
    <tableColumn id="10" xr3:uid="{281CE6AA-F18D-4D78-892B-498ACB4CB3F2}" name="Opmerkingen" dataDxfId="100" totalsRowDxfId="99"/>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DB9578-714A-48DF-BAEF-79307E09FE9A}" name="Invulextrawerkz" displayName="Invulextrawerkz" ref="A8:I11" totalsRowShown="0" headerRowDxfId="98" dataDxfId="96" headerRowBorderDxfId="97">
  <autoFilter ref="A8:I11" xr:uid="{A588C5F6-B106-46F9-B98B-C593A09DB2A3}"/>
  <tableColumns count="9">
    <tableColumn id="1" xr3:uid="{22B850F0-AE08-4CE3-9B2D-04E6314FD547}" name="Code Taak" dataDxfId="95"/>
    <tableColumn id="2" xr3:uid="{6412DB2E-0333-47D7-AB1A-EA797FE96A5D}" name="Werkzaamheden" dataDxfId="2"/>
    <tableColumn id="3" xr3:uid="{8AAD7C70-4047-4EB3-A9DF-188E4E2089BC}" name="Prijs_x000a_Excl. BTW" dataDxfId="0"/>
    <tableColumn id="4" xr3:uid="{1CA4AC32-87D6-4484-8912-27D47F4EAAF7}" name="Toelichting" dataDxfId="1"/>
    <tableColumn id="5" xr3:uid="{BE52F369-C5C3-4A71-8D70-B7E0ACF04F24}" name="2027" dataDxfId="94" dataCellStyle="Valuta">
      <calculatedColumnFormula>(Invulextrawerkz[[#This Row],[Prijs
Excl. BTW]]*Tariefsopbouw!$I$37)+Invulextrawerkz[[#This Row],[Prijs
Excl. BTW]]</calculatedColumnFormula>
    </tableColumn>
    <tableColumn id="6" xr3:uid="{046CD56D-41E8-4E69-876C-FF09421E56AF}" name="2028" dataDxfId="93" dataCellStyle="Valuta">
      <calculatedColumnFormula>Invulextrawerkz[[#This Row],[2027]]*Tariefsopbouw!$K$37+Invulextrawerkz[[#This Row],[2027]]</calculatedColumnFormula>
    </tableColumn>
    <tableColumn id="7" xr3:uid="{AF2B5E6B-A19D-4429-8D14-84B8E528B026}" name="2029" dataDxfId="92" dataCellStyle="Valuta">
      <calculatedColumnFormula>Invulextrawerkz[[#This Row],[2028]]*Tariefsopbouw!$M$37+Invulextrawerkz[[#This Row],[2028]]</calculatedColumnFormula>
    </tableColumn>
    <tableColumn id="8" xr3:uid="{69208AF1-447E-49EB-8803-78C4123AE3E9}" name="2030" dataDxfId="91" dataCellStyle="Valuta">
      <calculatedColumnFormula>Invulextrawerkz[[#This Row],[2029]]*Tariefsopbouw!$O$37+Invulextrawerkz[[#This Row],[2029]]</calculatedColumnFormula>
    </tableColumn>
    <tableColumn id="9" xr3:uid="{E25B61B0-84BE-4386-B6FA-D50084DDD0DC}" name="2031" dataDxfId="90" dataCellStyle="Valuta">
      <calculatedColumnFormula>Invulextrawerkz[[#This Row],[2030]]*Tariefsopbouw!$Q$37+Invulextrawerkz[[#This Row],[2030]]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E09BA18-8EEA-4E62-AF63-DC85F042CD41}" name="Overzichtextrawerkz." displayName="Overzichtextrawerkz." ref="A14:J24" totalsRowCount="1" headerRowDxfId="89" dataDxfId="87" totalsRowDxfId="86" headerRowBorderDxfId="88">
  <autoFilter ref="A14:J23" xr:uid="{B3DABFDF-61AB-4C78-A962-F8CAE07529D2}"/>
  <tableColumns count="10">
    <tableColumn id="11" xr3:uid="{FED34620-6CE0-4955-8DDC-285BD6540A10}" name="Code Locatie" dataDxfId="85" totalsRowDxfId="84"/>
    <tableColumn id="1" xr3:uid="{38A9D2E6-7E84-4572-8661-1EA1E213D2FD}" name="Locatie" totalsRowLabel="Totaal" dataDxfId="83" totalsRowDxfId="82"/>
    <tableColumn id="3" xr3:uid="{65AA2A4E-FC38-4AA7-9EDE-EA1292669AD6}" name="Code Taak" dataDxfId="81" totalsRowDxfId="80"/>
    <tableColumn id="4" xr3:uid="{4538BE92-6D95-4430-BD90-4F27BD6C1025}" name="Werkzaamheden" dataDxfId="79" totalsRowDxfId="78">
      <calculatedColumnFormula>IF(#REF!&gt;0,VLOOKUP(#REF!,$A$8:$B$11,2,FALSE),"")</calculatedColumnFormula>
    </tableColumn>
    <tableColumn id="6" xr3:uid="{6B6E2754-DCC5-4C0C-89CF-D088B3C5F0F4}" name="Uren / eenheid" dataDxfId="77" totalsRowDxfId="76"/>
    <tableColumn id="8" xr3:uid="{4862230C-3525-4D32-9FDD-2ADF1DC2DED5}" name="Frequentie (uitv./jaar)" dataDxfId="75" totalsRowDxfId="74"/>
    <tableColumn id="9" xr3:uid="{3AF652DD-830E-4C84-ACC3-83DF08C65F3F}" name="Kosten/jaar excl. BTW" totalsRowFunction="sum" dataDxfId="73" totalsRowDxfId="72">
      <calculatedColumnFormula>VLOOKUP(Overzichtextrawerkz.[[#This Row],[Code Taak]],Invulextrawerkz[],3,3)*E15*F15</calculatedColumnFormula>
    </tableColumn>
    <tableColumn id="10" xr3:uid="{DD2F212C-5755-442B-B448-ACDA43EBEDAE}" name="Kosten/jaar incl. BTW" totalsRowFunction="sum" dataDxfId="71" totalsRowDxfId="70">
      <calculatedColumnFormula>Overzichtextrawerkz.[[#This Row],[Kosten/jaar excl. BTW]]*1.21</calculatedColumnFormula>
    </tableColumn>
    <tableColumn id="2" xr3:uid="{0B8D54BE-7897-4029-AD9A-C3F53F7EE141}" name="Aantal weken" dataDxfId="69" totalsRowDxfId="68"/>
    <tableColumn id="5" xr3:uid="{0A097E1C-BE8D-441F-9561-150F398B60EC}" name="Te factureren aan" dataDxfId="67" totalsRowDxfId="66"/>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65" dataDxfId="63" totalsRowDxfId="62" headerRowBorderDxfId="64">
  <autoFilter ref="B8:I36" xr:uid="{00000000-0009-0000-0100-00000B000000}"/>
  <tableColumns count="8">
    <tableColumn id="1" xr3:uid="{00000000-0010-0000-0B00-000001000000}" name="Werkzaamheid" totalsRowLabel="Totaal" dataDxfId="61" totalsRowDxfId="60"/>
    <tableColumn id="2" xr3:uid="{00000000-0010-0000-0B00-000002000000}" name="Eenheid" dataDxfId="59" totalsRowDxfId="58"/>
    <tableColumn id="3" xr3:uid="{00000000-0010-0000-0B00-000003000000}" name="Prijs excl. BTW" dataDxfId="57" totalsRowDxfId="56"/>
    <tableColumn id="4" xr3:uid="{B5F01DB2-4194-4E64-82A1-AEC4321C7779}" name="2027" dataDxfId="55" totalsRowDxfId="54">
      <calculatedColumnFormula>InvulRegie[[#This Row],[Prijs excl. BTW]]*Tariefsopbouw!$I$37+InvulRegie[[#This Row],[Prijs excl. BTW]]</calculatedColumnFormula>
    </tableColumn>
    <tableColumn id="5" xr3:uid="{3CA4A34B-020A-4D0B-A261-3474E51BA7E6}" name="2028" dataDxfId="53" totalsRowDxfId="52">
      <calculatedColumnFormula>E9*Tariefsopbouw!$K$37+'Regie en afroep'!E9</calculatedColumnFormula>
    </tableColumn>
    <tableColumn id="6" xr3:uid="{6CBE86F5-5170-4A40-B371-21417313A914}" name="2029" dataDxfId="51" totalsRowDxfId="50">
      <calculatedColumnFormula>F9*Tariefsopbouw!$M$37+'Regie en afroep'!F9</calculatedColumnFormula>
    </tableColumn>
    <tableColumn id="7" xr3:uid="{68D3EF76-13B7-42F1-8D3C-5A86952C9A96}" name="2030" dataDxfId="49" totalsRowDxfId="48">
      <calculatedColumnFormula>G9*Tariefsopbouw!$O$37+'Regie en afroep'!G9</calculatedColumnFormula>
    </tableColumn>
    <tableColumn id="8" xr3:uid="{7810C1CA-1317-4B8A-BD57-8667183C1ECD}" name="2031" dataDxfId="47" totalsRowDxfId="46">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25" totalsRowCount="1" headerRowDxfId="45" dataDxfId="43" totalsRowDxfId="41" headerRowBorderDxfId="44" tableBorderDxfId="42">
  <autoFilter ref="A6:F24" xr:uid="{00000000-0009-0000-0100-00000E000000}"/>
  <tableColumns count="6">
    <tableColumn id="8" xr3:uid="{00000000-0010-0000-0C00-000008000000}" name="Code Locatie" dataDxfId="40" totalsRowDxfId="39"/>
    <tableColumn id="1" xr3:uid="{00000000-0010-0000-0C00-000001000000}" name="Locatie" totalsRowLabel="Totaal" dataDxfId="38" totalsRowDxfId="37">
      <calculatedColumnFormula>VLOOKUP(Samenvattingschoonmaak[[#This Row],[Code Locatie]],Locaties[],2,0)</calculatedColumnFormula>
    </tableColumn>
    <tableColumn id="2" xr3:uid="{00000000-0010-0000-0C00-000002000000}" name="Oppervlakte i/o" totalsRowFunction="sum" dataDxfId="36" totalsRowDxfId="35">
      <calculatedColumnFormula>SUMIF('Ruimtestaat'!$A:$A,Totalisatie!$A7,'Ruimtestaat'!$N:$N)</calculatedColumnFormula>
    </tableColumn>
    <tableColumn id="4" xr3:uid="{00000000-0010-0000-0C00-000004000000}" name="Uren / jaar" totalsRowFunction="sum" dataDxfId="34" totalsRowDxfId="33">
      <calculatedColumnFormula>SUMIF('Ruimtestaat'!$A:$A,Totalisatie!$A7,'Ruimtestaat'!$AE:$AE)</calculatedColumnFormula>
    </tableColumn>
    <tableColumn id="6" xr3:uid="{00000000-0010-0000-0C00-000006000000}" name="Kosten / jaar excl btw" totalsRowFunction="sum" dataDxfId="32" totalsRowDxfId="31">
      <calculatedColumnFormula>SUMIF('Ruimtestaat'!$A:$A,Totalisatie!$A7,'Ruimtestaat'!$AF:$AF)</calculatedColumnFormula>
    </tableColumn>
    <tableColumn id="7" xr3:uid="{00000000-0010-0000-0C00-000007000000}" name="Kosten / m2" totalsRowFunction="custom" dataDxfId="30" totalsRowDxfId="29">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28:G48" totalsRowCount="1" headerRowDxfId="28" dataDxfId="26" totalsRowDxfId="24" headerRowBorderDxfId="27" tableBorderDxfId="25">
  <autoFilter ref="A28:G47" xr:uid="{00000000-0009-0000-0100-00000F000000}"/>
  <sortState xmlns:xlrd2="http://schemas.microsoft.com/office/spreadsheetml/2017/richdata2" ref="A29:G29">
    <sortCondition ref="C28:C29"/>
  </sortState>
  <tableColumns count="7">
    <tableColumn id="8" xr3:uid="{00000000-0010-0000-0D00-000008000000}" name="Code Locatie" dataDxfId="23" totalsRowDxfId="22"/>
    <tableColumn id="1" xr3:uid="{00000000-0010-0000-0D00-000001000000}" name="Locaties" totalsRowLabel="Totaal" dataDxfId="21" totalsRowDxfId="20">
      <calculatedColumnFormula>VLOOKUP(Totalisatie[[#This Row],[Code Locatie]],Locaties[],2,0)</calculatedColumnFormula>
    </tableColumn>
    <tableColumn id="4" xr3:uid="{00000000-0010-0000-0D00-000004000000}" name="Schoonmaakonderhoud_x000a_Kosten / jaar excl btw" totalsRowFunction="sum" dataDxfId="19" totalsRowDxfId="18">
      <calculatedColumnFormula>SUMIF(Ruimtestaat[#All],Totalisatie[[#This Row],[Code Locatie]],Ruimtestaat[[#All],[kosten / jaar excl btw]])</calculatedColumnFormula>
    </tableColumn>
    <tableColumn id="2" xr3:uid="{00000000-0010-0000-0D00-000002000000}" name="Vloeronderhoud_x000a_Kosten / jaar excl btw" totalsRowFunction="sum" dataDxfId="17" totalsRowDxfId="16">
      <calculatedColumnFormula>SUMIF(OverzichtVloer20[[#All],[Code Locatie]:[Kosten/jaar excl. BTW]],Totalisatie[[#This Row],[Code Locatie]],OverzichtVloer20[[#Headers],[#Data],[Kosten/jaar excl. BTW]])</calculatedColumnFormula>
    </tableColumn>
    <tableColumn id="3" xr3:uid="{5354BE06-5B60-4010-BCF7-0BE3CE5F1508}" name="Extra werkzaamheden kosten/ jaar excl. btw" totalsRowFunction="sum" dataDxfId="15" totalsRowDxfId="14">
      <calculatedColumnFormula>SUMIF(Overzichtextrawerkz.[[#All],[Code Locatie]:[Kosten/jaar excl. BTW]],Totalisatie[[#This Row],[Code Locatie]],Overzichtextrawerkz.[[#All],[Kosten/jaar excl. BTW]])</calculatedColumnFormula>
    </tableColumn>
    <tableColumn id="7" xr3:uid="{C88582D1-75BF-412D-8869-B84AE072738B}" name="Glasbewassing kosten/ jaar excl. Btw" totalsRowFunction="sum" dataDxfId="13" totalsRowDxfId="12">
      <calculatedColumnFormula>SUMIF(OverzichtGlas[[Code Locatie]:[Kosten/jaar excl. BTW]],Totalisatie[[#This Row],[Code Locatie]],OverzichtGlas[Kosten/jaar excl. BTW])</calculatedColumnFormula>
    </tableColumn>
    <tableColumn id="5" xr3:uid="{2A8C3CF1-513F-4CAD-A439-3F5FCA3E0363}" name="Totaalprijs_x000a_Kosten / jaar excl. btw" totalsRowFunction="sum" dataDxfId="11" totalsRowDxfId="10">
      <calculatedColumnFormula>SUM(Totalisatie[[#This Row],[Schoonmaakonderhoud
Kosten / jaar excl btw]:[Glasbewassing kosten/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25:D45" totalsRowShown="0" headerRowDxfId="297" dataDxfId="295" headerRowBorderDxfId="296">
  <autoFilter ref="A25:D45" xr:uid="{00000000-0009-0000-0100-000006000000}"/>
  <tableColumns count="4">
    <tableColumn id="1" xr3:uid="{00000000-0010-0000-0000-000001000000}" name="Code" dataDxfId="294" dataCellStyle="Standaard 4"/>
    <tableColumn id="2" xr3:uid="{00000000-0010-0000-0000-000002000000}" name="Ruimte omschrijving" dataDxfId="293" dataCellStyle="Standaard 4"/>
    <tableColumn id="3" xr3:uid="{00000000-0010-0000-0000-000003000000}" name="Norm (5w)" dataDxfId="8"/>
    <tableColumn id="4" xr3:uid="{00000000-0010-0000-0000-000004000000}" name="Inspectiecategorie" dataDxfId="292"/>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48:D53" totalsRowShown="0" headerRowDxfId="291" dataDxfId="289" headerRowBorderDxfId="290">
  <autoFilter ref="A48:D53" xr:uid="{00000000-0009-0000-0100-000007000000}"/>
  <tableColumns count="4">
    <tableColumn id="1" xr3:uid="{00000000-0010-0000-0100-000001000000}" name="Code" dataDxfId="288"/>
    <tableColumn id="4" xr3:uid="{00000000-0010-0000-0100-000004000000}" name="Naam" dataDxfId="287"/>
    <tableColumn id="5" xr3:uid="{00000000-0010-0000-0100-000005000000}" name="Aanpassing norm" dataDxfId="7" dataCellStyle="Procent 3"/>
    <tableColumn id="2" xr3:uid="{00000000-0010-0000-0100-000002000000}" name="Vloersoort omschrijving" dataDxfId="286"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56:D68" totalsRowShown="0" headerRowDxfId="285" dataDxfId="284">
  <autoFilter ref="A56:D68" xr:uid="{00000000-0009-0000-0100-000008000000}"/>
  <tableColumns count="4">
    <tableColumn id="1" xr3:uid="{00000000-0010-0000-0200-000001000000}" name="Code" dataDxfId="283" dataCellStyle="Standaard 4"/>
    <tableColumn id="2" xr3:uid="{00000000-0010-0000-0200-000002000000}" name="Frequentie omschrijving" dataDxfId="282" dataCellStyle="Standaard 4"/>
    <tableColumn id="3" xr3:uid="{00000000-0010-0000-0200-000003000000}" name="Aanpassing norm" dataDxfId="6" dataCellStyle="Procent"/>
    <tableColumn id="4" xr3:uid="{62B36348-2266-47E8-AF7C-A5085F351579}" name="Kolom1" dataDxfId="28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22" totalsRowShown="0" headerRowDxfId="280" dataDxfId="278" headerRowBorderDxfId="279">
  <autoFilter ref="A4:F22" xr:uid="{00000000-0009-0000-0100-00000D000000}"/>
  <tableColumns count="6">
    <tableColumn id="1" xr3:uid="{00000000-0010-0000-0300-000001000000}" name="Code" dataDxfId="277"/>
    <tableColumn id="2" xr3:uid="{00000000-0010-0000-0300-000002000000}" name="Locatie" dataDxfId="276"/>
    <tableColumn id="7" xr3:uid="{00000000-0010-0000-0300-000007000000}" name="Aanpassing norm" dataDxfId="5" dataCellStyle="Procent"/>
    <tableColumn id="3" xr3:uid="{00000000-0010-0000-0300-000003000000}" name="Adres" dataDxfId="275" dataCellStyle="Standaard 4"/>
    <tableColumn id="5" xr3:uid="{DA45991E-5E38-40DC-A1BE-D3770F949A13}" name="Postcode" dataDxfId="274" dataCellStyle="Standaard 4"/>
    <tableColumn id="4" xr3:uid="{00000000-0010-0000-0300-000004000000}" name="Plaats" dataDxfId="27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675" totalsRowShown="0" headerRowDxfId="272" dataDxfId="270" headerRowBorderDxfId="271">
  <autoFilter ref="A4:BV675" xr:uid="{396E59E9-BF0A-4D12-8DDE-B051B0F3D5F7}"/>
  <tableColumns count="74">
    <tableColumn id="32" xr3:uid="{00000000-0010-0000-0400-000020000000}" name="Code" dataDxfId="269" totalsRowDxfId="268"/>
    <tableColumn id="3" xr3:uid="{00000000-0010-0000-0400-000003000000}" name="Naam" dataDxfId="267" totalsRowDxfId="266"/>
    <tableColumn id="4" xr3:uid="{70782354-32A9-4BC9-88AC-C4AB6869B8E9}" name="Adres" dataDxfId="265" totalsRowDxfId="264">
      <calculatedColumnFormula>VLOOKUP(Ruimtestaat[[#This Row],[Code]],Locaties[[#All],[Code]:[Adres]],4,FALSE)</calculatedColumnFormula>
    </tableColumn>
    <tableColumn id="79" xr3:uid="{E7B33814-4928-4AE9-A368-AE6E30B7DBF6}" name="Postcode" dataDxfId="263" totalsRowDxfId="262">
      <calculatedColumnFormula>VLOOKUP(Ruimtestaat[[#This Row],[Code]],Locaties[[#All],[Code]:[Postcode]],5,FALSE)</calculatedColumnFormula>
    </tableColumn>
    <tableColumn id="80" xr3:uid="{476650B5-E93B-45F9-BED3-2256EBFA7240}" name="Plaatsnaam" dataDxfId="261" totalsRowDxfId="260">
      <calculatedColumnFormula>VLOOKUP(Ruimtestaat[[#This Row],[Code]],Locaties[#All],6,FALSE)</calculatedColumnFormula>
    </tableColumn>
    <tableColumn id="2" xr3:uid="{00000000-0010-0000-0400-000002000000}" name="Gebouw gedeelte" dataDxfId="259" totalsRowDxfId="258"/>
    <tableColumn id="6" xr3:uid="{00000000-0010-0000-0400-000006000000}" name="Etage" dataDxfId="257" totalsRowDxfId="256"/>
    <tableColumn id="7" xr3:uid="{00000000-0010-0000-0400-000007000000}" name="Ruimte- _x000a_nummer" dataDxfId="255" totalsRowDxfId="254"/>
    <tableColumn id="8" xr3:uid="{00000000-0010-0000-0400-000008000000}" name="Ruimte omschrijving" dataDxfId="253" totalsRowDxfId="252"/>
    <tableColumn id="9" xr3:uid="{00000000-0010-0000-0400-000009000000}" name="Ruimte code" dataDxfId="251" totalsRowDxfId="250"/>
    <tableColumn id="10" xr3:uid="{00000000-0010-0000-0400-00000A000000}" name="Ruimtesoort" dataDxfId="249" totalsRowDxfId="248">
      <calculatedColumnFormula>VLOOKUP(Ruimtestaat[[#This Row],[Ruimte code]],Ruimtegroepen[[#All],[Code]:[Ruimte omschrijving]],2,FALSE)</calculatedColumnFormula>
    </tableColumn>
    <tableColumn id="11" xr3:uid="{00000000-0010-0000-0400-00000B000000}" name="Vloer code" dataDxfId="247" totalsRowDxfId="246"/>
    <tableColumn id="12" xr3:uid="{00000000-0010-0000-0400-00000C000000}" name="Vloer afwerking" dataDxfId="245" totalsRowDxfId="244"/>
    <tableColumn id="13" xr3:uid="{00000000-0010-0000-0400-00000D000000}" name="Oppervlak (netto)" dataDxfId="243" totalsRowDxfId="242"/>
    <tableColumn id="14" xr3:uid="{00000000-0010-0000-0400-00000E000000}" name="Oppervlakte n.i.o." dataDxfId="241"/>
    <tableColumn id="15" xr3:uid="{00000000-0010-0000-0400-00000F000000}" name="Inspectie categorie" dataDxfId="240" totalsRowDxfId="239">
      <calculatedColumnFormula>VLOOKUP(Ruimtestaat[[#This Row],[Ruimte code]],Ruimtegroepen[],4,FALSE)</calculatedColumnFormula>
    </tableColumn>
    <tableColumn id="17" xr3:uid="{00000000-0010-0000-0400-000011000000}" name="Aantal weken/jr" dataDxfId="238" totalsRowDxfId="237"/>
    <tableColumn id="18" xr3:uid="{00000000-0010-0000-0400-000012000000}" name="Frequentie werkdagen" dataDxfId="236" totalsRowDxfId="235"/>
    <tableColumn id="19" xr3:uid="{00000000-0010-0000-0400-000013000000}" name="Uitvoeringen werkdagen" dataDxfId="234" totalsRowDxfId="233">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32" totalsRowDxfId="231">
      <calculatedColumnFormula>IF(S5&gt;0,VLOOKUP($J5,Ruimtegroepen[],3,FALSE)*VLOOKUP($L5,Vloersoorten[],3,FALSE)*VLOOKUP($R5,Frequenties[],3,FALSE)*VLOOKUP($A5,Locaties[],3,FALSE),0)</calculatedColumnFormula>
    </tableColumn>
    <tableColumn id="21" xr3:uid="{00000000-0010-0000-0400-000015000000}" name="Prest. (m2 /jaar) werkdagen" dataDxfId="230" totalsRowDxfId="229">
      <calculatedColumnFormula>Ruimtestaat[[#This Row],[Uitvoeringen werkdagen]]*Ruimtestaat[[#This Row],[Oppervlak (netto)]]</calculatedColumnFormula>
    </tableColumn>
    <tableColumn id="22" xr3:uid="{00000000-0010-0000-0400-000016000000}" name="uren / jaar werkdagen" dataDxfId="228" totalsRowDxfId="227" dataCellStyle="Komma">
      <calculatedColumnFormula>IF(T5&gt;0,Ruimtestaat[[#This Row],[Prest. (m2 /jaar) werkdagen]]/Ruimtestaat[[#This Row],[Norm (m2/uur) werkdagen]],0)</calculatedColumnFormula>
    </tableColumn>
    <tableColumn id="23" xr3:uid="{00000000-0010-0000-0400-000017000000}" name="kosten / jaar werkdagen" dataDxfId="226" totalsRowDxfId="225" dataCellStyle="Valuta">
      <calculatedColumnFormula>Ruimtestaat[[#This Row],[uren / jaar werkdagen]]*Tariefsopbouw!$E$35</calculatedColumnFormula>
    </tableColumn>
    <tableColumn id="24" xr3:uid="{00000000-0010-0000-0400-000018000000}" name="Frequentie weekend" dataDxfId="224" totalsRowDxfId="223"/>
    <tableColumn id="38" xr3:uid="{00000000-0010-0000-0400-000026000000}" name="Uitvoeringen weekend" dataDxfId="222" totalsRowDxfId="221">
      <calculatedColumnFormula>IF(Ruimtestaat[[#This Row],[Frequentie weekend]]&gt;0,VALUE(LEFT(X5,1))*Q5,0)</calculatedColumnFormula>
    </tableColumn>
    <tableColumn id="25" xr3:uid="{00000000-0010-0000-0400-000019000000}" name="Norm (m2/uur) weekend" dataDxfId="220" totalsRowDxfId="219">
      <calculatedColumnFormula>IF($Y5&gt;0,VLOOKUP($J5,Ruimtegroepen[],3,FALSE)*VLOOKUP($L5,Vloersoorten[],3,FALSE)*VLOOKUP($X5,Frequenties[],3,FALSE)*VLOOKUP(#REF!,Locaties[],3,FALSE),0)</calculatedColumnFormula>
    </tableColumn>
    <tableColumn id="26" xr3:uid="{00000000-0010-0000-0400-00001A000000}" name="Prest. (m2 /jaar) weekend" dataDxfId="218" totalsRowDxfId="217">
      <calculatedColumnFormula>Ruimtestaat[[#This Row],[Uitvoeringen weekend]]*Ruimtestaat[[#This Row],[Oppervlak (netto)]]</calculatedColumnFormula>
    </tableColumn>
    <tableColumn id="27" xr3:uid="{00000000-0010-0000-0400-00001B000000}" name="uren / jaar weekend" dataDxfId="216" totalsRowDxfId="215">
      <calculatedColumnFormula>IF(Z5&gt;0,Ruimtestaat[[#This Row],[Prest. (m2 /jaar) weekend]]/Ruimtestaat[[#This Row],[Norm (m2/uur) weekend]],0)</calculatedColumnFormula>
    </tableColumn>
    <tableColumn id="28" xr3:uid="{00000000-0010-0000-0400-00001C000000}" name="kosten / jaar weekend" dataDxfId="214" totalsRowDxfId="213">
      <calculatedColumnFormula>Ruimtestaat[[#This Row],[uren / jaar weekend]]*Tariefsopbouw!$D$40</calculatedColumnFormula>
    </tableColumn>
    <tableColumn id="29" xr3:uid="{00000000-0010-0000-0400-00001D000000}" name="Prest. (m2 /jaar)" dataDxfId="212" totalsRowDxfId="211" dataCellStyle="Komma">
      <calculatedColumnFormula>Ruimtestaat[[#This Row],[Prest. (m2 /jaar) weekend]]+Ruimtestaat[[#This Row],[Prest. (m2 /jaar) werkdagen]]</calculatedColumnFormula>
    </tableColumn>
    <tableColumn id="30" xr3:uid="{00000000-0010-0000-0400-00001E000000}" name="uren / jaar" dataDxfId="210" totalsRowDxfId="209" dataCellStyle="Komma">
      <calculatedColumnFormula>Ruimtestaat[[#This Row],[uren / jaar weekend]]+Ruimtestaat[[#This Row],[uren / jaar werkdagen]]</calculatedColumnFormula>
    </tableColumn>
    <tableColumn id="31" xr3:uid="{00000000-0010-0000-0400-00001F000000}" name="kosten / jaar excl btw" dataDxfId="208" totalsRowDxfId="207">
      <calculatedColumnFormula>Ruimtestaat[[#This Row],[kosten / jaar weekend]]+Ruimtestaat[[#This Row],[kosten / jaar werkdagen]]</calculatedColumnFormula>
    </tableColumn>
    <tableColumn id="78" xr3:uid="{C7E09CEC-45CA-4861-813D-3146CE52089E}" name="Kolom2" dataDxfId="206"/>
    <tableColumn id="36" xr3:uid="{644223A4-3B0B-40ED-9CC2-5E87CCEF757C}" name="Programmacode_x000a_Regulier" dataDxfId="205">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04">
      <calculatedColumnFormula>_xlfn.IFNA(VLOOKUP($AH5,Programma!$F$3:$G$1101,2,0),"")</calculatedColumnFormula>
    </tableColumn>
    <tableColumn id="39" xr3:uid="{2E53B719-2751-4AFA-8ABF-26530B7DD3C0}" name="vl2" dataDxfId="203">
      <calculatedColumnFormula>_xlfn.IFNA(VLOOKUP($AH5,Programma!$F$3:$H$1101,3,0),"")</calculatedColumnFormula>
    </tableColumn>
    <tableColumn id="40" xr3:uid="{306853D9-AD5A-48B5-B1FA-D17329457C4F}" name="vl3" dataDxfId="202">
      <calculatedColumnFormula>_xlfn.IFNA(VLOOKUP($AH5,Programma!$F$3:$I$1101,4,0),"")</calculatedColumnFormula>
    </tableColumn>
    <tableColumn id="41" xr3:uid="{1C4AA553-8156-4DB3-BDBC-D8EC1536D309}" name="vl4" dataDxfId="201">
      <calculatedColumnFormula>_xlfn.IFNA(VLOOKUP($AH5,Programma!$F$3:$J$1101,5,0),"")</calculatedColumnFormula>
    </tableColumn>
    <tableColumn id="42" xr3:uid="{A56B8907-DE9F-4701-8C5E-C547567EA280}" name="vl5" dataDxfId="200">
      <calculatedColumnFormula>_xlfn.IFNA(VLOOKUP($AH5,Programma!$F$3:$K$1101,6,0),"")</calculatedColumnFormula>
    </tableColumn>
    <tableColumn id="43" xr3:uid="{6B17D7A2-AE8D-440F-A4FD-2BE2B7B88A60}" name="vl6" dataDxfId="199">
      <calculatedColumnFormula>_xlfn.IFNA(VLOOKUP($AH5,Programma!$F$3:$L$1101,7,0),"")</calculatedColumnFormula>
    </tableColumn>
    <tableColumn id="44" xr3:uid="{A071B3DB-7D24-4A25-BD62-7D2ABDA8EADC}" name="vl7" dataDxfId="198">
      <calculatedColumnFormula>_xlfn.IFNA(VLOOKUP($AH5,Programma!$F$3:$M$1101,8,0),"")</calculatedColumnFormula>
    </tableColumn>
    <tableColumn id="45" xr3:uid="{30501DAE-368A-4139-B486-528B170E6783}" name="vnl" dataDxfId="197">
      <calculatedColumnFormula>_xlfn.IFNA(VLOOKUP($AH5,Programma!$F$3:$N$1101,9,0),"")</calculatedColumnFormula>
    </tableColumn>
    <tableColumn id="46" xr3:uid="{868425D4-EECE-431D-9D6F-487DB854241D}" name="i8" dataDxfId="196">
      <calculatedColumnFormula>_xlfn.IFNA(VLOOKUP($AH5,Programma!$F$3:$O$1101,10,0),"")</calculatedColumnFormula>
    </tableColumn>
    <tableColumn id="47" xr3:uid="{EA20F07B-5CD7-426B-BA6F-183E04D325BB}" name="i9" dataDxfId="195">
      <calculatedColumnFormula>_xlfn.IFNA(VLOOKUP($AH5,Programma!$F$3:$P$1101,11,0),"")</calculatedColumnFormula>
    </tableColumn>
    <tableColumn id="48" xr3:uid="{28D20BBF-F87A-4F80-A59D-F67559BB9D34}" name="i10" dataDxfId="194">
      <calculatedColumnFormula>_xlfn.IFNA(VLOOKUP($AH5,Programma!$F$3:$Q$1101,12,0),"")</calculatedColumnFormula>
    </tableColumn>
    <tableColumn id="49" xr3:uid="{0CB7B7F7-D003-43D2-9F6C-0F0170BB89E1}" name="i11" dataDxfId="193">
      <calculatedColumnFormula>_xlfn.IFNA(VLOOKUP($AH5,Programma!$F$3:$R$1101,13,0),"")</calculatedColumnFormula>
    </tableColumn>
    <tableColumn id="50" xr3:uid="{AD88DBA6-2501-4ADB-97BD-2EEAE5CA5FB9}" name="i12" dataDxfId="192">
      <calculatedColumnFormula>_xlfn.IFNA(VLOOKUP($AH5,Programma!$F$3:$S$1101,14,0),"")</calculatedColumnFormula>
    </tableColumn>
    <tableColumn id="51" xr3:uid="{0B24F272-5C0F-49A2-9E82-3DEBB7333DE2}" name="i13" dataDxfId="191">
      <calculatedColumnFormula>_xlfn.IFNA(VLOOKUP($AH5,Programma!$F$3:$T$1101,15,0),"")</calculatedColumnFormula>
    </tableColumn>
    <tableColumn id="52" xr3:uid="{60DD2901-FFF4-4159-9DB3-58E5D77411C3}" name="i14" dataDxfId="190">
      <calculatedColumnFormula>_xlfn.IFNA(VLOOKUP($AH5,Programma!$F$3:$U$1101,16,0),"")</calculatedColumnFormula>
    </tableColumn>
    <tableColumn id="53" xr3:uid="{87559DB0-F928-4A01-8FAF-36E422BF0893}" name="inl" dataDxfId="189">
      <calculatedColumnFormula>_xlfn.IFNA(VLOOKUP($AH5,Programma!$F$3:$V$1101,17,0),"")</calculatedColumnFormula>
    </tableColumn>
    <tableColumn id="54" xr3:uid="{1C929E3E-45B3-4A1C-A3C5-D8B1EDE1891E}" name="s15" dataDxfId="188">
      <calculatedColumnFormula>_xlfn.IFNA(VLOOKUP($AH5,Programma!$F$3:$W$1101,18,0),"")</calculatedColumnFormula>
    </tableColumn>
    <tableColumn id="55" xr3:uid="{68B49970-C415-4EEF-857B-52BA16B5258D}" name="s16" dataDxfId="187">
      <calculatedColumnFormula>_xlfn.IFNA(VLOOKUP($AH5,Programma!$F$3:$X$1101,19,0),"")</calculatedColumnFormula>
    </tableColumn>
    <tableColumn id="56" xr3:uid="{A0705AE3-CACF-4E1C-9227-68669BFDB0C6}" name="snl" dataDxfId="186">
      <calculatedColumnFormula>_xlfn.IFNA(VLOOKUP($AH5,Programma!$F$3:$Y$1101,20,0),"")</calculatedColumnFormula>
    </tableColumn>
    <tableColumn id="57" xr3:uid="{11D7C8EF-B5C8-42BF-8A18-9A836402F196}" name="Kolom1" dataDxfId="185"/>
    <tableColumn id="58" xr3:uid="{B2B8DFA8-D835-49F0-A51B-ED223C73D142}" name="Code Weekend" dataDxfId="184">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83">
      <calculatedColumnFormula>_xlfn.IFNA(VLOOKUP($BC5,Programma!$F$3:$G$1101,2,0),"")</calculatedColumnFormula>
    </tableColumn>
    <tableColumn id="60" xr3:uid="{27AAF80B-FAE7-4A55-B080-A97D81F19498}" name="vl23" dataDxfId="182">
      <calculatedColumnFormula>_xlfn.IFNA(VLOOKUP($BC5,Programma!$F$3:$H$1101,3,0),"")</calculatedColumnFormula>
    </tableColumn>
    <tableColumn id="61" xr3:uid="{A8E673C6-B5F4-4D95-85CD-FB4271CFAA79}" name="vl34" dataDxfId="181">
      <calculatedColumnFormula>_xlfn.IFNA(VLOOKUP($BC5,Programma!$F$3:$I$1101,4,0),"")</calculatedColumnFormula>
    </tableColumn>
    <tableColumn id="62" xr3:uid="{8F1B78A5-14D6-4E3A-8B4A-DFAEDDAB9211}" name="vl45" dataDxfId="180">
      <calculatedColumnFormula>_xlfn.IFNA(VLOOKUP($BC5,Programma!$F$3:$J$1101,5,0),"")</calculatedColumnFormula>
    </tableColumn>
    <tableColumn id="63" xr3:uid="{87048FA4-EE9C-46AE-B51B-6CBA81BE8308}" name="vl56" dataDxfId="179">
      <calculatedColumnFormula>_xlfn.IFNA(VLOOKUP($BC5,Programma!$F$3:$K$1101,6,0),"")</calculatedColumnFormula>
    </tableColumn>
    <tableColumn id="64" xr3:uid="{DA05AE85-CE88-407D-9245-D0C804841261}" name="vl67" dataDxfId="178">
      <calculatedColumnFormula>_xlfn.IFNA(VLOOKUP($BC5,Programma!$F$3:$L$1101,7,0),"")</calculatedColumnFormula>
    </tableColumn>
    <tableColumn id="65" xr3:uid="{78BAE9E2-79F8-42F8-A636-69ECC21638B3}" name="vl78" dataDxfId="177">
      <calculatedColumnFormula>_xlfn.IFNA(VLOOKUP($BC5,Programma!$F$3:$M$1101,8,0),"")</calculatedColumnFormula>
    </tableColumn>
    <tableColumn id="66" xr3:uid="{E7E7A23D-5570-4D4F-A0C4-4BEBD25C2D08}" name="vnl9" dataDxfId="176">
      <calculatedColumnFormula>_xlfn.IFNA(VLOOKUP($BC5,Programma!$F$3:$N$1101,9,0),"")</calculatedColumnFormula>
    </tableColumn>
    <tableColumn id="67" xr3:uid="{069678F9-CB78-4810-881E-5A1AE2EC2E64}" name="i810" dataDxfId="175">
      <calculatedColumnFormula>_xlfn.IFNA(VLOOKUP($BC5,Programma!$F$3:$O$1101,10,0),"")</calculatedColumnFormula>
    </tableColumn>
    <tableColumn id="68" xr3:uid="{D4FF459B-C19D-4ED7-9F3B-7801E97C6C63}" name="i911" dataDxfId="174">
      <calculatedColumnFormula>_xlfn.IFNA(VLOOKUP($BC5,Programma!$F$3:$P$1101,11,0),"")</calculatedColumnFormula>
    </tableColumn>
    <tableColumn id="69" xr3:uid="{059C7A6A-75FC-4AAF-9824-5E2D2E379CD4}" name="i102" dataDxfId="173">
      <calculatedColumnFormula>_xlfn.IFNA(VLOOKUP($BC5,Programma!$F$3:$Q$1101,12,0),"")</calculatedColumnFormula>
    </tableColumn>
    <tableColumn id="70" xr3:uid="{F02F1F0A-14E6-44C4-A18E-15D8545C3F7C}" name="i112" dataDxfId="172">
      <calculatedColumnFormula>_xlfn.IFNA(VLOOKUP($BC5,Programma!$F$3:$R$1101,13,0),"")</calculatedColumnFormula>
    </tableColumn>
    <tableColumn id="71" xr3:uid="{64F8BC77-D92C-4AFB-A8AA-C6E3DB4AF028}" name="i122" dataDxfId="171">
      <calculatedColumnFormula>_xlfn.IFNA(VLOOKUP($BC5,Programma!$F$3:$S$1101,14,0),"")</calculatedColumnFormula>
    </tableColumn>
    <tableColumn id="72" xr3:uid="{D10D9617-4D40-479A-8098-9C3D52AED20C}" name="i132" dataDxfId="170">
      <calculatedColumnFormula>_xlfn.IFNA(VLOOKUP($BC5,Programma!$F$3:$T$1101,15,0),"")</calculatedColumnFormula>
    </tableColumn>
    <tableColumn id="73" xr3:uid="{AFAFBD6D-E9F3-4AD5-B1BA-C259BBD1CC21}" name="i142" dataDxfId="169">
      <calculatedColumnFormula>_xlfn.IFNA(VLOOKUP($BC5,Programma!$F$3:$U$1101,16,0),"")</calculatedColumnFormula>
    </tableColumn>
    <tableColumn id="74" xr3:uid="{13917009-2884-4D8A-8C68-14907776CAFD}" name="inl2" dataDxfId="168">
      <calculatedColumnFormula>_xlfn.IFNA(VLOOKUP($BC5,Programma!$F$3:$V$1101,17,0),"")</calculatedColumnFormula>
    </tableColumn>
    <tableColumn id="75" xr3:uid="{6E9DF77C-B052-4A52-B6CF-00BB698E51C6}" name="s152" dataDxfId="167">
      <calculatedColumnFormula>_xlfn.IFNA(VLOOKUP($BC5,Programma!$F$3:$W$1101,18,0),"")</calculatedColumnFormula>
    </tableColumn>
    <tableColumn id="76" xr3:uid="{11F41571-107E-423E-B237-84692FBBC6D7}" name="s162" dataDxfId="166">
      <calculatedColumnFormula>_xlfn.IFNA(VLOOKUP($BC5,Programma!$F$3:$X$1101,19,0),"")</calculatedColumnFormula>
    </tableColumn>
    <tableColumn id="77" xr3:uid="{3DEE5E13-D5E7-474C-89D8-AF6FC5695F2C}" name="snl2" dataDxfId="165">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64" dataDxfId="162" headerRowBorderDxfId="163">
  <autoFilter ref="A8:I18" xr:uid="{00000000-0009-0000-0100-000001000000}"/>
  <tableColumns count="9">
    <tableColumn id="1" xr3:uid="{634B9515-CED4-4B9C-AC41-91D68E2A6390}" name="Code Taak" dataDxfId="161"/>
    <tableColumn id="2" xr3:uid="{B45DE533-5F07-4399-BBF5-C49AD01DD88F}" name="Werkzaamheden" dataDxfId="160"/>
    <tableColumn id="3" xr3:uid="{569B4254-85AB-4A9D-9738-20A72FAFD71D}" name="Prijs" dataDxfId="4"/>
    <tableColumn id="4" xr3:uid="{3FCFDB06-433D-4D90-AC83-D401C0BB9D5F}" name="Omschrijving" dataDxfId="159"/>
    <tableColumn id="5" xr3:uid="{A2C235A7-50B4-45CF-B035-6B2B17679F97}" name="2027" dataDxfId="158" dataCellStyle="Valuta">
      <calculatedColumnFormula>InvulVloer19[[#This Row],[Prijs]]*Tariefsopbouw!$I$37+InvulVloer19[[#This Row],[Prijs]]</calculatedColumnFormula>
    </tableColumn>
    <tableColumn id="6" xr3:uid="{32314B1F-C549-43D0-A68A-E1D872932DA7}" name="2028" dataDxfId="157" dataCellStyle="Valuta">
      <calculatedColumnFormula>InvulVloer19[[#This Row],[2027]]*Tariefsopbouw!$K$37+InvulVloer19[[#This Row],[2027]]</calculatedColumnFormula>
    </tableColumn>
    <tableColumn id="7" xr3:uid="{5A4E277A-177C-4476-A9A5-6B25E0351BAB}" name="2029" dataDxfId="156" dataCellStyle="Valuta">
      <calculatedColumnFormula>InvulVloer19[[#This Row],[2028]]*Tariefsopbouw!$M$37+InvulVloer19[[#This Row],[2028]]</calculatedColumnFormula>
    </tableColumn>
    <tableColumn id="8" xr3:uid="{6A8CB127-9578-4A7F-8F5E-DABA3EAD7E06}" name="2030" dataDxfId="155" dataCellStyle="Valuta">
      <calculatedColumnFormula>InvulVloer19[[#This Row],[2029]]*Tariefsopbouw!$O$37+InvulVloer19[[#This Row],[2029]]</calculatedColumnFormula>
    </tableColumn>
    <tableColumn id="9" xr3:uid="{F268163B-6C49-46F0-9F2A-A503A98B29BC}" name="2031" dataDxfId="154" dataCellStyle="Valuta">
      <calculatedColumnFormula>InvulVloer19[[#This Row],[2030]]*Tariefsopbouw!$Q$37+InvulVloer19[[#This Row],[2030]]</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118" totalsRowCount="1" headerRowDxfId="153" dataDxfId="151" totalsRowDxfId="150" headerRowBorderDxfId="152">
  <autoFilter ref="A20:I117" xr:uid="{00000000-0009-0000-0100-000002000000}"/>
  <tableColumns count="9">
    <tableColumn id="11" xr3:uid="{9970215E-3F06-4AEF-A1F5-0009C03D624E}" name="Code Locatie" dataDxfId="149" totalsRowDxfId="148"/>
    <tableColumn id="1" xr3:uid="{113C96F6-1924-406B-B23A-994513941647}" name="Locatie" totalsRowLabel="Totaal" dataDxfId="147" totalsRowDxfId="146">
      <calculatedColumnFormula>VLOOKUP(OverzichtVloer20[[#This Row],[Code Locatie]],Locaties[],2,0)</calculatedColumnFormula>
    </tableColumn>
    <tableColumn id="3" xr3:uid="{B3D3B5E7-D3C4-461C-9CA1-DBFD10306269}" name="Code Taak" dataDxfId="145" totalsRowDxfId="144"/>
    <tableColumn id="4" xr3:uid="{EBF3EF80-AF01-4C87-A6CF-BF63D79AF323}" name="Vloersoort / toelichting" dataDxfId="143" totalsRowDxfId="142">
      <calculatedColumnFormula>IF(Vloeronderhoud!$C21&gt;0,VLOOKUP(Vloeronderhoud!$C21,$A$8:$B$18,2,FALSE),"")</calculatedColumnFormula>
    </tableColumn>
    <tableColumn id="5" xr3:uid="{309F41B6-3D0E-446B-8EDD-5EB98BD855C7}" name="Vloersoort" dataDxfId="141" totalsRowDxfId="140"/>
    <tableColumn id="6" xr3:uid="{B97F1EF9-BC44-4F7E-8997-83E439999C81}" name="Oppervlakte" dataDxfId="139" totalsRowDxfId="138">
      <calculatedColumnFormula>SUMIFS('Ruimtestaat'!$N:$N,'Ruimtestaat'!L:L,Vloeronderhoud!E21,'Ruimtestaat'!A:A,Vloeronderhoud!A21)</calculatedColumnFormula>
    </tableColumn>
    <tableColumn id="8" xr3:uid="{A5FF7A00-BD80-4497-8A9A-905C07BFA557}" name="Frequentie (uitv./jaar)" dataDxfId="137" totalsRowDxfId="136"/>
    <tableColumn id="9" xr3:uid="{13C992BE-16CA-4305-AC75-C46233681A13}" name="Kosten/jaar excl. BTW" totalsRowFunction="sum" dataDxfId="135" totalsRowDxfId="134">
      <calculatedColumnFormula>VLOOKUP(OverzichtVloer20[[#This Row],[Code Taak]],InvulVloer19[],3,3)*F21*G21</calculatedColumnFormula>
    </tableColumn>
    <tableColumn id="2" xr3:uid="{BBD43C19-81F6-4223-A10B-97F2D79A548F}" name="Kosten/jaar incl BTW" totalsRowFunction="sum" dataDxfId="133" totalsRowDxfId="132"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131" dataDxfId="129" headerRowBorderDxfId="130">
  <autoFilter ref="A8:I19" xr:uid="{00000000-0009-0000-0100-000003000000}"/>
  <tableColumns count="9">
    <tableColumn id="1" xr3:uid="{00000000-0010-0000-0500-000001000000}" name="Code taak" dataDxfId="128"/>
    <tableColumn id="2" xr3:uid="{00000000-0010-0000-0500-000002000000}" name="Glassoort/voorziening" dataDxfId="127"/>
    <tableColumn id="3" xr3:uid="{00000000-0010-0000-0500-000003000000}" name="Prijs excl. BTW" dataDxfId="3"/>
    <tableColumn id="4" xr3:uid="{00000000-0010-0000-0500-000004000000}" name="Eenheid" dataDxfId="126"/>
    <tableColumn id="5" xr3:uid="{CC43D47B-51D1-48C7-9FBE-6228B4D72C08}" name="2027" dataDxfId="125" dataCellStyle="Valuta">
      <calculatedColumnFormula>(InvulGlas[[#This Row],[Prijs excl. BTW]]*Tariefsopbouw!$H$35)+InvulGlas[[#This Row],[Prijs excl. BTW]]</calculatedColumnFormula>
    </tableColumn>
    <tableColumn id="6" xr3:uid="{14AF2224-D978-4323-B50E-296D91A6AA97}" name="2028" dataDxfId="124" dataCellStyle="Valuta">
      <calculatedColumnFormula>E9*Tariefsopbouw!$J$35+Glasbewassing!E9</calculatedColumnFormula>
    </tableColumn>
    <tableColumn id="7" xr3:uid="{C18EB174-680A-4DCC-A57F-327D4F1C3675}" name="2029" dataDxfId="123" dataCellStyle="Valuta">
      <calculatedColumnFormula>F9*Tariefsopbouw!$L$35+Glasbewassing!F9</calculatedColumnFormula>
    </tableColumn>
    <tableColumn id="8" xr3:uid="{2002E41E-1578-4095-8CE5-943025AA110B}" name="2030" dataDxfId="122" dataCellStyle="Valuta">
      <calculatedColumnFormula>G10*Tariefsopbouw!$N$35+Glasbewassing!G10</calculatedColumnFormula>
    </tableColumn>
    <tableColumn id="9" xr3:uid="{95B9447D-2760-430F-8929-530FC65F506E}" name="2031" dataDxfId="121"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S31"/>
  <sheetViews>
    <sheetView showGridLines="0" workbookViewId="0">
      <selection sqref="A1:XFD1048576"/>
    </sheetView>
  </sheetViews>
  <sheetFormatPr defaultColWidth="9.140625" defaultRowHeight="13.5"/>
  <cols>
    <col min="1" max="1" width="6" style="6" customWidth="1"/>
    <col min="2" max="2" width="11.5703125" style="6" customWidth="1"/>
    <col min="3" max="3" width="13.85546875" style="6" customWidth="1"/>
    <col min="4" max="4" width="14.7109375" style="6" bestFit="1" customWidth="1"/>
    <col min="5" max="5" width="15.42578125" style="6" bestFit="1" customWidth="1"/>
    <col min="6" max="6" width="14" style="6" bestFit="1" customWidth="1"/>
    <col min="7" max="7" width="8.7109375" style="6" customWidth="1"/>
    <col min="8" max="8" width="10.42578125" style="7" bestFit="1" customWidth="1"/>
    <col min="9" max="9" width="26" style="6" bestFit="1" customWidth="1"/>
    <col min="10" max="10" width="13" style="7" customWidth="1"/>
    <col min="11" max="11" width="13.7109375" style="7" customWidth="1"/>
    <col min="12" max="12" width="9" style="6" bestFit="1" customWidth="1"/>
    <col min="13" max="13" width="12.28515625" style="6" bestFit="1" customWidth="1"/>
    <col min="14" max="14" width="10.7109375" style="6" customWidth="1"/>
    <col min="15" max="15" width="11.7109375" style="6" customWidth="1"/>
    <col min="16" max="16" width="14.140625" style="6" bestFit="1" customWidth="1"/>
    <col min="17" max="17" width="17.7109375" style="6" customWidth="1"/>
    <col min="18" max="18" width="15.85546875" style="7" bestFit="1" customWidth="1"/>
    <col min="19" max="19" width="25" style="6" bestFit="1" customWidth="1"/>
    <col min="20" max="16384" width="9.140625" style="5"/>
  </cols>
  <sheetData>
    <row r="1" spans="1:19" ht="60">
      <c r="A1" s="280"/>
      <c r="B1" s="305" t="s">
        <v>229</v>
      </c>
      <c r="C1" s="305" t="s">
        <v>1294</v>
      </c>
      <c r="D1" s="305" t="s">
        <v>230</v>
      </c>
      <c r="E1" s="305" t="s">
        <v>231</v>
      </c>
      <c r="F1" s="305" t="s">
        <v>1295</v>
      </c>
      <c r="G1" s="305" t="s">
        <v>1852</v>
      </c>
      <c r="H1" s="305" t="s">
        <v>232</v>
      </c>
      <c r="I1" s="305" t="s">
        <v>203</v>
      </c>
      <c r="J1" s="305" t="s">
        <v>233</v>
      </c>
      <c r="K1" s="305" t="s">
        <v>234</v>
      </c>
      <c r="L1" s="305" t="s">
        <v>235</v>
      </c>
      <c r="M1" s="305" t="s">
        <v>236</v>
      </c>
      <c r="N1" s="305" t="s">
        <v>237</v>
      </c>
      <c r="O1" s="305" t="s">
        <v>238</v>
      </c>
      <c r="P1" s="305" t="s">
        <v>1296</v>
      </c>
      <c r="Q1" s="305" t="s">
        <v>239</v>
      </c>
      <c r="R1" s="305" t="s">
        <v>240</v>
      </c>
      <c r="S1" s="305" t="s">
        <v>135</v>
      </c>
    </row>
    <row r="2" spans="1:19">
      <c r="A2" s="308">
        <v>1</v>
      </c>
      <c r="B2" s="313">
        <v>22909</v>
      </c>
      <c r="C2" s="314" t="s">
        <v>1542</v>
      </c>
      <c r="D2" s="314" t="s">
        <v>1542</v>
      </c>
      <c r="E2" s="309" t="s">
        <v>1853</v>
      </c>
      <c r="F2" s="318">
        <v>28.8</v>
      </c>
      <c r="G2" s="319" t="s">
        <v>1542</v>
      </c>
      <c r="H2" s="310" t="s">
        <v>1855</v>
      </c>
      <c r="I2" s="311" t="s">
        <v>1857</v>
      </c>
      <c r="J2" s="322">
        <v>651</v>
      </c>
      <c r="K2" s="310" t="s">
        <v>1542</v>
      </c>
      <c r="L2" s="312" t="s">
        <v>1542</v>
      </c>
      <c r="M2" s="323" t="s">
        <v>1542</v>
      </c>
      <c r="N2" s="310" t="s">
        <v>1542</v>
      </c>
      <c r="O2" s="310" t="s">
        <v>1542</v>
      </c>
      <c r="P2" s="310" t="s">
        <v>1542</v>
      </c>
      <c r="Q2" s="310"/>
      <c r="R2" s="310" t="s">
        <v>1542</v>
      </c>
      <c r="S2" s="338" t="s">
        <v>1859</v>
      </c>
    </row>
    <row r="3" spans="1:19">
      <c r="A3" s="308">
        <v>2</v>
      </c>
      <c r="B3" s="313">
        <v>29958</v>
      </c>
      <c r="C3" s="315">
        <v>45565</v>
      </c>
      <c r="D3" s="315"/>
      <c r="E3" s="309" t="s">
        <v>1854</v>
      </c>
      <c r="F3" s="318">
        <v>9</v>
      </c>
      <c r="G3" s="319">
        <v>40</v>
      </c>
      <c r="H3" s="310" t="s">
        <v>1856</v>
      </c>
      <c r="I3" s="311" t="s">
        <v>1857</v>
      </c>
      <c r="J3" s="310">
        <v>651</v>
      </c>
      <c r="K3" s="310">
        <v>1</v>
      </c>
      <c r="L3" s="312">
        <v>16.059999999999999</v>
      </c>
      <c r="M3" s="323" t="s">
        <v>1542</v>
      </c>
      <c r="N3" s="310" t="s">
        <v>1542</v>
      </c>
      <c r="O3" s="310" t="s">
        <v>1542</v>
      </c>
      <c r="P3" s="310" t="s">
        <v>1856</v>
      </c>
      <c r="Q3" s="310"/>
      <c r="R3" s="310" t="s">
        <v>1856</v>
      </c>
      <c r="S3" s="339"/>
    </row>
    <row r="4" spans="1:19">
      <c r="A4" s="1">
        <v>3</v>
      </c>
      <c r="B4" s="316">
        <v>24240</v>
      </c>
      <c r="C4" s="317" t="s">
        <v>1542</v>
      </c>
      <c r="D4" s="317" t="s">
        <v>1542</v>
      </c>
      <c r="E4" s="2" t="s">
        <v>1853</v>
      </c>
      <c r="F4" s="320">
        <v>36</v>
      </c>
      <c r="G4" s="321" t="s">
        <v>1542</v>
      </c>
      <c r="H4" s="3" t="s">
        <v>1855</v>
      </c>
      <c r="I4" s="306" t="s">
        <v>1857</v>
      </c>
      <c r="J4" s="3">
        <v>651</v>
      </c>
      <c r="K4" s="3" t="s">
        <v>1542</v>
      </c>
      <c r="L4" s="4" t="s">
        <v>1542</v>
      </c>
      <c r="M4" s="324" t="s">
        <v>1542</v>
      </c>
      <c r="N4" s="3" t="s">
        <v>1542</v>
      </c>
      <c r="O4" s="3" t="s">
        <v>1542</v>
      </c>
      <c r="P4" s="3" t="s">
        <v>1542</v>
      </c>
      <c r="Q4" s="3"/>
      <c r="R4" s="3" t="s">
        <v>1542</v>
      </c>
      <c r="S4" s="326" t="s">
        <v>1625</v>
      </c>
    </row>
    <row r="5" spans="1:19">
      <c r="A5" s="308">
        <v>4</v>
      </c>
      <c r="B5" s="313">
        <v>29136</v>
      </c>
      <c r="C5" s="315">
        <v>42684</v>
      </c>
      <c r="D5" s="315">
        <v>42684</v>
      </c>
      <c r="E5" s="309" t="s">
        <v>1858</v>
      </c>
      <c r="F5" s="318">
        <v>17.5</v>
      </c>
      <c r="G5" s="319">
        <v>40</v>
      </c>
      <c r="H5" s="310" t="s">
        <v>1855</v>
      </c>
      <c r="I5" s="311" t="s">
        <v>1857</v>
      </c>
      <c r="J5" s="310">
        <v>651</v>
      </c>
      <c r="K5" s="310">
        <v>1</v>
      </c>
      <c r="L5" s="312">
        <v>16.059999999999999</v>
      </c>
      <c r="M5" s="325" t="s">
        <v>1542</v>
      </c>
      <c r="N5" s="310" t="s">
        <v>1542</v>
      </c>
      <c r="O5" s="310" t="s">
        <v>1542</v>
      </c>
      <c r="P5" s="310" t="s">
        <v>1855</v>
      </c>
      <c r="Q5" s="310"/>
      <c r="R5" s="310" t="s">
        <v>1855</v>
      </c>
      <c r="S5" s="327" t="s">
        <v>1596</v>
      </c>
    </row>
    <row r="6" spans="1:19">
      <c r="A6" s="1">
        <v>5</v>
      </c>
      <c r="B6" s="316">
        <v>23011</v>
      </c>
      <c r="C6" s="317">
        <v>44531</v>
      </c>
      <c r="D6" s="317">
        <v>44531</v>
      </c>
      <c r="E6" s="2" t="s">
        <v>1858</v>
      </c>
      <c r="F6" s="320">
        <v>19</v>
      </c>
      <c r="G6" s="321">
        <v>40</v>
      </c>
      <c r="H6" s="3" t="s">
        <v>1855</v>
      </c>
      <c r="I6" s="306" t="s">
        <v>1857</v>
      </c>
      <c r="J6" s="3">
        <v>651</v>
      </c>
      <c r="K6" s="3">
        <v>1</v>
      </c>
      <c r="L6" s="4">
        <v>16.059999999999999</v>
      </c>
      <c r="M6" s="324" t="s">
        <v>1542</v>
      </c>
      <c r="N6" s="3" t="s">
        <v>1542</v>
      </c>
      <c r="O6" s="3" t="s">
        <v>1542</v>
      </c>
      <c r="P6" s="3" t="s">
        <v>1855</v>
      </c>
      <c r="Q6" s="3"/>
      <c r="R6" s="3" t="s">
        <v>1856</v>
      </c>
      <c r="S6" s="326" t="s">
        <v>1597</v>
      </c>
    </row>
    <row r="7" spans="1:19">
      <c r="A7" s="308">
        <v>6</v>
      </c>
      <c r="B7" s="313">
        <v>29315</v>
      </c>
      <c r="C7" s="315">
        <v>43367</v>
      </c>
      <c r="D7" s="315">
        <v>43367</v>
      </c>
      <c r="E7" s="309" t="s">
        <v>1858</v>
      </c>
      <c r="F7" s="318">
        <v>2</v>
      </c>
      <c r="G7" s="319">
        <v>40</v>
      </c>
      <c r="H7" s="310" t="s">
        <v>1856</v>
      </c>
      <c r="I7" s="309" t="s">
        <v>1857</v>
      </c>
      <c r="J7" s="310">
        <v>651</v>
      </c>
      <c r="K7" s="310">
        <v>1</v>
      </c>
      <c r="L7" s="312">
        <v>16.059999999999999</v>
      </c>
      <c r="M7" s="325" t="s">
        <v>1542</v>
      </c>
      <c r="N7" s="310" t="s">
        <v>1542</v>
      </c>
      <c r="O7" s="310" t="s">
        <v>1542</v>
      </c>
      <c r="P7" s="310" t="s">
        <v>1855</v>
      </c>
      <c r="Q7" s="310"/>
      <c r="R7" s="310" t="s">
        <v>1855</v>
      </c>
      <c r="S7" s="338" t="s">
        <v>1598</v>
      </c>
    </row>
    <row r="8" spans="1:19">
      <c r="A8" s="308">
        <v>7</v>
      </c>
      <c r="B8" s="313">
        <v>37113</v>
      </c>
      <c r="C8" s="315">
        <v>44641</v>
      </c>
      <c r="D8" s="315">
        <v>44641</v>
      </c>
      <c r="E8" s="309" t="s">
        <v>1858</v>
      </c>
      <c r="F8" s="318">
        <v>6</v>
      </c>
      <c r="G8" s="319">
        <v>40</v>
      </c>
      <c r="H8" s="310" t="s">
        <v>1855</v>
      </c>
      <c r="I8" s="309" t="s">
        <v>1857</v>
      </c>
      <c r="J8" s="310">
        <v>651</v>
      </c>
      <c r="K8" s="310">
        <v>1</v>
      </c>
      <c r="L8" s="312">
        <v>15.58</v>
      </c>
      <c r="M8" s="325" t="s">
        <v>1542</v>
      </c>
      <c r="N8" s="310" t="s">
        <v>1542</v>
      </c>
      <c r="O8" s="310" t="s">
        <v>1542</v>
      </c>
      <c r="P8" s="310" t="s">
        <v>1855</v>
      </c>
      <c r="Q8" s="310"/>
      <c r="R8" s="310" t="s">
        <v>1855</v>
      </c>
      <c r="S8" s="342"/>
    </row>
    <row r="9" spans="1:19">
      <c r="A9" s="308">
        <v>8</v>
      </c>
      <c r="B9" s="313">
        <v>30368</v>
      </c>
      <c r="C9" s="315" t="s">
        <v>1542</v>
      </c>
      <c r="D9" s="315" t="s">
        <v>1542</v>
      </c>
      <c r="E9" s="309" t="s">
        <v>1853</v>
      </c>
      <c r="F9" s="318">
        <v>26</v>
      </c>
      <c r="G9" s="319" t="s">
        <v>1542</v>
      </c>
      <c r="H9" s="310" t="s">
        <v>1855</v>
      </c>
      <c r="I9" s="309" t="s">
        <v>1857</v>
      </c>
      <c r="J9" s="310">
        <v>651</v>
      </c>
      <c r="K9" s="310" t="s">
        <v>1542</v>
      </c>
      <c r="L9" s="312" t="s">
        <v>1542</v>
      </c>
      <c r="M9" s="325" t="s">
        <v>1542</v>
      </c>
      <c r="N9" s="310" t="s">
        <v>1542</v>
      </c>
      <c r="O9" s="310" t="s">
        <v>1542</v>
      </c>
      <c r="P9" s="310" t="s">
        <v>1542</v>
      </c>
      <c r="Q9" s="310"/>
      <c r="R9" s="310" t="s">
        <v>1542</v>
      </c>
      <c r="S9" s="339"/>
    </row>
    <row r="10" spans="1:19">
      <c r="A10" s="1">
        <v>9</v>
      </c>
      <c r="B10" s="316">
        <v>27288</v>
      </c>
      <c r="C10" s="317" t="s">
        <v>1542</v>
      </c>
      <c r="D10" s="317" t="s">
        <v>1542</v>
      </c>
      <c r="E10" s="2" t="s">
        <v>1853</v>
      </c>
      <c r="F10" s="320">
        <v>18</v>
      </c>
      <c r="G10" s="321" t="s">
        <v>1542</v>
      </c>
      <c r="H10" s="3" t="s">
        <v>1855</v>
      </c>
      <c r="I10" s="2" t="s">
        <v>1857</v>
      </c>
      <c r="J10" s="3">
        <v>651</v>
      </c>
      <c r="K10" s="3" t="s">
        <v>1542</v>
      </c>
      <c r="L10" s="4" t="s">
        <v>1542</v>
      </c>
      <c r="M10" s="324" t="s">
        <v>1542</v>
      </c>
      <c r="N10" s="3" t="s">
        <v>1542</v>
      </c>
      <c r="O10" s="3" t="s">
        <v>1542</v>
      </c>
      <c r="P10" s="3" t="s">
        <v>1542</v>
      </c>
      <c r="Q10" s="3"/>
      <c r="R10" s="3" t="s">
        <v>1542</v>
      </c>
      <c r="S10" s="326" t="s">
        <v>1860</v>
      </c>
    </row>
    <row r="11" spans="1:19">
      <c r="A11" s="308">
        <v>10</v>
      </c>
      <c r="B11" s="313">
        <v>27240</v>
      </c>
      <c r="C11" s="315" t="s">
        <v>1542</v>
      </c>
      <c r="D11" s="315" t="s">
        <v>1542</v>
      </c>
      <c r="E11" s="309" t="s">
        <v>1853</v>
      </c>
      <c r="F11" s="318"/>
      <c r="G11" s="319" t="s">
        <v>1542</v>
      </c>
      <c r="H11" s="310" t="s">
        <v>1855</v>
      </c>
      <c r="I11" s="309" t="s">
        <v>1857</v>
      </c>
      <c r="J11" s="310">
        <v>651</v>
      </c>
      <c r="K11" s="310" t="s">
        <v>1542</v>
      </c>
      <c r="L11" s="312" t="s">
        <v>1542</v>
      </c>
      <c r="M11" s="325" t="s">
        <v>1542</v>
      </c>
      <c r="N11" s="310" t="s">
        <v>1542</v>
      </c>
      <c r="O11" s="310" t="s">
        <v>1542</v>
      </c>
      <c r="P11" s="310" t="s">
        <v>1542</v>
      </c>
      <c r="Q11" s="310"/>
      <c r="R11" s="310" t="s">
        <v>1542</v>
      </c>
      <c r="S11" s="338" t="s">
        <v>1599</v>
      </c>
    </row>
    <row r="12" spans="1:19">
      <c r="A12" s="308">
        <v>11</v>
      </c>
      <c r="B12" s="313">
        <v>21307</v>
      </c>
      <c r="C12" s="315" t="s">
        <v>1542</v>
      </c>
      <c r="D12" s="315" t="s">
        <v>1542</v>
      </c>
      <c r="E12" s="309" t="s">
        <v>1853</v>
      </c>
      <c r="F12" s="318"/>
      <c r="G12" s="319" t="s">
        <v>1542</v>
      </c>
      <c r="H12" s="310" t="s">
        <v>1855</v>
      </c>
      <c r="I12" s="309" t="s">
        <v>1857</v>
      </c>
      <c r="J12" s="310">
        <v>651</v>
      </c>
      <c r="K12" s="310" t="s">
        <v>1542</v>
      </c>
      <c r="L12" s="312" t="s">
        <v>1542</v>
      </c>
      <c r="M12" s="325" t="s">
        <v>1542</v>
      </c>
      <c r="N12" s="310" t="s">
        <v>1542</v>
      </c>
      <c r="O12" s="310" t="s">
        <v>1542</v>
      </c>
      <c r="P12" s="310" t="s">
        <v>1542</v>
      </c>
      <c r="Q12" s="310"/>
      <c r="R12" s="310" t="s">
        <v>1542</v>
      </c>
      <c r="S12" s="342"/>
    </row>
    <row r="13" spans="1:19">
      <c r="A13" s="308">
        <v>12</v>
      </c>
      <c r="B13" s="313">
        <v>39504</v>
      </c>
      <c r="C13" s="315">
        <v>45132</v>
      </c>
      <c r="D13" s="315">
        <v>45132</v>
      </c>
      <c r="E13" s="309" t="s">
        <v>1854</v>
      </c>
      <c r="F13" s="318">
        <v>2.5</v>
      </c>
      <c r="G13" s="319">
        <v>52</v>
      </c>
      <c r="H13" s="310" t="s">
        <v>1855</v>
      </c>
      <c r="I13" s="309" t="s">
        <v>1857</v>
      </c>
      <c r="J13" s="310">
        <v>651</v>
      </c>
      <c r="K13" s="310">
        <v>1</v>
      </c>
      <c r="L13" s="312">
        <v>11.27</v>
      </c>
      <c r="M13" s="325" t="s">
        <v>1542</v>
      </c>
      <c r="N13" s="325" t="s">
        <v>1542</v>
      </c>
      <c r="O13" s="325" t="s">
        <v>1542</v>
      </c>
      <c r="P13" s="310" t="s">
        <v>1856</v>
      </c>
      <c r="Q13" s="310"/>
      <c r="R13" s="310" t="s">
        <v>1856</v>
      </c>
      <c r="S13" s="339"/>
    </row>
    <row r="14" spans="1:19">
      <c r="A14" s="1">
        <v>13</v>
      </c>
      <c r="B14" s="316">
        <v>22188</v>
      </c>
      <c r="C14" s="317">
        <v>43780</v>
      </c>
      <c r="D14" s="317">
        <v>43780</v>
      </c>
      <c r="E14" s="2" t="s">
        <v>1858</v>
      </c>
      <c r="F14" s="320">
        <v>12.5</v>
      </c>
      <c r="G14" s="321">
        <v>52</v>
      </c>
      <c r="H14" s="3" t="s">
        <v>1855</v>
      </c>
      <c r="I14" s="2" t="s">
        <v>1857</v>
      </c>
      <c r="J14" s="3">
        <v>651</v>
      </c>
      <c r="K14" s="3">
        <v>1</v>
      </c>
      <c r="L14" s="4">
        <v>16.059999999999999</v>
      </c>
      <c r="M14" s="324" t="s">
        <v>1542</v>
      </c>
      <c r="N14" s="324" t="s">
        <v>1542</v>
      </c>
      <c r="O14" s="324" t="s">
        <v>1542</v>
      </c>
      <c r="P14" s="3" t="s">
        <v>1855</v>
      </c>
      <c r="Q14" s="3"/>
      <c r="R14" s="3" t="s">
        <v>1855</v>
      </c>
      <c r="S14" s="326" t="s">
        <v>1600</v>
      </c>
    </row>
    <row r="15" spans="1:19">
      <c r="A15" s="308">
        <v>14</v>
      </c>
      <c r="B15" s="313">
        <v>33270</v>
      </c>
      <c r="C15" s="315">
        <v>45579</v>
      </c>
      <c r="D15" s="315">
        <v>41086</v>
      </c>
      <c r="E15" s="309" t="s">
        <v>1854</v>
      </c>
      <c r="F15" s="318">
        <v>10</v>
      </c>
      <c r="G15" s="319">
        <v>40</v>
      </c>
      <c r="H15" s="310" t="s">
        <v>1856</v>
      </c>
      <c r="I15" s="309" t="s">
        <v>1857</v>
      </c>
      <c r="J15" s="310">
        <v>651</v>
      </c>
      <c r="K15" s="310">
        <v>1</v>
      </c>
      <c r="L15" s="312">
        <v>16.059999999999999</v>
      </c>
      <c r="M15" s="325" t="s">
        <v>1542</v>
      </c>
      <c r="N15" s="325" t="s">
        <v>1542</v>
      </c>
      <c r="O15" s="325" t="s">
        <v>1542</v>
      </c>
      <c r="P15" s="310" t="s">
        <v>1856</v>
      </c>
      <c r="Q15" s="310"/>
      <c r="R15" s="310" t="s">
        <v>1855</v>
      </c>
      <c r="S15" s="338" t="s">
        <v>1601</v>
      </c>
    </row>
    <row r="16" spans="1:19">
      <c r="A16" s="308">
        <v>15</v>
      </c>
      <c r="B16" s="313">
        <v>29173</v>
      </c>
      <c r="C16" s="315">
        <v>43409</v>
      </c>
      <c r="D16" s="315">
        <v>43409</v>
      </c>
      <c r="E16" s="309" t="s">
        <v>1858</v>
      </c>
      <c r="F16" s="318">
        <v>17.75</v>
      </c>
      <c r="G16" s="319">
        <v>40</v>
      </c>
      <c r="H16" s="310" t="s">
        <v>1855</v>
      </c>
      <c r="I16" s="309" t="s">
        <v>1857</v>
      </c>
      <c r="J16" s="310">
        <v>651</v>
      </c>
      <c r="K16" s="310">
        <v>1</v>
      </c>
      <c r="L16" s="312">
        <v>16.059999999999999</v>
      </c>
      <c r="M16" s="325" t="s">
        <v>1542</v>
      </c>
      <c r="N16" s="325" t="s">
        <v>1542</v>
      </c>
      <c r="O16" s="325" t="s">
        <v>1542</v>
      </c>
      <c r="P16" s="310" t="s">
        <v>1855</v>
      </c>
      <c r="Q16" s="310"/>
      <c r="R16" s="310" t="s">
        <v>1856</v>
      </c>
      <c r="S16" s="339"/>
    </row>
    <row r="17" spans="1:19">
      <c r="A17" s="1">
        <v>16</v>
      </c>
      <c r="B17" s="316">
        <v>39904</v>
      </c>
      <c r="C17" s="317" t="s">
        <v>1542</v>
      </c>
      <c r="D17" s="317" t="s">
        <v>1542</v>
      </c>
      <c r="E17" s="2" t="s">
        <v>1853</v>
      </c>
      <c r="F17" s="320">
        <v>25</v>
      </c>
      <c r="G17" s="321" t="s">
        <v>1542</v>
      </c>
      <c r="H17" s="3" t="s">
        <v>1855</v>
      </c>
      <c r="I17" s="2" t="s">
        <v>1857</v>
      </c>
      <c r="J17" s="3">
        <v>651</v>
      </c>
      <c r="K17" s="3" t="s">
        <v>1542</v>
      </c>
      <c r="L17" s="4" t="s">
        <v>1542</v>
      </c>
      <c r="M17" s="324" t="s">
        <v>1542</v>
      </c>
      <c r="N17" s="3" t="s">
        <v>1542</v>
      </c>
      <c r="O17" s="3" t="s">
        <v>1542</v>
      </c>
      <c r="P17" s="3" t="s">
        <v>1542</v>
      </c>
      <c r="Q17" s="3"/>
      <c r="R17" s="3" t="s">
        <v>1542</v>
      </c>
      <c r="S17" s="340" t="s">
        <v>1602</v>
      </c>
    </row>
    <row r="18" spans="1:19">
      <c r="A18" s="1">
        <v>17</v>
      </c>
      <c r="B18" s="316">
        <v>23011</v>
      </c>
      <c r="C18" s="317">
        <v>44531</v>
      </c>
      <c r="D18" s="317">
        <v>44531</v>
      </c>
      <c r="E18" s="2" t="s">
        <v>1858</v>
      </c>
      <c r="F18" s="320">
        <v>25</v>
      </c>
      <c r="G18" s="321">
        <v>40</v>
      </c>
      <c r="H18" s="3" t="s">
        <v>1855</v>
      </c>
      <c r="I18" s="2" t="s">
        <v>1857</v>
      </c>
      <c r="J18" s="3">
        <v>651</v>
      </c>
      <c r="K18" s="3">
        <v>1</v>
      </c>
      <c r="L18" s="4">
        <v>16.059999999999999</v>
      </c>
      <c r="M18" s="324" t="s">
        <v>1542</v>
      </c>
      <c r="N18" s="3" t="s">
        <v>1542</v>
      </c>
      <c r="O18" s="3" t="s">
        <v>1542</v>
      </c>
      <c r="P18" s="3" t="s">
        <v>1855</v>
      </c>
      <c r="Q18" s="3"/>
      <c r="R18" s="3" t="s">
        <v>1856</v>
      </c>
      <c r="S18" s="341"/>
    </row>
    <row r="19" spans="1:19">
      <c r="A19" s="308">
        <v>18</v>
      </c>
      <c r="B19" s="313">
        <v>30546</v>
      </c>
      <c r="C19" s="315">
        <v>44593</v>
      </c>
      <c r="D19" s="315">
        <v>44593</v>
      </c>
      <c r="E19" s="309" t="s">
        <v>1858</v>
      </c>
      <c r="F19" s="318">
        <v>7.5</v>
      </c>
      <c r="G19" s="319">
        <v>40</v>
      </c>
      <c r="H19" s="310" t="s">
        <v>1855</v>
      </c>
      <c r="I19" s="309" t="s">
        <v>1857</v>
      </c>
      <c r="J19" s="310">
        <v>651</v>
      </c>
      <c r="K19" s="310">
        <v>1</v>
      </c>
      <c r="L19" s="312">
        <v>16.059999999999999</v>
      </c>
      <c r="M19" s="325" t="s">
        <v>1542</v>
      </c>
      <c r="N19" s="310" t="s">
        <v>1542</v>
      </c>
      <c r="O19" s="310" t="s">
        <v>1542</v>
      </c>
      <c r="P19" s="310" t="s">
        <v>1855</v>
      </c>
      <c r="Q19" s="310"/>
      <c r="R19" s="310" t="s">
        <v>1856</v>
      </c>
      <c r="S19" s="338" t="s">
        <v>1847</v>
      </c>
    </row>
    <row r="20" spans="1:19">
      <c r="A20" s="308">
        <v>19</v>
      </c>
      <c r="B20" s="313">
        <v>29201</v>
      </c>
      <c r="C20" s="315" t="s">
        <v>1542</v>
      </c>
      <c r="D20" s="315" t="s">
        <v>1542</v>
      </c>
      <c r="E20" s="309" t="s">
        <v>1853</v>
      </c>
      <c r="F20" s="318">
        <v>32</v>
      </c>
      <c r="G20" s="319" t="s">
        <v>1542</v>
      </c>
      <c r="H20" s="310" t="s">
        <v>1855</v>
      </c>
      <c r="I20" s="309" t="s">
        <v>1857</v>
      </c>
      <c r="J20" s="310" t="s">
        <v>1542</v>
      </c>
      <c r="K20" s="310" t="s">
        <v>1542</v>
      </c>
      <c r="L20" s="312" t="s">
        <v>1542</v>
      </c>
      <c r="M20" s="325" t="s">
        <v>1542</v>
      </c>
      <c r="N20" s="310" t="s">
        <v>1542</v>
      </c>
      <c r="O20" s="310" t="s">
        <v>1542</v>
      </c>
      <c r="P20" s="310" t="s">
        <v>1542</v>
      </c>
      <c r="Q20" s="310"/>
      <c r="R20" s="310" t="s">
        <v>1542</v>
      </c>
      <c r="S20" s="339"/>
    </row>
    <row r="21" spans="1:19">
      <c r="A21" s="1">
        <v>20</v>
      </c>
      <c r="B21" s="316">
        <v>30546</v>
      </c>
      <c r="C21" s="317">
        <v>44593</v>
      </c>
      <c r="D21" s="317">
        <v>44593</v>
      </c>
      <c r="E21" s="2" t="s">
        <v>1858</v>
      </c>
      <c r="F21" s="320">
        <v>20</v>
      </c>
      <c r="G21" s="321">
        <v>40</v>
      </c>
      <c r="H21" s="3" t="s">
        <v>1855</v>
      </c>
      <c r="I21" s="2" t="s">
        <v>1857</v>
      </c>
      <c r="J21" s="3">
        <v>651</v>
      </c>
      <c r="K21" s="3">
        <v>1</v>
      </c>
      <c r="L21" s="4">
        <v>16.059999999999999</v>
      </c>
      <c r="M21" s="324" t="s">
        <v>1542</v>
      </c>
      <c r="N21" s="3" t="s">
        <v>1542</v>
      </c>
      <c r="O21" s="3" t="s">
        <v>1542</v>
      </c>
      <c r="P21" s="3" t="s">
        <v>1855</v>
      </c>
      <c r="Q21" s="3"/>
      <c r="R21" s="3" t="s">
        <v>1856</v>
      </c>
      <c r="S21" s="326" t="s">
        <v>1848</v>
      </c>
    </row>
    <row r="22" spans="1:19">
      <c r="A22" s="308">
        <v>21</v>
      </c>
      <c r="B22" s="313">
        <v>26066</v>
      </c>
      <c r="C22" s="315">
        <v>44501</v>
      </c>
      <c r="D22" s="315">
        <v>44501</v>
      </c>
      <c r="E22" s="309" t="s">
        <v>1858</v>
      </c>
      <c r="F22" s="318">
        <v>12.5</v>
      </c>
      <c r="G22" s="319">
        <v>40</v>
      </c>
      <c r="H22" s="310" t="s">
        <v>1855</v>
      </c>
      <c r="I22" s="309" t="s">
        <v>1857</v>
      </c>
      <c r="J22" s="310">
        <v>651</v>
      </c>
      <c r="K22" s="310">
        <v>1</v>
      </c>
      <c r="L22" s="312">
        <v>15.58</v>
      </c>
      <c r="M22" s="325" t="s">
        <v>1542</v>
      </c>
      <c r="N22" s="310" t="s">
        <v>1542</v>
      </c>
      <c r="O22" s="310" t="s">
        <v>1542</v>
      </c>
      <c r="P22" s="310" t="s">
        <v>1856</v>
      </c>
      <c r="Q22" s="310"/>
      <c r="R22" s="310" t="s">
        <v>1855</v>
      </c>
      <c r="S22" s="338" t="s">
        <v>1603</v>
      </c>
    </row>
    <row r="23" spans="1:19">
      <c r="A23" s="308">
        <v>22</v>
      </c>
      <c r="B23" s="313">
        <v>28519</v>
      </c>
      <c r="C23" s="315" t="s">
        <v>1542</v>
      </c>
      <c r="D23" s="315" t="s">
        <v>1542</v>
      </c>
      <c r="E23" s="309" t="s">
        <v>1853</v>
      </c>
      <c r="F23" s="318">
        <v>36</v>
      </c>
      <c r="G23" s="319" t="s">
        <v>1542</v>
      </c>
      <c r="H23" s="310" t="s">
        <v>1855</v>
      </c>
      <c r="I23" s="309" t="s">
        <v>1857</v>
      </c>
      <c r="J23" s="310">
        <v>651</v>
      </c>
      <c r="K23" s="310" t="s">
        <v>1542</v>
      </c>
      <c r="L23" s="312" t="s">
        <v>1542</v>
      </c>
      <c r="M23" s="325" t="s">
        <v>1542</v>
      </c>
      <c r="N23" s="310" t="s">
        <v>1542</v>
      </c>
      <c r="O23" s="310" t="s">
        <v>1542</v>
      </c>
      <c r="P23" s="310" t="s">
        <v>1542</v>
      </c>
      <c r="Q23" s="310"/>
      <c r="R23" s="310" t="s">
        <v>1542</v>
      </c>
      <c r="S23" s="339"/>
    </row>
    <row r="24" spans="1:19">
      <c r="A24" s="1">
        <v>23</v>
      </c>
      <c r="B24" s="316">
        <v>23058</v>
      </c>
      <c r="C24" s="317" t="s">
        <v>1542</v>
      </c>
      <c r="D24" s="317" t="s">
        <v>1542</v>
      </c>
      <c r="E24" s="2" t="s">
        <v>1853</v>
      </c>
      <c r="F24" s="320">
        <v>36</v>
      </c>
      <c r="G24" s="321" t="s">
        <v>1542</v>
      </c>
      <c r="H24" s="3" t="s">
        <v>1855</v>
      </c>
      <c r="I24" s="2" t="s">
        <v>1857</v>
      </c>
      <c r="J24" s="3">
        <v>651</v>
      </c>
      <c r="K24" s="3" t="s">
        <v>1542</v>
      </c>
      <c r="L24" s="4" t="s">
        <v>1542</v>
      </c>
      <c r="M24" s="324" t="s">
        <v>1542</v>
      </c>
      <c r="N24" s="3" t="s">
        <v>1542</v>
      </c>
      <c r="O24" s="3" t="s">
        <v>1542</v>
      </c>
      <c r="P24" s="3" t="s">
        <v>1542</v>
      </c>
      <c r="Q24" s="3"/>
      <c r="R24" s="3" t="s">
        <v>1542</v>
      </c>
      <c r="S24" s="340" t="s">
        <v>1604</v>
      </c>
    </row>
    <row r="25" spans="1:19">
      <c r="A25" s="1">
        <v>24</v>
      </c>
      <c r="B25" s="316">
        <v>23926</v>
      </c>
      <c r="C25" s="317" t="s">
        <v>1542</v>
      </c>
      <c r="D25" s="317" t="s">
        <v>1542</v>
      </c>
      <c r="E25" s="2" t="s">
        <v>1853</v>
      </c>
      <c r="F25" s="320">
        <v>18</v>
      </c>
      <c r="G25" s="321" t="s">
        <v>1542</v>
      </c>
      <c r="H25" s="3" t="s">
        <v>1855</v>
      </c>
      <c r="I25" s="2" t="s">
        <v>1857</v>
      </c>
      <c r="J25" s="3">
        <v>651</v>
      </c>
      <c r="K25" s="3" t="s">
        <v>1542</v>
      </c>
      <c r="L25" s="4" t="s">
        <v>1542</v>
      </c>
      <c r="M25" s="324" t="s">
        <v>1542</v>
      </c>
      <c r="N25" s="3" t="s">
        <v>1542</v>
      </c>
      <c r="O25" s="3" t="s">
        <v>1542</v>
      </c>
      <c r="P25" s="3" t="s">
        <v>1542</v>
      </c>
      <c r="Q25" s="3"/>
      <c r="R25" s="3" t="s">
        <v>1542</v>
      </c>
      <c r="S25" s="341"/>
    </row>
    <row r="26" spans="1:19">
      <c r="A26" s="308">
        <v>25</v>
      </c>
      <c r="B26" s="313">
        <v>33556</v>
      </c>
      <c r="C26" s="315">
        <v>43405</v>
      </c>
      <c r="D26" s="315">
        <v>42513</v>
      </c>
      <c r="E26" s="309" t="s">
        <v>1858</v>
      </c>
      <c r="F26" s="318">
        <v>17.5</v>
      </c>
      <c r="G26" s="319">
        <v>40</v>
      </c>
      <c r="H26" s="310" t="s">
        <v>1855</v>
      </c>
      <c r="I26" s="309" t="s">
        <v>1857</v>
      </c>
      <c r="J26" s="310">
        <v>651</v>
      </c>
      <c r="K26" s="310">
        <v>1</v>
      </c>
      <c r="L26" s="312">
        <v>16.059999999999999</v>
      </c>
      <c r="M26" s="325" t="s">
        <v>1542</v>
      </c>
      <c r="N26" s="310" t="s">
        <v>1542</v>
      </c>
      <c r="O26" s="310" t="s">
        <v>1542</v>
      </c>
      <c r="P26" s="310" t="s">
        <v>1855</v>
      </c>
      <c r="Q26" s="310"/>
      <c r="R26" s="310" t="s">
        <v>1856</v>
      </c>
      <c r="S26" s="327" t="s">
        <v>1846</v>
      </c>
    </row>
    <row r="27" spans="1:19">
      <c r="A27" s="1">
        <v>26</v>
      </c>
      <c r="B27" s="316">
        <v>23140</v>
      </c>
      <c r="C27" s="317" t="s">
        <v>1542</v>
      </c>
      <c r="D27" s="317" t="s">
        <v>1542</v>
      </c>
      <c r="E27" s="2" t="s">
        <v>1853</v>
      </c>
      <c r="F27" s="320">
        <v>36</v>
      </c>
      <c r="G27" s="321" t="s">
        <v>1542</v>
      </c>
      <c r="H27" s="3" t="s">
        <v>1855</v>
      </c>
      <c r="I27" s="2" t="s">
        <v>1857</v>
      </c>
      <c r="J27" s="3">
        <v>651</v>
      </c>
      <c r="K27" s="3" t="s">
        <v>1542</v>
      </c>
      <c r="L27" s="4" t="s">
        <v>1542</v>
      </c>
      <c r="M27" s="324" t="s">
        <v>1542</v>
      </c>
      <c r="N27" s="3" t="s">
        <v>1542</v>
      </c>
      <c r="O27" s="3" t="s">
        <v>1542</v>
      </c>
      <c r="P27" s="3" t="s">
        <v>1542</v>
      </c>
      <c r="Q27" s="3"/>
      <c r="R27" s="3" t="s">
        <v>1542</v>
      </c>
      <c r="S27" s="326" t="s">
        <v>1845</v>
      </c>
    </row>
    <row r="28" spans="1:19">
      <c r="A28" s="308">
        <v>27</v>
      </c>
      <c r="B28" s="313">
        <v>27305</v>
      </c>
      <c r="C28" s="315">
        <v>45625</v>
      </c>
      <c r="D28" s="315" t="s">
        <v>1861</v>
      </c>
      <c r="E28" s="309" t="s">
        <v>1854</v>
      </c>
      <c r="F28" s="318">
        <v>12.5</v>
      </c>
      <c r="G28" s="319">
        <v>40</v>
      </c>
      <c r="H28" s="310" t="s">
        <v>1856</v>
      </c>
      <c r="I28" s="309" t="s">
        <v>1857</v>
      </c>
      <c r="J28" s="310">
        <v>651</v>
      </c>
      <c r="K28" s="310">
        <v>1</v>
      </c>
      <c r="L28" s="312">
        <v>14.58</v>
      </c>
      <c r="M28" s="325" t="s">
        <v>1542</v>
      </c>
      <c r="N28" s="310" t="s">
        <v>1542</v>
      </c>
      <c r="O28" s="310" t="s">
        <v>1542</v>
      </c>
      <c r="P28" s="310" t="s">
        <v>1542</v>
      </c>
      <c r="Q28" s="310"/>
      <c r="R28" s="310" t="s">
        <v>1856</v>
      </c>
      <c r="S28" s="327" t="s">
        <v>1862</v>
      </c>
    </row>
    <row r="29" spans="1:19">
      <c r="G29" s="307"/>
    </row>
    <row r="30" spans="1:19">
      <c r="E30" s="6" t="s">
        <v>1863</v>
      </c>
      <c r="G30" s="307"/>
    </row>
    <row r="31" spans="1:19">
      <c r="E31" s="6" t="s">
        <v>1864</v>
      </c>
    </row>
  </sheetData>
  <sheetProtection algorithmName="SHA-512" hashValue="eFUD20V2uMfHNxI8oVwiGpg6TitVlVk1nOiF2RAy54523XN7xfNtqEkdx+0oW33ho3OSCSEh+WTEorRr/QJk4w==" saltValue="M0BxDV31SfJecobcjXV4bw==" spinCount="100000" sheet="1" objects="1" scenarios="1" selectLockedCells="1"/>
  <mergeCells count="8">
    <mergeCell ref="S22:S23"/>
    <mergeCell ref="S24:S25"/>
    <mergeCell ref="S2:S3"/>
    <mergeCell ref="S7:S9"/>
    <mergeCell ref="S11:S13"/>
    <mergeCell ref="S15:S16"/>
    <mergeCell ref="S17:S18"/>
    <mergeCell ref="S19:S20"/>
  </mergeCells>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DF0DE-C800-4F2F-A8AE-571612A8957C}">
  <sheetPr codeName="Blad14">
    <tabColor theme="0" tint="-0.14999847407452621"/>
  </sheetPr>
  <dimension ref="A1:J27"/>
  <sheetViews>
    <sheetView showGridLines="0" view="pageBreakPreview" zoomScaleNormal="100" zoomScaleSheetLayoutView="100" workbookViewId="0">
      <selection activeCell="A2" sqref="A2:I2"/>
    </sheetView>
  </sheetViews>
  <sheetFormatPr defaultColWidth="9.140625" defaultRowHeight="12"/>
  <cols>
    <col min="1" max="1" width="15.42578125" style="78" customWidth="1"/>
    <col min="2" max="2" width="42.28515625" style="78" customWidth="1"/>
    <col min="3" max="3" width="13.28515625" style="99" customWidth="1"/>
    <col min="4" max="4" width="44.140625" style="78" bestFit="1" customWidth="1"/>
    <col min="5" max="5" width="17.7109375" style="78" bestFit="1" customWidth="1"/>
    <col min="6" max="6" width="17.7109375" style="196" bestFit="1" customWidth="1"/>
    <col min="7" max="8" width="18" style="78" bestFit="1" customWidth="1"/>
    <col min="9" max="9" width="23.28515625" style="78" bestFit="1" customWidth="1"/>
    <col min="10" max="10" width="23.85546875" style="78" bestFit="1" customWidth="1"/>
    <col min="11" max="11" width="18" style="78" bestFit="1" customWidth="1"/>
    <col min="12" max="16384" width="9.140625" style="78"/>
  </cols>
  <sheetData>
    <row r="1" spans="1:10" s="55" customFormat="1" ht="26.25" customHeight="1">
      <c r="A1" s="379" t="s">
        <v>1301</v>
      </c>
      <c r="B1" s="379"/>
      <c r="C1" s="379"/>
      <c r="D1" s="379"/>
      <c r="E1" s="379"/>
      <c r="F1" s="379"/>
      <c r="G1" s="379"/>
      <c r="H1" s="379"/>
      <c r="I1" s="379"/>
    </row>
    <row r="2" spans="1:10" s="55" customFormat="1" ht="15" customHeight="1">
      <c r="A2" s="419" t="s">
        <v>1588</v>
      </c>
      <c r="B2" s="427"/>
      <c r="C2" s="427"/>
      <c r="D2" s="427"/>
      <c r="E2" s="427"/>
      <c r="F2" s="427"/>
      <c r="G2" s="427"/>
      <c r="H2" s="427"/>
      <c r="I2" s="428"/>
    </row>
    <row r="3" spans="1:10" ht="15" customHeight="1">
      <c r="B3" s="99"/>
      <c r="C3" s="78"/>
      <c r="F3" s="78"/>
    </row>
    <row r="4" spans="1:10" ht="15" customHeight="1">
      <c r="A4" s="78" t="s">
        <v>168</v>
      </c>
      <c r="B4" s="197"/>
      <c r="C4" s="197"/>
      <c r="D4" s="197"/>
      <c r="E4" s="197"/>
      <c r="F4" s="198"/>
      <c r="G4" s="199"/>
    </row>
    <row r="5" spans="1:10" ht="15" customHeight="1">
      <c r="A5" s="78" t="s">
        <v>221</v>
      </c>
      <c r="B5" s="197"/>
      <c r="C5" s="197"/>
      <c r="D5" s="197"/>
      <c r="E5" s="197"/>
      <c r="F5" s="198"/>
      <c r="G5" s="199"/>
    </row>
    <row r="6" spans="1:10" ht="15" customHeight="1">
      <c r="A6" s="78" t="s">
        <v>214</v>
      </c>
      <c r="B6" s="200"/>
      <c r="C6" s="201"/>
      <c r="D6" s="201"/>
      <c r="E6" s="201"/>
      <c r="F6" s="202"/>
    </row>
    <row r="7" spans="1:10" ht="15" customHeight="1">
      <c r="B7" s="200"/>
      <c r="C7" s="200"/>
      <c r="D7" s="203"/>
      <c r="E7" s="396" t="s">
        <v>243</v>
      </c>
      <c r="F7" s="396"/>
      <c r="G7" s="396"/>
      <c r="H7" s="396"/>
      <c r="I7" s="396"/>
    </row>
    <row r="8" spans="1:10" s="79" customFormat="1" ht="26.25" customHeight="1">
      <c r="A8" s="283" t="s">
        <v>198</v>
      </c>
      <c r="B8" s="283" t="s">
        <v>150</v>
      </c>
      <c r="C8" s="283" t="s">
        <v>1579</v>
      </c>
      <c r="D8" s="283" t="s">
        <v>1580</v>
      </c>
      <c r="E8" s="304" t="s">
        <v>1242</v>
      </c>
      <c r="F8" s="304" t="s">
        <v>1300</v>
      </c>
      <c r="G8" s="304" t="s">
        <v>1577</v>
      </c>
      <c r="H8" s="304" t="s">
        <v>1626</v>
      </c>
      <c r="I8" s="304" t="s">
        <v>1849</v>
      </c>
    </row>
    <row r="9" spans="1:10" s="79" customFormat="1" ht="15" customHeight="1">
      <c r="A9" s="211">
        <v>1</v>
      </c>
      <c r="B9" s="183" t="s">
        <v>1907</v>
      </c>
      <c r="C9" s="431">
        <f>Tariefsopbouw!E35</f>
        <v>0</v>
      </c>
      <c r="D9" s="212" t="s">
        <v>1297</v>
      </c>
      <c r="E9" s="231" t="e">
        <f>(Invulextrawerkz[[#This Row],[Prijs
Excl. BTW]]*Tariefsopbouw!$I$37)+Invulextrawerkz[[#This Row],[Prijs
Excl. BTW]]</f>
        <v>#DIV/0!</v>
      </c>
      <c r="F9" s="206" t="e">
        <f>Invulextrawerkz[[#This Row],[2027]]*Tariefsopbouw!$K$37+Invulextrawerkz[[#This Row],[2027]]</f>
        <v>#DIV/0!</v>
      </c>
      <c r="G9" s="206" t="e">
        <f>Invulextrawerkz[[#This Row],[2028]]*Tariefsopbouw!$M$37+Invulextrawerkz[[#This Row],[2028]]</f>
        <v>#DIV/0!</v>
      </c>
      <c r="H9" s="206" t="e">
        <f>Invulextrawerkz[[#This Row],[2029]]*Tariefsopbouw!$O$37+Invulextrawerkz[[#This Row],[2029]]</f>
        <v>#DIV/0!</v>
      </c>
      <c r="I9" s="206" t="e">
        <f>Invulextrawerkz[[#This Row],[2030]]*Tariefsopbouw!$Q$37+Invulextrawerkz[[#This Row],[2030]]</f>
        <v>#DIV/0!</v>
      </c>
    </row>
    <row r="10" spans="1:10" s="79" customFormat="1" ht="15" customHeight="1">
      <c r="A10" s="211">
        <v>2</v>
      </c>
      <c r="B10" s="183" t="s">
        <v>1908</v>
      </c>
      <c r="C10" s="431">
        <f>Tariefsopbouw!E35</f>
        <v>0</v>
      </c>
      <c r="D10" s="212" t="s">
        <v>1297</v>
      </c>
      <c r="E10" s="231" t="e">
        <f>(Invulextrawerkz[[#This Row],[Prijs
Excl. BTW]]*Tariefsopbouw!$I$37)+Invulextrawerkz[[#This Row],[Prijs
Excl. BTW]]</f>
        <v>#DIV/0!</v>
      </c>
      <c r="F10" s="206" t="e">
        <f>Invulextrawerkz[[#This Row],[2027]]*Tariefsopbouw!$K$37+Invulextrawerkz[[#This Row],[2027]]</f>
        <v>#DIV/0!</v>
      </c>
      <c r="G10" s="206" t="e">
        <f>Invulextrawerkz[[#This Row],[2028]]*Tariefsopbouw!$M$37+Invulextrawerkz[[#This Row],[2028]]</f>
        <v>#DIV/0!</v>
      </c>
      <c r="H10" s="206" t="e">
        <f>Invulextrawerkz[[#This Row],[2029]]*Tariefsopbouw!$O$37+Invulextrawerkz[[#This Row],[2029]]</f>
        <v>#DIV/0!</v>
      </c>
      <c r="I10" s="206" t="e">
        <f>Invulextrawerkz[[#This Row],[2030]]*Tariefsopbouw!$Q$37+Invulextrawerkz[[#This Row],[2030]]</f>
        <v>#DIV/0!</v>
      </c>
    </row>
    <row r="11" spans="1:10" s="79" customFormat="1" ht="15" customHeight="1">
      <c r="A11" s="211">
        <v>3</v>
      </c>
      <c r="B11" s="183" t="s">
        <v>1909</v>
      </c>
      <c r="C11" s="431">
        <f>Tariefsopbouw!E35</f>
        <v>0</v>
      </c>
      <c r="D11" s="212" t="s">
        <v>1297</v>
      </c>
      <c r="E11" s="231" t="e">
        <f>(Invulextrawerkz[[#This Row],[Prijs
Excl. BTW]]*Tariefsopbouw!$I$37)+Invulextrawerkz[[#This Row],[Prijs
Excl. BTW]]</f>
        <v>#DIV/0!</v>
      </c>
      <c r="F11" s="206" t="e">
        <f>Invulextrawerkz[[#This Row],[2027]]*Tariefsopbouw!$K$37+Invulextrawerkz[[#This Row],[2027]]</f>
        <v>#DIV/0!</v>
      </c>
      <c r="G11" s="206" t="e">
        <f>Invulextrawerkz[[#This Row],[2028]]*Tariefsopbouw!$M$37+Invulextrawerkz[[#This Row],[2028]]</f>
        <v>#DIV/0!</v>
      </c>
      <c r="H11" s="206" t="e">
        <f>Invulextrawerkz[[#This Row],[2029]]*Tariefsopbouw!$O$37+Invulextrawerkz[[#This Row],[2029]]</f>
        <v>#DIV/0!</v>
      </c>
      <c r="I11" s="206" t="e">
        <f>Invulextrawerkz[[#This Row],[2030]]*Tariefsopbouw!$Q$37+Invulextrawerkz[[#This Row],[2030]]</f>
        <v>#DIV/0!</v>
      </c>
    </row>
    <row r="12" spans="1:10" ht="15" customHeight="1">
      <c r="B12" s="99"/>
      <c r="E12" s="209"/>
      <c r="F12" s="210"/>
      <c r="G12" s="209"/>
      <c r="H12" s="209"/>
    </row>
    <row r="13" spans="1:10" ht="15" customHeight="1">
      <c r="B13" s="99"/>
      <c r="E13" s="209"/>
      <c r="F13" s="210"/>
      <c r="G13" s="209"/>
      <c r="H13" s="209"/>
    </row>
    <row r="14" spans="1:10" s="149" customFormat="1" ht="28.5" customHeight="1">
      <c r="A14" s="283" t="s">
        <v>197</v>
      </c>
      <c r="B14" s="283" t="s">
        <v>135</v>
      </c>
      <c r="C14" s="283" t="s">
        <v>198</v>
      </c>
      <c r="D14" s="283" t="s">
        <v>150</v>
      </c>
      <c r="E14" s="283" t="s">
        <v>1581</v>
      </c>
      <c r="F14" s="283" t="s">
        <v>158</v>
      </c>
      <c r="G14" s="283" t="s">
        <v>137</v>
      </c>
      <c r="H14" s="283" t="s">
        <v>1257</v>
      </c>
      <c r="I14" s="337" t="s">
        <v>1852</v>
      </c>
      <c r="J14" s="337" t="s">
        <v>1867</v>
      </c>
    </row>
    <row r="15" spans="1:10" ht="15" customHeight="1">
      <c r="A15" s="232">
        <v>2</v>
      </c>
      <c r="B15" s="212" t="str">
        <f>VLOOKUP(Overzichtextrawerkz.[[#This Row],[Code Locatie]],Locaties[[Code]:[Locatie]],2,FALSE)</f>
        <v>IST Primary Campus</v>
      </c>
      <c r="C15" s="211">
        <v>3</v>
      </c>
      <c r="D15" s="203" t="str">
        <f>IF(Overzichtextrawerkz.[[#This Row],[Code Taak]]&gt;0,VLOOKUP(Overzichtextrawerkz.[[#This Row],[Code Taak]],$A$8:$B$11,2,FALSE),"")</f>
        <v>Extra werkzaamheden in schoolvakanties KDV</v>
      </c>
      <c r="E15" s="99">
        <v>1</v>
      </c>
      <c r="F15" s="233">
        <v>60</v>
      </c>
      <c r="G15" s="216">
        <f>VLOOKUP(Overzichtextrawerkz.[[#This Row],[Code Taak]],Invulextrawerkz[],3,3)*E15*F15</f>
        <v>0</v>
      </c>
      <c r="H15" s="216">
        <f>Overzichtextrawerkz.[[#This Row],[Kosten/jaar excl. BTW]]*1.21</f>
        <v>0</v>
      </c>
      <c r="I15" s="336" t="s">
        <v>1911</v>
      </c>
      <c r="J15" s="336" t="s">
        <v>1910</v>
      </c>
    </row>
    <row r="16" spans="1:10" ht="15" customHeight="1">
      <c r="A16" s="232">
        <v>6</v>
      </c>
      <c r="B16" s="212" t="str">
        <f>VLOOKUP(Overzichtextrawerkz.[[#This Row],[Code Locatie]],Locaties[[Code]:[Locatie]],2,FALSE)</f>
        <v>OBS La Res Noord</v>
      </c>
      <c r="C16" s="211">
        <v>2</v>
      </c>
      <c r="D16" s="203" t="str">
        <f>IF(Overzichtextrawerkz.[[#This Row],[Code Taak]]&gt;0,VLOOKUP(Overzichtextrawerkz.[[#This Row],[Code Taak]],$A$8:$B$11,2,FALSE),"")</f>
        <v>Extra werkzaamheden in schoolvakanties PSZ</v>
      </c>
      <c r="E16" s="99">
        <v>1</v>
      </c>
      <c r="F16" s="233">
        <v>60</v>
      </c>
      <c r="G16" s="216">
        <f>VLOOKUP(Overzichtextrawerkz.[[#This Row],[Code Taak]],Invulextrawerkz[],3,3)*E16*F16</f>
        <v>0</v>
      </c>
      <c r="H16" s="216">
        <f>Overzichtextrawerkz.[[#This Row],[Kosten/jaar excl. BTW]]*1.21</f>
        <v>0</v>
      </c>
      <c r="I16" s="336" t="s">
        <v>1911</v>
      </c>
      <c r="J16" s="336" t="s">
        <v>1912</v>
      </c>
    </row>
    <row r="17" spans="1:10" ht="15" customHeight="1">
      <c r="A17" s="232">
        <v>9</v>
      </c>
      <c r="B17" s="212" t="str">
        <f>VLOOKUP(Overzichtextrawerkz.[[#This Row],[Code Locatie]],Locaties[[Code]:[Locatie]],2,FALSE)</f>
        <v>ODBS Europa</v>
      </c>
      <c r="C17" s="211">
        <v>1</v>
      </c>
      <c r="D17" s="203" t="str">
        <f>IF(Overzichtextrawerkz.[[#This Row],[Code Taak]]&gt;0,VLOOKUP(Overzichtextrawerkz.[[#This Row],[Code Taak]],$A$8:$B$11,2,FALSE),"")</f>
        <v>Extra werkzaamheden in schoolvakanties BSO</v>
      </c>
      <c r="E17" s="99">
        <v>1</v>
      </c>
      <c r="F17" s="233">
        <v>60</v>
      </c>
      <c r="G17" s="216">
        <f>VLOOKUP(Overzichtextrawerkz.[[#This Row],[Code Taak]],Invulextrawerkz[],3,3)*E17*F17</f>
        <v>0</v>
      </c>
      <c r="H17" s="216">
        <f>Overzichtextrawerkz.[[#This Row],[Kosten/jaar excl. BTW]]*1.21</f>
        <v>0</v>
      </c>
      <c r="I17" s="336" t="s">
        <v>1911</v>
      </c>
      <c r="J17" s="336" t="s">
        <v>1913</v>
      </c>
    </row>
    <row r="18" spans="1:10" ht="15" customHeight="1">
      <c r="A18" s="232">
        <v>9</v>
      </c>
      <c r="B18" s="212" t="str">
        <f>VLOOKUP(Overzichtextrawerkz.[[#This Row],[Code Locatie]],Locaties[[Code]:[Locatie]],2,FALSE)</f>
        <v>ODBS Europa</v>
      </c>
      <c r="C18" s="211">
        <v>2</v>
      </c>
      <c r="D18" s="203" t="str">
        <f>IF(Overzichtextrawerkz.[[#This Row],[Code Taak]]&gt;0,VLOOKUP(Overzichtextrawerkz.[[#This Row],[Code Taak]],$A$8:$B$11,2,FALSE),"")</f>
        <v>Extra werkzaamheden in schoolvakanties PSZ</v>
      </c>
      <c r="E18" s="99">
        <v>1</v>
      </c>
      <c r="F18" s="233">
        <v>60</v>
      </c>
      <c r="G18" s="216">
        <f>VLOOKUP(Overzichtextrawerkz.[[#This Row],[Code Taak]],Invulextrawerkz[],3,3)*E18*F18</f>
        <v>0</v>
      </c>
      <c r="H18" s="216">
        <f>Overzichtextrawerkz.[[#This Row],[Kosten/jaar excl. BTW]]*1.21</f>
        <v>0</v>
      </c>
      <c r="I18" s="336" t="s">
        <v>1911</v>
      </c>
      <c r="J18" s="336" t="s">
        <v>1914</v>
      </c>
    </row>
    <row r="19" spans="1:10" ht="15" customHeight="1">
      <c r="A19" s="232">
        <v>10</v>
      </c>
      <c r="B19" s="212" t="str">
        <f>VLOOKUP(Overzichtextrawerkz.[[#This Row],[Code Locatie]],Locaties[[Code]:[Locatie]],2,FALSE)</f>
        <v>OJBS Het Palet</v>
      </c>
      <c r="C19" s="211">
        <v>1</v>
      </c>
      <c r="D19" s="203" t="str">
        <f>IF(Overzichtextrawerkz.[[#This Row],[Code Taak]]&gt;0,VLOOKUP(Overzichtextrawerkz.[[#This Row],[Code Taak]],$A$8:$B$11,2,FALSE),"")</f>
        <v>Extra werkzaamheden in schoolvakanties BSO</v>
      </c>
      <c r="E19" s="99">
        <v>1</v>
      </c>
      <c r="F19" s="233">
        <v>60</v>
      </c>
      <c r="G19" s="216">
        <f>VLOOKUP(Overzichtextrawerkz.[[#This Row],[Code Taak]],Invulextrawerkz[],3,3)*E19*F19</f>
        <v>0</v>
      </c>
      <c r="H19" s="216">
        <f>Overzichtextrawerkz.[[#This Row],[Kosten/jaar excl. BTW]]*1.21</f>
        <v>0</v>
      </c>
      <c r="I19" s="336" t="s">
        <v>1911</v>
      </c>
      <c r="J19" s="336" t="s">
        <v>1915</v>
      </c>
    </row>
    <row r="20" spans="1:10" ht="15" customHeight="1">
      <c r="A20" s="232">
        <v>10</v>
      </c>
      <c r="B20" s="212" t="str">
        <f>VLOOKUP(Overzichtextrawerkz.[[#This Row],[Code Locatie]],Locaties[[Code]:[Locatie]],2,FALSE)</f>
        <v>OJBS Het Palet</v>
      </c>
      <c r="C20" s="211">
        <v>2</v>
      </c>
      <c r="D20" s="203" t="str">
        <f>IF(Overzichtextrawerkz.[[#This Row],[Code Taak]]&gt;0,VLOOKUP(Overzichtextrawerkz.[[#This Row],[Code Taak]],$A$8:$B$11,2,FALSE),"")</f>
        <v>Extra werkzaamheden in schoolvakanties PSZ</v>
      </c>
      <c r="E20" s="99">
        <v>1</v>
      </c>
      <c r="F20" s="233">
        <v>60</v>
      </c>
      <c r="G20" s="216">
        <f>VLOOKUP(Overzichtextrawerkz.[[#This Row],[Code Taak]],Invulextrawerkz[],3,3)*E20*F20</f>
        <v>0</v>
      </c>
      <c r="H20" s="216">
        <f>Overzichtextrawerkz.[[#This Row],[Kosten/jaar excl. BTW]]*1.21</f>
        <v>0</v>
      </c>
      <c r="I20" s="336" t="s">
        <v>1911</v>
      </c>
      <c r="J20" s="336" t="s">
        <v>1916</v>
      </c>
    </row>
    <row r="21" spans="1:10" ht="15" customHeight="1">
      <c r="A21" s="232">
        <v>11</v>
      </c>
      <c r="B21" s="212" t="str">
        <f>VLOOKUP(Overzichtextrawerkz.[[#This Row],[Code Locatie]],Locaties[[Code]:[Locatie]],2,FALSE)</f>
        <v>OMBS De Wielerbaan</v>
      </c>
      <c r="C21" s="211">
        <v>1</v>
      </c>
      <c r="D21" s="203" t="str">
        <f>IF(Overzichtextrawerkz.[[#This Row],[Code Taak]]&gt;0,VLOOKUP(Overzichtextrawerkz.[[#This Row],[Code Taak]],$A$8:$B$11,2,FALSE),"")</f>
        <v>Extra werkzaamheden in schoolvakanties BSO</v>
      </c>
      <c r="E21" s="99">
        <v>1</v>
      </c>
      <c r="F21" s="233">
        <v>60</v>
      </c>
      <c r="G21" s="216">
        <f>VLOOKUP(Overzichtextrawerkz.[[#This Row],[Code Taak]],Invulextrawerkz[],3,3)*E21*F21</f>
        <v>0</v>
      </c>
      <c r="H21" s="216">
        <f>Overzichtextrawerkz.[[#This Row],[Kosten/jaar excl. BTW]]*1.21</f>
        <v>0</v>
      </c>
      <c r="I21" s="336" t="s">
        <v>1911</v>
      </c>
      <c r="J21" s="336" t="s">
        <v>1917</v>
      </c>
    </row>
    <row r="22" spans="1:10" ht="15" customHeight="1">
      <c r="A22" s="232">
        <v>11</v>
      </c>
      <c r="B22" s="212" t="str">
        <f>VLOOKUP(Overzichtextrawerkz.[[#This Row],[Code Locatie]],Locaties[[Code]:[Locatie]],2,FALSE)</f>
        <v>OMBS De Wielerbaan</v>
      </c>
      <c r="C22" s="211">
        <v>2</v>
      </c>
      <c r="D22" s="203" t="str">
        <f>IF(Overzichtextrawerkz.[[#This Row],[Code Taak]]&gt;0,VLOOKUP(Overzichtextrawerkz.[[#This Row],[Code Taak]],$A$8:$B$11,2,FALSE),"")</f>
        <v>Extra werkzaamheden in schoolvakanties PSZ</v>
      </c>
      <c r="E22" s="99">
        <v>1</v>
      </c>
      <c r="F22" s="233">
        <v>60</v>
      </c>
      <c r="G22" s="216">
        <f>VLOOKUP(Overzichtextrawerkz.[[#This Row],[Code Taak]],Invulextrawerkz[],3,3)*E22*F22</f>
        <v>0</v>
      </c>
      <c r="H22" s="216">
        <f>Overzichtextrawerkz.[[#This Row],[Kosten/jaar excl. BTW]]*1.21</f>
        <v>0</v>
      </c>
      <c r="I22" s="336" t="s">
        <v>1911</v>
      </c>
      <c r="J22" s="336" t="s">
        <v>1918</v>
      </c>
    </row>
    <row r="23" spans="1:10" ht="15" customHeight="1">
      <c r="A23" s="232">
        <v>18</v>
      </c>
      <c r="B23" s="212" t="str">
        <f>VLOOKUP(Overzichtextrawerkz.[[#This Row],[Code Locatie]],Locaties[[Code]:[Locatie]],2,FALSE)</f>
        <v>OBS De Linde (Thij)</v>
      </c>
      <c r="C23" s="211">
        <v>2</v>
      </c>
      <c r="D23" s="203" t="str">
        <f>IF(Overzichtextrawerkz.[[#This Row],[Code Taak]]&gt;0,VLOOKUP(Overzichtextrawerkz.[[#This Row],[Code Taak]],$A$8:$B$11,2,FALSE),"")</f>
        <v>Extra werkzaamheden in schoolvakanties PSZ</v>
      </c>
      <c r="E23" s="99">
        <v>1</v>
      </c>
      <c r="F23" s="233">
        <v>60</v>
      </c>
      <c r="G23" s="216">
        <f>VLOOKUP(Overzichtextrawerkz.[[#This Row],[Code Taak]],Invulextrawerkz[],3,3)*E23*F23</f>
        <v>0</v>
      </c>
      <c r="H23" s="216">
        <f>Overzichtextrawerkz.[[#This Row],[Kosten/jaar excl. BTW]]*1.21</f>
        <v>0</v>
      </c>
      <c r="I23" s="336" t="s">
        <v>1911</v>
      </c>
      <c r="J23" s="336" t="s">
        <v>1919</v>
      </c>
    </row>
    <row r="24" spans="1:10" ht="15" customHeight="1">
      <c r="A24" s="218"/>
      <c r="B24" s="219" t="s">
        <v>32</v>
      </c>
      <c r="C24" s="218"/>
      <c r="D24" s="220"/>
      <c r="E24" s="221"/>
      <c r="F24" s="218"/>
      <c r="G24" s="222">
        <f>SUBTOTAL(109,Overzichtextrawerkz.[Kosten/jaar excl. BTW])</f>
        <v>0</v>
      </c>
      <c r="H24" s="222">
        <f>SUBTOTAL(109,Overzichtextrawerkz.[Kosten/jaar incl. BTW])</f>
        <v>0</v>
      </c>
      <c r="I24" s="335"/>
      <c r="J24" s="335"/>
    </row>
    <row r="25" spans="1:10" ht="15" customHeight="1">
      <c r="A25" s="223"/>
      <c r="C25" s="197"/>
      <c r="D25" s="197"/>
      <c r="E25" s="197"/>
      <c r="F25" s="210"/>
      <c r="G25" s="224"/>
      <c r="H25" s="199"/>
    </row>
    <row r="27" spans="1:10">
      <c r="E27" s="118"/>
    </row>
  </sheetData>
  <sheetProtection algorithmName="SHA-512" hashValue="nBhEWfSJimofQlf1SjKWePgXICWrAz0slTLI05cOVub0Wxln1hF4Z7rhqeRT5621SJ6zvxKSag+EQNcY+lWXxA==" saltValue="QWkuHxwuJJGfOXm+vMHkkg==" spinCount="100000" sheet="1" objects="1" scenarios="1" selectLockedCells="1"/>
  <mergeCells count="3">
    <mergeCell ref="E7:I7"/>
    <mergeCell ref="A2:I2"/>
    <mergeCell ref="A1:I1"/>
  </mergeCells>
  <phoneticPr fontId="9" type="noConversion"/>
  <pageMargins left="0.7" right="0.7" top="0.75" bottom="0.75" header="0.3" footer="0.3"/>
  <pageSetup paperSize="9" scale="43" orientation="portrait" horizontalDpi="1200" verticalDpi="1200" r:id="rId1"/>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topLeftCell="A18" zoomScale="90" zoomScaleNormal="100" zoomScaleSheetLayoutView="90" workbookViewId="0">
      <selection activeCell="A2" activeCellId="8" sqref="A37:XFD1048576 E33:XFD36 A33:C36 E9:XFD32 A9:C32 A3:XFD8 J2:XFD2 A1:XFD1 A2:I2"/>
    </sheetView>
  </sheetViews>
  <sheetFormatPr defaultColWidth="9.140625" defaultRowHeight="18.75" customHeight="1"/>
  <cols>
    <col min="1" max="1" width="9.140625" style="239"/>
    <col min="2" max="2" width="66.42578125" style="157" customWidth="1"/>
    <col min="3" max="3" width="23.42578125" style="157" customWidth="1"/>
    <col min="4" max="4" width="15.140625" style="157" customWidth="1"/>
    <col min="5" max="9" width="17.7109375" style="157" bestFit="1" customWidth="1"/>
    <col min="10" max="16384" width="9.140625" style="157"/>
  </cols>
  <sheetData>
    <row r="1" spans="1:9" s="55" customFormat="1" ht="26.25" customHeight="1">
      <c r="A1" s="379" t="s">
        <v>169</v>
      </c>
      <c r="B1" s="379"/>
      <c r="C1" s="379"/>
      <c r="D1" s="379"/>
      <c r="E1" s="379"/>
      <c r="F1" s="379"/>
      <c r="G1" s="379"/>
      <c r="H1" s="379"/>
      <c r="I1" s="379"/>
    </row>
    <row r="2" spans="1:9" s="55" customFormat="1" ht="18.75" customHeight="1">
      <c r="A2" s="432" t="s">
        <v>200</v>
      </c>
      <c r="B2" s="420"/>
      <c r="C2" s="420"/>
      <c r="D2" s="420"/>
      <c r="E2" s="420"/>
      <c r="F2" s="420"/>
      <c r="G2" s="420"/>
      <c r="H2" s="420"/>
      <c r="I2" s="433"/>
    </row>
    <row r="3" spans="1:9" s="113" customFormat="1" ht="18.75" customHeight="1">
      <c r="A3" s="234"/>
    </row>
    <row r="4" spans="1:9" s="113" customFormat="1" ht="18.75" customHeight="1">
      <c r="A4" s="113" t="s">
        <v>168</v>
      </c>
    </row>
    <row r="5" spans="1:9" s="113" customFormat="1" ht="18.75" customHeight="1">
      <c r="A5" s="113" t="s">
        <v>170</v>
      </c>
    </row>
    <row r="6" spans="1:9" s="113" customFormat="1" ht="18.75" customHeight="1">
      <c r="A6" s="113" t="s">
        <v>210</v>
      </c>
    </row>
    <row r="7" spans="1:9" s="113" customFormat="1" ht="18.75" customHeight="1">
      <c r="A7" s="234"/>
      <c r="E7" s="396" t="s">
        <v>243</v>
      </c>
      <c r="F7" s="396"/>
      <c r="G7" s="396"/>
      <c r="H7" s="396"/>
      <c r="I7" s="396"/>
    </row>
    <row r="8" spans="1:9" s="142" customFormat="1" ht="26.25" customHeight="1">
      <c r="A8" s="235"/>
      <c r="B8" s="283" t="s">
        <v>171</v>
      </c>
      <c r="C8" s="283" t="s">
        <v>141</v>
      </c>
      <c r="D8" s="283" t="s">
        <v>167</v>
      </c>
      <c r="E8" s="304" t="s">
        <v>1242</v>
      </c>
      <c r="F8" s="304" t="s">
        <v>1300</v>
      </c>
      <c r="G8" s="304" t="s">
        <v>1577</v>
      </c>
      <c r="H8" s="304" t="s">
        <v>1626</v>
      </c>
      <c r="I8" s="304" t="s">
        <v>1849</v>
      </c>
    </row>
    <row r="9" spans="1:9" ht="18.75" customHeight="1">
      <c r="A9" s="397" t="s">
        <v>184</v>
      </c>
      <c r="B9" s="173" t="s">
        <v>173</v>
      </c>
      <c r="C9" s="173" t="s">
        <v>172</v>
      </c>
      <c r="D9" s="434">
        <v>0</v>
      </c>
      <c r="E9" s="236" t="e">
        <f>InvulRegie[[#This Row],[Prijs excl. BTW]]*Tariefsopbouw!$I$37+InvulRegie[[#This Row],[Prijs excl. BTW]]</f>
        <v>#DIV/0!</v>
      </c>
      <c r="F9" s="236" t="e">
        <f>E9*Tariefsopbouw!$K$37+'Regie en afroep'!E9</f>
        <v>#DIV/0!</v>
      </c>
      <c r="G9" s="236" t="e">
        <f>F9*Tariefsopbouw!$M$37+'Regie en afroep'!F9</f>
        <v>#DIV/0!</v>
      </c>
      <c r="H9" s="236" t="e">
        <f>G9*Tariefsopbouw!$O$37+'Regie en afroep'!G9</f>
        <v>#DIV/0!</v>
      </c>
      <c r="I9" s="236" t="e">
        <f>H9*Tariefsopbouw!$Q$37+H9</f>
        <v>#DIV/0!</v>
      </c>
    </row>
    <row r="10" spans="1:9" ht="18.75" customHeight="1">
      <c r="A10" s="398"/>
      <c r="B10" s="173" t="s">
        <v>174</v>
      </c>
      <c r="C10" s="173" t="s">
        <v>172</v>
      </c>
      <c r="D10" s="434">
        <v>0</v>
      </c>
      <c r="E10" s="236" t="e">
        <f>InvulRegie[[#This Row],[Prijs excl. BTW]]*Tariefsopbouw!$I$37+InvulRegie[[#This Row],[Prijs excl. BTW]]</f>
        <v>#DIV/0!</v>
      </c>
      <c r="F10" s="236" t="e">
        <f>E10*Tariefsopbouw!$K$37+'Regie en afroep'!E10</f>
        <v>#DIV/0!</v>
      </c>
      <c r="G10" s="236" t="e">
        <f>F10*Tariefsopbouw!$M$37+'Regie en afroep'!F10</f>
        <v>#DIV/0!</v>
      </c>
      <c r="H10" s="236" t="e">
        <f>G10*Tariefsopbouw!$O$37+'Regie en afroep'!G10</f>
        <v>#DIV/0!</v>
      </c>
      <c r="I10" s="236" t="e">
        <f>H10*Tariefsopbouw!$Q$37+H10</f>
        <v>#DIV/0!</v>
      </c>
    </row>
    <row r="11" spans="1:9" ht="18.75" customHeight="1">
      <c r="A11" s="398"/>
      <c r="B11" s="183" t="s">
        <v>175</v>
      </c>
      <c r="C11" s="173" t="s">
        <v>172</v>
      </c>
      <c r="D11" s="434">
        <v>0</v>
      </c>
      <c r="E11" s="236" t="e">
        <f>InvulRegie[[#This Row],[Prijs excl. BTW]]*Tariefsopbouw!$I$37+InvulRegie[[#This Row],[Prijs excl. BTW]]</f>
        <v>#DIV/0!</v>
      </c>
      <c r="F11" s="236" t="e">
        <f>E11*Tariefsopbouw!$K$37+'Regie en afroep'!E11</f>
        <v>#DIV/0!</v>
      </c>
      <c r="G11" s="236" t="e">
        <f>F11*Tariefsopbouw!$M$37+'Regie en afroep'!F11</f>
        <v>#DIV/0!</v>
      </c>
      <c r="H11" s="236" t="e">
        <f>G11*Tariefsopbouw!$O$37+'Regie en afroep'!G11</f>
        <v>#DIV/0!</v>
      </c>
      <c r="I11" s="236" t="e">
        <f>H11*Tariefsopbouw!$Q$37+H11</f>
        <v>#DIV/0!</v>
      </c>
    </row>
    <row r="12" spans="1:9" ht="18.75" customHeight="1">
      <c r="A12" s="398"/>
      <c r="B12" s="183" t="s">
        <v>191</v>
      </c>
      <c r="C12" s="173" t="s">
        <v>172</v>
      </c>
      <c r="D12" s="434">
        <v>0</v>
      </c>
      <c r="E12" s="236" t="e">
        <f>InvulRegie[[#This Row],[Prijs excl. BTW]]*Tariefsopbouw!$I$37+InvulRegie[[#This Row],[Prijs excl. BTW]]</f>
        <v>#DIV/0!</v>
      </c>
      <c r="F12" s="236" t="e">
        <f>E12*Tariefsopbouw!$K$37+'Regie en afroep'!E12</f>
        <v>#DIV/0!</v>
      </c>
      <c r="G12" s="236" t="e">
        <f>F12*Tariefsopbouw!$M$37+'Regie en afroep'!F12</f>
        <v>#DIV/0!</v>
      </c>
      <c r="H12" s="236" t="e">
        <f>G12*Tariefsopbouw!$O$37+'Regie en afroep'!G12</f>
        <v>#DIV/0!</v>
      </c>
      <c r="I12" s="236" t="e">
        <f>H12*Tariefsopbouw!$Q$37+H12</f>
        <v>#DIV/0!</v>
      </c>
    </row>
    <row r="13" spans="1:9" ht="18.75" customHeight="1">
      <c r="A13" s="399"/>
      <c r="B13" s="173" t="s">
        <v>181</v>
      </c>
      <c r="C13" s="173" t="s">
        <v>172</v>
      </c>
      <c r="D13" s="434">
        <v>0</v>
      </c>
      <c r="E13" s="236" t="e">
        <f>InvulRegie[[#This Row],[Prijs excl. BTW]]*Tariefsopbouw!$I$37+InvulRegie[[#This Row],[Prijs excl. BTW]]</f>
        <v>#DIV/0!</v>
      </c>
      <c r="F13" s="236" t="e">
        <f>E13*Tariefsopbouw!$K$37+'Regie en afroep'!E13</f>
        <v>#DIV/0!</v>
      </c>
      <c r="G13" s="236" t="e">
        <f>F13*Tariefsopbouw!$M$37+'Regie en afroep'!F13</f>
        <v>#DIV/0!</v>
      </c>
      <c r="H13" s="236" t="e">
        <f>G13*Tariefsopbouw!$O$37+'Regie en afroep'!G13</f>
        <v>#DIV/0!</v>
      </c>
      <c r="I13" s="236" t="e">
        <f>H13*Tariefsopbouw!$Q$37+H13</f>
        <v>#DIV/0!</v>
      </c>
    </row>
    <row r="14" spans="1:9" ht="18.75" customHeight="1">
      <c r="A14" s="397" t="s">
        <v>121</v>
      </c>
      <c r="B14" s="173" t="s">
        <v>40</v>
      </c>
      <c r="C14" s="173" t="s">
        <v>41</v>
      </c>
      <c r="D14" s="434">
        <v>0</v>
      </c>
      <c r="E14" s="236" t="e">
        <f>InvulRegie[[#This Row],[Prijs excl. BTW]]*Tariefsopbouw!$I$37+InvulRegie[[#This Row],[Prijs excl. BTW]]</f>
        <v>#DIV/0!</v>
      </c>
      <c r="F14" s="236" t="e">
        <f>E14*Tariefsopbouw!$K$37+'Regie en afroep'!E14</f>
        <v>#DIV/0!</v>
      </c>
      <c r="G14" s="236" t="e">
        <f>F14*Tariefsopbouw!$M$37+'Regie en afroep'!F14</f>
        <v>#DIV/0!</v>
      </c>
      <c r="H14" s="236" t="e">
        <f>G14*Tariefsopbouw!$O$37+'Regie en afroep'!G14</f>
        <v>#DIV/0!</v>
      </c>
      <c r="I14" s="236" t="e">
        <f>H14*Tariefsopbouw!$Q$37+H14</f>
        <v>#DIV/0!</v>
      </c>
    </row>
    <row r="15" spans="1:9" ht="18.75" customHeight="1">
      <c r="A15" s="398"/>
      <c r="B15" s="173" t="s">
        <v>42</v>
      </c>
      <c r="C15" s="173" t="s">
        <v>176</v>
      </c>
      <c r="D15" s="434">
        <v>0</v>
      </c>
      <c r="E15" s="236" t="e">
        <f>InvulRegie[[#This Row],[Prijs excl. BTW]]*Tariefsopbouw!$I$37+InvulRegie[[#This Row],[Prijs excl. BTW]]</f>
        <v>#DIV/0!</v>
      </c>
      <c r="F15" s="236" t="e">
        <f>E15*Tariefsopbouw!$K$37+'Regie en afroep'!E15</f>
        <v>#DIV/0!</v>
      </c>
      <c r="G15" s="236" t="e">
        <f>F15*Tariefsopbouw!$M$37+'Regie en afroep'!F15</f>
        <v>#DIV/0!</v>
      </c>
      <c r="H15" s="236" t="e">
        <f>G15*Tariefsopbouw!$O$37+'Regie en afroep'!G15</f>
        <v>#DIV/0!</v>
      </c>
      <c r="I15" s="236" t="e">
        <f>H15*Tariefsopbouw!$Q$37+H15</f>
        <v>#DIV/0!</v>
      </c>
    </row>
    <row r="16" spans="1:9" ht="18.75" customHeight="1">
      <c r="A16" s="398"/>
      <c r="B16" s="173" t="s">
        <v>177</v>
      </c>
      <c r="C16" s="173" t="s">
        <v>176</v>
      </c>
      <c r="D16" s="434">
        <v>0</v>
      </c>
      <c r="E16" s="236" t="e">
        <f>InvulRegie[[#This Row],[Prijs excl. BTW]]*Tariefsopbouw!$I$37+InvulRegie[[#This Row],[Prijs excl. BTW]]</f>
        <v>#DIV/0!</v>
      </c>
      <c r="F16" s="236" t="e">
        <f>E16*Tariefsopbouw!$K$37+'Regie en afroep'!E16</f>
        <v>#DIV/0!</v>
      </c>
      <c r="G16" s="236" t="e">
        <f>F16*Tariefsopbouw!$M$37+'Regie en afroep'!F16</f>
        <v>#DIV/0!</v>
      </c>
      <c r="H16" s="236" t="e">
        <f>G16*Tariefsopbouw!$O$37+'Regie en afroep'!G16</f>
        <v>#DIV/0!</v>
      </c>
      <c r="I16" s="236" t="e">
        <f>H16*Tariefsopbouw!$Q$37+H16</f>
        <v>#DIV/0!</v>
      </c>
    </row>
    <row r="17" spans="1:9" ht="18.75" customHeight="1">
      <c r="A17" s="398"/>
      <c r="B17" s="173" t="s">
        <v>178</v>
      </c>
      <c r="C17" s="173" t="s">
        <v>43</v>
      </c>
      <c r="D17" s="434">
        <v>0</v>
      </c>
      <c r="E17" s="236" t="e">
        <f>InvulRegie[[#This Row],[Prijs excl. BTW]]*Tariefsopbouw!$I$37+InvulRegie[[#This Row],[Prijs excl. BTW]]</f>
        <v>#DIV/0!</v>
      </c>
      <c r="F17" s="236" t="e">
        <f>E17*Tariefsopbouw!$K$37+'Regie en afroep'!E17</f>
        <v>#DIV/0!</v>
      </c>
      <c r="G17" s="236" t="e">
        <f>F17*Tariefsopbouw!$M$37+'Regie en afroep'!F17</f>
        <v>#DIV/0!</v>
      </c>
      <c r="H17" s="236" t="e">
        <f>G17*Tariefsopbouw!$O$37+'Regie en afroep'!G17</f>
        <v>#DIV/0!</v>
      </c>
      <c r="I17" s="236" t="e">
        <f>H17*Tariefsopbouw!$Q$37+H17</f>
        <v>#DIV/0!</v>
      </c>
    </row>
    <row r="18" spans="1:9" ht="18.75" customHeight="1">
      <c r="A18" s="398"/>
      <c r="B18" s="173" t="s">
        <v>225</v>
      </c>
      <c r="C18" s="173" t="s">
        <v>43</v>
      </c>
      <c r="D18" s="434">
        <v>0</v>
      </c>
      <c r="E18" s="236" t="e">
        <f>InvulRegie[[#This Row],[Prijs excl. BTW]]*Tariefsopbouw!$I$37+InvulRegie[[#This Row],[Prijs excl. BTW]]</f>
        <v>#DIV/0!</v>
      </c>
      <c r="F18" s="236" t="e">
        <f>E18*Tariefsopbouw!$K$37+'Regie en afroep'!E18</f>
        <v>#DIV/0!</v>
      </c>
      <c r="G18" s="236" t="e">
        <f>F18*Tariefsopbouw!$M$37+'Regie en afroep'!F18</f>
        <v>#DIV/0!</v>
      </c>
      <c r="H18" s="236" t="e">
        <f>G18*Tariefsopbouw!$O$37+'Regie en afroep'!G18</f>
        <v>#DIV/0!</v>
      </c>
      <c r="I18" s="236" t="e">
        <f>H18*Tariefsopbouw!$Q$37+H18</f>
        <v>#DIV/0!</v>
      </c>
    </row>
    <row r="19" spans="1:9" ht="18.75" customHeight="1">
      <c r="A19" s="398"/>
      <c r="B19" s="173" t="s">
        <v>179</v>
      </c>
      <c r="C19" s="173" t="s">
        <v>43</v>
      </c>
      <c r="D19" s="434">
        <v>0</v>
      </c>
      <c r="E19" s="236" t="e">
        <f>InvulRegie[[#This Row],[Prijs excl. BTW]]*Tariefsopbouw!$I$37+InvulRegie[[#This Row],[Prijs excl. BTW]]</f>
        <v>#DIV/0!</v>
      </c>
      <c r="F19" s="236" t="e">
        <f>E19*Tariefsopbouw!$K$37+'Regie en afroep'!E19</f>
        <v>#DIV/0!</v>
      </c>
      <c r="G19" s="236" t="e">
        <f>F19*Tariefsopbouw!$M$37+'Regie en afroep'!F19</f>
        <v>#DIV/0!</v>
      </c>
      <c r="H19" s="236" t="e">
        <f>G19*Tariefsopbouw!$O$37+'Regie en afroep'!G19</f>
        <v>#DIV/0!</v>
      </c>
      <c r="I19" s="236" t="e">
        <f>H19*Tariefsopbouw!$Q$37+H19</f>
        <v>#DIV/0!</v>
      </c>
    </row>
    <row r="20" spans="1:9" ht="18.75" customHeight="1">
      <c r="A20" s="399"/>
      <c r="B20" s="173" t="s">
        <v>180</v>
      </c>
      <c r="C20" s="173" t="s">
        <v>43</v>
      </c>
      <c r="D20" s="434">
        <v>0</v>
      </c>
      <c r="E20" s="236" t="e">
        <f>InvulRegie[[#This Row],[Prijs excl. BTW]]*Tariefsopbouw!$I$37+InvulRegie[[#This Row],[Prijs excl. BTW]]</f>
        <v>#DIV/0!</v>
      </c>
      <c r="F20" s="236" t="e">
        <f>E20*Tariefsopbouw!$K$37+'Regie en afroep'!E20</f>
        <v>#DIV/0!</v>
      </c>
      <c r="G20" s="236" t="e">
        <f>F20*Tariefsopbouw!$M$37+'Regie en afroep'!F20</f>
        <v>#DIV/0!</v>
      </c>
      <c r="H20" s="236" t="e">
        <f>G20*Tariefsopbouw!$O$37+'Regie en afroep'!G20</f>
        <v>#DIV/0!</v>
      </c>
      <c r="I20" s="236" t="e">
        <f>H20*Tariefsopbouw!$Q$37+H20</f>
        <v>#DIV/0!</v>
      </c>
    </row>
    <row r="21" spans="1:9" ht="18.75" customHeight="1">
      <c r="A21" s="397" t="s">
        <v>182</v>
      </c>
      <c r="B21" s="173" t="s">
        <v>56</v>
      </c>
      <c r="C21" s="173" t="s">
        <v>48</v>
      </c>
      <c r="D21" s="434">
        <v>0</v>
      </c>
      <c r="E21" s="236" t="e">
        <f>InvulRegie[[#This Row],[Prijs excl. BTW]]*Tariefsopbouw!$I$37+InvulRegie[[#This Row],[Prijs excl. BTW]]</f>
        <v>#DIV/0!</v>
      </c>
      <c r="F21" s="236" t="e">
        <f>E21*Tariefsopbouw!$K$37+'Regie en afroep'!E21</f>
        <v>#DIV/0!</v>
      </c>
      <c r="G21" s="236" t="e">
        <f>F21*Tariefsopbouw!$M$37+'Regie en afroep'!F21</f>
        <v>#DIV/0!</v>
      </c>
      <c r="H21" s="236" t="e">
        <f>G21*Tariefsopbouw!$O$37+'Regie en afroep'!G21</f>
        <v>#DIV/0!</v>
      </c>
      <c r="I21" s="236" t="e">
        <f>H21*Tariefsopbouw!$Q$37+H21</f>
        <v>#DIV/0!</v>
      </c>
    </row>
    <row r="22" spans="1:9" ht="18.75" customHeight="1">
      <c r="A22" s="399"/>
      <c r="B22" s="173" t="s">
        <v>44</v>
      </c>
      <c r="C22" s="173" t="s">
        <v>1589</v>
      </c>
      <c r="D22" s="434">
        <v>0</v>
      </c>
      <c r="E22" s="236" t="e">
        <f>InvulRegie[[#This Row],[Prijs excl. BTW]]*Tariefsopbouw!$I$37+InvulRegie[[#This Row],[Prijs excl. BTW]]</f>
        <v>#DIV/0!</v>
      </c>
      <c r="F22" s="236" t="e">
        <f>E22*Tariefsopbouw!$K$37+'Regie en afroep'!E22</f>
        <v>#DIV/0!</v>
      </c>
      <c r="G22" s="236" t="e">
        <f>F22*Tariefsopbouw!$M$37+'Regie en afroep'!F22</f>
        <v>#DIV/0!</v>
      </c>
      <c r="H22" s="236" t="e">
        <f>G22*Tariefsopbouw!$O$37+'Regie en afroep'!G22</f>
        <v>#DIV/0!</v>
      </c>
      <c r="I22" s="236" t="e">
        <f>H22*Tariefsopbouw!$Q$37+H22</f>
        <v>#DIV/0!</v>
      </c>
    </row>
    <row r="23" spans="1:9" ht="18.75" customHeight="1">
      <c r="A23" s="397" t="s">
        <v>192</v>
      </c>
      <c r="B23" s="173" t="s">
        <v>183</v>
      </c>
      <c r="C23" s="173" t="s">
        <v>1590</v>
      </c>
      <c r="D23" s="434">
        <v>0</v>
      </c>
      <c r="E23" s="236" t="e">
        <f>InvulRegie[[#This Row],[Prijs excl. BTW]]*Tariefsopbouw!$I$37+InvulRegie[[#This Row],[Prijs excl. BTW]]</f>
        <v>#DIV/0!</v>
      </c>
      <c r="F23" s="236" t="e">
        <f>E23*Tariefsopbouw!$K$37+'Regie en afroep'!E23</f>
        <v>#DIV/0!</v>
      </c>
      <c r="G23" s="236" t="e">
        <f>F23*Tariefsopbouw!$M$37+'Regie en afroep'!F23</f>
        <v>#DIV/0!</v>
      </c>
      <c r="H23" s="236" t="e">
        <f>G23*Tariefsopbouw!$O$37+'Regie en afroep'!G23</f>
        <v>#DIV/0!</v>
      </c>
      <c r="I23" s="236" t="e">
        <f>H23*Tariefsopbouw!$Q$37+H23</f>
        <v>#DIV/0!</v>
      </c>
    </row>
    <row r="24" spans="1:9" ht="18.75" customHeight="1">
      <c r="A24" s="398"/>
      <c r="B24" s="173" t="s">
        <v>218</v>
      </c>
      <c r="C24" s="173" t="s">
        <v>1590</v>
      </c>
      <c r="D24" s="434">
        <v>0</v>
      </c>
      <c r="E24" s="236" t="e">
        <f>InvulRegie[[#This Row],[Prijs excl. BTW]]*Tariefsopbouw!$I$37+InvulRegie[[#This Row],[Prijs excl. BTW]]</f>
        <v>#DIV/0!</v>
      </c>
      <c r="F24" s="236" t="e">
        <f>E24*Tariefsopbouw!$K$37+'Regie en afroep'!E24</f>
        <v>#DIV/0!</v>
      </c>
      <c r="G24" s="236" t="e">
        <f>F24*Tariefsopbouw!$M$37+'Regie en afroep'!F24</f>
        <v>#DIV/0!</v>
      </c>
      <c r="H24" s="236" t="e">
        <f>G24*Tariefsopbouw!$O$37+'Regie en afroep'!G24</f>
        <v>#DIV/0!</v>
      </c>
      <c r="I24" s="236" t="e">
        <f>H24*Tariefsopbouw!$Q$37+H24</f>
        <v>#DIV/0!</v>
      </c>
    </row>
    <row r="25" spans="1:9" ht="18.75" customHeight="1">
      <c r="A25" s="398"/>
      <c r="B25" s="173" t="s">
        <v>220</v>
      </c>
      <c r="C25" s="173" t="s">
        <v>1590</v>
      </c>
      <c r="D25" s="434">
        <v>0</v>
      </c>
      <c r="E25" s="236" t="e">
        <f>InvulRegie[[#This Row],[Prijs excl. BTW]]*Tariefsopbouw!$I$37+InvulRegie[[#This Row],[Prijs excl. BTW]]</f>
        <v>#DIV/0!</v>
      </c>
      <c r="F25" s="236" t="e">
        <f>E25*Tariefsopbouw!$K$37+'Regie en afroep'!E25</f>
        <v>#DIV/0!</v>
      </c>
      <c r="G25" s="236" t="e">
        <f>F25*Tariefsopbouw!$M$37+'Regie en afroep'!F25</f>
        <v>#DIV/0!</v>
      </c>
      <c r="H25" s="236" t="e">
        <f>G25*Tariefsopbouw!$O$37+'Regie en afroep'!G25</f>
        <v>#DIV/0!</v>
      </c>
      <c r="I25" s="236" t="e">
        <f>H25*Tariefsopbouw!$Q$37+H25</f>
        <v>#DIV/0!</v>
      </c>
    </row>
    <row r="26" spans="1:9" ht="18.75" customHeight="1">
      <c r="A26" s="398"/>
      <c r="B26" s="173" t="s">
        <v>219</v>
      </c>
      <c r="C26" s="173" t="s">
        <v>1590</v>
      </c>
      <c r="D26" s="434">
        <v>0</v>
      </c>
      <c r="E26" s="236" t="e">
        <f>InvulRegie[[#This Row],[Prijs excl. BTW]]*Tariefsopbouw!$I$37+InvulRegie[[#This Row],[Prijs excl. BTW]]</f>
        <v>#DIV/0!</v>
      </c>
      <c r="F26" s="236" t="e">
        <f>E26*Tariefsopbouw!$K$37+'Regie en afroep'!E26</f>
        <v>#DIV/0!</v>
      </c>
      <c r="G26" s="236" t="e">
        <f>F26*Tariefsopbouw!$M$37+'Regie en afroep'!F26</f>
        <v>#DIV/0!</v>
      </c>
      <c r="H26" s="236" t="e">
        <f>G26*Tariefsopbouw!$O$37+'Regie en afroep'!G26</f>
        <v>#DIV/0!</v>
      </c>
      <c r="I26" s="236" t="e">
        <f>H26*Tariefsopbouw!$Q$37+H26</f>
        <v>#DIV/0!</v>
      </c>
    </row>
    <row r="27" spans="1:9" ht="18.75" customHeight="1">
      <c r="A27" s="399"/>
      <c r="B27" s="173" t="s">
        <v>47</v>
      </c>
      <c r="C27" s="173" t="s">
        <v>1590</v>
      </c>
      <c r="D27" s="434">
        <v>0</v>
      </c>
      <c r="E27" s="236" t="e">
        <f>InvulRegie[[#This Row],[Prijs excl. BTW]]*Tariefsopbouw!$I$37+InvulRegie[[#This Row],[Prijs excl. BTW]]</f>
        <v>#DIV/0!</v>
      </c>
      <c r="F27" s="236" t="e">
        <f>E27*Tariefsopbouw!$K$37+'Regie en afroep'!E27</f>
        <v>#DIV/0!</v>
      </c>
      <c r="G27" s="236" t="e">
        <f>F27*Tariefsopbouw!$M$37+'Regie en afroep'!F27</f>
        <v>#DIV/0!</v>
      </c>
      <c r="H27" s="236" t="e">
        <f>G27*Tariefsopbouw!$O$37+'Regie en afroep'!G27</f>
        <v>#DIV/0!</v>
      </c>
      <c r="I27" s="236" t="e">
        <f>H27*Tariefsopbouw!$Q$37+H27</f>
        <v>#DIV/0!</v>
      </c>
    </row>
    <row r="28" spans="1:9" ht="18.75" customHeight="1">
      <c r="A28" s="397" t="s">
        <v>187</v>
      </c>
      <c r="B28" s="173" t="s">
        <v>49</v>
      </c>
      <c r="C28" s="173" t="s">
        <v>48</v>
      </c>
      <c r="D28" s="434">
        <v>0</v>
      </c>
      <c r="E28" s="236" t="e">
        <f>InvulRegie[[#This Row],[Prijs excl. BTW]]*Tariefsopbouw!$I$37+InvulRegie[[#This Row],[Prijs excl. BTW]]</f>
        <v>#DIV/0!</v>
      </c>
      <c r="F28" s="236" t="e">
        <f>E28*Tariefsopbouw!$K$37+'Regie en afroep'!E28</f>
        <v>#DIV/0!</v>
      </c>
      <c r="G28" s="236" t="e">
        <f>F28*Tariefsopbouw!$M$37+'Regie en afroep'!F28</f>
        <v>#DIV/0!</v>
      </c>
      <c r="H28" s="236" t="e">
        <f>G28*Tariefsopbouw!$O$37+'Regie en afroep'!G28</f>
        <v>#DIV/0!</v>
      </c>
      <c r="I28" s="236" t="e">
        <f>H28*Tariefsopbouw!$Q$37+H28</f>
        <v>#DIV/0!</v>
      </c>
    </row>
    <row r="29" spans="1:9" ht="18.75" customHeight="1">
      <c r="A29" s="398"/>
      <c r="B29" s="173" t="s">
        <v>50</v>
      </c>
      <c r="C29" s="173" t="s">
        <v>48</v>
      </c>
      <c r="D29" s="434">
        <v>0</v>
      </c>
      <c r="E29" s="236" t="e">
        <f>InvulRegie[[#This Row],[Prijs excl. BTW]]*Tariefsopbouw!$I$37+InvulRegie[[#This Row],[Prijs excl. BTW]]</f>
        <v>#DIV/0!</v>
      </c>
      <c r="F29" s="236" t="e">
        <f>E29*Tariefsopbouw!$K$37+'Regie en afroep'!E29</f>
        <v>#DIV/0!</v>
      </c>
      <c r="G29" s="236" t="e">
        <f>F29*Tariefsopbouw!$M$37+'Regie en afroep'!F29</f>
        <v>#DIV/0!</v>
      </c>
      <c r="H29" s="236" t="e">
        <f>G29*Tariefsopbouw!$O$37+'Regie en afroep'!G29</f>
        <v>#DIV/0!</v>
      </c>
      <c r="I29" s="236" t="e">
        <f>H29*Tariefsopbouw!$Q$37+H29</f>
        <v>#DIV/0!</v>
      </c>
    </row>
    <row r="30" spans="1:9" ht="18.75" customHeight="1">
      <c r="A30" s="398"/>
      <c r="B30" s="173" t="s">
        <v>51</v>
      </c>
      <c r="C30" s="173" t="s">
        <v>48</v>
      </c>
      <c r="D30" s="434">
        <v>0</v>
      </c>
      <c r="E30" s="236" t="e">
        <f>InvulRegie[[#This Row],[Prijs excl. BTW]]*Tariefsopbouw!$I$37+InvulRegie[[#This Row],[Prijs excl. BTW]]</f>
        <v>#DIV/0!</v>
      </c>
      <c r="F30" s="236" t="e">
        <f>E30*Tariefsopbouw!$K$37+'Regie en afroep'!E30</f>
        <v>#DIV/0!</v>
      </c>
      <c r="G30" s="236" t="e">
        <f>F30*Tariefsopbouw!$M$37+'Regie en afroep'!F30</f>
        <v>#DIV/0!</v>
      </c>
      <c r="H30" s="236" t="e">
        <f>G30*Tariefsopbouw!$O$37+'Regie en afroep'!G30</f>
        <v>#DIV/0!</v>
      </c>
      <c r="I30" s="236" t="e">
        <f>H30*Tariefsopbouw!$Q$37+H30</f>
        <v>#DIV/0!</v>
      </c>
    </row>
    <row r="31" spans="1:9" ht="18.75" customHeight="1">
      <c r="A31" s="398"/>
      <c r="B31" s="173" t="s">
        <v>52</v>
      </c>
      <c r="C31" s="173" t="s">
        <v>48</v>
      </c>
      <c r="D31" s="434">
        <v>0</v>
      </c>
      <c r="E31" s="236" t="e">
        <f>InvulRegie[[#This Row],[Prijs excl. BTW]]*Tariefsopbouw!$I$37+InvulRegie[[#This Row],[Prijs excl. BTW]]</f>
        <v>#DIV/0!</v>
      </c>
      <c r="F31" s="236" t="e">
        <f>E31*Tariefsopbouw!$K$37+'Regie en afroep'!E31</f>
        <v>#DIV/0!</v>
      </c>
      <c r="G31" s="236" t="e">
        <f>F31*Tariefsopbouw!$M$37+'Regie en afroep'!F31</f>
        <v>#DIV/0!</v>
      </c>
      <c r="H31" s="236" t="e">
        <f>G31*Tariefsopbouw!$O$37+'Regie en afroep'!G31</f>
        <v>#DIV/0!</v>
      </c>
      <c r="I31" s="236" t="e">
        <f>H31*Tariefsopbouw!$Q$37+H31</f>
        <v>#DIV/0!</v>
      </c>
    </row>
    <row r="32" spans="1:9" ht="18.75" customHeight="1">
      <c r="A32" s="399"/>
      <c r="B32" s="173" t="s">
        <v>45</v>
      </c>
      <c r="C32" s="173" t="s">
        <v>46</v>
      </c>
      <c r="D32" s="434">
        <v>0</v>
      </c>
      <c r="E32" s="236" t="e">
        <f>InvulRegie[[#This Row],[Prijs excl. BTW]]*Tariefsopbouw!$I$37+InvulRegie[[#This Row],[Prijs excl. BTW]]</f>
        <v>#DIV/0!</v>
      </c>
      <c r="F32" s="236" t="e">
        <f>E32*Tariefsopbouw!$K$37+'Regie en afroep'!E32</f>
        <v>#DIV/0!</v>
      </c>
      <c r="G32" s="236" t="e">
        <f>F32*Tariefsopbouw!$M$37+'Regie en afroep'!F32</f>
        <v>#DIV/0!</v>
      </c>
      <c r="H32" s="236" t="e">
        <f>G32*Tariefsopbouw!$O$37+'Regie en afroep'!G32</f>
        <v>#DIV/0!</v>
      </c>
      <c r="I32" s="236" t="e">
        <f>H32*Tariefsopbouw!$Q$37+H32</f>
        <v>#DIV/0!</v>
      </c>
    </row>
    <row r="33" spans="1:9" ht="18.75" customHeight="1">
      <c r="A33" s="400" t="s">
        <v>188</v>
      </c>
      <c r="B33" s="173" t="s">
        <v>53</v>
      </c>
      <c r="C33" s="173" t="s">
        <v>209</v>
      </c>
      <c r="D33" s="434">
        <v>0</v>
      </c>
      <c r="E33" s="236" t="e">
        <f>InvulRegie[[#This Row],[Prijs excl. BTW]]*Tariefsopbouw!$I$37+InvulRegie[[#This Row],[Prijs excl. BTW]]</f>
        <v>#DIV/0!</v>
      </c>
      <c r="F33" s="236" t="e">
        <f>E33*Tariefsopbouw!$K$37+'Regie en afroep'!E33</f>
        <v>#DIV/0!</v>
      </c>
      <c r="G33" s="236" t="e">
        <f>F33*Tariefsopbouw!$M$37+'Regie en afroep'!F33</f>
        <v>#DIV/0!</v>
      </c>
      <c r="H33" s="236" t="e">
        <f>G33*Tariefsopbouw!$O$37+'Regie en afroep'!G33</f>
        <v>#DIV/0!</v>
      </c>
      <c r="I33" s="236" t="e">
        <f>H33*Tariefsopbouw!$Q$37+H33</f>
        <v>#DIV/0!</v>
      </c>
    </row>
    <row r="34" spans="1:9" ht="18.75" customHeight="1">
      <c r="A34" s="401"/>
      <c r="B34" s="173" t="s">
        <v>54</v>
      </c>
      <c r="C34" s="173" t="s">
        <v>55</v>
      </c>
      <c r="D34" s="434">
        <v>0</v>
      </c>
      <c r="E34" s="236" t="e">
        <f>InvulRegie[[#This Row],[Prijs excl. BTW]]*Tariefsopbouw!$I$37+InvulRegie[[#This Row],[Prijs excl. BTW]]</f>
        <v>#DIV/0!</v>
      </c>
      <c r="F34" s="236" t="e">
        <f>E34*Tariefsopbouw!$K$37+'Regie en afroep'!E34</f>
        <v>#DIV/0!</v>
      </c>
      <c r="G34" s="236" t="e">
        <f>F34*Tariefsopbouw!$M$37+'Regie en afroep'!F34</f>
        <v>#DIV/0!</v>
      </c>
      <c r="H34" s="236" t="e">
        <f>G34*Tariefsopbouw!$O$37+'Regie en afroep'!G34</f>
        <v>#DIV/0!</v>
      </c>
      <c r="I34" s="236" t="e">
        <f>H34*Tariefsopbouw!$Q$37+H34</f>
        <v>#DIV/0!</v>
      </c>
    </row>
    <row r="35" spans="1:9" ht="18.75" customHeight="1">
      <c r="A35" s="401"/>
      <c r="B35" s="173" t="s">
        <v>189</v>
      </c>
      <c r="C35" s="173" t="s">
        <v>55</v>
      </c>
      <c r="D35" s="434">
        <v>0</v>
      </c>
      <c r="E35" s="236" t="e">
        <f>InvulRegie[[#This Row],[Prijs excl. BTW]]*Tariefsopbouw!$I$37+InvulRegie[[#This Row],[Prijs excl. BTW]]</f>
        <v>#DIV/0!</v>
      </c>
      <c r="F35" s="236" t="e">
        <f>E35*Tariefsopbouw!$K$37+'Regie en afroep'!E35</f>
        <v>#DIV/0!</v>
      </c>
      <c r="G35" s="236" t="e">
        <f>F35*Tariefsopbouw!$M$37+'Regie en afroep'!F35</f>
        <v>#DIV/0!</v>
      </c>
      <c r="H35" s="236" t="e">
        <f>G35*Tariefsopbouw!$O$37+'Regie en afroep'!G35</f>
        <v>#DIV/0!</v>
      </c>
      <c r="I35" s="236" t="e">
        <f>H35*Tariefsopbouw!$Q$37+H35</f>
        <v>#DIV/0!</v>
      </c>
    </row>
    <row r="36" spans="1:9" ht="18.75" customHeight="1">
      <c r="A36" s="402"/>
      <c r="B36" s="173" t="s">
        <v>190</v>
      </c>
      <c r="C36" s="173" t="s">
        <v>55</v>
      </c>
      <c r="D36" s="434">
        <v>0</v>
      </c>
      <c r="E36" s="236" t="e">
        <f>InvulRegie[[#This Row],[Prijs excl. BTW]]*Tariefsopbouw!$I$37+InvulRegie[[#This Row],[Prijs excl. BTW]]</f>
        <v>#DIV/0!</v>
      </c>
      <c r="F36" s="236" t="e">
        <f>E36*Tariefsopbouw!$K$37+'Regie en afroep'!E36</f>
        <v>#DIV/0!</v>
      </c>
      <c r="G36" s="236" t="e">
        <f>F36*Tariefsopbouw!$M$37+'Regie en afroep'!F36</f>
        <v>#DIV/0!</v>
      </c>
      <c r="H36" s="236" t="e">
        <f>G36*Tariefsopbouw!$O$37+'Regie en afroep'!G36</f>
        <v>#DIV/0!</v>
      </c>
      <c r="I36" s="236" t="e">
        <f>H36*Tariefsopbouw!$Q$37+H36</f>
        <v>#DIV/0!</v>
      </c>
    </row>
    <row r="37" spans="1:9" s="6" customFormat="1" ht="26.25" customHeight="1">
      <c r="A37" s="237"/>
      <c r="B37" s="238" t="s">
        <v>32</v>
      </c>
      <c r="C37" s="238"/>
      <c r="D37" s="238"/>
      <c r="E37" s="238"/>
      <c r="F37" s="238"/>
      <c r="G37" s="238"/>
      <c r="H37" s="238"/>
      <c r="I37" s="238"/>
    </row>
    <row r="39" spans="1:9" ht="18.75" customHeight="1" thickBot="1"/>
    <row r="40" spans="1:9" ht="15.75">
      <c r="A40" s="240"/>
      <c r="B40" s="241" t="s">
        <v>1572</v>
      </c>
      <c r="C40" s="241"/>
      <c r="D40" s="242"/>
    </row>
    <row r="41" spans="1:9" ht="13.5">
      <c r="A41" s="243"/>
      <c r="B41" s="5"/>
      <c r="C41" s="5"/>
      <c r="D41" s="244"/>
    </row>
    <row r="42" spans="1:9" ht="13.5">
      <c r="A42" s="243"/>
      <c r="B42" s="245" t="s">
        <v>1591</v>
      </c>
      <c r="C42" s="5"/>
      <c r="D42" s="244"/>
    </row>
    <row r="43" spans="1:9" ht="13.5">
      <c r="A43" s="243"/>
      <c r="B43" s="5"/>
      <c r="C43" s="5"/>
      <c r="D43" s="244"/>
    </row>
    <row r="44" spans="1:9" ht="13.5">
      <c r="A44" s="243"/>
      <c r="B44" s="246" t="s">
        <v>1541</v>
      </c>
      <c r="C44" s="5"/>
      <c r="D44" s="244"/>
    </row>
    <row r="45" spans="1:9" ht="13.5">
      <c r="A45" s="243"/>
      <c r="B45" s="5"/>
      <c r="C45" s="5"/>
      <c r="D45" s="244"/>
    </row>
    <row r="46" spans="1:9" ht="13.5">
      <c r="A46" s="247" t="s">
        <v>1542</v>
      </c>
      <c r="B46" s="403" t="s">
        <v>1543</v>
      </c>
      <c r="C46" s="403"/>
      <c r="D46" s="404"/>
    </row>
    <row r="47" spans="1:9" ht="13.5">
      <c r="A47" s="247" t="s">
        <v>1542</v>
      </c>
      <c r="B47" s="403" t="s">
        <v>1544</v>
      </c>
      <c r="C47" s="403" t="s">
        <v>1544</v>
      </c>
      <c r="D47" s="404" t="s">
        <v>1544</v>
      </c>
    </row>
    <row r="48" spans="1:9" ht="13.5">
      <c r="A48" s="247" t="s">
        <v>1542</v>
      </c>
      <c r="B48" s="403" t="s">
        <v>1545</v>
      </c>
      <c r="C48" s="403" t="s">
        <v>1545</v>
      </c>
      <c r="D48" s="404" t="s">
        <v>1545</v>
      </c>
    </row>
    <row r="49" spans="1:4" ht="13.5">
      <c r="A49" s="247" t="s">
        <v>1542</v>
      </c>
      <c r="B49" s="403" t="s">
        <v>1546</v>
      </c>
      <c r="C49" s="403" t="s">
        <v>1546</v>
      </c>
      <c r="D49" s="404" t="s">
        <v>1546</v>
      </c>
    </row>
    <row r="50" spans="1:4" ht="13.5">
      <c r="A50" s="247" t="s">
        <v>1542</v>
      </c>
      <c r="B50" s="403" t="s">
        <v>1547</v>
      </c>
      <c r="C50" s="403" t="s">
        <v>1547</v>
      </c>
      <c r="D50" s="404" t="s">
        <v>1547</v>
      </c>
    </row>
    <row r="51" spans="1:4" ht="13.5">
      <c r="A51" s="247" t="s">
        <v>1542</v>
      </c>
      <c r="B51" s="403" t="s">
        <v>1548</v>
      </c>
      <c r="C51" s="403" t="s">
        <v>1548</v>
      </c>
      <c r="D51" s="404" t="s">
        <v>1548</v>
      </c>
    </row>
    <row r="52" spans="1:4" ht="13.5">
      <c r="A52" s="247" t="s">
        <v>1542</v>
      </c>
      <c r="B52" s="403" t="s">
        <v>1549</v>
      </c>
      <c r="C52" s="403" t="s">
        <v>1549</v>
      </c>
      <c r="D52" s="404" t="s">
        <v>1549</v>
      </c>
    </row>
    <row r="53" spans="1:4" ht="13.5">
      <c r="A53" s="247" t="s">
        <v>1542</v>
      </c>
      <c r="B53" s="403" t="s">
        <v>1550</v>
      </c>
      <c r="C53" s="403" t="s">
        <v>1550</v>
      </c>
      <c r="D53" s="404" t="s">
        <v>1550</v>
      </c>
    </row>
    <row r="54" spans="1:4" ht="13.5">
      <c r="A54" s="247" t="s">
        <v>1542</v>
      </c>
      <c r="B54" s="403" t="s">
        <v>1551</v>
      </c>
      <c r="C54" s="403" t="s">
        <v>1551</v>
      </c>
      <c r="D54" s="404" t="s">
        <v>1551</v>
      </c>
    </row>
    <row r="55" spans="1:4" ht="13.5">
      <c r="A55" s="247" t="s">
        <v>1542</v>
      </c>
      <c r="B55" s="403" t="s">
        <v>1552</v>
      </c>
      <c r="C55" s="403" t="s">
        <v>1552</v>
      </c>
      <c r="D55" s="404" t="s">
        <v>1552</v>
      </c>
    </row>
    <row r="56" spans="1:4" ht="13.5">
      <c r="A56" s="247" t="s">
        <v>1542</v>
      </c>
      <c r="B56" s="403" t="s">
        <v>1553</v>
      </c>
      <c r="C56" s="403" t="s">
        <v>1553</v>
      </c>
      <c r="D56" s="404" t="s">
        <v>1553</v>
      </c>
    </row>
    <row r="57" spans="1:4" ht="13.5">
      <c r="A57" s="247" t="s">
        <v>1542</v>
      </c>
      <c r="B57" s="403" t="s">
        <v>1554</v>
      </c>
      <c r="C57" s="403" t="s">
        <v>1554</v>
      </c>
      <c r="D57" s="404" t="s">
        <v>1554</v>
      </c>
    </row>
    <row r="58" spans="1:4" ht="13.5">
      <c r="A58" s="243"/>
      <c r="B58" s="248"/>
      <c r="C58" s="5"/>
      <c r="D58" s="244"/>
    </row>
    <row r="59" spans="1:4" ht="13.5">
      <c r="A59" s="243"/>
      <c r="B59" s="249" t="s">
        <v>1555</v>
      </c>
      <c r="C59" s="5"/>
      <c r="D59" s="244"/>
    </row>
    <row r="60" spans="1:4" ht="13.5">
      <c r="A60" s="243"/>
      <c r="B60" s="248"/>
      <c r="C60" s="5"/>
      <c r="D60" s="244"/>
    </row>
    <row r="61" spans="1:4" ht="24" customHeight="1">
      <c r="A61" s="247" t="s">
        <v>1542</v>
      </c>
      <c r="B61" s="403" t="s">
        <v>1556</v>
      </c>
      <c r="C61" s="403" t="s">
        <v>1556</v>
      </c>
      <c r="D61" s="404" t="s">
        <v>1556</v>
      </c>
    </row>
    <row r="62" spans="1:4" ht="13.5">
      <c r="A62" s="247" t="s">
        <v>1542</v>
      </c>
      <c r="B62" s="403" t="s">
        <v>1557</v>
      </c>
      <c r="C62" s="403" t="s">
        <v>1557</v>
      </c>
      <c r="D62" s="404" t="s">
        <v>1557</v>
      </c>
    </row>
    <row r="63" spans="1:4" ht="13.5">
      <c r="A63" s="247" t="s">
        <v>1542</v>
      </c>
      <c r="B63" s="403" t="s">
        <v>1558</v>
      </c>
      <c r="C63" s="403" t="s">
        <v>1558</v>
      </c>
      <c r="D63" s="404" t="s">
        <v>1558</v>
      </c>
    </row>
    <row r="64" spans="1:4" ht="13.5">
      <c r="A64" s="247" t="s">
        <v>1542</v>
      </c>
      <c r="B64" s="403" t="s">
        <v>1552</v>
      </c>
      <c r="C64" s="403" t="s">
        <v>1552</v>
      </c>
      <c r="D64" s="404" t="s">
        <v>1552</v>
      </c>
    </row>
    <row r="65" spans="1:4" ht="13.5">
      <c r="A65" s="247" t="s">
        <v>1542</v>
      </c>
      <c r="B65" s="403" t="s">
        <v>1559</v>
      </c>
      <c r="C65" s="403" t="s">
        <v>1559</v>
      </c>
      <c r="D65" s="404" t="s">
        <v>1559</v>
      </c>
    </row>
    <row r="66" spans="1:4" ht="13.5">
      <c r="A66" s="247" t="s">
        <v>1542</v>
      </c>
      <c r="B66" s="403" t="s">
        <v>1560</v>
      </c>
      <c r="C66" s="403" t="s">
        <v>1560</v>
      </c>
      <c r="D66" s="404" t="s">
        <v>1560</v>
      </c>
    </row>
    <row r="67" spans="1:4" ht="13.5">
      <c r="A67" s="247" t="s">
        <v>1542</v>
      </c>
      <c r="B67" s="403" t="s">
        <v>1561</v>
      </c>
      <c r="C67" s="403" t="s">
        <v>1561</v>
      </c>
      <c r="D67" s="404" t="s">
        <v>1561</v>
      </c>
    </row>
    <row r="68" spans="1:4" ht="13.5">
      <c r="A68" s="247" t="s">
        <v>1542</v>
      </c>
      <c r="B68" s="403" t="s">
        <v>1562</v>
      </c>
      <c r="C68" s="403" t="s">
        <v>1562</v>
      </c>
      <c r="D68" s="404" t="s">
        <v>1562</v>
      </c>
    </row>
    <row r="69" spans="1:4" ht="13.5">
      <c r="A69" s="247" t="s">
        <v>1542</v>
      </c>
      <c r="B69" s="403" t="s">
        <v>1563</v>
      </c>
      <c r="C69" s="403" t="s">
        <v>1563</v>
      </c>
      <c r="D69" s="404" t="s">
        <v>1563</v>
      </c>
    </row>
    <row r="70" spans="1:4" ht="13.5">
      <c r="A70" s="243"/>
      <c r="B70" s="5"/>
      <c r="C70" s="5"/>
      <c r="D70" s="244"/>
    </row>
    <row r="71" spans="1:4" ht="13.5">
      <c r="A71" s="243"/>
      <c r="B71" s="249" t="s">
        <v>1564</v>
      </c>
      <c r="C71" s="5"/>
      <c r="D71" s="244"/>
    </row>
    <row r="72" spans="1:4" ht="13.5">
      <c r="A72" s="243"/>
      <c r="B72" s="248"/>
      <c r="C72" s="5"/>
      <c r="D72" s="244"/>
    </row>
    <row r="73" spans="1:4" ht="13.5">
      <c r="A73" s="247" t="s">
        <v>1542</v>
      </c>
      <c r="B73" s="405" t="s">
        <v>1565</v>
      </c>
      <c r="C73" s="405" t="s">
        <v>1565</v>
      </c>
      <c r="D73" s="406" t="s">
        <v>1565</v>
      </c>
    </row>
    <row r="74" spans="1:4" ht="13.5">
      <c r="A74" s="247" t="s">
        <v>1542</v>
      </c>
      <c r="B74" s="405" t="s">
        <v>1566</v>
      </c>
      <c r="C74" s="405" t="s">
        <v>1566</v>
      </c>
      <c r="D74" s="406" t="s">
        <v>1566</v>
      </c>
    </row>
    <row r="75" spans="1:4" ht="13.5">
      <c r="A75" s="247" t="s">
        <v>1542</v>
      </c>
      <c r="B75" s="405" t="s">
        <v>1567</v>
      </c>
      <c r="C75" s="405" t="s">
        <v>1567</v>
      </c>
      <c r="D75" s="406" t="s">
        <v>1567</v>
      </c>
    </row>
    <row r="76" spans="1:4" ht="13.5">
      <c r="A76" s="247" t="s">
        <v>1542</v>
      </c>
      <c r="B76" s="405" t="s">
        <v>1568</v>
      </c>
      <c r="C76" s="405" t="s">
        <v>1568</v>
      </c>
      <c r="D76" s="406" t="s">
        <v>1568</v>
      </c>
    </row>
    <row r="77" spans="1:4" ht="13.5">
      <c r="A77" s="247" t="s">
        <v>1542</v>
      </c>
      <c r="B77" s="405" t="s">
        <v>1569</v>
      </c>
      <c r="C77" s="405" t="s">
        <v>1569</v>
      </c>
      <c r="D77" s="406" t="s">
        <v>1569</v>
      </c>
    </row>
    <row r="78" spans="1:4" ht="13.5">
      <c r="A78" s="247" t="s">
        <v>1542</v>
      </c>
      <c r="B78" s="405" t="s">
        <v>1570</v>
      </c>
      <c r="C78" s="405" t="s">
        <v>1570</v>
      </c>
      <c r="D78" s="406" t="s">
        <v>1570</v>
      </c>
    </row>
    <row r="79" spans="1:4" ht="14.25" thickBot="1">
      <c r="A79" s="250" t="s">
        <v>1542</v>
      </c>
      <c r="B79" s="407" t="s">
        <v>1571</v>
      </c>
      <c r="C79" s="407" t="s">
        <v>1571</v>
      </c>
      <c r="D79" s="408" t="s">
        <v>1571</v>
      </c>
    </row>
  </sheetData>
  <sheetProtection algorithmName="SHA-512" hashValue="48P/VZrt1rt+WeiY2eJyjPp+sf9KxfL8rejfo5sbJdTtncSE6PTmdmXUnmCDU6KmmoH+G2l8Vrjp0q5OxxgoPQ==" saltValue="bp1kBl/bJjeUIcdgqXeuCw==" spinCount="100000" sheet="1" objects="1" scenarios="1" selectLockedCells="1"/>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3"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61"/>
  <sheetViews>
    <sheetView showGridLines="0" tabSelected="1" view="pageBreakPreview" topLeftCell="A17" zoomScale="55" zoomScaleNormal="100" zoomScaleSheetLayoutView="55" workbookViewId="0">
      <selection activeCell="C52" sqref="C52:G52"/>
    </sheetView>
  </sheetViews>
  <sheetFormatPr defaultColWidth="9.140625" defaultRowHeight="18.75" customHeight="1"/>
  <cols>
    <col min="1" max="1" width="13.7109375" style="253" customWidth="1"/>
    <col min="2" max="2" width="31.5703125" style="252" customWidth="1"/>
    <col min="3" max="5" width="23.28515625" style="253" customWidth="1"/>
    <col min="6" max="6" width="23.5703125" style="253" customWidth="1"/>
    <col min="7" max="7" width="23.28515625" style="253" customWidth="1"/>
    <col min="8" max="8" width="9.7109375" style="254" customWidth="1"/>
    <col min="9" max="9" width="9.7109375" style="253" customWidth="1"/>
    <col min="10" max="10" width="15.85546875" style="253" customWidth="1"/>
    <col min="11" max="16384" width="9.140625" style="253"/>
  </cols>
  <sheetData>
    <row r="1" spans="1:8" s="55" customFormat="1" ht="17.25" customHeight="1">
      <c r="A1" s="363" t="s">
        <v>1850</v>
      </c>
      <c r="B1" s="363"/>
      <c r="C1" s="363"/>
      <c r="D1" s="363"/>
      <c r="E1" s="363"/>
      <c r="F1" s="363"/>
      <c r="G1" s="363"/>
      <c r="H1" s="251"/>
    </row>
    <row r="2" spans="1:8" s="55" customFormat="1" ht="15" customHeight="1">
      <c r="A2" s="425"/>
      <c r="B2" s="411"/>
      <c r="C2" s="411"/>
      <c r="D2" s="411"/>
      <c r="E2" s="411"/>
      <c r="F2" s="411"/>
      <c r="G2" s="411"/>
      <c r="H2" s="251"/>
    </row>
    <row r="3" spans="1:8" s="78" customFormat="1" ht="12">
      <c r="B3" s="99"/>
      <c r="H3" s="251"/>
    </row>
    <row r="4" spans="1:8" ht="12">
      <c r="A4" s="252"/>
      <c r="B4" s="253"/>
    </row>
    <row r="5" spans="1:8" ht="12">
      <c r="A5" s="112" t="s">
        <v>208</v>
      </c>
      <c r="B5" s="253"/>
    </row>
    <row r="6" spans="1:8" s="255" customFormat="1" ht="25.5" customHeight="1">
      <c r="A6" s="283" t="s">
        <v>197</v>
      </c>
      <c r="B6" s="283" t="s">
        <v>135</v>
      </c>
      <c r="C6" s="283" t="s">
        <v>162</v>
      </c>
      <c r="D6" s="283" t="s">
        <v>163</v>
      </c>
      <c r="E6" s="283" t="s">
        <v>1259</v>
      </c>
      <c r="F6" s="283" t="s">
        <v>164</v>
      </c>
    </row>
    <row r="7" spans="1:8" s="255" customFormat="1" ht="18.75" customHeight="1">
      <c r="A7" s="3">
        <v>1</v>
      </c>
      <c r="B7" s="2" t="str">
        <f>VLOOKUP(Samenvattingschoonmaak[[#This Row],[Code Locatie]],Locaties[],2,0)</f>
        <v xml:space="preserve">OBS Molenbeek </v>
      </c>
      <c r="C7" s="256">
        <f>SUMIF('Ruimtestaat'!$A:$A,Totalisatie!$A7,'Ruimtestaat'!$N:$N)</f>
        <v>958.69999999999982</v>
      </c>
      <c r="D7" s="257">
        <f>SUMIF('Ruimtestaat'!$A:$A,Totalisatie!$A7,'Ruimtestaat'!$AE:$AE)</f>
        <v>0</v>
      </c>
      <c r="E7" s="258">
        <f>SUMIF('Ruimtestaat'!$A:$A,Totalisatie!$A7,'Ruimtestaat'!$AF:$AF)</f>
        <v>0</v>
      </c>
      <c r="F7" s="259">
        <f t="shared" ref="F7" si="0">IF(C7=0,0,E7/C7)</f>
        <v>0</v>
      </c>
    </row>
    <row r="8" spans="1:8" s="255" customFormat="1" ht="18.75" customHeight="1">
      <c r="A8" s="3">
        <v>2</v>
      </c>
      <c r="B8" s="2" t="str">
        <f>VLOOKUP(Samenvattingschoonmaak[[#This Row],[Code Locatie]],Locaties[],2,0)</f>
        <v>IST Primary Campus</v>
      </c>
      <c r="C8" s="256">
        <f>SUMIF('Ruimtestaat'!$A:$A,Totalisatie!$A8,'Ruimtestaat'!$N:$N)</f>
        <v>1015.5000000000001</v>
      </c>
      <c r="D8" s="257">
        <f>SUMIF('Ruimtestaat'!$A:$A,Totalisatie!$A8,'Ruimtestaat'!$AE:$AE)</f>
        <v>0</v>
      </c>
      <c r="E8" s="258">
        <f>SUMIF('Ruimtestaat'!$A:$A,Totalisatie!$A8,'Ruimtestaat'!$AF:$AF)</f>
        <v>0</v>
      </c>
      <c r="F8" s="259">
        <f t="shared" ref="F8:F24" si="1">IF(C8=0,0,E8/C8)</f>
        <v>0</v>
      </c>
    </row>
    <row r="9" spans="1:8" s="255" customFormat="1" ht="18.75" customHeight="1">
      <c r="A9" s="3">
        <v>3</v>
      </c>
      <c r="B9" s="2" t="str">
        <f>VLOOKUP(Samenvattingschoonmaak[[#This Row],[Code Locatie]],Locaties[],2,0)</f>
        <v>OBS De Spinner</v>
      </c>
      <c r="C9" s="256">
        <f>SUMIF('Ruimtestaat'!$A:$A,Totalisatie!$A9,'Ruimtestaat'!$N:$N)</f>
        <v>1084.7</v>
      </c>
      <c r="D9" s="257">
        <f>SUMIF('Ruimtestaat'!$A:$A,Totalisatie!$A9,'Ruimtestaat'!$AE:$AE)</f>
        <v>0</v>
      </c>
      <c r="E9" s="258">
        <f>SUMIF('Ruimtestaat'!$A:$A,Totalisatie!$A9,'Ruimtestaat'!$AF:$AF)</f>
        <v>0</v>
      </c>
      <c r="F9" s="259">
        <f t="shared" si="1"/>
        <v>0</v>
      </c>
    </row>
    <row r="10" spans="1:8" s="255" customFormat="1" ht="18.75" customHeight="1">
      <c r="A10" s="3">
        <v>4</v>
      </c>
      <c r="B10" s="2" t="str">
        <f>VLOOKUP(Samenvattingschoonmaak[[#This Row],[Code Locatie]],Locaties[],2,0)</f>
        <v>OBS De Sterrenborgh</v>
      </c>
      <c r="C10" s="256">
        <f>SUMIF('Ruimtestaat'!$A:$A,Totalisatie!$A10,'Ruimtestaat'!$N:$N)</f>
        <v>1053.7</v>
      </c>
      <c r="D10" s="257">
        <f>SUMIF('Ruimtestaat'!$A:$A,Totalisatie!$A10,'Ruimtestaat'!$AE:$AE)</f>
        <v>0</v>
      </c>
      <c r="E10" s="258">
        <f>SUMIF('Ruimtestaat'!$A:$A,Totalisatie!$A10,'Ruimtestaat'!$AF:$AF)</f>
        <v>0</v>
      </c>
      <c r="F10" s="259">
        <f t="shared" si="1"/>
        <v>0</v>
      </c>
    </row>
    <row r="11" spans="1:8" ht="18.75" customHeight="1">
      <c r="A11" s="3">
        <v>5</v>
      </c>
      <c r="B11" s="2" t="str">
        <f>VLOOKUP(Samenvattingschoonmaak[[#This Row],[Code Locatie]],Locaties[],2,0)</f>
        <v>OBS Harry Bannink</v>
      </c>
      <c r="C11" s="256">
        <f>SUMIF('Ruimtestaat'!$A:$A,Totalisatie!$A11,'Ruimtestaat'!$N:$N)</f>
        <v>1089.4000000000001</v>
      </c>
      <c r="D11" s="257">
        <f>SUMIF('Ruimtestaat'!$A:$A,Totalisatie!$A11,'Ruimtestaat'!$AE:$AE)</f>
        <v>0</v>
      </c>
      <c r="E11" s="258">
        <f>SUMIF('Ruimtestaat'!$A:$A,Totalisatie!$A11,'Ruimtestaat'!$AF:$AF)</f>
        <v>0</v>
      </c>
      <c r="F11" s="259">
        <f t="shared" si="1"/>
        <v>0</v>
      </c>
      <c r="H11" s="253"/>
    </row>
    <row r="12" spans="1:8" ht="18.75" customHeight="1">
      <c r="A12" s="3">
        <v>6</v>
      </c>
      <c r="B12" s="2" t="str">
        <f>VLOOKUP(Samenvattingschoonmaak[[#This Row],[Code Locatie]],Locaties[],2,0)</f>
        <v>OBS La Res Noord</v>
      </c>
      <c r="C12" s="256">
        <f>SUMIF('Ruimtestaat'!$A:$A,Totalisatie!$A12,'Ruimtestaat'!$N:$N)</f>
        <v>1016.2</v>
      </c>
      <c r="D12" s="257">
        <f>SUMIF('Ruimtestaat'!$A:$A,Totalisatie!$A12,'Ruimtestaat'!$AE:$AE)</f>
        <v>0</v>
      </c>
      <c r="E12" s="258">
        <f>SUMIF('Ruimtestaat'!$A:$A,Totalisatie!$A12,'Ruimtestaat'!$AF:$AF)</f>
        <v>0</v>
      </c>
      <c r="F12" s="259">
        <f t="shared" si="1"/>
        <v>0</v>
      </c>
      <c r="H12" s="253"/>
    </row>
    <row r="13" spans="1:8" ht="18.75" customHeight="1">
      <c r="A13" s="3">
        <v>7</v>
      </c>
      <c r="B13" s="2" t="str">
        <f>VLOOKUP(Samenvattingschoonmaak[[#This Row],[Code Locatie]],Locaties[],2,0)</f>
        <v xml:space="preserve">OBS Molenbeek </v>
      </c>
      <c r="C13" s="256">
        <f>SUMIF('Ruimtestaat'!$A:$A,Totalisatie!$A13,'Ruimtestaat'!$N:$N)</f>
        <v>476.40000000000003</v>
      </c>
      <c r="D13" s="257">
        <f>SUMIF('Ruimtestaat'!$A:$A,Totalisatie!$A13,'Ruimtestaat'!$AE:$AE)</f>
        <v>0</v>
      </c>
      <c r="E13" s="258">
        <f>SUMIF('Ruimtestaat'!$A:$A,Totalisatie!$A13,'Ruimtestaat'!$AF:$AF)</f>
        <v>0</v>
      </c>
      <c r="F13" s="259">
        <f t="shared" si="1"/>
        <v>0</v>
      </c>
      <c r="H13" s="253"/>
    </row>
    <row r="14" spans="1:8" ht="18.75" customHeight="1">
      <c r="A14" s="3">
        <v>8</v>
      </c>
      <c r="B14" s="2" t="str">
        <f>VLOOKUP(Samenvattingschoonmaak[[#This Row],[Code Locatie]],Locaties[],2,0)</f>
        <v>OBS Roombeek</v>
      </c>
      <c r="C14" s="256">
        <f>SUMIF('Ruimtestaat'!$A:$A,Totalisatie!$A14,'Ruimtestaat'!$N:$N)</f>
        <v>969.80000000000007</v>
      </c>
      <c r="D14" s="257">
        <f>SUMIF('Ruimtestaat'!$A:$A,Totalisatie!$A14,'Ruimtestaat'!$AE:$AE)</f>
        <v>0</v>
      </c>
      <c r="E14" s="258">
        <f>SUMIF('Ruimtestaat'!$A:$A,Totalisatie!$A14,'Ruimtestaat'!$AF:$AF)</f>
        <v>0</v>
      </c>
      <c r="F14" s="259">
        <f t="shared" si="1"/>
        <v>0</v>
      </c>
      <c r="H14" s="253"/>
    </row>
    <row r="15" spans="1:8" ht="18.75" customHeight="1">
      <c r="A15" s="3">
        <v>9</v>
      </c>
      <c r="B15" s="2" t="str">
        <f>VLOOKUP(Samenvattingschoonmaak[[#This Row],[Code Locatie]],Locaties[],2,0)</f>
        <v>ODBS Europa</v>
      </c>
      <c r="C15" s="256">
        <f>SUMIF('Ruimtestaat'!$A:$A,Totalisatie!$A15,'Ruimtestaat'!$N:$N)</f>
        <v>1110.1999999999998</v>
      </c>
      <c r="D15" s="257">
        <f>SUMIF('Ruimtestaat'!$A:$A,Totalisatie!$A15,'Ruimtestaat'!$AE:$AE)</f>
        <v>0</v>
      </c>
      <c r="E15" s="258">
        <f>SUMIF('Ruimtestaat'!$A:$A,Totalisatie!$A15,'Ruimtestaat'!$AF:$AF)</f>
        <v>0</v>
      </c>
      <c r="F15" s="259">
        <f t="shared" si="1"/>
        <v>0</v>
      </c>
      <c r="H15" s="253"/>
    </row>
    <row r="16" spans="1:8" ht="18.75" customHeight="1">
      <c r="A16" s="3">
        <v>10</v>
      </c>
      <c r="B16" s="2" t="str">
        <f>VLOOKUP(Samenvattingschoonmaak[[#This Row],[Code Locatie]],Locaties[],2,0)</f>
        <v>OJBS Het Palet</v>
      </c>
      <c r="C16" s="256">
        <f>SUMIF('Ruimtestaat'!$A:$A,Totalisatie!$A16,'Ruimtestaat'!$N:$N)</f>
        <v>1542</v>
      </c>
      <c r="D16" s="257">
        <f>SUMIF('Ruimtestaat'!$A:$A,Totalisatie!$A16,'Ruimtestaat'!$AE:$AE)</f>
        <v>0</v>
      </c>
      <c r="E16" s="258">
        <f>SUMIF('Ruimtestaat'!$A:$A,Totalisatie!$A16,'Ruimtestaat'!$AF:$AF)</f>
        <v>0</v>
      </c>
      <c r="F16" s="259">
        <f t="shared" si="1"/>
        <v>0</v>
      </c>
      <c r="H16" s="253"/>
    </row>
    <row r="17" spans="1:8" ht="18.75" customHeight="1">
      <c r="A17" s="3">
        <v>11</v>
      </c>
      <c r="B17" s="2" t="str">
        <f>VLOOKUP(Samenvattingschoonmaak[[#This Row],[Code Locatie]],Locaties[],2,0)</f>
        <v>OMBS De Wielerbaan</v>
      </c>
      <c r="C17" s="256">
        <f>SUMIF('Ruimtestaat'!$A:$A,Totalisatie!$A17,'Ruimtestaat'!$N:$N)</f>
        <v>1367.1999999999996</v>
      </c>
      <c r="D17" s="257">
        <f>SUMIF('Ruimtestaat'!$A:$A,Totalisatie!$A17,'Ruimtestaat'!$AE:$AE)</f>
        <v>0</v>
      </c>
      <c r="E17" s="258">
        <f>SUMIF('Ruimtestaat'!$A:$A,Totalisatie!$A17,'Ruimtestaat'!$AF:$AF)</f>
        <v>0</v>
      </c>
      <c r="F17" s="259">
        <f t="shared" si="1"/>
        <v>0</v>
      </c>
      <c r="H17" s="253"/>
    </row>
    <row r="18" spans="1:8" ht="18.75" customHeight="1">
      <c r="A18" s="3">
        <v>12</v>
      </c>
      <c r="B18" s="2" t="str">
        <f>VLOOKUP(Samenvattingschoonmaak[[#This Row],[Code Locatie]],Locaties[],2,0)</f>
        <v>OMBS Het Zeggelt (Dr. Benthem)</v>
      </c>
      <c r="C18" s="256">
        <f>SUMIF('Ruimtestaat'!$A:$A,Totalisatie!$A18,'Ruimtestaat'!$N:$N)</f>
        <v>1249.6000000000004</v>
      </c>
      <c r="D18" s="257">
        <f>SUMIF('Ruimtestaat'!$A:$A,Totalisatie!$A18,'Ruimtestaat'!$AE:$AE)</f>
        <v>0</v>
      </c>
      <c r="E18" s="258">
        <f>SUMIF('Ruimtestaat'!$A:$A,Totalisatie!$A18,'Ruimtestaat'!$AF:$AF)</f>
        <v>0</v>
      </c>
      <c r="F18" s="259">
        <f t="shared" si="1"/>
        <v>0</v>
      </c>
      <c r="H18" s="253"/>
    </row>
    <row r="19" spans="1:8" ht="18.75" customHeight="1">
      <c r="A19" s="3">
        <v>13</v>
      </c>
      <c r="B19" s="2" t="str">
        <f>VLOOKUP(Samenvattingschoonmaak[[#This Row],[Code Locatie]],Locaties[],2,0)</f>
        <v>OMBS Het Zeggelt (Meeuwen)</v>
      </c>
      <c r="C19" s="256">
        <f>SUMIF('Ruimtestaat'!$A:$A,Totalisatie!$A19,'Ruimtestaat'!$N:$N)</f>
        <v>1266.4000000000001</v>
      </c>
      <c r="D19" s="257">
        <f>SUMIF('Ruimtestaat'!$A:$A,Totalisatie!$A19,'Ruimtestaat'!$AE:$AE)</f>
        <v>0</v>
      </c>
      <c r="E19" s="258">
        <f>SUMIF('Ruimtestaat'!$A:$A,Totalisatie!$A19,'Ruimtestaat'!$AF:$AF)</f>
        <v>0</v>
      </c>
      <c r="F19" s="259">
        <f t="shared" si="1"/>
        <v>0</v>
      </c>
      <c r="H19" s="253"/>
    </row>
    <row r="20" spans="1:8" ht="18.75" customHeight="1">
      <c r="A20" s="3">
        <v>14</v>
      </c>
      <c r="B20" s="2" t="str">
        <f>VLOOKUP(Samenvattingschoonmaak[[#This Row],[Code Locatie]],Locaties[],2,0)</f>
        <v>Prinseschool Prinsestraat</v>
      </c>
      <c r="C20" s="256">
        <f>SUMIF('Ruimtestaat'!$A:$A,Totalisatie!$A20,'Ruimtestaat'!$N:$N)</f>
        <v>1738.9000000000003</v>
      </c>
      <c r="D20" s="257">
        <f>SUMIF('Ruimtestaat'!$A:$A,Totalisatie!$A20,'Ruimtestaat'!$AE:$AE)</f>
        <v>0</v>
      </c>
      <c r="E20" s="258">
        <f>SUMIF('Ruimtestaat'!$A:$A,Totalisatie!$A20,'Ruimtestaat'!$AF:$AF)</f>
        <v>0</v>
      </c>
      <c r="F20" s="259">
        <f t="shared" si="1"/>
        <v>0</v>
      </c>
      <c r="H20" s="253"/>
    </row>
    <row r="21" spans="1:8" ht="18.75" customHeight="1">
      <c r="A21" s="3">
        <v>15</v>
      </c>
      <c r="B21" s="2" t="str">
        <f>VLOOKUP(Samenvattingschoonmaak[[#This Row],[Code Locatie]],Locaties[],2,0)</f>
        <v>Prinseschool Staringstraat</v>
      </c>
      <c r="C21" s="256">
        <f>SUMIF('Ruimtestaat'!$A:$A,Totalisatie!$A21,'Ruimtestaat'!$N:$N)</f>
        <v>968.4000000000002</v>
      </c>
      <c r="D21" s="257">
        <f>SUMIF('Ruimtestaat'!$A:$A,Totalisatie!$A21,'Ruimtestaat'!$AE:$AE)</f>
        <v>0</v>
      </c>
      <c r="E21" s="258">
        <f>SUMIF('Ruimtestaat'!$A:$A,Totalisatie!$A21,'Ruimtestaat'!$AF:$AF)</f>
        <v>0</v>
      </c>
      <c r="F21" s="259">
        <f t="shared" si="1"/>
        <v>0</v>
      </c>
      <c r="H21" s="253"/>
    </row>
    <row r="22" spans="1:8" ht="18.75" customHeight="1">
      <c r="A22" s="3">
        <v>16</v>
      </c>
      <c r="B22" s="2" t="str">
        <f>VLOOKUP(Samenvattingschoonmaak[[#This Row],[Code Locatie]],Locaties[],2,0)</f>
        <v>SBO Het Pontem (College)</v>
      </c>
      <c r="C22" s="256">
        <f>SUMIF('Ruimtestaat'!$A:$A,Totalisatie!$A22,'Ruimtestaat'!$N:$N)</f>
        <v>1341.5000000000002</v>
      </c>
      <c r="D22" s="257">
        <f>SUMIF('Ruimtestaat'!$A:$A,Totalisatie!$A22,'Ruimtestaat'!$AE:$AE)</f>
        <v>0</v>
      </c>
      <c r="E22" s="258">
        <f>SUMIF('Ruimtestaat'!$A:$A,Totalisatie!$A22,'Ruimtestaat'!$AF:$AF)</f>
        <v>0</v>
      </c>
      <c r="F22" s="259">
        <f t="shared" si="1"/>
        <v>0</v>
      </c>
      <c r="H22" s="253"/>
    </row>
    <row r="23" spans="1:8" ht="18.75" customHeight="1">
      <c r="A23" s="3">
        <v>17</v>
      </c>
      <c r="B23" s="2" t="str">
        <f>VLOOKUP(Samenvattingschoonmaak[[#This Row],[Code Locatie]],Locaties[],2,0)</f>
        <v>ODBS Lonneker</v>
      </c>
      <c r="C23" s="256">
        <f>SUMIF('Ruimtestaat'!$A:$A,Totalisatie!$A23,'Ruimtestaat'!$N:$N)</f>
        <v>805.2</v>
      </c>
      <c r="D23" s="257">
        <f>SUMIF('Ruimtestaat'!$A:$A,Totalisatie!$A23,'Ruimtestaat'!$AE:$AE)</f>
        <v>0</v>
      </c>
      <c r="E23" s="258">
        <f>SUMIF('Ruimtestaat'!$A:$A,Totalisatie!$A23,'Ruimtestaat'!$AF:$AF)</f>
        <v>0</v>
      </c>
      <c r="F23" s="259">
        <f t="shared" si="1"/>
        <v>0</v>
      </c>
      <c r="H23" s="253"/>
    </row>
    <row r="24" spans="1:8" ht="18.75" customHeight="1">
      <c r="A24" s="3">
        <v>18</v>
      </c>
      <c r="B24" s="2" t="str">
        <f>VLOOKUP(Samenvattingschoonmaak[[#This Row],[Code Locatie]],Locaties[],2,0)</f>
        <v>OBS De Linde (Thij)</v>
      </c>
      <c r="C24" s="256">
        <f>SUMIF('Ruimtestaat'!$A:$A,Totalisatie!$A24,'Ruimtestaat'!$N:$N)</f>
        <v>1067.8</v>
      </c>
      <c r="D24" s="257">
        <f>SUMIF('Ruimtestaat'!$A:$A,Totalisatie!$A24,'Ruimtestaat'!$AE:$AE)</f>
        <v>0</v>
      </c>
      <c r="E24" s="258">
        <f>SUMIF('Ruimtestaat'!$A:$A,Totalisatie!$A24,'Ruimtestaat'!$AF:$AF)</f>
        <v>0</v>
      </c>
      <c r="F24" s="259">
        <f t="shared" si="1"/>
        <v>0</v>
      </c>
      <c r="H24" s="253"/>
    </row>
    <row r="25" spans="1:8" s="255" customFormat="1" ht="18.75" customHeight="1">
      <c r="A25" s="260"/>
      <c r="B25" s="261" t="s">
        <v>32</v>
      </c>
      <c r="C25" s="262">
        <f>SUBTOTAL(109,Samenvattingschoonmaak[Oppervlakte i/o])</f>
        <v>20121.599999999999</v>
      </c>
      <c r="D25" s="263">
        <f>SUBTOTAL(109,Samenvattingschoonmaak[Uren / jaar])</f>
        <v>0</v>
      </c>
      <c r="E25" s="264">
        <f>SUBTOTAL(109,Samenvattingschoonmaak[Kosten / jaar excl btw])</f>
        <v>0</v>
      </c>
      <c r="F25" s="265">
        <f>Samenvattingschoonmaak[[#Totals],[Kosten / jaar excl btw]]/Samenvattingschoonmaak[[#Totals],[Oppervlakte i/o]]</f>
        <v>0</v>
      </c>
    </row>
    <row r="26" spans="1:8" ht="18.75" customHeight="1">
      <c r="A26" s="252"/>
      <c r="B26" s="253"/>
    </row>
    <row r="27" spans="1:8" ht="18.75" customHeight="1">
      <c r="A27" s="112" t="s">
        <v>165</v>
      </c>
      <c r="B27" s="266"/>
      <c r="C27" s="266"/>
      <c r="D27" s="266"/>
      <c r="E27" s="266"/>
      <c r="F27" s="266"/>
    </row>
    <row r="28" spans="1:8" ht="36.75" customHeight="1">
      <c r="A28" s="283" t="s">
        <v>197</v>
      </c>
      <c r="B28" s="283" t="s">
        <v>201</v>
      </c>
      <c r="C28" s="283" t="s">
        <v>1284</v>
      </c>
      <c r="D28" s="283" t="s">
        <v>1285</v>
      </c>
      <c r="E28" s="283" t="s">
        <v>1286</v>
      </c>
      <c r="F28" s="283" t="s">
        <v>1574</v>
      </c>
      <c r="G28" s="283" t="s">
        <v>1287</v>
      </c>
      <c r="H28" s="253"/>
    </row>
    <row r="29" spans="1:8" ht="18.75" customHeight="1">
      <c r="A29" s="3">
        <v>1</v>
      </c>
      <c r="B29" s="2" t="str">
        <f>VLOOKUP(Totalisatie[[#This Row],[Code Locatie]],Locaties[],2,0)</f>
        <v xml:space="preserve">OBS Molenbeek </v>
      </c>
      <c r="C29" s="258">
        <f ca="1">SUMIF(Ruimtestaat[#All],Totalisatie[[#This Row],[Code Locatie]],Ruimtestaat[[#All],[kosten / jaar excl btw]])</f>
        <v>0</v>
      </c>
      <c r="D29" s="267">
        <f ca="1">SUMIF(OverzichtVloer20[[#All],[Code Locatie]:[Kosten/jaar excl. BTW]],Totalisatie[[#This Row],[Code Locatie]],OverzichtVloer20[[#Headers],[#Data],[Kosten/jaar excl. BTW]])</f>
        <v>0</v>
      </c>
      <c r="E29" s="267">
        <f ca="1">SUMIF(Overzichtextrawerkz.[[#All],[Code Locatie]:[Kosten/jaar excl. BTW]],Totalisatie[[#This Row],[Code Locatie]],Overzichtextrawerkz.[[#All],[Kosten/jaar excl. BTW]])</f>
        <v>0</v>
      </c>
      <c r="F29" s="267">
        <f ca="1">SUMIF(OverzichtGlas[[Code Locatie]:[Kosten/jaar excl. BTW]],Totalisatie[[#This Row],[Code Locatie]],OverzichtGlas[Kosten/jaar excl. BTW])</f>
        <v>0</v>
      </c>
      <c r="G29" s="258">
        <f ca="1">SUM(Totalisatie[[#This Row],[Schoonmaakonderhoud
Kosten / jaar excl btw]:[Glasbewassing kosten/ jaar excl. Btw]])</f>
        <v>0</v>
      </c>
      <c r="H29" s="253"/>
    </row>
    <row r="30" spans="1:8" ht="18.75" customHeight="1">
      <c r="A30" s="3">
        <v>2</v>
      </c>
      <c r="B30" s="2" t="str">
        <f>VLOOKUP(Totalisatie[[#This Row],[Code Locatie]],Locaties[],2,0)</f>
        <v>IST Primary Campus</v>
      </c>
      <c r="C30" s="258">
        <f ca="1">SUMIF(Ruimtestaat[#All],Totalisatie[[#This Row],[Code Locatie]],Ruimtestaat[[#All],[kosten / jaar excl btw]])</f>
        <v>0</v>
      </c>
      <c r="D30" s="267">
        <f ca="1">SUMIF(OverzichtVloer20[[#All],[Code Locatie]:[Kosten/jaar excl. BTW]],Totalisatie[[#This Row],[Code Locatie]],OverzichtVloer20[[#Headers],[#Data],[Kosten/jaar excl. BTW]])</f>
        <v>0</v>
      </c>
      <c r="E30" s="267">
        <f ca="1">SUMIF(Overzichtextrawerkz.[[#All],[Code Locatie]:[Kosten/jaar excl. BTW]],Totalisatie[[#This Row],[Code Locatie]],Overzichtextrawerkz.[[#All],[Kosten/jaar excl. BTW]])</f>
        <v>0</v>
      </c>
      <c r="F30" s="267">
        <f ca="1">SUMIF(OverzichtGlas[[Code Locatie]:[Kosten/jaar excl. BTW]],Totalisatie[[#This Row],[Code Locatie]],OverzichtGlas[Kosten/jaar excl. BTW])</f>
        <v>0</v>
      </c>
      <c r="G30" s="258">
        <f ca="1">SUM(Totalisatie[[#This Row],[Schoonmaakonderhoud
Kosten / jaar excl btw]:[Glasbewassing kosten/ jaar excl. Btw]])</f>
        <v>0</v>
      </c>
      <c r="H30" s="253"/>
    </row>
    <row r="31" spans="1:8" ht="18.75" customHeight="1">
      <c r="A31" s="3">
        <v>3</v>
      </c>
      <c r="B31" s="2" t="str">
        <f>VLOOKUP(Totalisatie[[#This Row],[Code Locatie]],Locaties[],2,0)</f>
        <v>OBS De Spinner</v>
      </c>
      <c r="C31" s="258">
        <f ca="1">SUMIF(Ruimtestaat[#All],Totalisatie[[#This Row],[Code Locatie]],Ruimtestaat[[#All],[kosten / jaar excl btw]])</f>
        <v>0</v>
      </c>
      <c r="D31" s="267">
        <f ca="1">SUMIF(OverzichtVloer20[[#All],[Code Locatie]:[Kosten/jaar excl. BTW]],Totalisatie[[#This Row],[Code Locatie]],OverzichtVloer20[[#Headers],[#Data],[Kosten/jaar excl. BTW]])</f>
        <v>0</v>
      </c>
      <c r="E31" s="267">
        <f ca="1">SUMIF(Overzichtextrawerkz.[[#All],[Code Locatie]:[Kosten/jaar excl. BTW]],Totalisatie[[#This Row],[Code Locatie]],Overzichtextrawerkz.[[#All],[Kosten/jaar excl. BTW]])</f>
        <v>0</v>
      </c>
      <c r="F31" s="267">
        <f ca="1">SUMIF(OverzichtGlas[[Code Locatie]:[Kosten/jaar excl. BTW]],Totalisatie[[#This Row],[Code Locatie]],OverzichtGlas[Kosten/jaar excl. BTW])</f>
        <v>0</v>
      </c>
      <c r="G31" s="258">
        <f ca="1">SUM(Totalisatie[[#This Row],[Schoonmaakonderhoud
Kosten / jaar excl btw]:[Glasbewassing kosten/ jaar excl. Btw]])</f>
        <v>0</v>
      </c>
      <c r="H31" s="253"/>
    </row>
    <row r="32" spans="1:8" ht="18.75" customHeight="1">
      <c r="A32" s="3">
        <v>4</v>
      </c>
      <c r="B32" s="2" t="str">
        <f>VLOOKUP(Totalisatie[[#This Row],[Code Locatie]],Locaties[],2,0)</f>
        <v>OBS De Sterrenborgh</v>
      </c>
      <c r="C32" s="258">
        <f ca="1">SUMIF(Ruimtestaat[#All],Totalisatie[[#This Row],[Code Locatie]],Ruimtestaat[[#All],[kosten / jaar excl btw]])</f>
        <v>0</v>
      </c>
      <c r="D32" s="267">
        <f ca="1">SUMIF(OverzichtVloer20[[#All],[Code Locatie]:[Kosten/jaar excl. BTW]],Totalisatie[[#This Row],[Code Locatie]],OverzichtVloer20[[#Headers],[#Data],[Kosten/jaar excl. BTW]])</f>
        <v>0</v>
      </c>
      <c r="E32" s="267">
        <f ca="1">SUMIF(Overzichtextrawerkz.[[#All],[Code Locatie]:[Kosten/jaar excl. BTW]],Totalisatie[[#This Row],[Code Locatie]],Overzichtextrawerkz.[[#All],[Kosten/jaar excl. BTW]])</f>
        <v>0</v>
      </c>
      <c r="F32" s="267">
        <f ca="1">SUMIF(OverzichtGlas[[Code Locatie]:[Kosten/jaar excl. BTW]],Totalisatie[[#This Row],[Code Locatie]],OverzichtGlas[Kosten/jaar excl. BTW])</f>
        <v>0</v>
      </c>
      <c r="G32" s="258">
        <f ca="1">SUM(Totalisatie[[#This Row],[Schoonmaakonderhoud
Kosten / jaar excl btw]:[Glasbewassing kosten/ jaar excl. Btw]])</f>
        <v>0</v>
      </c>
      <c r="H32" s="253"/>
    </row>
    <row r="33" spans="1:8" ht="18.75" customHeight="1">
      <c r="A33" s="3">
        <v>5</v>
      </c>
      <c r="B33" s="2" t="str">
        <f>VLOOKUP(Totalisatie[[#This Row],[Code Locatie]],Locaties[],2,0)</f>
        <v>OBS Harry Bannink</v>
      </c>
      <c r="C33" s="258">
        <f ca="1">SUMIF(Ruimtestaat[#All],Totalisatie[[#This Row],[Code Locatie]],Ruimtestaat[[#All],[kosten / jaar excl btw]])</f>
        <v>0</v>
      </c>
      <c r="D33" s="267">
        <f ca="1">SUMIF(OverzichtVloer20[[#All],[Code Locatie]:[Kosten/jaar excl. BTW]],Totalisatie[[#This Row],[Code Locatie]],OverzichtVloer20[[#Headers],[#Data],[Kosten/jaar excl. BTW]])</f>
        <v>0</v>
      </c>
      <c r="E33" s="267">
        <f ca="1">SUMIF(Overzichtextrawerkz.[[#All],[Code Locatie]:[Kosten/jaar excl. BTW]],Totalisatie[[#This Row],[Code Locatie]],Overzichtextrawerkz.[[#All],[Kosten/jaar excl. BTW]])</f>
        <v>0</v>
      </c>
      <c r="F33" s="267">
        <f ca="1">SUMIF(OverzichtGlas[[Code Locatie]:[Kosten/jaar excl. BTW]],Totalisatie[[#This Row],[Code Locatie]],OverzichtGlas[Kosten/jaar excl. BTW])</f>
        <v>0</v>
      </c>
      <c r="G33" s="258">
        <f ca="1">SUM(Totalisatie[[#This Row],[Schoonmaakonderhoud
Kosten / jaar excl btw]:[Glasbewassing kosten/ jaar excl. Btw]])</f>
        <v>0</v>
      </c>
      <c r="H33" s="253"/>
    </row>
    <row r="34" spans="1:8" ht="18.75" customHeight="1">
      <c r="A34" s="3">
        <v>6</v>
      </c>
      <c r="B34" s="2" t="str">
        <f>VLOOKUP(Totalisatie[[#This Row],[Code Locatie]],Locaties[],2,0)</f>
        <v>OBS La Res Noord</v>
      </c>
      <c r="C34" s="258">
        <f ca="1">SUMIF(Ruimtestaat[#All],Totalisatie[[#This Row],[Code Locatie]],Ruimtestaat[[#All],[kosten / jaar excl btw]])</f>
        <v>0</v>
      </c>
      <c r="D34" s="267">
        <f ca="1">SUMIF(OverzichtVloer20[[#All],[Code Locatie]:[Kosten/jaar excl. BTW]],Totalisatie[[#This Row],[Code Locatie]],OverzichtVloer20[[#Headers],[#Data],[Kosten/jaar excl. BTW]])</f>
        <v>0</v>
      </c>
      <c r="E34" s="267">
        <f ca="1">SUMIF(Overzichtextrawerkz.[[#All],[Code Locatie]:[Kosten/jaar excl. BTW]],Totalisatie[[#This Row],[Code Locatie]],Overzichtextrawerkz.[[#All],[Kosten/jaar excl. BTW]])</f>
        <v>0</v>
      </c>
      <c r="F34" s="267">
        <f ca="1">SUMIF(OverzichtGlas[[Code Locatie]:[Kosten/jaar excl. BTW]],Totalisatie[[#This Row],[Code Locatie]],OverzichtGlas[Kosten/jaar excl. BTW])</f>
        <v>0</v>
      </c>
      <c r="G34" s="258">
        <f ca="1">SUM(Totalisatie[[#This Row],[Schoonmaakonderhoud
Kosten / jaar excl btw]:[Glasbewassing kosten/ jaar excl. Btw]])</f>
        <v>0</v>
      </c>
      <c r="H34" s="253"/>
    </row>
    <row r="35" spans="1:8" ht="18.75" customHeight="1">
      <c r="A35" s="3">
        <v>7</v>
      </c>
      <c r="B35" s="2" t="str">
        <f>VLOOKUP(Totalisatie[[#This Row],[Code Locatie]],Locaties[],2,0)</f>
        <v xml:space="preserve">OBS Molenbeek </v>
      </c>
      <c r="C35" s="258">
        <f ca="1">SUMIF(Ruimtestaat[#All],Totalisatie[[#This Row],[Code Locatie]],Ruimtestaat[[#All],[kosten / jaar excl btw]])</f>
        <v>0</v>
      </c>
      <c r="D35" s="267">
        <f ca="1">SUMIF(OverzichtVloer20[[#All],[Code Locatie]:[Kosten/jaar excl. BTW]],Totalisatie[[#This Row],[Code Locatie]],OverzichtVloer20[[#Headers],[#Data],[Kosten/jaar excl. BTW]])</f>
        <v>0</v>
      </c>
      <c r="E35" s="267">
        <f ca="1">SUMIF(Overzichtextrawerkz.[[#All],[Code Locatie]:[Kosten/jaar excl. BTW]],Totalisatie[[#This Row],[Code Locatie]],Overzichtextrawerkz.[[#All],[Kosten/jaar excl. BTW]])</f>
        <v>0</v>
      </c>
      <c r="F35" s="267">
        <f ca="1">SUMIF(OverzichtGlas[[Code Locatie]:[Kosten/jaar excl. BTW]],Totalisatie[[#This Row],[Code Locatie]],OverzichtGlas[Kosten/jaar excl. BTW])</f>
        <v>0</v>
      </c>
      <c r="G35" s="258">
        <f ca="1">SUM(Totalisatie[[#This Row],[Schoonmaakonderhoud
Kosten / jaar excl btw]:[Glasbewassing kosten/ jaar excl. Btw]])</f>
        <v>0</v>
      </c>
      <c r="H35" s="253"/>
    </row>
    <row r="36" spans="1:8" ht="18.75" customHeight="1">
      <c r="A36" s="3">
        <v>8</v>
      </c>
      <c r="B36" s="2" t="str">
        <f>VLOOKUP(Totalisatie[[#This Row],[Code Locatie]],Locaties[],2,0)</f>
        <v>OBS Roombeek</v>
      </c>
      <c r="C36" s="258">
        <f ca="1">SUMIF(Ruimtestaat[#All],Totalisatie[[#This Row],[Code Locatie]],Ruimtestaat[[#All],[kosten / jaar excl btw]])</f>
        <v>0</v>
      </c>
      <c r="D36" s="267">
        <f ca="1">SUMIF(OverzichtVloer20[[#All],[Code Locatie]:[Kosten/jaar excl. BTW]],Totalisatie[[#This Row],[Code Locatie]],OverzichtVloer20[[#Headers],[#Data],[Kosten/jaar excl. BTW]])</f>
        <v>0</v>
      </c>
      <c r="E36" s="267">
        <f ca="1">SUMIF(Overzichtextrawerkz.[[#All],[Code Locatie]:[Kosten/jaar excl. BTW]],Totalisatie[[#This Row],[Code Locatie]],Overzichtextrawerkz.[[#All],[Kosten/jaar excl. BTW]])</f>
        <v>0</v>
      </c>
      <c r="F36" s="267">
        <f ca="1">SUMIF(OverzichtGlas[[Code Locatie]:[Kosten/jaar excl. BTW]],Totalisatie[[#This Row],[Code Locatie]],OverzichtGlas[Kosten/jaar excl. BTW])</f>
        <v>0</v>
      </c>
      <c r="G36" s="258">
        <f ca="1">SUM(Totalisatie[[#This Row],[Schoonmaakonderhoud
Kosten / jaar excl btw]:[Glasbewassing kosten/ jaar excl. Btw]])</f>
        <v>0</v>
      </c>
      <c r="H36" s="253"/>
    </row>
    <row r="37" spans="1:8" ht="18.75" customHeight="1">
      <c r="A37" s="3">
        <v>9</v>
      </c>
      <c r="B37" s="2" t="str">
        <f>VLOOKUP(Totalisatie[[#This Row],[Code Locatie]],Locaties[],2,0)</f>
        <v>ODBS Europa</v>
      </c>
      <c r="C37" s="258">
        <f ca="1">SUMIF(Ruimtestaat[#All],Totalisatie[[#This Row],[Code Locatie]],Ruimtestaat[[#All],[kosten / jaar excl btw]])</f>
        <v>0</v>
      </c>
      <c r="D37" s="267">
        <f ca="1">SUMIF(OverzichtVloer20[[#All],[Code Locatie]:[Kosten/jaar excl. BTW]],Totalisatie[[#This Row],[Code Locatie]],OverzichtVloer20[[#Headers],[#Data],[Kosten/jaar excl. BTW]])</f>
        <v>0</v>
      </c>
      <c r="E37" s="267">
        <f ca="1">SUMIF(Overzichtextrawerkz.[[#All],[Code Locatie]:[Kosten/jaar excl. BTW]],Totalisatie[[#This Row],[Code Locatie]],Overzichtextrawerkz.[[#All],[Kosten/jaar excl. BTW]])</f>
        <v>0</v>
      </c>
      <c r="F37" s="267">
        <f ca="1">SUMIF(OverzichtGlas[[Code Locatie]:[Kosten/jaar excl. BTW]],Totalisatie[[#This Row],[Code Locatie]],OverzichtGlas[Kosten/jaar excl. BTW])</f>
        <v>0</v>
      </c>
      <c r="G37" s="258">
        <f ca="1">SUM(Totalisatie[[#This Row],[Schoonmaakonderhoud
Kosten / jaar excl btw]:[Glasbewassing kosten/ jaar excl. Btw]])</f>
        <v>0</v>
      </c>
      <c r="H37" s="253"/>
    </row>
    <row r="38" spans="1:8" ht="18.75" customHeight="1">
      <c r="A38" s="3">
        <v>10</v>
      </c>
      <c r="B38" s="2" t="str">
        <f>VLOOKUP(Totalisatie[[#This Row],[Code Locatie]],Locaties[],2,0)</f>
        <v>OJBS Het Palet</v>
      </c>
      <c r="C38" s="258">
        <f ca="1">SUMIF(Ruimtestaat[#All],Totalisatie[[#This Row],[Code Locatie]],Ruimtestaat[[#All],[kosten / jaar excl btw]])</f>
        <v>0</v>
      </c>
      <c r="D38" s="267">
        <f ca="1">SUMIF(OverzichtVloer20[[#All],[Code Locatie]:[Kosten/jaar excl. BTW]],Totalisatie[[#This Row],[Code Locatie]],OverzichtVloer20[[#Headers],[#Data],[Kosten/jaar excl. BTW]])</f>
        <v>0</v>
      </c>
      <c r="E38" s="267">
        <f ca="1">SUMIF(Overzichtextrawerkz.[[#All],[Code Locatie]:[Kosten/jaar excl. BTW]],Totalisatie[[#This Row],[Code Locatie]],Overzichtextrawerkz.[[#All],[Kosten/jaar excl. BTW]])</f>
        <v>0</v>
      </c>
      <c r="F38" s="267">
        <f ca="1">SUMIF(OverzichtGlas[[Code Locatie]:[Kosten/jaar excl. BTW]],Totalisatie[[#This Row],[Code Locatie]],OverzichtGlas[Kosten/jaar excl. BTW])</f>
        <v>0</v>
      </c>
      <c r="G38" s="258">
        <f ca="1">SUM(Totalisatie[[#This Row],[Schoonmaakonderhoud
Kosten / jaar excl btw]:[Glasbewassing kosten/ jaar excl. Btw]])</f>
        <v>0</v>
      </c>
      <c r="H38" s="253"/>
    </row>
    <row r="39" spans="1:8" ht="18.75" customHeight="1">
      <c r="A39" s="3">
        <v>11</v>
      </c>
      <c r="B39" s="2" t="str">
        <f>VLOOKUP(Totalisatie[[#This Row],[Code Locatie]],Locaties[],2,0)</f>
        <v>OMBS De Wielerbaan</v>
      </c>
      <c r="C39" s="258">
        <f ca="1">SUMIF(Ruimtestaat[#All],Totalisatie[[#This Row],[Code Locatie]],Ruimtestaat[[#All],[kosten / jaar excl btw]])</f>
        <v>0</v>
      </c>
      <c r="D39" s="267">
        <f ca="1">SUMIF(OverzichtVloer20[[#All],[Code Locatie]:[Kosten/jaar excl. BTW]],Totalisatie[[#This Row],[Code Locatie]],OverzichtVloer20[[#Headers],[#Data],[Kosten/jaar excl. BTW]])</f>
        <v>0</v>
      </c>
      <c r="E39" s="267">
        <f ca="1">SUMIF(Overzichtextrawerkz.[[#All],[Code Locatie]:[Kosten/jaar excl. BTW]],Totalisatie[[#This Row],[Code Locatie]],Overzichtextrawerkz.[[#All],[Kosten/jaar excl. BTW]])</f>
        <v>0</v>
      </c>
      <c r="F39" s="267">
        <f ca="1">SUMIF(OverzichtGlas[[Code Locatie]:[Kosten/jaar excl. BTW]],Totalisatie[[#This Row],[Code Locatie]],OverzichtGlas[Kosten/jaar excl. BTW])</f>
        <v>0</v>
      </c>
      <c r="G39" s="258">
        <f ca="1">SUM(Totalisatie[[#This Row],[Schoonmaakonderhoud
Kosten / jaar excl btw]:[Glasbewassing kosten/ jaar excl. Btw]])</f>
        <v>0</v>
      </c>
      <c r="H39" s="253"/>
    </row>
    <row r="40" spans="1:8" ht="18.75" customHeight="1">
      <c r="A40" s="3">
        <v>12</v>
      </c>
      <c r="B40" s="2" t="str">
        <f>VLOOKUP(Totalisatie[[#This Row],[Code Locatie]],Locaties[],2,0)</f>
        <v>OMBS Het Zeggelt (Dr. Benthem)</v>
      </c>
      <c r="C40" s="258">
        <f ca="1">SUMIF(Ruimtestaat[#All],Totalisatie[[#This Row],[Code Locatie]],Ruimtestaat[[#All],[kosten / jaar excl btw]])</f>
        <v>0</v>
      </c>
      <c r="D40" s="267">
        <f ca="1">SUMIF(OverzichtVloer20[[#All],[Code Locatie]:[Kosten/jaar excl. BTW]],Totalisatie[[#This Row],[Code Locatie]],OverzichtVloer20[[#Headers],[#Data],[Kosten/jaar excl. BTW]])</f>
        <v>0</v>
      </c>
      <c r="E40" s="267">
        <f ca="1">SUMIF(Overzichtextrawerkz.[[#All],[Code Locatie]:[Kosten/jaar excl. BTW]],Totalisatie[[#This Row],[Code Locatie]],Overzichtextrawerkz.[[#All],[Kosten/jaar excl. BTW]])</f>
        <v>0</v>
      </c>
      <c r="F40" s="267">
        <f ca="1">SUMIF(OverzichtGlas[[Code Locatie]:[Kosten/jaar excl. BTW]],Totalisatie[[#This Row],[Code Locatie]],OverzichtGlas[Kosten/jaar excl. BTW])</f>
        <v>0</v>
      </c>
      <c r="G40" s="258">
        <f ca="1">SUM(Totalisatie[[#This Row],[Schoonmaakonderhoud
Kosten / jaar excl btw]:[Glasbewassing kosten/ jaar excl. Btw]])</f>
        <v>0</v>
      </c>
      <c r="H40" s="253"/>
    </row>
    <row r="41" spans="1:8" ht="18.75" customHeight="1">
      <c r="A41" s="3">
        <v>13</v>
      </c>
      <c r="B41" s="2" t="str">
        <f>VLOOKUP(Totalisatie[[#This Row],[Code Locatie]],Locaties[],2,0)</f>
        <v>OMBS Het Zeggelt (Meeuwen)</v>
      </c>
      <c r="C41" s="258">
        <f ca="1">SUMIF(Ruimtestaat[#All],Totalisatie[[#This Row],[Code Locatie]],Ruimtestaat[[#All],[kosten / jaar excl btw]])</f>
        <v>0</v>
      </c>
      <c r="D41" s="267">
        <f ca="1">SUMIF(OverzichtVloer20[[#All],[Code Locatie]:[Kosten/jaar excl. BTW]],Totalisatie[[#This Row],[Code Locatie]],OverzichtVloer20[[#Headers],[#Data],[Kosten/jaar excl. BTW]])</f>
        <v>0</v>
      </c>
      <c r="E41" s="267">
        <f ca="1">SUMIF(Overzichtextrawerkz.[[#All],[Code Locatie]:[Kosten/jaar excl. BTW]],Totalisatie[[#This Row],[Code Locatie]],Overzichtextrawerkz.[[#All],[Kosten/jaar excl. BTW]])</f>
        <v>0</v>
      </c>
      <c r="F41" s="267">
        <f ca="1">SUMIF(OverzichtGlas[[Code Locatie]:[Kosten/jaar excl. BTW]],Totalisatie[[#This Row],[Code Locatie]],OverzichtGlas[Kosten/jaar excl. BTW])</f>
        <v>0</v>
      </c>
      <c r="G41" s="258">
        <f ca="1">SUM(Totalisatie[[#This Row],[Schoonmaakonderhoud
Kosten / jaar excl btw]:[Glasbewassing kosten/ jaar excl. Btw]])</f>
        <v>0</v>
      </c>
      <c r="H41" s="253"/>
    </row>
    <row r="42" spans="1:8" ht="18.75" customHeight="1">
      <c r="A42" s="3">
        <v>14</v>
      </c>
      <c r="B42" s="2" t="str">
        <f>VLOOKUP(Totalisatie[[#This Row],[Code Locatie]],Locaties[],2,0)</f>
        <v>Prinseschool Prinsestraat</v>
      </c>
      <c r="C42" s="258">
        <f ca="1">SUMIF(Ruimtestaat[#All],Totalisatie[[#This Row],[Code Locatie]],Ruimtestaat[[#All],[kosten / jaar excl btw]])</f>
        <v>0</v>
      </c>
      <c r="D42" s="267">
        <f ca="1">SUMIF(OverzichtVloer20[[#All],[Code Locatie]:[Kosten/jaar excl. BTW]],Totalisatie[[#This Row],[Code Locatie]],OverzichtVloer20[[#Headers],[#Data],[Kosten/jaar excl. BTW]])</f>
        <v>0</v>
      </c>
      <c r="E42" s="267">
        <f ca="1">SUMIF(Overzichtextrawerkz.[[#All],[Code Locatie]:[Kosten/jaar excl. BTW]],Totalisatie[[#This Row],[Code Locatie]],Overzichtextrawerkz.[[#All],[Kosten/jaar excl. BTW]])</f>
        <v>0</v>
      </c>
      <c r="F42" s="267">
        <f ca="1">SUMIF(OverzichtGlas[[Code Locatie]:[Kosten/jaar excl. BTW]],Totalisatie[[#This Row],[Code Locatie]],OverzichtGlas[Kosten/jaar excl. BTW])</f>
        <v>0</v>
      </c>
      <c r="G42" s="258">
        <f ca="1">SUM(Totalisatie[[#This Row],[Schoonmaakonderhoud
Kosten / jaar excl btw]:[Glasbewassing kosten/ jaar excl. Btw]])</f>
        <v>0</v>
      </c>
      <c r="H42" s="253"/>
    </row>
    <row r="43" spans="1:8" ht="18.75" customHeight="1">
      <c r="A43" s="3">
        <v>15</v>
      </c>
      <c r="B43" s="2" t="str">
        <f>VLOOKUP(Totalisatie[[#This Row],[Code Locatie]],Locaties[],2,0)</f>
        <v>Prinseschool Staringstraat</v>
      </c>
      <c r="C43" s="258">
        <f ca="1">SUMIF(Ruimtestaat[#All],Totalisatie[[#This Row],[Code Locatie]],Ruimtestaat[[#All],[kosten / jaar excl btw]])</f>
        <v>0</v>
      </c>
      <c r="D43" s="267">
        <f ca="1">SUMIF(OverzichtVloer20[[#All],[Code Locatie]:[Kosten/jaar excl. BTW]],Totalisatie[[#This Row],[Code Locatie]],OverzichtVloer20[[#Headers],[#Data],[Kosten/jaar excl. BTW]])</f>
        <v>0</v>
      </c>
      <c r="E43" s="267">
        <f ca="1">SUMIF(Overzichtextrawerkz.[[#All],[Code Locatie]:[Kosten/jaar excl. BTW]],Totalisatie[[#This Row],[Code Locatie]],Overzichtextrawerkz.[[#All],[Kosten/jaar excl. BTW]])</f>
        <v>0</v>
      </c>
      <c r="F43" s="267">
        <f ca="1">SUMIF(OverzichtGlas[[Code Locatie]:[Kosten/jaar excl. BTW]],Totalisatie[[#This Row],[Code Locatie]],OverzichtGlas[Kosten/jaar excl. BTW])</f>
        <v>0</v>
      </c>
      <c r="G43" s="258">
        <f ca="1">SUM(Totalisatie[[#This Row],[Schoonmaakonderhoud
Kosten / jaar excl btw]:[Glasbewassing kosten/ jaar excl. Btw]])</f>
        <v>0</v>
      </c>
      <c r="H43" s="253"/>
    </row>
    <row r="44" spans="1:8" ht="18.75" customHeight="1">
      <c r="A44" s="3">
        <v>16</v>
      </c>
      <c r="B44" s="2" t="str">
        <f>VLOOKUP(Totalisatie[[#This Row],[Code Locatie]],Locaties[],2,0)</f>
        <v>SBO Het Pontem (College)</v>
      </c>
      <c r="C44" s="258">
        <f ca="1">SUMIF(Ruimtestaat[#All],Totalisatie[[#This Row],[Code Locatie]],Ruimtestaat[[#All],[kosten / jaar excl btw]])</f>
        <v>0</v>
      </c>
      <c r="D44" s="267">
        <f ca="1">SUMIF(OverzichtVloer20[[#All],[Code Locatie]:[Kosten/jaar excl. BTW]],Totalisatie[[#This Row],[Code Locatie]],OverzichtVloer20[[#Headers],[#Data],[Kosten/jaar excl. BTW]])</f>
        <v>0</v>
      </c>
      <c r="E44" s="267">
        <f ca="1">SUMIF(Overzichtextrawerkz.[[#All],[Code Locatie]:[Kosten/jaar excl. BTW]],Totalisatie[[#This Row],[Code Locatie]],Overzichtextrawerkz.[[#All],[Kosten/jaar excl. BTW]])</f>
        <v>0</v>
      </c>
      <c r="F44" s="267">
        <f ca="1">SUMIF(OverzichtGlas[[Code Locatie]:[Kosten/jaar excl. BTW]],Totalisatie[[#This Row],[Code Locatie]],OverzichtGlas[Kosten/jaar excl. BTW])</f>
        <v>0</v>
      </c>
      <c r="G44" s="258">
        <f ca="1">SUM(Totalisatie[[#This Row],[Schoonmaakonderhoud
Kosten / jaar excl btw]:[Glasbewassing kosten/ jaar excl. Btw]])</f>
        <v>0</v>
      </c>
      <c r="H44" s="253"/>
    </row>
    <row r="45" spans="1:8" ht="18.75" customHeight="1">
      <c r="A45" s="3">
        <v>17</v>
      </c>
      <c r="B45" s="2" t="str">
        <f>VLOOKUP(Totalisatie[[#This Row],[Code Locatie]],Locaties[],2,0)</f>
        <v>ODBS Lonneker</v>
      </c>
      <c r="C45" s="258">
        <f ca="1">SUMIF(Ruimtestaat[#All],Totalisatie[[#This Row],[Code Locatie]],Ruimtestaat[[#All],[kosten / jaar excl btw]])</f>
        <v>0</v>
      </c>
      <c r="D45" s="267">
        <f ca="1">SUMIF(OverzichtVloer20[[#All],[Code Locatie]:[Kosten/jaar excl. BTW]],Totalisatie[[#This Row],[Code Locatie]],OverzichtVloer20[[#Headers],[#Data],[Kosten/jaar excl. BTW]])</f>
        <v>0</v>
      </c>
      <c r="E45" s="267">
        <f ca="1">SUMIF(Overzichtextrawerkz.[[#All],[Code Locatie]:[Kosten/jaar excl. BTW]],Totalisatie[[#This Row],[Code Locatie]],Overzichtextrawerkz.[[#All],[Kosten/jaar excl. BTW]])</f>
        <v>0</v>
      </c>
      <c r="F45" s="267">
        <f ca="1">SUMIF(OverzichtGlas[[Code Locatie]:[Kosten/jaar excl. BTW]],Totalisatie[[#This Row],[Code Locatie]],OverzichtGlas[Kosten/jaar excl. BTW])</f>
        <v>0</v>
      </c>
      <c r="G45" s="258">
        <f ca="1">SUM(Totalisatie[[#This Row],[Schoonmaakonderhoud
Kosten / jaar excl btw]:[Glasbewassing kosten/ jaar excl. Btw]])</f>
        <v>0</v>
      </c>
      <c r="H45" s="253"/>
    </row>
    <row r="46" spans="1:8" ht="18.75" customHeight="1">
      <c r="A46" s="3">
        <v>18</v>
      </c>
      <c r="B46" s="2" t="str">
        <f>VLOOKUP(Totalisatie[[#This Row],[Code Locatie]],Locaties[],2,0)</f>
        <v>OBS De Linde (Thij)</v>
      </c>
      <c r="C46" s="258">
        <f ca="1">SUMIF(Ruimtestaat[#All],Totalisatie[[#This Row],[Code Locatie]],Ruimtestaat[[#All],[kosten / jaar excl btw]])</f>
        <v>0</v>
      </c>
      <c r="D46" s="267">
        <f ca="1">SUMIF(OverzichtVloer20[[#All],[Code Locatie]:[Kosten/jaar excl. BTW]],Totalisatie[[#This Row],[Code Locatie]],OverzichtVloer20[[#Headers],[#Data],[Kosten/jaar excl. BTW]])</f>
        <v>0</v>
      </c>
      <c r="E46" s="267">
        <f ca="1">SUMIF(Overzichtextrawerkz.[[#All],[Code Locatie]:[Kosten/jaar excl. BTW]],Totalisatie[[#This Row],[Code Locatie]],Overzichtextrawerkz.[[#All],[Kosten/jaar excl. BTW]])</f>
        <v>0</v>
      </c>
      <c r="F46" s="267">
        <f ca="1">SUMIF(OverzichtGlas[[Code Locatie]:[Kosten/jaar excl. BTW]],Totalisatie[[#This Row],[Code Locatie]],OverzichtGlas[Kosten/jaar excl. BTW])</f>
        <v>0</v>
      </c>
      <c r="G46" s="258">
        <f ca="1">SUM(Totalisatie[[#This Row],[Schoonmaakonderhoud
Kosten / jaar excl btw]:[Glasbewassing kosten/ jaar excl. Btw]])</f>
        <v>0</v>
      </c>
      <c r="H46" s="253"/>
    </row>
    <row r="47" spans="1:8" ht="18.75" customHeight="1">
      <c r="A47" s="3">
        <v>19</v>
      </c>
      <c r="B47" s="2" t="e">
        <f>VLOOKUP(Totalisatie[[#This Row],[Code Locatie]],Locaties[],2,0)</f>
        <v>#N/A</v>
      </c>
      <c r="C47" s="258">
        <f ca="1">SUMIF(Ruimtestaat[#All],Totalisatie[[#This Row],[Code Locatie]],Ruimtestaat[[#All],[kosten / jaar excl btw]])</f>
        <v>0</v>
      </c>
      <c r="D47" s="267">
        <f ca="1">SUMIF(OverzichtVloer20[[#All],[Code Locatie]:[Kosten/jaar excl. BTW]],Totalisatie[[#This Row],[Code Locatie]],OverzichtVloer20[[#Headers],[#Data],[Kosten/jaar excl. BTW]])</f>
        <v>0</v>
      </c>
      <c r="E47" s="267">
        <f ca="1">SUMIF(Overzichtextrawerkz.[[#All],[Code Locatie]:[Kosten/jaar excl. BTW]],Totalisatie[[#This Row],[Code Locatie]],Overzichtextrawerkz.[[#All],[Kosten/jaar excl. BTW]])</f>
        <v>0</v>
      </c>
      <c r="F47" s="267">
        <f ca="1">SUMIF(OverzichtGlas[[Code Locatie]:[Kosten/jaar excl. BTW]],Totalisatie[[#This Row],[Code Locatie]],OverzichtGlas[Kosten/jaar excl. BTW])</f>
        <v>0</v>
      </c>
      <c r="G47" s="258">
        <f ca="1">SUM(Totalisatie[[#This Row],[Schoonmaakonderhoud
Kosten / jaar excl btw]:[Glasbewassing kosten/ jaar excl. Btw]])</f>
        <v>0</v>
      </c>
      <c r="H47" s="253"/>
    </row>
    <row r="48" spans="1:8" ht="18.75" customHeight="1">
      <c r="A48" s="260"/>
      <c r="B48" s="261" t="s">
        <v>32</v>
      </c>
      <c r="C48" s="264">
        <f ca="1">SUBTOTAL(109,Totalisatie[Schoonmaakonderhoud
Kosten / jaar excl btw])</f>
        <v>0</v>
      </c>
      <c r="D48" s="264">
        <f ca="1">SUBTOTAL(109,Totalisatie[Vloeronderhoud
Kosten / jaar excl btw])</f>
        <v>0</v>
      </c>
      <c r="E48" s="264">
        <f ca="1">SUBTOTAL(109,Totalisatie[Extra werkzaamheden kosten/ jaar excl. btw])</f>
        <v>0</v>
      </c>
      <c r="F48" s="264">
        <f ca="1">SUBTOTAL(109,Totalisatie[Glasbewassing kosten/ jaar excl. Btw])</f>
        <v>0</v>
      </c>
      <c r="G48" s="264">
        <f ca="1">SUBTOTAL(109,Totalisatie[Totaalprijs
Kosten / jaar excl. btw])</f>
        <v>0</v>
      </c>
      <c r="H48" s="253"/>
    </row>
    <row r="49" spans="1:7" ht="18.75" customHeight="1">
      <c r="A49" s="252"/>
      <c r="B49" s="253"/>
      <c r="C49" s="268"/>
      <c r="D49" s="269"/>
      <c r="E49" s="269"/>
      <c r="F49" s="269"/>
      <c r="G49" s="269"/>
    </row>
    <row r="50" spans="1:7" ht="18.75" customHeight="1">
      <c r="A50" s="252"/>
      <c r="B50" s="253"/>
    </row>
    <row r="51" spans="1:7" ht="12">
      <c r="A51" s="112" t="s">
        <v>202</v>
      </c>
      <c r="B51" s="253"/>
    </row>
    <row r="52" spans="1:7" ht="18.75" customHeight="1">
      <c r="A52" s="409" t="s">
        <v>206</v>
      </c>
      <c r="B52" s="410"/>
      <c r="C52" s="435"/>
      <c r="D52" s="436"/>
      <c r="E52" s="436"/>
      <c r="F52" s="436"/>
      <c r="G52" s="436"/>
    </row>
    <row r="53" spans="1:7" ht="18.75" customHeight="1">
      <c r="A53" s="270" t="s">
        <v>122</v>
      </c>
      <c r="B53" s="435" t="s">
        <v>211</v>
      </c>
      <c r="C53" s="437"/>
      <c r="D53" s="270" t="s">
        <v>122</v>
      </c>
      <c r="E53" s="435" t="s">
        <v>211</v>
      </c>
      <c r="F53" s="436"/>
      <c r="G53" s="437"/>
    </row>
    <row r="54" spans="1:7" ht="18.75" customHeight="1">
      <c r="A54" s="271" t="s">
        <v>203</v>
      </c>
      <c r="B54" s="438" t="s">
        <v>211</v>
      </c>
      <c r="C54" s="439"/>
      <c r="D54" s="271" t="s">
        <v>203</v>
      </c>
      <c r="E54" s="438" t="s">
        <v>211</v>
      </c>
      <c r="F54" s="440"/>
      <c r="G54" s="439"/>
    </row>
    <row r="55" spans="1:7" ht="18.75" customHeight="1">
      <c r="A55" s="270" t="s">
        <v>204</v>
      </c>
      <c r="B55" s="435" t="s">
        <v>211</v>
      </c>
      <c r="C55" s="437"/>
      <c r="D55" s="270" t="s">
        <v>204</v>
      </c>
      <c r="E55" s="435" t="s">
        <v>211</v>
      </c>
      <c r="F55" s="436"/>
      <c r="G55" s="437"/>
    </row>
    <row r="56" spans="1:7" ht="37.5" customHeight="1">
      <c r="A56" s="271" t="s">
        <v>205</v>
      </c>
      <c r="B56" s="438" t="s">
        <v>211</v>
      </c>
      <c r="C56" s="439"/>
      <c r="D56" s="271" t="s">
        <v>205</v>
      </c>
      <c r="E56" s="441" t="s">
        <v>211</v>
      </c>
      <c r="F56" s="442"/>
      <c r="G56" s="443"/>
    </row>
    <row r="57" spans="1:7" ht="18.75" customHeight="1">
      <c r="A57" s="270" t="s">
        <v>1851</v>
      </c>
      <c r="B57" s="272"/>
      <c r="C57" s="273"/>
      <c r="D57" s="274"/>
      <c r="E57" s="275"/>
      <c r="F57" s="275"/>
      <c r="G57" s="276"/>
    </row>
    <row r="60" spans="1:7" ht="18.75" customHeight="1">
      <c r="E60" s="277"/>
    </row>
    <row r="61" spans="1:7" ht="18.75" customHeight="1">
      <c r="E61" s="269"/>
    </row>
  </sheetData>
  <sheetProtection algorithmName="SHA-512" hashValue="rqPrd0rwj5wEvYopofeG7cWNYI+P+HpZGLZ4/OQUVPN6lZZerE2N/PSE78Lz6zPtHazjHx9IATnZTcJeBvPRYg==" saltValue="k73/wKev/GeaU8b1UK+TvA==" spinCount="100000" sheet="1" objects="1" scenarios="1" selectLockedCells="1"/>
  <mergeCells count="12">
    <mergeCell ref="A1:G1"/>
    <mergeCell ref="A2:G2"/>
    <mergeCell ref="E56:G56"/>
    <mergeCell ref="A52:B52"/>
    <mergeCell ref="C52:G52"/>
    <mergeCell ref="B53:C53"/>
    <mergeCell ref="B54:C54"/>
    <mergeCell ref="B55:C55"/>
    <mergeCell ref="B56:C56"/>
    <mergeCell ref="E53:G53"/>
    <mergeCell ref="E54:G54"/>
    <mergeCell ref="E55:G55"/>
  </mergeCells>
  <phoneticPr fontId="14"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2"/>
  <sheetViews>
    <sheetView showGridLines="0" view="pageBreakPreview" zoomScaleNormal="100" zoomScaleSheetLayoutView="100" workbookViewId="0">
      <selection sqref="A1:XFD1048576"/>
    </sheetView>
  </sheetViews>
  <sheetFormatPr defaultColWidth="9" defaultRowHeight="13.5"/>
  <cols>
    <col min="1" max="1" width="19.42578125" style="55" customWidth="1"/>
    <col min="2" max="2" width="103.7109375" style="55" bestFit="1" customWidth="1"/>
    <col min="3" max="16384" width="9" style="10"/>
  </cols>
  <sheetData>
    <row r="1" spans="1:2" ht="28.5">
      <c r="A1" s="8" t="s">
        <v>1243</v>
      </c>
      <c r="B1" s="9"/>
    </row>
    <row r="2" spans="1:2">
      <c r="A2" s="9"/>
      <c r="B2" s="11"/>
    </row>
    <row r="3" spans="1:2">
      <c r="A3" s="12" t="s">
        <v>1244</v>
      </c>
      <c r="B3" s="12" t="s">
        <v>1202</v>
      </c>
    </row>
    <row r="4" spans="1:2">
      <c r="A4" s="13" t="s">
        <v>258</v>
      </c>
      <c r="B4" s="14"/>
    </row>
    <row r="5" spans="1:2">
      <c r="A5" s="15"/>
      <c r="B5" s="16" t="s">
        <v>1302</v>
      </c>
    </row>
    <row r="6" spans="1:2">
      <c r="A6" s="15"/>
      <c r="B6" s="16" t="s">
        <v>1203</v>
      </c>
    </row>
    <row r="7" spans="1:2">
      <c r="A7" s="15"/>
      <c r="B7" s="16" t="s">
        <v>1303</v>
      </c>
    </row>
    <row r="8" spans="1:2">
      <c r="A8" s="15"/>
      <c r="B8" s="16" t="s">
        <v>1304</v>
      </c>
    </row>
    <row r="9" spans="1:2">
      <c r="A9" s="17" t="s">
        <v>259</v>
      </c>
      <c r="B9" s="18"/>
    </row>
    <row r="10" spans="1:2">
      <c r="A10" s="15"/>
      <c r="B10" s="16" t="s">
        <v>1494</v>
      </c>
    </row>
    <row r="11" spans="1:2">
      <c r="A11" s="15"/>
      <c r="B11" s="16" t="s">
        <v>1305</v>
      </c>
    </row>
    <row r="12" spans="1:2">
      <c r="A12" s="17" t="s">
        <v>260</v>
      </c>
      <c r="B12" s="18"/>
    </row>
    <row r="13" spans="1:2">
      <c r="A13" s="15"/>
      <c r="B13" s="16" t="s">
        <v>1306</v>
      </c>
    </row>
    <row r="14" spans="1:2">
      <c r="A14" s="15"/>
      <c r="B14" s="16" t="s">
        <v>1307</v>
      </c>
    </row>
    <row r="15" spans="1:2">
      <c r="A15" s="17" t="s">
        <v>261</v>
      </c>
      <c r="B15" s="18"/>
    </row>
    <row r="16" spans="1:2">
      <c r="A16" s="15"/>
      <c r="B16" s="16" t="s">
        <v>1308</v>
      </c>
    </row>
    <row r="17" spans="1:2">
      <c r="A17" s="15"/>
      <c r="B17" s="16" t="s">
        <v>1307</v>
      </c>
    </row>
    <row r="18" spans="1:2">
      <c r="A18" s="17" t="s">
        <v>262</v>
      </c>
      <c r="B18" s="18"/>
    </row>
    <row r="19" spans="1:2">
      <c r="A19" s="15"/>
      <c r="B19" s="16" t="s">
        <v>1495</v>
      </c>
    </row>
    <row r="20" spans="1:2">
      <c r="A20" s="17" t="s">
        <v>263</v>
      </c>
      <c r="B20" s="19" t="s">
        <v>1256</v>
      </c>
    </row>
    <row r="21" spans="1:2">
      <c r="A21" s="15"/>
      <c r="B21" s="16" t="s">
        <v>1496</v>
      </c>
    </row>
    <row r="22" spans="1:2">
      <c r="A22" s="15"/>
      <c r="B22" s="16" t="s">
        <v>1497</v>
      </c>
    </row>
    <row r="23" spans="1:2">
      <c r="A23" s="15"/>
      <c r="B23" s="16" t="s">
        <v>1498</v>
      </c>
    </row>
    <row r="24" spans="1:2">
      <c r="A24" s="17" t="s">
        <v>264</v>
      </c>
      <c r="B24" s="18" t="s">
        <v>1256</v>
      </c>
    </row>
    <row r="25" spans="1:2">
      <c r="A25" s="15"/>
      <c r="B25" s="15" t="s">
        <v>1499</v>
      </c>
    </row>
    <row r="26" spans="1:2">
      <c r="A26" s="15"/>
      <c r="B26" s="15" t="s">
        <v>1500</v>
      </c>
    </row>
    <row r="27" spans="1:2">
      <c r="A27" s="15"/>
      <c r="B27" s="15"/>
    </row>
    <row r="28" spans="1:2">
      <c r="A28" s="15"/>
      <c r="B28" s="15" t="s">
        <v>1204</v>
      </c>
    </row>
    <row r="29" spans="1:2">
      <c r="A29" s="15"/>
      <c r="B29" s="15" t="s">
        <v>1245</v>
      </c>
    </row>
    <row r="30" spans="1:2">
      <c r="A30" s="17" t="s">
        <v>265</v>
      </c>
      <c r="B30" s="19" t="s">
        <v>1205</v>
      </c>
    </row>
    <row r="31" spans="1:2">
      <c r="A31" s="20"/>
      <c r="B31" s="21" t="s">
        <v>1246</v>
      </c>
    </row>
    <row r="32" spans="1:2">
      <c r="A32" s="22"/>
      <c r="B32" s="23"/>
    </row>
    <row r="33" spans="1:2">
      <c r="A33" s="24" t="s">
        <v>1206</v>
      </c>
      <c r="B33" s="25"/>
    </row>
    <row r="34" spans="1:2">
      <c r="A34" s="26" t="s">
        <v>266</v>
      </c>
      <c r="B34" s="27"/>
    </row>
    <row r="35" spans="1:2">
      <c r="A35" s="15"/>
      <c r="B35" s="28" t="s">
        <v>1248</v>
      </c>
    </row>
    <row r="36" spans="1:2">
      <c r="A36" s="15" t="s">
        <v>1249</v>
      </c>
      <c r="B36" s="28"/>
    </row>
    <row r="37" spans="1:2">
      <c r="A37" s="15"/>
      <c r="B37" s="16" t="s">
        <v>1501</v>
      </c>
    </row>
    <row r="38" spans="1:2">
      <c r="A38" s="15"/>
      <c r="B38" s="16" t="s">
        <v>1502</v>
      </c>
    </row>
    <row r="39" spans="1:2">
      <c r="A39" s="15"/>
      <c r="B39" s="16" t="s">
        <v>1866</v>
      </c>
    </row>
    <row r="40" spans="1:2">
      <c r="A40" s="15"/>
      <c r="B40" s="16" t="s">
        <v>1503</v>
      </c>
    </row>
    <row r="41" spans="1:2">
      <c r="A41" s="15"/>
      <c r="B41" s="16" t="s">
        <v>1504</v>
      </c>
    </row>
    <row r="42" spans="1:2">
      <c r="A42" s="15"/>
      <c r="B42" s="16" t="s">
        <v>1505</v>
      </c>
    </row>
    <row r="43" spans="1:2">
      <c r="A43" s="15"/>
      <c r="B43" s="16" t="s">
        <v>1506</v>
      </c>
    </row>
    <row r="44" spans="1:2">
      <c r="A44" s="15"/>
      <c r="B44" s="16" t="s">
        <v>1507</v>
      </c>
    </row>
    <row r="45" spans="1:2">
      <c r="A45" s="15"/>
      <c r="B45" s="16" t="s">
        <v>1508</v>
      </c>
    </row>
    <row r="46" spans="1:2">
      <c r="A46" s="15"/>
      <c r="B46" s="15" t="s">
        <v>1509</v>
      </c>
    </row>
    <row r="47" spans="1:2">
      <c r="A47" s="15"/>
      <c r="B47" s="16" t="s">
        <v>1510</v>
      </c>
    </row>
    <row r="48" spans="1:2">
      <c r="A48" s="15"/>
      <c r="B48" s="16" t="s">
        <v>1511</v>
      </c>
    </row>
    <row r="49" spans="1:2">
      <c r="A49" s="26" t="s">
        <v>267</v>
      </c>
      <c r="B49" s="29"/>
    </row>
    <row r="50" spans="1:2">
      <c r="A50" s="15" t="s">
        <v>1250</v>
      </c>
      <c r="B50" s="16" t="s">
        <v>1512</v>
      </c>
    </row>
    <row r="51" spans="1:2">
      <c r="A51" s="15"/>
      <c r="B51" s="16" t="s">
        <v>1207</v>
      </c>
    </row>
    <row r="52" spans="1:2">
      <c r="A52" s="26" t="s">
        <v>268</v>
      </c>
      <c r="B52" s="29"/>
    </row>
    <row r="53" spans="1:2">
      <c r="A53" s="15"/>
      <c r="B53" s="15" t="s">
        <v>1513</v>
      </c>
    </row>
    <row r="54" spans="1:2" ht="27">
      <c r="A54" s="15"/>
      <c r="B54" s="28" t="s">
        <v>1514</v>
      </c>
    </row>
    <row r="55" spans="1:2">
      <c r="A55" s="15"/>
      <c r="B55" s="28" t="s">
        <v>1515</v>
      </c>
    </row>
    <row r="56" spans="1:2">
      <c r="A56" s="15"/>
      <c r="B56" s="15" t="s">
        <v>1516</v>
      </c>
    </row>
    <row r="57" spans="1:2">
      <c r="A57" s="26" t="s">
        <v>269</v>
      </c>
      <c r="B57" s="29"/>
    </row>
    <row r="58" spans="1:2">
      <c r="A58" s="15"/>
      <c r="B58" s="15" t="s">
        <v>1208</v>
      </c>
    </row>
    <row r="59" spans="1:2">
      <c r="A59" s="15"/>
      <c r="B59" s="15" t="s">
        <v>1209</v>
      </c>
    </row>
    <row r="60" spans="1:2" ht="27">
      <c r="A60" s="15"/>
      <c r="B60" s="28" t="s">
        <v>1210</v>
      </c>
    </row>
    <row r="61" spans="1:2">
      <c r="A61" s="26" t="s">
        <v>270</v>
      </c>
      <c r="B61" s="29"/>
    </row>
    <row r="62" spans="1:2">
      <c r="A62" s="15"/>
      <c r="B62" s="28" t="s">
        <v>1517</v>
      </c>
    </row>
    <row r="63" spans="1:2">
      <c r="A63" s="15"/>
      <c r="B63" s="28" t="s">
        <v>1518</v>
      </c>
    </row>
    <row r="64" spans="1:2">
      <c r="A64" s="15"/>
      <c r="B64" s="16" t="s">
        <v>1519</v>
      </c>
    </row>
    <row r="65" spans="1:2">
      <c r="A65" s="26" t="s">
        <v>271</v>
      </c>
      <c r="B65" s="29"/>
    </row>
    <row r="66" spans="1:2">
      <c r="A66" s="15"/>
      <c r="B66" s="15" t="s">
        <v>1520</v>
      </c>
    </row>
    <row r="67" spans="1:2">
      <c r="A67" s="15"/>
      <c r="B67" s="28" t="s">
        <v>1521</v>
      </c>
    </row>
    <row r="68" spans="1:2">
      <c r="A68" s="26" t="s">
        <v>272</v>
      </c>
      <c r="B68" s="29"/>
    </row>
    <row r="69" spans="1:2">
      <c r="A69" s="15"/>
      <c r="B69" s="28" t="s">
        <v>1522</v>
      </c>
    </row>
    <row r="70" spans="1:2">
      <c r="A70" s="15"/>
      <c r="B70" s="28" t="s">
        <v>1523</v>
      </c>
    </row>
    <row r="71" spans="1:2">
      <c r="A71" s="26" t="s">
        <v>273</v>
      </c>
      <c r="B71" s="30" t="s">
        <v>1211</v>
      </c>
    </row>
    <row r="72" spans="1:2">
      <c r="A72" s="20"/>
      <c r="B72" s="31" t="s">
        <v>1524</v>
      </c>
    </row>
    <row r="73" spans="1:2">
      <c r="A73" s="22"/>
      <c r="B73" s="23"/>
    </row>
    <row r="74" spans="1:2">
      <c r="A74" s="22"/>
      <c r="B74" s="23"/>
    </row>
    <row r="75" spans="1:2">
      <c r="A75" s="24" t="s">
        <v>1251</v>
      </c>
      <c r="B75" s="23"/>
    </row>
    <row r="76" spans="1:2">
      <c r="A76" s="32" t="s">
        <v>1247</v>
      </c>
      <c r="B76" s="33"/>
    </row>
    <row r="77" spans="1:2">
      <c r="A77" s="34" t="s">
        <v>274</v>
      </c>
      <c r="B77" s="35"/>
    </row>
    <row r="78" spans="1:2">
      <c r="A78" s="36"/>
      <c r="B78" s="28" t="s">
        <v>1212</v>
      </c>
    </row>
    <row r="79" spans="1:2">
      <c r="A79" s="36"/>
      <c r="B79" s="15" t="s">
        <v>1525</v>
      </c>
    </row>
    <row r="80" spans="1:2">
      <c r="A80" s="36"/>
      <c r="B80" s="15" t="s">
        <v>1526</v>
      </c>
    </row>
    <row r="81" spans="1:2">
      <c r="A81" s="36"/>
      <c r="B81" s="15" t="s">
        <v>1213</v>
      </c>
    </row>
    <row r="82" spans="1:2">
      <c r="A82" s="36"/>
      <c r="B82" s="28" t="s">
        <v>1527</v>
      </c>
    </row>
    <row r="83" spans="1:2">
      <c r="A83" s="36"/>
      <c r="B83" s="28" t="s">
        <v>1528</v>
      </c>
    </row>
    <row r="84" spans="1:2">
      <c r="A84" s="37" t="s">
        <v>275</v>
      </c>
      <c r="B84" s="38"/>
    </row>
    <row r="85" spans="1:2">
      <c r="A85" s="36"/>
      <c r="B85" s="15" t="s">
        <v>1215</v>
      </c>
    </row>
    <row r="86" spans="1:2">
      <c r="A86" s="36"/>
      <c r="B86" s="28" t="s">
        <v>1529</v>
      </c>
    </row>
    <row r="87" spans="1:2">
      <c r="A87" s="37" t="s">
        <v>276</v>
      </c>
      <c r="B87" s="37" t="s">
        <v>1530</v>
      </c>
    </row>
    <row r="88" spans="1:2">
      <c r="A88" s="15"/>
      <c r="B88" s="15" t="s">
        <v>1216</v>
      </c>
    </row>
    <row r="89" spans="1:2">
      <c r="A89" s="15"/>
      <c r="B89" s="28" t="s">
        <v>1212</v>
      </c>
    </row>
    <row r="90" spans="1:2">
      <c r="A90" s="15"/>
      <c r="B90" s="15" t="s">
        <v>1213</v>
      </c>
    </row>
    <row r="91" spans="1:2">
      <c r="A91" s="15"/>
      <c r="B91" s="28" t="s">
        <v>1214</v>
      </c>
    </row>
    <row r="92" spans="1:2">
      <c r="A92" s="20"/>
      <c r="B92" s="31"/>
    </row>
    <row r="93" spans="1:2">
      <c r="A93" s="9"/>
      <c r="B93" s="39"/>
    </row>
    <row r="94" spans="1:2" ht="18.75">
      <c r="A94" s="40" t="s">
        <v>1229</v>
      </c>
      <c r="B94" s="41"/>
    </row>
    <row r="95" spans="1:2" ht="18.75">
      <c r="A95" s="42" t="s">
        <v>1252</v>
      </c>
      <c r="B95" s="43"/>
    </row>
    <row r="96" spans="1:2">
      <c r="A96" s="343"/>
      <c r="B96" s="343"/>
    </row>
    <row r="97" spans="1:2" ht="24">
      <c r="A97" s="44" t="s">
        <v>1253</v>
      </c>
      <c r="B97" s="45" t="s">
        <v>1217</v>
      </c>
    </row>
    <row r="98" spans="1:2">
      <c r="A98" s="46"/>
      <c r="B98" s="25"/>
    </row>
    <row r="99" spans="1:2" ht="24">
      <c r="A99" s="44" t="s">
        <v>1230</v>
      </c>
      <c r="B99" s="45" t="s">
        <v>1218</v>
      </c>
    </row>
    <row r="100" spans="1:2">
      <c r="A100" s="46"/>
      <c r="B100" s="47"/>
    </row>
    <row r="101" spans="1:2" ht="51.75" customHeight="1">
      <c r="A101" s="344" t="s">
        <v>1531</v>
      </c>
      <c r="B101" s="48" t="s">
        <v>1532</v>
      </c>
    </row>
    <row r="102" spans="1:2" ht="36">
      <c r="A102" s="345"/>
      <c r="B102" s="49" t="s">
        <v>1219</v>
      </c>
    </row>
    <row r="103" spans="1:2" ht="36">
      <c r="A103" s="346"/>
      <c r="B103" s="50" t="s">
        <v>1533</v>
      </c>
    </row>
    <row r="104" spans="1:2">
      <c r="A104" s="46"/>
      <c r="B104" s="47"/>
    </row>
    <row r="105" spans="1:2">
      <c r="A105" s="51" t="s">
        <v>1231</v>
      </c>
      <c r="B105" s="45" t="s">
        <v>1298</v>
      </c>
    </row>
    <row r="106" spans="1:2">
      <c r="A106" s="46"/>
      <c r="B106" s="47"/>
    </row>
    <row r="107" spans="1:2" ht="48">
      <c r="A107" s="51" t="s">
        <v>1232</v>
      </c>
      <c r="B107" s="45" t="s">
        <v>1534</v>
      </c>
    </row>
    <row r="108" spans="1:2">
      <c r="A108" s="46"/>
      <c r="B108" s="47"/>
    </row>
    <row r="109" spans="1:2" ht="24">
      <c r="A109" s="52" t="s">
        <v>1233</v>
      </c>
      <c r="B109" s="53" t="s">
        <v>1220</v>
      </c>
    </row>
    <row r="110" spans="1:2">
      <c r="A110" s="46"/>
      <c r="B110" s="47"/>
    </row>
    <row r="111" spans="1:2">
      <c r="A111" s="51" t="s">
        <v>213</v>
      </c>
      <c r="B111" s="45" t="s">
        <v>1221</v>
      </c>
    </row>
    <row r="112" spans="1:2">
      <c r="A112" s="46"/>
      <c r="B112" s="47"/>
    </row>
    <row r="113" spans="1:2" ht="24">
      <c r="A113" s="51" t="s">
        <v>1234</v>
      </c>
      <c r="B113" s="45" t="s">
        <v>1535</v>
      </c>
    </row>
    <row r="114" spans="1:2">
      <c r="A114" s="46"/>
      <c r="B114" s="47"/>
    </row>
    <row r="115" spans="1:2" ht="36">
      <c r="A115" s="51" t="s">
        <v>1235</v>
      </c>
      <c r="B115" s="45" t="s">
        <v>1536</v>
      </c>
    </row>
    <row r="116" spans="1:2">
      <c r="A116" s="46"/>
      <c r="B116" s="47"/>
    </row>
    <row r="117" spans="1:2" ht="24">
      <c r="A117" s="51" t="s">
        <v>1236</v>
      </c>
      <c r="B117" s="45" t="s">
        <v>1222</v>
      </c>
    </row>
    <row r="118" spans="1:2">
      <c r="A118" s="46"/>
      <c r="B118" s="47"/>
    </row>
    <row r="119" spans="1:2">
      <c r="A119" s="51" t="s">
        <v>1237</v>
      </c>
      <c r="B119" s="45" t="s">
        <v>1223</v>
      </c>
    </row>
    <row r="120" spans="1:2">
      <c r="A120" s="46"/>
      <c r="B120" s="47"/>
    </row>
    <row r="121" spans="1:2">
      <c r="A121" s="51" t="s">
        <v>1238</v>
      </c>
      <c r="B121" s="45" t="s">
        <v>1224</v>
      </c>
    </row>
    <row r="122" spans="1:2">
      <c r="A122" s="46"/>
      <c r="B122" s="47"/>
    </row>
    <row r="123" spans="1:2">
      <c r="A123" s="347" t="s">
        <v>1239</v>
      </c>
      <c r="B123" s="54" t="s">
        <v>1225</v>
      </c>
    </row>
    <row r="124" spans="1:2">
      <c r="A124" s="348"/>
      <c r="B124" s="49" t="s">
        <v>1226</v>
      </c>
    </row>
    <row r="125" spans="1:2">
      <c r="A125" s="348"/>
      <c r="B125" s="49" t="s">
        <v>1227</v>
      </c>
    </row>
    <row r="126" spans="1:2">
      <c r="A126" s="349"/>
      <c r="B126" s="50" t="s">
        <v>1537</v>
      </c>
    </row>
    <row r="127" spans="1:2">
      <c r="A127" s="46"/>
      <c r="B127" s="47"/>
    </row>
    <row r="128" spans="1:2" ht="24">
      <c r="A128" s="51" t="s">
        <v>36</v>
      </c>
      <c r="B128" s="45" t="s">
        <v>1538</v>
      </c>
    </row>
    <row r="129" spans="1:2">
      <c r="A129" s="46"/>
      <c r="B129" s="47"/>
    </row>
    <row r="130" spans="1:2" ht="36">
      <c r="A130" s="51" t="s">
        <v>1240</v>
      </c>
      <c r="B130" s="45" t="s">
        <v>1228</v>
      </c>
    </row>
    <row r="131" spans="1:2">
      <c r="A131" s="46"/>
      <c r="B131" s="47"/>
    </row>
    <row r="132" spans="1:2" ht="36">
      <c r="A132" s="51" t="s">
        <v>1539</v>
      </c>
      <c r="B132" s="45" t="s">
        <v>1540</v>
      </c>
    </row>
  </sheetData>
  <sheetProtection algorithmName="SHA-512" hashValue="GBZOnT1ZBPz5d6hJHD4UePFbRtTqF27WzwS0UEnphIyWRfe4yDx7oH1v3xfCc2WZrJktWcQvMDZfsajJuXgcBQ==" saltValue="xWycIGMPb1AlLLIwvv16SA==" spinCount="100000" sheet="1" objects="1" scenarios="1" selectLockedCells="1"/>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722C5-16A2-4319-9E71-753344CD2CCF}">
  <sheetPr>
    <tabColor theme="0" tint="-0.14999847407452621"/>
  </sheetPr>
  <dimension ref="A1:D34"/>
  <sheetViews>
    <sheetView showGridLines="0" view="pageBreakPreview" zoomScaleNormal="100" zoomScaleSheetLayoutView="100" workbookViewId="0">
      <selection sqref="A1:XFD1048576"/>
    </sheetView>
  </sheetViews>
  <sheetFormatPr defaultColWidth="9.140625" defaultRowHeight="15" customHeight="1"/>
  <cols>
    <col min="1" max="1" width="4.5703125" style="328" customWidth="1"/>
    <col min="2" max="2" width="148.140625" style="328" customWidth="1"/>
    <col min="3" max="3" width="125.42578125" style="328" customWidth="1"/>
    <col min="4" max="4" width="7.5703125" style="328" customWidth="1"/>
    <col min="5" max="5" width="29" style="328" bestFit="1" customWidth="1"/>
    <col min="6" max="6" width="5.7109375" style="328" customWidth="1"/>
    <col min="7" max="7" width="9.140625" style="328"/>
    <col min="8" max="8" width="17.85546875" style="328" bestFit="1" customWidth="1"/>
    <col min="9" max="11" width="9.140625" style="328"/>
    <col min="12" max="12" width="19.7109375" style="328" customWidth="1"/>
    <col min="13" max="16384" width="9.140625" style="328"/>
  </cols>
  <sheetData>
    <row r="1" spans="1:4" ht="13.5">
      <c r="A1" s="351" t="s">
        <v>1573</v>
      </c>
      <c r="B1" s="352"/>
    </row>
    <row r="2" spans="1:4" ht="13.5">
      <c r="A2" s="353"/>
      <c r="B2" s="354"/>
    </row>
    <row r="3" spans="1:4" ht="15" customHeight="1">
      <c r="B3" s="329" t="s">
        <v>1541</v>
      </c>
      <c r="C3" s="330"/>
      <c r="D3" s="330"/>
    </row>
    <row r="4" spans="1:4" ht="15" customHeight="1">
      <c r="A4" s="331" t="s">
        <v>1542</v>
      </c>
      <c r="B4" s="350" t="s">
        <v>1543</v>
      </c>
      <c r="C4" s="350"/>
      <c r="D4" s="350"/>
    </row>
    <row r="5" spans="1:4" ht="15" customHeight="1">
      <c r="A5" s="331" t="s">
        <v>1542</v>
      </c>
      <c r="B5" s="350" t="s">
        <v>1544</v>
      </c>
      <c r="C5" s="350" t="s">
        <v>1544</v>
      </c>
      <c r="D5" s="350" t="s">
        <v>1544</v>
      </c>
    </row>
    <row r="6" spans="1:4" ht="15" customHeight="1">
      <c r="A6" s="331" t="s">
        <v>1542</v>
      </c>
      <c r="B6" s="350" t="s">
        <v>1545</v>
      </c>
      <c r="C6" s="350" t="s">
        <v>1545</v>
      </c>
      <c r="D6" s="350" t="s">
        <v>1545</v>
      </c>
    </row>
    <row r="7" spans="1:4" ht="15" customHeight="1">
      <c r="A7" s="331" t="s">
        <v>1542</v>
      </c>
      <c r="B7" s="350" t="s">
        <v>1546</v>
      </c>
      <c r="C7" s="350" t="s">
        <v>1546</v>
      </c>
      <c r="D7" s="350" t="s">
        <v>1546</v>
      </c>
    </row>
    <row r="8" spans="1:4" ht="15" customHeight="1">
      <c r="A8" s="331" t="s">
        <v>1542</v>
      </c>
      <c r="B8" s="350" t="s">
        <v>1547</v>
      </c>
      <c r="C8" s="350" t="s">
        <v>1547</v>
      </c>
      <c r="D8" s="350" t="s">
        <v>1547</v>
      </c>
    </row>
    <row r="9" spans="1:4" ht="15" customHeight="1">
      <c r="A9" s="331" t="s">
        <v>1542</v>
      </c>
      <c r="B9" s="350" t="s">
        <v>1548</v>
      </c>
      <c r="C9" s="350" t="s">
        <v>1548</v>
      </c>
      <c r="D9" s="350" t="s">
        <v>1548</v>
      </c>
    </row>
    <row r="10" spans="1:4" ht="15" customHeight="1">
      <c r="A10" s="331" t="s">
        <v>1542</v>
      </c>
      <c r="B10" s="350" t="s">
        <v>1549</v>
      </c>
      <c r="C10" s="350" t="s">
        <v>1549</v>
      </c>
      <c r="D10" s="350" t="s">
        <v>1549</v>
      </c>
    </row>
    <row r="11" spans="1:4" ht="15" customHeight="1">
      <c r="A11" s="331" t="s">
        <v>1542</v>
      </c>
      <c r="B11" s="350" t="s">
        <v>1550</v>
      </c>
      <c r="C11" s="350" t="s">
        <v>1550</v>
      </c>
      <c r="D11" s="350" t="s">
        <v>1550</v>
      </c>
    </row>
    <row r="12" spans="1:4" ht="15" customHeight="1">
      <c r="A12" s="331" t="s">
        <v>1542</v>
      </c>
      <c r="B12" s="350" t="s">
        <v>1551</v>
      </c>
      <c r="C12" s="350" t="s">
        <v>1551</v>
      </c>
      <c r="D12" s="350" t="s">
        <v>1551</v>
      </c>
    </row>
    <row r="13" spans="1:4" ht="15" customHeight="1">
      <c r="A13" s="331" t="s">
        <v>1542</v>
      </c>
      <c r="B13" s="350" t="s">
        <v>1552</v>
      </c>
      <c r="C13" s="350" t="s">
        <v>1552</v>
      </c>
      <c r="D13" s="350" t="s">
        <v>1552</v>
      </c>
    </row>
    <row r="14" spans="1:4" ht="15" customHeight="1">
      <c r="A14" s="331" t="s">
        <v>1542</v>
      </c>
      <c r="B14" s="350" t="s">
        <v>1553</v>
      </c>
      <c r="C14" s="350" t="s">
        <v>1553</v>
      </c>
      <c r="D14" s="350" t="s">
        <v>1553</v>
      </c>
    </row>
    <row r="15" spans="1:4" ht="15" customHeight="1">
      <c r="A15" s="332"/>
      <c r="B15" s="333"/>
      <c r="C15" s="330"/>
      <c r="D15" s="330"/>
    </row>
    <row r="16" spans="1:4" ht="15" customHeight="1">
      <c r="A16" s="332"/>
      <c r="B16" s="334" t="s">
        <v>1555</v>
      </c>
      <c r="C16" s="330"/>
      <c r="D16" s="330"/>
    </row>
    <row r="17" spans="1:4" ht="15" customHeight="1">
      <c r="A17" s="331" t="s">
        <v>1542</v>
      </c>
      <c r="B17" s="350" t="s">
        <v>1556</v>
      </c>
      <c r="C17" s="350" t="s">
        <v>1556</v>
      </c>
      <c r="D17" s="350" t="s">
        <v>1556</v>
      </c>
    </row>
    <row r="18" spans="1:4" ht="15" customHeight="1">
      <c r="A18" s="331" t="s">
        <v>1542</v>
      </c>
      <c r="B18" s="350" t="s">
        <v>1557</v>
      </c>
      <c r="C18" s="350" t="s">
        <v>1557</v>
      </c>
      <c r="D18" s="350" t="s">
        <v>1557</v>
      </c>
    </row>
    <row r="19" spans="1:4" ht="15" customHeight="1">
      <c r="A19" s="331" t="s">
        <v>1542</v>
      </c>
      <c r="B19" s="350" t="s">
        <v>1558</v>
      </c>
      <c r="C19" s="350" t="s">
        <v>1558</v>
      </c>
      <c r="D19" s="350" t="s">
        <v>1558</v>
      </c>
    </row>
    <row r="20" spans="1:4" ht="15" customHeight="1">
      <c r="A20" s="331" t="s">
        <v>1542</v>
      </c>
      <c r="B20" s="350" t="s">
        <v>1552</v>
      </c>
      <c r="C20" s="350" t="s">
        <v>1552</v>
      </c>
      <c r="D20" s="350" t="s">
        <v>1552</v>
      </c>
    </row>
    <row r="21" spans="1:4" ht="15" customHeight="1">
      <c r="A21" s="331" t="s">
        <v>1542</v>
      </c>
      <c r="B21" s="350" t="s">
        <v>1559</v>
      </c>
      <c r="C21" s="350" t="s">
        <v>1559</v>
      </c>
      <c r="D21" s="350" t="s">
        <v>1559</v>
      </c>
    </row>
    <row r="22" spans="1:4" ht="15" customHeight="1">
      <c r="A22" s="331" t="s">
        <v>1542</v>
      </c>
      <c r="B22" s="350" t="s">
        <v>1560</v>
      </c>
      <c r="C22" s="350" t="s">
        <v>1560</v>
      </c>
      <c r="D22" s="350" t="s">
        <v>1560</v>
      </c>
    </row>
    <row r="23" spans="1:4" ht="15" customHeight="1">
      <c r="A23" s="331" t="s">
        <v>1542</v>
      </c>
      <c r="B23" s="350" t="s">
        <v>1561</v>
      </c>
      <c r="C23" s="350" t="s">
        <v>1561</v>
      </c>
      <c r="D23" s="350" t="s">
        <v>1561</v>
      </c>
    </row>
    <row r="24" spans="1:4" ht="15" customHeight="1">
      <c r="A24" s="332"/>
      <c r="B24" s="330"/>
      <c r="C24" s="330"/>
      <c r="D24" s="330"/>
    </row>
    <row r="25" spans="1:4" ht="15" customHeight="1">
      <c r="A25" s="332"/>
      <c r="B25" s="334" t="s">
        <v>1564</v>
      </c>
      <c r="C25" s="330"/>
      <c r="D25" s="330"/>
    </row>
    <row r="26" spans="1:4" ht="15" customHeight="1">
      <c r="A26" s="331" t="s">
        <v>1542</v>
      </c>
      <c r="B26" s="355" t="s">
        <v>1565</v>
      </c>
      <c r="C26" s="355" t="s">
        <v>1565</v>
      </c>
      <c r="D26" s="355" t="s">
        <v>1565</v>
      </c>
    </row>
    <row r="27" spans="1:4" ht="15" customHeight="1">
      <c r="A27" s="331" t="s">
        <v>1542</v>
      </c>
      <c r="B27" s="355" t="s">
        <v>1566</v>
      </c>
      <c r="C27" s="355" t="s">
        <v>1566</v>
      </c>
      <c r="D27" s="355" t="s">
        <v>1566</v>
      </c>
    </row>
    <row r="28" spans="1:4" ht="15" customHeight="1">
      <c r="A28" s="331" t="s">
        <v>1542</v>
      </c>
      <c r="B28" s="355" t="s">
        <v>1567</v>
      </c>
      <c r="C28" s="355" t="s">
        <v>1567</v>
      </c>
      <c r="D28" s="355" t="s">
        <v>1567</v>
      </c>
    </row>
    <row r="29" spans="1:4" ht="15" customHeight="1">
      <c r="A29" s="331" t="s">
        <v>1542</v>
      </c>
      <c r="B29" s="355" t="s">
        <v>1568</v>
      </c>
      <c r="C29" s="355" t="s">
        <v>1568</v>
      </c>
      <c r="D29" s="355" t="s">
        <v>1568</v>
      </c>
    </row>
    <row r="30" spans="1:4" ht="15" customHeight="1">
      <c r="A30" s="331" t="s">
        <v>1542</v>
      </c>
      <c r="B30" s="355" t="s">
        <v>1569</v>
      </c>
      <c r="C30" s="355" t="s">
        <v>1569</v>
      </c>
      <c r="D30" s="355" t="s">
        <v>1569</v>
      </c>
    </row>
    <row r="32" spans="1:4" ht="15" customHeight="1">
      <c r="A32" s="332"/>
      <c r="B32" s="334" t="s">
        <v>1865</v>
      </c>
      <c r="C32" s="330"/>
      <c r="D32" s="330"/>
    </row>
    <row r="33" spans="1:4" ht="15" customHeight="1">
      <c r="A33" s="331" t="s">
        <v>1542</v>
      </c>
      <c r="B33" s="350" t="s">
        <v>193</v>
      </c>
      <c r="C33" s="350" t="s">
        <v>1554</v>
      </c>
      <c r="D33" s="350" t="s">
        <v>1554</v>
      </c>
    </row>
    <row r="34" spans="1:4" ht="15" customHeight="1">
      <c r="A34" s="331" t="s">
        <v>1542</v>
      </c>
      <c r="B34" s="328" t="s">
        <v>1254</v>
      </c>
    </row>
  </sheetData>
  <sheetProtection algorithmName="SHA-512" hashValue="XIoiYLXPfHTn33ytHUsbFRIIh5zh9egX6NV3v8fGZdrUZwMSYQkg0n/ZxArUIVSkW0CsZSVU8ghBzvrRkc14YQ==" saltValue="ENxpvyASTlun4iER1mCBWA==" spinCount="100000" sheet="1" selectLockedCells="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showGridLines="0" workbookViewId="0">
      <pane ySplit="3" topLeftCell="A4" activePane="bottomLeft" state="frozen"/>
      <selection pane="bottomLeft" sqref="A1:XFD1048576"/>
    </sheetView>
  </sheetViews>
  <sheetFormatPr defaultColWidth="9.140625" defaultRowHeight="13.5"/>
  <cols>
    <col min="1" max="1" width="14.42578125" style="57" customWidth="1"/>
    <col min="2" max="2" width="26" style="5" bestFit="1" customWidth="1"/>
    <col min="3" max="3" width="16.140625" style="57" customWidth="1"/>
    <col min="4" max="4" width="25.85546875" style="5" bestFit="1" customWidth="1"/>
    <col min="5" max="5" width="14.85546875" style="57" bestFit="1" customWidth="1"/>
    <col min="6" max="6" width="16.42578125" style="57" customWidth="1"/>
    <col min="7" max="25" width="5.5703125" style="57" bestFit="1" customWidth="1"/>
    <col min="26" max="16384" width="9.140625" style="5"/>
  </cols>
  <sheetData>
    <row r="1" spans="1:25" ht="34.5">
      <c r="A1" s="56" t="s">
        <v>1255</v>
      </c>
    </row>
    <row r="2" spans="1:25" ht="15.75">
      <c r="G2" s="356" t="s">
        <v>255</v>
      </c>
      <c r="H2" s="356"/>
      <c r="I2" s="356"/>
      <c r="J2" s="356"/>
      <c r="K2" s="356"/>
      <c r="L2" s="356"/>
      <c r="M2" s="356"/>
      <c r="N2" s="356"/>
      <c r="O2" s="357" t="s">
        <v>256</v>
      </c>
      <c r="P2" s="357"/>
      <c r="Q2" s="357"/>
      <c r="R2" s="357"/>
      <c r="S2" s="357"/>
      <c r="T2" s="357"/>
      <c r="U2" s="357"/>
      <c r="V2" s="357"/>
      <c r="W2" s="358" t="s">
        <v>257</v>
      </c>
      <c r="X2" s="358"/>
      <c r="Y2" s="358"/>
    </row>
    <row r="3" spans="1:25" ht="30" customHeight="1">
      <c r="A3" s="58" t="s">
        <v>33</v>
      </c>
      <c r="B3" s="59" t="s">
        <v>135</v>
      </c>
      <c r="C3" s="60" t="s">
        <v>117</v>
      </c>
      <c r="D3" s="59" t="s">
        <v>278</v>
      </c>
      <c r="E3" s="60" t="s">
        <v>279</v>
      </c>
      <c r="F3" s="60" t="s">
        <v>1576</v>
      </c>
      <c r="G3" s="61" t="s">
        <v>258</v>
      </c>
      <c r="H3" s="61" t="s">
        <v>259</v>
      </c>
      <c r="I3" s="61" t="s">
        <v>260</v>
      </c>
      <c r="J3" s="61" t="s">
        <v>261</v>
      </c>
      <c r="K3" s="61" t="s">
        <v>262</v>
      </c>
      <c r="L3" s="61" t="s">
        <v>263</v>
      </c>
      <c r="M3" s="61" t="s">
        <v>264</v>
      </c>
      <c r="N3" s="61" t="s">
        <v>265</v>
      </c>
      <c r="O3" s="62" t="s">
        <v>266</v>
      </c>
      <c r="P3" s="62" t="s">
        <v>267</v>
      </c>
      <c r="Q3" s="62" t="s">
        <v>268</v>
      </c>
      <c r="R3" s="62" t="s">
        <v>269</v>
      </c>
      <c r="S3" s="62" t="s">
        <v>270</v>
      </c>
      <c r="T3" s="62" t="s">
        <v>271</v>
      </c>
      <c r="U3" s="62" t="s">
        <v>272</v>
      </c>
      <c r="V3" s="62" t="s">
        <v>273</v>
      </c>
      <c r="W3" s="63" t="s">
        <v>274</v>
      </c>
      <c r="X3" s="63" t="s">
        <v>275</v>
      </c>
      <c r="Y3" s="63" t="s">
        <v>276</v>
      </c>
    </row>
    <row r="4" spans="1:25">
      <c r="A4" s="64">
        <v>1</v>
      </c>
      <c r="B4" s="65" t="str">
        <f>VLOOKUP(Tabel10[[#This Row],[Code]],Ruimtegroepen[[Code]:[Ruimte omschrijving]],2,FALSE)</f>
        <v>Magazijnen/bergingen</v>
      </c>
      <c r="C4" s="66" t="s">
        <v>280</v>
      </c>
      <c r="D4" s="65" t="s">
        <v>29</v>
      </c>
      <c r="E4" s="66" t="s">
        <v>100</v>
      </c>
      <c r="F4" s="66" t="s">
        <v>281</v>
      </c>
      <c r="G4" s="67" t="s">
        <v>282</v>
      </c>
      <c r="H4" s="67" t="s">
        <v>282</v>
      </c>
      <c r="I4" s="67" t="s">
        <v>20</v>
      </c>
      <c r="J4" s="67" t="s">
        <v>15</v>
      </c>
      <c r="K4" s="67" t="s">
        <v>282</v>
      </c>
      <c r="L4" s="67" t="s">
        <v>282</v>
      </c>
      <c r="M4" s="67" t="s">
        <v>282</v>
      </c>
      <c r="N4" s="67" t="s">
        <v>2</v>
      </c>
      <c r="O4" s="68" t="s">
        <v>282</v>
      </c>
      <c r="P4" s="68" t="s">
        <v>282</v>
      </c>
      <c r="Q4" s="68" t="s">
        <v>282</v>
      </c>
      <c r="R4" s="68" t="s">
        <v>282</v>
      </c>
      <c r="S4" s="68" t="s">
        <v>2</v>
      </c>
      <c r="T4" s="68" t="s">
        <v>283</v>
      </c>
      <c r="U4" s="68" t="s">
        <v>283</v>
      </c>
      <c r="V4" s="68" t="s">
        <v>2</v>
      </c>
      <c r="W4" s="69" t="s">
        <v>282</v>
      </c>
      <c r="X4" s="69" t="s">
        <v>282</v>
      </c>
      <c r="Y4" s="70" t="s">
        <v>282</v>
      </c>
    </row>
    <row r="5" spans="1:25">
      <c r="A5" s="64">
        <v>1</v>
      </c>
      <c r="B5" s="65" t="str">
        <f>VLOOKUP(Tabel10[[#This Row],[Code]],Ruimtegroepen[[Code]:[Ruimte omschrijving]],2,FALSE)</f>
        <v>Magazijnen/bergingen</v>
      </c>
      <c r="C5" s="66" t="s">
        <v>280</v>
      </c>
      <c r="D5" s="65" t="s">
        <v>29</v>
      </c>
      <c r="E5" s="66" t="s">
        <v>99</v>
      </c>
      <c r="F5" s="66" t="s">
        <v>284</v>
      </c>
      <c r="G5" s="67" t="s">
        <v>20</v>
      </c>
      <c r="H5" s="67" t="s">
        <v>15</v>
      </c>
      <c r="I5" s="67" t="s">
        <v>282</v>
      </c>
      <c r="J5" s="67" t="s">
        <v>282</v>
      </c>
      <c r="K5" s="67" t="s">
        <v>282</v>
      </c>
      <c r="L5" s="67" t="s">
        <v>282</v>
      </c>
      <c r="M5" s="67" t="s">
        <v>282</v>
      </c>
      <c r="N5" s="67" t="s">
        <v>2</v>
      </c>
      <c r="O5" s="68" t="s">
        <v>282</v>
      </c>
      <c r="P5" s="68" t="s">
        <v>282</v>
      </c>
      <c r="Q5" s="68" t="s">
        <v>282</v>
      </c>
      <c r="R5" s="68" t="s">
        <v>282</v>
      </c>
      <c r="S5" s="68" t="s">
        <v>2</v>
      </c>
      <c r="T5" s="68" t="s">
        <v>283</v>
      </c>
      <c r="U5" s="68" t="s">
        <v>283</v>
      </c>
      <c r="V5" s="68" t="s">
        <v>2</v>
      </c>
      <c r="W5" s="69" t="s">
        <v>282</v>
      </c>
      <c r="X5" s="69" t="s">
        <v>282</v>
      </c>
      <c r="Y5" s="70" t="s">
        <v>282</v>
      </c>
    </row>
    <row r="6" spans="1:25">
      <c r="A6" s="64">
        <v>1</v>
      </c>
      <c r="B6" s="65" t="str">
        <f>VLOOKUP(Tabel10[[#This Row],[Code]],Ruimtegroepen[[Code]:[Ruimte omschrijving]],2,FALSE)</f>
        <v>Magazijnen/bergingen</v>
      </c>
      <c r="C6" s="66" t="s">
        <v>280</v>
      </c>
      <c r="D6" s="65" t="s">
        <v>29</v>
      </c>
      <c r="E6" s="66" t="s">
        <v>101</v>
      </c>
      <c r="F6" s="66" t="s">
        <v>285</v>
      </c>
      <c r="G6" s="71" t="s">
        <v>282</v>
      </c>
      <c r="H6" s="67" t="s">
        <v>282</v>
      </c>
      <c r="I6" s="67" t="s">
        <v>20</v>
      </c>
      <c r="J6" s="67" t="s">
        <v>15</v>
      </c>
      <c r="K6" s="67" t="s">
        <v>249</v>
      </c>
      <c r="L6" s="67" t="s">
        <v>282</v>
      </c>
      <c r="M6" s="67" t="s">
        <v>282</v>
      </c>
      <c r="N6" s="67" t="s">
        <v>2</v>
      </c>
      <c r="O6" s="68" t="s">
        <v>282</v>
      </c>
      <c r="P6" s="68" t="s">
        <v>282</v>
      </c>
      <c r="Q6" s="68" t="s">
        <v>282</v>
      </c>
      <c r="R6" s="68" t="s">
        <v>282</v>
      </c>
      <c r="S6" s="68" t="s">
        <v>2</v>
      </c>
      <c r="T6" s="68" t="s">
        <v>283</v>
      </c>
      <c r="U6" s="68" t="s">
        <v>283</v>
      </c>
      <c r="V6" s="68" t="s">
        <v>2</v>
      </c>
      <c r="W6" s="69" t="s">
        <v>282</v>
      </c>
      <c r="X6" s="69" t="s">
        <v>282</v>
      </c>
      <c r="Y6" s="70" t="s">
        <v>282</v>
      </c>
    </row>
    <row r="7" spans="1:25">
      <c r="A7" s="64">
        <v>1</v>
      </c>
      <c r="B7" s="65" t="str">
        <f>VLOOKUP(Tabel10[[#This Row],[Code]],Ruimtegroepen[[Code]:[Ruimte omschrijving]],2,FALSE)</f>
        <v>Magazijnen/bergingen</v>
      </c>
      <c r="C7" s="66" t="s">
        <v>280</v>
      </c>
      <c r="D7" s="65" t="s">
        <v>29</v>
      </c>
      <c r="E7" s="66" t="s">
        <v>102</v>
      </c>
      <c r="F7" s="66" t="s">
        <v>286</v>
      </c>
      <c r="G7" s="71" t="s">
        <v>282</v>
      </c>
      <c r="H7" s="67" t="s">
        <v>282</v>
      </c>
      <c r="I7" s="67" t="s">
        <v>20</v>
      </c>
      <c r="J7" s="67" t="s">
        <v>15</v>
      </c>
      <c r="K7" s="67" t="s">
        <v>249</v>
      </c>
      <c r="L7" s="67" t="s">
        <v>282</v>
      </c>
      <c r="M7" s="67" t="s">
        <v>282</v>
      </c>
      <c r="N7" s="67" t="s">
        <v>2</v>
      </c>
      <c r="O7" s="68" t="s">
        <v>282</v>
      </c>
      <c r="P7" s="68" t="s">
        <v>282</v>
      </c>
      <c r="Q7" s="68" t="s">
        <v>282</v>
      </c>
      <c r="R7" s="68" t="s">
        <v>282</v>
      </c>
      <c r="S7" s="68" t="s">
        <v>2</v>
      </c>
      <c r="T7" s="68" t="s">
        <v>283</v>
      </c>
      <c r="U7" s="68" t="s">
        <v>283</v>
      </c>
      <c r="V7" s="68" t="s">
        <v>2</v>
      </c>
      <c r="W7" s="69" t="s">
        <v>282</v>
      </c>
      <c r="X7" s="69" t="s">
        <v>282</v>
      </c>
      <c r="Y7" s="70" t="s">
        <v>282</v>
      </c>
    </row>
    <row r="8" spans="1:25">
      <c r="A8" s="72">
        <v>1</v>
      </c>
      <c r="B8" s="65" t="str">
        <f>VLOOKUP(Tabel10[[#This Row],[Code]],Ruimtegroepen[[Code]:[Ruimte omschrijving]],2,FALSE)</f>
        <v>Magazijnen/bergingen</v>
      </c>
      <c r="C8" s="66" t="s">
        <v>280</v>
      </c>
      <c r="D8" s="65" t="s">
        <v>29</v>
      </c>
      <c r="E8" s="66" t="s">
        <v>99</v>
      </c>
      <c r="F8" s="66" t="s">
        <v>284</v>
      </c>
      <c r="G8" s="73" t="s">
        <v>20</v>
      </c>
      <c r="H8" s="73" t="s">
        <v>15</v>
      </c>
      <c r="I8" s="67" t="s">
        <v>282</v>
      </c>
      <c r="J8" s="67" t="s">
        <v>282</v>
      </c>
      <c r="K8" s="67" t="s">
        <v>282</v>
      </c>
      <c r="L8" s="67" t="s">
        <v>282</v>
      </c>
      <c r="M8" s="67" t="s">
        <v>282</v>
      </c>
      <c r="N8" s="73" t="s">
        <v>2</v>
      </c>
      <c r="O8" s="74" t="s">
        <v>282</v>
      </c>
      <c r="P8" s="74" t="s">
        <v>282</v>
      </c>
      <c r="Q8" s="74" t="s">
        <v>282</v>
      </c>
      <c r="R8" s="74" t="s">
        <v>282</v>
      </c>
      <c r="S8" s="74" t="s">
        <v>2</v>
      </c>
      <c r="T8" s="74" t="s">
        <v>283</v>
      </c>
      <c r="U8" s="74" t="s">
        <v>283</v>
      </c>
      <c r="V8" s="74" t="s">
        <v>2</v>
      </c>
      <c r="W8" s="75" t="s">
        <v>282</v>
      </c>
      <c r="X8" s="75" t="s">
        <v>282</v>
      </c>
      <c r="Y8" s="76" t="s">
        <v>282</v>
      </c>
    </row>
    <row r="9" spans="1:25">
      <c r="A9" s="64">
        <v>1</v>
      </c>
      <c r="B9" s="65" t="str">
        <f>VLOOKUP(Tabel10[[#This Row],[Code]],Ruimtegroepen[[Code]:[Ruimte omschrijving]],2,FALSE)</f>
        <v>Magazijnen/bergingen</v>
      </c>
      <c r="C9" s="66" t="s">
        <v>280</v>
      </c>
      <c r="D9" s="65" t="s">
        <v>29</v>
      </c>
      <c r="E9" s="66" t="s">
        <v>1309</v>
      </c>
      <c r="F9" s="66" t="s">
        <v>1310</v>
      </c>
      <c r="G9" s="67" t="s">
        <v>282</v>
      </c>
      <c r="H9" s="67" t="s">
        <v>282</v>
      </c>
      <c r="I9" s="67" t="s">
        <v>20</v>
      </c>
      <c r="J9" s="67" t="s">
        <v>15</v>
      </c>
      <c r="K9" s="67" t="s">
        <v>249</v>
      </c>
      <c r="L9" s="67" t="s">
        <v>282</v>
      </c>
      <c r="M9" s="67" t="s">
        <v>282</v>
      </c>
      <c r="N9" s="67" t="s">
        <v>2</v>
      </c>
      <c r="O9" s="74" t="s">
        <v>282</v>
      </c>
      <c r="P9" s="74" t="s">
        <v>282</v>
      </c>
      <c r="Q9" s="74" t="s">
        <v>282</v>
      </c>
      <c r="R9" s="74" t="s">
        <v>282</v>
      </c>
      <c r="S9" s="74" t="s">
        <v>2</v>
      </c>
      <c r="T9" s="74" t="s">
        <v>283</v>
      </c>
      <c r="U9" s="74" t="s">
        <v>283</v>
      </c>
      <c r="V9" s="74" t="s">
        <v>2</v>
      </c>
      <c r="W9" s="75" t="s">
        <v>282</v>
      </c>
      <c r="X9" s="75" t="s">
        <v>282</v>
      </c>
      <c r="Y9" s="75" t="s">
        <v>282</v>
      </c>
    </row>
    <row r="10" spans="1:25">
      <c r="A10" s="64">
        <v>1</v>
      </c>
      <c r="B10" s="65" t="str">
        <f>VLOOKUP(Tabel10[[#This Row],[Code]],Ruimtegroepen[[Code]:[Ruimte omschrijving]],2,FALSE)</f>
        <v>Magazijnen/bergingen</v>
      </c>
      <c r="C10" s="66" t="s">
        <v>287</v>
      </c>
      <c r="D10" s="65" t="s">
        <v>1</v>
      </c>
      <c r="E10" s="66" t="s">
        <v>100</v>
      </c>
      <c r="F10" s="66" t="s">
        <v>288</v>
      </c>
      <c r="G10" s="71" t="s">
        <v>282</v>
      </c>
      <c r="H10" s="67" t="s">
        <v>282</v>
      </c>
      <c r="I10" s="67" t="s">
        <v>20</v>
      </c>
      <c r="J10" s="67" t="s">
        <v>15</v>
      </c>
      <c r="K10" s="67" t="s">
        <v>282</v>
      </c>
      <c r="L10" s="67" t="s">
        <v>282</v>
      </c>
      <c r="M10" s="67" t="s">
        <v>282</v>
      </c>
      <c r="N10" s="67" t="s">
        <v>282</v>
      </c>
      <c r="O10" s="68" t="s">
        <v>282</v>
      </c>
      <c r="P10" s="68" t="s">
        <v>282</v>
      </c>
      <c r="Q10" s="68" t="s">
        <v>282</v>
      </c>
      <c r="R10" s="68" t="s">
        <v>282</v>
      </c>
      <c r="S10" s="68" t="s">
        <v>2</v>
      </c>
      <c r="T10" s="68" t="s">
        <v>283</v>
      </c>
      <c r="U10" s="68" t="s">
        <v>283</v>
      </c>
      <c r="V10" s="68" t="s">
        <v>282</v>
      </c>
      <c r="W10" s="69" t="s">
        <v>282</v>
      </c>
      <c r="X10" s="69" t="s">
        <v>282</v>
      </c>
      <c r="Y10" s="70" t="s">
        <v>282</v>
      </c>
    </row>
    <row r="11" spans="1:25">
      <c r="A11" s="64">
        <v>1</v>
      </c>
      <c r="B11" s="65" t="str">
        <f>VLOOKUP(Tabel10[[#This Row],[Code]],Ruimtegroepen[[Code]:[Ruimte omschrijving]],2,FALSE)</f>
        <v>Magazijnen/bergingen</v>
      </c>
      <c r="C11" s="66" t="s">
        <v>287</v>
      </c>
      <c r="D11" s="65" t="s">
        <v>1</v>
      </c>
      <c r="E11" s="66" t="s">
        <v>99</v>
      </c>
      <c r="F11" s="66" t="s">
        <v>289</v>
      </c>
      <c r="G11" s="67" t="s">
        <v>20</v>
      </c>
      <c r="H11" s="67" t="s">
        <v>15</v>
      </c>
      <c r="I11" s="67" t="s">
        <v>282</v>
      </c>
      <c r="J11" s="67" t="s">
        <v>282</v>
      </c>
      <c r="K11" s="67" t="s">
        <v>282</v>
      </c>
      <c r="L11" s="67" t="s">
        <v>282</v>
      </c>
      <c r="M11" s="67" t="s">
        <v>282</v>
      </c>
      <c r="N11" s="67" t="s">
        <v>282</v>
      </c>
      <c r="O11" s="68" t="s">
        <v>282</v>
      </c>
      <c r="P11" s="68" t="s">
        <v>282</v>
      </c>
      <c r="Q11" s="68" t="s">
        <v>282</v>
      </c>
      <c r="R11" s="68" t="s">
        <v>282</v>
      </c>
      <c r="S11" s="68" t="s">
        <v>2</v>
      </c>
      <c r="T11" s="68" t="s">
        <v>283</v>
      </c>
      <c r="U11" s="68" t="s">
        <v>283</v>
      </c>
      <c r="V11" s="68" t="s">
        <v>282</v>
      </c>
      <c r="W11" s="69" t="s">
        <v>282</v>
      </c>
      <c r="X11" s="69" t="s">
        <v>282</v>
      </c>
      <c r="Y11" s="70" t="s">
        <v>282</v>
      </c>
    </row>
    <row r="12" spans="1:25">
      <c r="A12" s="64">
        <v>1</v>
      </c>
      <c r="B12" s="65" t="str">
        <f>VLOOKUP(Tabel10[[#This Row],[Code]],Ruimtegroepen[[Code]:[Ruimte omschrijving]],2,FALSE)</f>
        <v>Magazijnen/bergingen</v>
      </c>
      <c r="C12" s="66" t="s">
        <v>287</v>
      </c>
      <c r="D12" s="65" t="s">
        <v>1</v>
      </c>
      <c r="E12" s="66" t="s">
        <v>101</v>
      </c>
      <c r="F12" s="66" t="s">
        <v>290</v>
      </c>
      <c r="G12" s="71" t="s">
        <v>282</v>
      </c>
      <c r="H12" s="67" t="s">
        <v>282</v>
      </c>
      <c r="I12" s="67" t="s">
        <v>20</v>
      </c>
      <c r="J12" s="67" t="s">
        <v>15</v>
      </c>
      <c r="K12" s="67" t="s">
        <v>249</v>
      </c>
      <c r="L12" s="67" t="s">
        <v>282</v>
      </c>
      <c r="M12" s="67" t="s">
        <v>282</v>
      </c>
      <c r="N12" s="67" t="s">
        <v>282</v>
      </c>
      <c r="O12" s="68" t="s">
        <v>282</v>
      </c>
      <c r="P12" s="68" t="s">
        <v>282</v>
      </c>
      <c r="Q12" s="68" t="s">
        <v>282</v>
      </c>
      <c r="R12" s="68" t="s">
        <v>282</v>
      </c>
      <c r="S12" s="68" t="s">
        <v>2</v>
      </c>
      <c r="T12" s="68" t="s">
        <v>283</v>
      </c>
      <c r="U12" s="68" t="s">
        <v>283</v>
      </c>
      <c r="V12" s="68" t="s">
        <v>282</v>
      </c>
      <c r="W12" s="69" t="s">
        <v>282</v>
      </c>
      <c r="X12" s="69" t="s">
        <v>282</v>
      </c>
      <c r="Y12" s="70" t="s">
        <v>282</v>
      </c>
    </row>
    <row r="13" spans="1:25">
      <c r="A13" s="64">
        <v>1</v>
      </c>
      <c r="B13" s="65" t="str">
        <f>VLOOKUP(Tabel10[[#This Row],[Code]],Ruimtegroepen[[Code]:[Ruimte omschrijving]],2,FALSE)</f>
        <v>Magazijnen/bergingen</v>
      </c>
      <c r="C13" s="66" t="s">
        <v>287</v>
      </c>
      <c r="D13" s="65" t="s">
        <v>1</v>
      </c>
      <c r="E13" s="66" t="s">
        <v>102</v>
      </c>
      <c r="F13" s="66" t="s">
        <v>291</v>
      </c>
      <c r="G13" s="71" t="s">
        <v>282</v>
      </c>
      <c r="H13" s="67" t="s">
        <v>282</v>
      </c>
      <c r="I13" s="67" t="s">
        <v>20</v>
      </c>
      <c r="J13" s="67" t="s">
        <v>15</v>
      </c>
      <c r="K13" s="67" t="s">
        <v>249</v>
      </c>
      <c r="L13" s="67" t="s">
        <v>282</v>
      </c>
      <c r="M13" s="67" t="s">
        <v>282</v>
      </c>
      <c r="N13" s="67" t="s">
        <v>282</v>
      </c>
      <c r="O13" s="68" t="s">
        <v>282</v>
      </c>
      <c r="P13" s="68" t="s">
        <v>282</v>
      </c>
      <c r="Q13" s="68" t="s">
        <v>282</v>
      </c>
      <c r="R13" s="68" t="s">
        <v>282</v>
      </c>
      <c r="S13" s="68" t="s">
        <v>2</v>
      </c>
      <c r="T13" s="68" t="s">
        <v>283</v>
      </c>
      <c r="U13" s="68" t="s">
        <v>283</v>
      </c>
      <c r="V13" s="68" t="s">
        <v>282</v>
      </c>
      <c r="W13" s="69" t="s">
        <v>282</v>
      </c>
      <c r="X13" s="69" t="s">
        <v>282</v>
      </c>
      <c r="Y13" s="70" t="s">
        <v>282</v>
      </c>
    </row>
    <row r="14" spans="1:25">
      <c r="A14" s="64">
        <v>1</v>
      </c>
      <c r="B14" s="65" t="str">
        <f>VLOOKUP(Tabel10[[#This Row],[Code]],Ruimtegroepen[[Code]:[Ruimte omschrijving]],2,FALSE)</f>
        <v>Magazijnen/bergingen</v>
      </c>
      <c r="C14" s="66" t="s">
        <v>287</v>
      </c>
      <c r="D14" s="65" t="s">
        <v>1</v>
      </c>
      <c r="E14" s="66" t="s">
        <v>99</v>
      </c>
      <c r="F14" s="66" t="s">
        <v>289</v>
      </c>
      <c r="G14" s="67" t="s">
        <v>20</v>
      </c>
      <c r="H14" s="67" t="s">
        <v>15</v>
      </c>
      <c r="I14" s="67" t="s">
        <v>282</v>
      </c>
      <c r="J14" s="67" t="s">
        <v>282</v>
      </c>
      <c r="K14" s="67" t="s">
        <v>282</v>
      </c>
      <c r="L14" s="67" t="s">
        <v>282</v>
      </c>
      <c r="M14" s="67" t="s">
        <v>282</v>
      </c>
      <c r="N14" s="67" t="s">
        <v>282</v>
      </c>
      <c r="O14" s="68" t="s">
        <v>282</v>
      </c>
      <c r="P14" s="68" t="s">
        <v>282</v>
      </c>
      <c r="Q14" s="68" t="s">
        <v>282</v>
      </c>
      <c r="R14" s="68" t="s">
        <v>282</v>
      </c>
      <c r="S14" s="68" t="s">
        <v>2</v>
      </c>
      <c r="T14" s="68" t="s">
        <v>283</v>
      </c>
      <c r="U14" s="68" t="s">
        <v>283</v>
      </c>
      <c r="V14" s="68" t="s">
        <v>282</v>
      </c>
      <c r="W14" s="69" t="s">
        <v>282</v>
      </c>
      <c r="X14" s="69" t="s">
        <v>282</v>
      </c>
      <c r="Y14" s="70" t="s">
        <v>282</v>
      </c>
    </row>
    <row r="15" spans="1:25">
      <c r="A15" s="64">
        <v>1</v>
      </c>
      <c r="B15" s="65" t="str">
        <f>VLOOKUP(Tabel10[[#This Row],[Code]],Ruimtegroepen[[Code]:[Ruimte omschrijving]],2,FALSE)</f>
        <v>Magazijnen/bergingen</v>
      </c>
      <c r="C15" s="66" t="s">
        <v>287</v>
      </c>
      <c r="D15" s="65" t="s">
        <v>1</v>
      </c>
      <c r="E15" s="66" t="s">
        <v>1309</v>
      </c>
      <c r="F15" s="66" t="s">
        <v>1311</v>
      </c>
      <c r="G15" s="71" t="s">
        <v>282</v>
      </c>
      <c r="H15" s="67" t="s">
        <v>282</v>
      </c>
      <c r="I15" s="67" t="s">
        <v>20</v>
      </c>
      <c r="J15" s="67" t="s">
        <v>15</v>
      </c>
      <c r="K15" s="67" t="s">
        <v>249</v>
      </c>
      <c r="L15" s="67" t="s">
        <v>282</v>
      </c>
      <c r="M15" s="67" t="s">
        <v>282</v>
      </c>
      <c r="N15" s="67" t="s">
        <v>282</v>
      </c>
      <c r="O15" s="68" t="s">
        <v>282</v>
      </c>
      <c r="P15" s="68" t="s">
        <v>282</v>
      </c>
      <c r="Q15" s="68" t="s">
        <v>282</v>
      </c>
      <c r="R15" s="68" t="s">
        <v>282</v>
      </c>
      <c r="S15" s="68" t="s">
        <v>2</v>
      </c>
      <c r="T15" s="68" t="s">
        <v>283</v>
      </c>
      <c r="U15" s="68" t="s">
        <v>283</v>
      </c>
      <c r="V15" s="68" t="s">
        <v>282</v>
      </c>
      <c r="W15" s="69" t="s">
        <v>282</v>
      </c>
      <c r="X15" s="69" t="s">
        <v>282</v>
      </c>
      <c r="Y15" s="70" t="s">
        <v>282</v>
      </c>
    </row>
    <row r="16" spans="1:25">
      <c r="A16" s="64">
        <v>1</v>
      </c>
      <c r="B16" s="65" t="str">
        <f>VLOOKUP(Tabel10[[#This Row],[Code]],Ruimtegroepen[[Code]:[Ruimte omschrijving]],2,FALSE)</f>
        <v>Magazijnen/bergingen</v>
      </c>
      <c r="C16" s="66" t="s">
        <v>292</v>
      </c>
      <c r="D16" s="65" t="s">
        <v>21</v>
      </c>
      <c r="E16" s="66" t="s">
        <v>100</v>
      </c>
      <c r="F16" s="66" t="s">
        <v>293</v>
      </c>
      <c r="G16" s="71" t="s">
        <v>282</v>
      </c>
      <c r="H16" s="67" t="s">
        <v>282</v>
      </c>
      <c r="I16" s="67" t="s">
        <v>18</v>
      </c>
      <c r="J16" s="67" t="s">
        <v>15</v>
      </c>
      <c r="K16" s="67" t="s">
        <v>282</v>
      </c>
      <c r="L16" s="67" t="s">
        <v>282</v>
      </c>
      <c r="M16" s="67" t="s">
        <v>282</v>
      </c>
      <c r="N16" s="67" t="s">
        <v>282</v>
      </c>
      <c r="O16" s="68" t="s">
        <v>282</v>
      </c>
      <c r="P16" s="68" t="s">
        <v>282</v>
      </c>
      <c r="Q16" s="68" t="s">
        <v>282</v>
      </c>
      <c r="R16" s="68" t="s">
        <v>282</v>
      </c>
      <c r="S16" s="68" t="s">
        <v>20</v>
      </c>
      <c r="T16" s="68" t="s">
        <v>283</v>
      </c>
      <c r="U16" s="68" t="s">
        <v>283</v>
      </c>
      <c r="V16" s="68" t="s">
        <v>282</v>
      </c>
      <c r="W16" s="69" t="s">
        <v>282</v>
      </c>
      <c r="X16" s="69" t="s">
        <v>282</v>
      </c>
      <c r="Y16" s="70" t="s">
        <v>282</v>
      </c>
    </row>
    <row r="17" spans="1:25">
      <c r="A17" s="64">
        <v>1</v>
      </c>
      <c r="B17" s="65" t="str">
        <f>VLOOKUP(Tabel10[[#This Row],[Code]],Ruimtegroepen[[Code]:[Ruimte omschrijving]],2,FALSE)</f>
        <v>Magazijnen/bergingen</v>
      </c>
      <c r="C17" s="66" t="s">
        <v>292</v>
      </c>
      <c r="D17" s="65" t="s">
        <v>21</v>
      </c>
      <c r="E17" s="66" t="s">
        <v>99</v>
      </c>
      <c r="F17" s="66" t="s">
        <v>294</v>
      </c>
      <c r="G17" s="67" t="s">
        <v>18</v>
      </c>
      <c r="H17" s="67" t="s">
        <v>15</v>
      </c>
      <c r="I17" s="67" t="s">
        <v>282</v>
      </c>
      <c r="J17" s="67" t="s">
        <v>282</v>
      </c>
      <c r="K17" s="67" t="s">
        <v>282</v>
      </c>
      <c r="L17" s="67" t="s">
        <v>282</v>
      </c>
      <c r="M17" s="67" t="s">
        <v>282</v>
      </c>
      <c r="N17" s="67" t="s">
        <v>282</v>
      </c>
      <c r="O17" s="68" t="s">
        <v>282</v>
      </c>
      <c r="P17" s="68" t="s">
        <v>282</v>
      </c>
      <c r="Q17" s="68" t="s">
        <v>282</v>
      </c>
      <c r="R17" s="68" t="s">
        <v>282</v>
      </c>
      <c r="S17" s="68" t="s">
        <v>20</v>
      </c>
      <c r="T17" s="68" t="s">
        <v>283</v>
      </c>
      <c r="U17" s="68" t="s">
        <v>283</v>
      </c>
      <c r="V17" s="68" t="s">
        <v>282</v>
      </c>
      <c r="W17" s="69" t="s">
        <v>282</v>
      </c>
      <c r="X17" s="69" t="s">
        <v>282</v>
      </c>
      <c r="Y17" s="70" t="s">
        <v>282</v>
      </c>
    </row>
    <row r="18" spans="1:25">
      <c r="A18" s="64">
        <v>1</v>
      </c>
      <c r="B18" s="65" t="str">
        <f>VLOOKUP(Tabel10[[#This Row],[Code]],Ruimtegroepen[[Code]:[Ruimte omschrijving]],2,FALSE)</f>
        <v>Magazijnen/bergingen</v>
      </c>
      <c r="C18" s="66" t="s">
        <v>292</v>
      </c>
      <c r="D18" s="65" t="s">
        <v>21</v>
      </c>
      <c r="E18" s="66" t="s">
        <v>101</v>
      </c>
      <c r="F18" s="66" t="s">
        <v>295</v>
      </c>
      <c r="G18" s="71" t="s">
        <v>282</v>
      </c>
      <c r="H18" s="67" t="s">
        <v>282</v>
      </c>
      <c r="I18" s="67" t="s">
        <v>18</v>
      </c>
      <c r="J18" s="67" t="s">
        <v>15</v>
      </c>
      <c r="K18" s="67" t="s">
        <v>249</v>
      </c>
      <c r="L18" s="67" t="s">
        <v>282</v>
      </c>
      <c r="M18" s="67" t="s">
        <v>282</v>
      </c>
      <c r="N18" s="67" t="s">
        <v>282</v>
      </c>
      <c r="O18" s="68" t="s">
        <v>282</v>
      </c>
      <c r="P18" s="68" t="s">
        <v>282</v>
      </c>
      <c r="Q18" s="68" t="s">
        <v>282</v>
      </c>
      <c r="R18" s="68" t="s">
        <v>282</v>
      </c>
      <c r="S18" s="68" t="s">
        <v>20</v>
      </c>
      <c r="T18" s="68" t="s">
        <v>283</v>
      </c>
      <c r="U18" s="68" t="s">
        <v>283</v>
      </c>
      <c r="V18" s="68" t="s">
        <v>282</v>
      </c>
      <c r="W18" s="69" t="s">
        <v>282</v>
      </c>
      <c r="X18" s="69" t="s">
        <v>282</v>
      </c>
      <c r="Y18" s="70" t="s">
        <v>282</v>
      </c>
    </row>
    <row r="19" spans="1:25">
      <c r="A19" s="64">
        <v>1</v>
      </c>
      <c r="B19" s="65" t="str">
        <f>VLOOKUP(Tabel10[[#This Row],[Code]],Ruimtegroepen[[Code]:[Ruimte omschrijving]],2,FALSE)</f>
        <v>Magazijnen/bergingen</v>
      </c>
      <c r="C19" s="66" t="s">
        <v>292</v>
      </c>
      <c r="D19" s="65" t="s">
        <v>21</v>
      </c>
      <c r="E19" s="66" t="s">
        <v>102</v>
      </c>
      <c r="F19" s="66" t="s">
        <v>296</v>
      </c>
      <c r="G19" s="71" t="s">
        <v>282</v>
      </c>
      <c r="H19" s="67" t="s">
        <v>282</v>
      </c>
      <c r="I19" s="67" t="s">
        <v>18</v>
      </c>
      <c r="J19" s="67" t="s">
        <v>15</v>
      </c>
      <c r="K19" s="67" t="s">
        <v>249</v>
      </c>
      <c r="L19" s="67" t="s">
        <v>282</v>
      </c>
      <c r="M19" s="67" t="s">
        <v>282</v>
      </c>
      <c r="N19" s="67" t="s">
        <v>282</v>
      </c>
      <c r="O19" s="68" t="s">
        <v>282</v>
      </c>
      <c r="P19" s="68" t="s">
        <v>282</v>
      </c>
      <c r="Q19" s="68" t="s">
        <v>282</v>
      </c>
      <c r="R19" s="68" t="s">
        <v>282</v>
      </c>
      <c r="S19" s="68" t="s">
        <v>20</v>
      </c>
      <c r="T19" s="68" t="s">
        <v>283</v>
      </c>
      <c r="U19" s="68" t="s">
        <v>283</v>
      </c>
      <c r="V19" s="68" t="s">
        <v>282</v>
      </c>
      <c r="W19" s="69" t="s">
        <v>282</v>
      </c>
      <c r="X19" s="69" t="s">
        <v>282</v>
      </c>
      <c r="Y19" s="70" t="s">
        <v>282</v>
      </c>
    </row>
    <row r="20" spans="1:25">
      <c r="A20" s="64">
        <v>1</v>
      </c>
      <c r="B20" s="65" t="str">
        <f>VLOOKUP(Tabel10[[#This Row],[Code]],Ruimtegroepen[[Code]:[Ruimte omschrijving]],2,FALSE)</f>
        <v>Magazijnen/bergingen</v>
      </c>
      <c r="C20" s="66" t="s">
        <v>292</v>
      </c>
      <c r="D20" s="65" t="s">
        <v>21</v>
      </c>
      <c r="E20" s="66" t="s">
        <v>99</v>
      </c>
      <c r="F20" s="66" t="s">
        <v>294</v>
      </c>
      <c r="G20" s="67" t="s">
        <v>18</v>
      </c>
      <c r="H20" s="67" t="s">
        <v>15</v>
      </c>
      <c r="I20" s="67" t="s">
        <v>282</v>
      </c>
      <c r="J20" s="67" t="s">
        <v>282</v>
      </c>
      <c r="K20" s="67" t="s">
        <v>282</v>
      </c>
      <c r="L20" s="67" t="s">
        <v>282</v>
      </c>
      <c r="M20" s="67" t="s">
        <v>282</v>
      </c>
      <c r="N20" s="67" t="s">
        <v>282</v>
      </c>
      <c r="O20" s="68" t="s">
        <v>282</v>
      </c>
      <c r="P20" s="68" t="s">
        <v>282</v>
      </c>
      <c r="Q20" s="68" t="s">
        <v>282</v>
      </c>
      <c r="R20" s="68" t="s">
        <v>282</v>
      </c>
      <c r="S20" s="68" t="s">
        <v>20</v>
      </c>
      <c r="T20" s="68" t="s">
        <v>283</v>
      </c>
      <c r="U20" s="68" t="s">
        <v>283</v>
      </c>
      <c r="V20" s="68" t="s">
        <v>282</v>
      </c>
      <c r="W20" s="69" t="s">
        <v>282</v>
      </c>
      <c r="X20" s="69" t="s">
        <v>282</v>
      </c>
      <c r="Y20" s="70" t="s">
        <v>282</v>
      </c>
    </row>
    <row r="21" spans="1:25">
      <c r="A21" s="64">
        <v>1</v>
      </c>
      <c r="B21" s="65" t="str">
        <f>VLOOKUP(Tabel10[[#This Row],[Code]],Ruimtegroepen[[Code]:[Ruimte omschrijving]],2,FALSE)</f>
        <v>Magazijnen/bergingen</v>
      </c>
      <c r="C21" s="66" t="s">
        <v>292</v>
      </c>
      <c r="D21" s="65" t="s">
        <v>21</v>
      </c>
      <c r="E21" s="66" t="s">
        <v>1309</v>
      </c>
      <c r="F21" s="66" t="s">
        <v>1312</v>
      </c>
      <c r="G21" s="71" t="s">
        <v>282</v>
      </c>
      <c r="H21" s="67" t="s">
        <v>282</v>
      </c>
      <c r="I21" s="67" t="s">
        <v>18</v>
      </c>
      <c r="J21" s="67" t="s">
        <v>15</v>
      </c>
      <c r="K21" s="67" t="s">
        <v>249</v>
      </c>
      <c r="L21" s="67" t="s">
        <v>282</v>
      </c>
      <c r="M21" s="67" t="s">
        <v>282</v>
      </c>
      <c r="N21" s="67" t="s">
        <v>282</v>
      </c>
      <c r="O21" s="68" t="s">
        <v>282</v>
      </c>
      <c r="P21" s="68" t="s">
        <v>282</v>
      </c>
      <c r="Q21" s="68" t="s">
        <v>282</v>
      </c>
      <c r="R21" s="68" t="s">
        <v>282</v>
      </c>
      <c r="S21" s="68" t="s">
        <v>20</v>
      </c>
      <c r="T21" s="68" t="s">
        <v>283</v>
      </c>
      <c r="U21" s="68" t="s">
        <v>283</v>
      </c>
      <c r="V21" s="68" t="s">
        <v>282</v>
      </c>
      <c r="W21" s="69" t="s">
        <v>282</v>
      </c>
      <c r="X21" s="69" t="s">
        <v>282</v>
      </c>
      <c r="Y21" s="70" t="s">
        <v>282</v>
      </c>
    </row>
    <row r="22" spans="1:25">
      <c r="A22" s="64">
        <v>1</v>
      </c>
      <c r="B22" s="65" t="str">
        <f>VLOOKUP(Tabel10[[#This Row],[Code]],Ruimtegroepen[[Code]:[Ruimte omschrijving]],2,FALSE)</f>
        <v>Magazijnen/bergingen</v>
      </c>
      <c r="C22" s="66" t="s">
        <v>297</v>
      </c>
      <c r="D22" s="65" t="s">
        <v>12</v>
      </c>
      <c r="E22" s="66" t="s">
        <v>100</v>
      </c>
      <c r="F22" s="66" t="s">
        <v>298</v>
      </c>
      <c r="G22" s="71" t="s">
        <v>282</v>
      </c>
      <c r="H22" s="67" t="s">
        <v>282</v>
      </c>
      <c r="I22" s="67" t="s">
        <v>17</v>
      </c>
      <c r="J22" s="67" t="s">
        <v>15</v>
      </c>
      <c r="K22" s="67" t="s">
        <v>282</v>
      </c>
      <c r="L22" s="67" t="s">
        <v>282</v>
      </c>
      <c r="M22" s="67" t="s">
        <v>282</v>
      </c>
      <c r="N22" s="67" t="s">
        <v>282</v>
      </c>
      <c r="O22" s="68" t="s">
        <v>282</v>
      </c>
      <c r="P22" s="68" t="s">
        <v>282</v>
      </c>
      <c r="Q22" s="68" t="s">
        <v>282</v>
      </c>
      <c r="R22" s="68" t="s">
        <v>282</v>
      </c>
      <c r="S22" s="68" t="s">
        <v>18</v>
      </c>
      <c r="T22" s="68" t="s">
        <v>283</v>
      </c>
      <c r="U22" s="68" t="s">
        <v>283</v>
      </c>
      <c r="V22" s="68"/>
      <c r="W22" s="69" t="s">
        <v>282</v>
      </c>
      <c r="X22" s="69" t="s">
        <v>282</v>
      </c>
      <c r="Y22" s="70" t="s">
        <v>282</v>
      </c>
    </row>
    <row r="23" spans="1:25">
      <c r="A23" s="64">
        <v>1</v>
      </c>
      <c r="B23" s="65" t="str">
        <f>VLOOKUP(Tabel10[[#This Row],[Code]],Ruimtegroepen[[Code]:[Ruimte omschrijving]],2,FALSE)</f>
        <v>Magazijnen/bergingen</v>
      </c>
      <c r="C23" s="66" t="s">
        <v>297</v>
      </c>
      <c r="D23" s="65" t="s">
        <v>12</v>
      </c>
      <c r="E23" s="66" t="s">
        <v>99</v>
      </c>
      <c r="F23" s="66" t="s">
        <v>299</v>
      </c>
      <c r="G23" s="67" t="s">
        <v>17</v>
      </c>
      <c r="H23" s="67" t="s">
        <v>15</v>
      </c>
      <c r="I23" s="67" t="s">
        <v>282</v>
      </c>
      <c r="J23" s="67" t="s">
        <v>282</v>
      </c>
      <c r="K23" s="67" t="s">
        <v>282</v>
      </c>
      <c r="L23" s="67" t="s">
        <v>282</v>
      </c>
      <c r="M23" s="67" t="s">
        <v>282</v>
      </c>
      <c r="N23" s="67" t="s">
        <v>282</v>
      </c>
      <c r="O23" s="68" t="s">
        <v>282</v>
      </c>
      <c r="P23" s="68" t="s">
        <v>282</v>
      </c>
      <c r="Q23" s="68" t="s">
        <v>282</v>
      </c>
      <c r="R23" s="68" t="s">
        <v>282</v>
      </c>
      <c r="S23" s="68" t="s">
        <v>18</v>
      </c>
      <c r="T23" s="68" t="s">
        <v>283</v>
      </c>
      <c r="U23" s="68" t="s">
        <v>283</v>
      </c>
      <c r="V23" s="68" t="s">
        <v>282</v>
      </c>
      <c r="W23" s="69" t="s">
        <v>282</v>
      </c>
      <c r="X23" s="69" t="s">
        <v>282</v>
      </c>
      <c r="Y23" s="70" t="s">
        <v>282</v>
      </c>
    </row>
    <row r="24" spans="1:25">
      <c r="A24" s="64">
        <v>1</v>
      </c>
      <c r="B24" s="65" t="str">
        <f>VLOOKUP(Tabel10[[#This Row],[Code]],Ruimtegroepen[[Code]:[Ruimte omschrijving]],2,FALSE)</f>
        <v>Magazijnen/bergingen</v>
      </c>
      <c r="C24" s="66" t="s">
        <v>297</v>
      </c>
      <c r="D24" s="65" t="s">
        <v>12</v>
      </c>
      <c r="E24" s="66" t="s">
        <v>101</v>
      </c>
      <c r="F24" s="66" t="s">
        <v>300</v>
      </c>
      <c r="G24" s="71" t="s">
        <v>282</v>
      </c>
      <c r="H24" s="67" t="s">
        <v>282</v>
      </c>
      <c r="I24" s="67" t="s">
        <v>17</v>
      </c>
      <c r="J24" s="67" t="s">
        <v>15</v>
      </c>
      <c r="K24" s="67" t="s">
        <v>249</v>
      </c>
      <c r="L24" s="67" t="s">
        <v>282</v>
      </c>
      <c r="M24" s="67" t="s">
        <v>282</v>
      </c>
      <c r="N24" s="67" t="s">
        <v>282</v>
      </c>
      <c r="O24" s="68" t="s">
        <v>282</v>
      </c>
      <c r="P24" s="68" t="s">
        <v>282</v>
      </c>
      <c r="Q24" s="68" t="s">
        <v>282</v>
      </c>
      <c r="R24" s="68" t="s">
        <v>282</v>
      </c>
      <c r="S24" s="68" t="s">
        <v>18</v>
      </c>
      <c r="T24" s="68" t="s">
        <v>283</v>
      </c>
      <c r="U24" s="68" t="s">
        <v>283</v>
      </c>
      <c r="V24" s="68" t="s">
        <v>282</v>
      </c>
      <c r="W24" s="69" t="s">
        <v>282</v>
      </c>
      <c r="X24" s="69" t="s">
        <v>282</v>
      </c>
      <c r="Y24" s="70" t="s">
        <v>282</v>
      </c>
    </row>
    <row r="25" spans="1:25">
      <c r="A25" s="64">
        <v>1</v>
      </c>
      <c r="B25" s="65" t="str">
        <f>VLOOKUP(Tabel10[[#This Row],[Code]],Ruimtegroepen[[Code]:[Ruimte omschrijving]],2,FALSE)</f>
        <v>Magazijnen/bergingen</v>
      </c>
      <c r="C25" s="66" t="s">
        <v>297</v>
      </c>
      <c r="D25" s="65" t="s">
        <v>12</v>
      </c>
      <c r="E25" s="66" t="s">
        <v>102</v>
      </c>
      <c r="F25" s="66" t="s">
        <v>301</v>
      </c>
      <c r="G25" s="71" t="s">
        <v>282</v>
      </c>
      <c r="H25" s="67" t="s">
        <v>282</v>
      </c>
      <c r="I25" s="67" t="s">
        <v>17</v>
      </c>
      <c r="J25" s="67" t="s">
        <v>15</v>
      </c>
      <c r="K25" s="67" t="s">
        <v>249</v>
      </c>
      <c r="L25" s="67" t="s">
        <v>282</v>
      </c>
      <c r="M25" s="67" t="s">
        <v>282</v>
      </c>
      <c r="N25" s="67" t="s">
        <v>282</v>
      </c>
      <c r="O25" s="68" t="s">
        <v>282</v>
      </c>
      <c r="P25" s="68" t="s">
        <v>282</v>
      </c>
      <c r="Q25" s="68" t="s">
        <v>282</v>
      </c>
      <c r="R25" s="68" t="s">
        <v>282</v>
      </c>
      <c r="S25" s="68" t="s">
        <v>18</v>
      </c>
      <c r="T25" s="68" t="s">
        <v>283</v>
      </c>
      <c r="U25" s="68" t="s">
        <v>283</v>
      </c>
      <c r="V25" s="68" t="s">
        <v>282</v>
      </c>
      <c r="W25" s="69" t="s">
        <v>282</v>
      </c>
      <c r="X25" s="69" t="s">
        <v>282</v>
      </c>
      <c r="Y25" s="70" t="s">
        <v>282</v>
      </c>
    </row>
    <row r="26" spans="1:25">
      <c r="A26" s="64">
        <v>1</v>
      </c>
      <c r="B26" s="65" t="str">
        <f>VLOOKUP(Tabel10[[#This Row],[Code]],Ruimtegroepen[[Code]:[Ruimte omschrijving]],2,FALSE)</f>
        <v>Magazijnen/bergingen</v>
      </c>
      <c r="C26" s="66" t="s">
        <v>297</v>
      </c>
      <c r="D26" s="65" t="s">
        <v>12</v>
      </c>
      <c r="E26" s="66" t="s">
        <v>99</v>
      </c>
      <c r="F26" s="66" t="s">
        <v>299</v>
      </c>
      <c r="G26" s="67" t="s">
        <v>17</v>
      </c>
      <c r="H26" s="67" t="s">
        <v>15</v>
      </c>
      <c r="I26" s="67" t="s">
        <v>282</v>
      </c>
      <c r="J26" s="67" t="s">
        <v>282</v>
      </c>
      <c r="K26" s="67" t="s">
        <v>282</v>
      </c>
      <c r="L26" s="67" t="s">
        <v>282</v>
      </c>
      <c r="M26" s="67" t="s">
        <v>282</v>
      </c>
      <c r="N26" s="67" t="s">
        <v>282</v>
      </c>
      <c r="O26" s="68" t="s">
        <v>282</v>
      </c>
      <c r="P26" s="68" t="s">
        <v>282</v>
      </c>
      <c r="Q26" s="68" t="s">
        <v>282</v>
      </c>
      <c r="R26" s="68" t="s">
        <v>282</v>
      </c>
      <c r="S26" s="68" t="s">
        <v>18</v>
      </c>
      <c r="T26" s="68" t="s">
        <v>283</v>
      </c>
      <c r="U26" s="68" t="s">
        <v>283</v>
      </c>
      <c r="V26" s="68" t="s">
        <v>282</v>
      </c>
      <c r="W26" s="69" t="s">
        <v>282</v>
      </c>
      <c r="X26" s="69" t="s">
        <v>282</v>
      </c>
      <c r="Y26" s="70" t="s">
        <v>282</v>
      </c>
    </row>
    <row r="27" spans="1:25">
      <c r="A27" s="64">
        <v>1</v>
      </c>
      <c r="B27" s="65" t="str">
        <f>VLOOKUP(Tabel10[[#This Row],[Code]],Ruimtegroepen[[Code]:[Ruimte omschrijving]],2,FALSE)</f>
        <v>Magazijnen/bergingen</v>
      </c>
      <c r="C27" s="66" t="s">
        <v>297</v>
      </c>
      <c r="D27" s="65" t="s">
        <v>12</v>
      </c>
      <c r="E27" s="66" t="s">
        <v>1309</v>
      </c>
      <c r="F27" s="66" t="s">
        <v>1313</v>
      </c>
      <c r="G27" s="71" t="s">
        <v>282</v>
      </c>
      <c r="H27" s="67" t="s">
        <v>282</v>
      </c>
      <c r="I27" s="67" t="s">
        <v>17</v>
      </c>
      <c r="J27" s="67" t="s">
        <v>15</v>
      </c>
      <c r="K27" s="67" t="s">
        <v>249</v>
      </c>
      <c r="L27" s="67" t="s">
        <v>282</v>
      </c>
      <c r="M27" s="67" t="s">
        <v>282</v>
      </c>
      <c r="N27" s="67" t="s">
        <v>282</v>
      </c>
      <c r="O27" s="68" t="s">
        <v>282</v>
      </c>
      <c r="P27" s="68" t="s">
        <v>282</v>
      </c>
      <c r="Q27" s="68" t="s">
        <v>282</v>
      </c>
      <c r="R27" s="68" t="s">
        <v>282</v>
      </c>
      <c r="S27" s="68" t="s">
        <v>18</v>
      </c>
      <c r="T27" s="68" t="s">
        <v>283</v>
      </c>
      <c r="U27" s="68" t="s">
        <v>283</v>
      </c>
      <c r="V27" s="68" t="s">
        <v>282</v>
      </c>
      <c r="W27" s="69" t="s">
        <v>282</v>
      </c>
      <c r="X27" s="69" t="s">
        <v>282</v>
      </c>
      <c r="Y27" s="70" t="s">
        <v>282</v>
      </c>
    </row>
    <row r="28" spans="1:25">
      <c r="A28" s="64">
        <v>1</v>
      </c>
      <c r="B28" s="65" t="str">
        <f>VLOOKUP(Tabel10[[#This Row],[Code]],Ruimtegroepen[[Code]:[Ruimte omschrijving]],2,FALSE)</f>
        <v>Magazijnen/bergingen</v>
      </c>
      <c r="C28" s="66" t="s">
        <v>302</v>
      </c>
      <c r="D28" s="65" t="s">
        <v>14</v>
      </c>
      <c r="E28" s="66" t="s">
        <v>100</v>
      </c>
      <c r="F28" s="66" t="s">
        <v>303</v>
      </c>
      <c r="G28" s="71" t="s">
        <v>282</v>
      </c>
      <c r="H28" s="67" t="s">
        <v>282</v>
      </c>
      <c r="I28" s="67" t="s">
        <v>15</v>
      </c>
      <c r="J28" s="67" t="s">
        <v>15</v>
      </c>
      <c r="K28" s="67" t="s">
        <v>282</v>
      </c>
      <c r="L28" s="67" t="s">
        <v>282</v>
      </c>
      <c r="M28" s="67" t="s">
        <v>282</v>
      </c>
      <c r="N28" s="67" t="s">
        <v>282</v>
      </c>
      <c r="O28" s="68" t="s">
        <v>282</v>
      </c>
      <c r="P28" s="68" t="s">
        <v>282</v>
      </c>
      <c r="Q28" s="68" t="s">
        <v>282</v>
      </c>
      <c r="R28" s="68" t="s">
        <v>282</v>
      </c>
      <c r="S28" s="68" t="s">
        <v>17</v>
      </c>
      <c r="T28" s="68" t="s">
        <v>283</v>
      </c>
      <c r="U28" s="68" t="s">
        <v>283</v>
      </c>
      <c r="V28" s="68" t="s">
        <v>282</v>
      </c>
      <c r="W28" s="69" t="s">
        <v>282</v>
      </c>
      <c r="X28" s="69" t="s">
        <v>282</v>
      </c>
      <c r="Y28" s="70" t="s">
        <v>282</v>
      </c>
    </row>
    <row r="29" spans="1:25">
      <c r="A29" s="64">
        <v>1</v>
      </c>
      <c r="B29" s="65" t="str">
        <f>VLOOKUP(Tabel10[[#This Row],[Code]],Ruimtegroepen[[Code]:[Ruimte omschrijving]],2,FALSE)</f>
        <v>Magazijnen/bergingen</v>
      </c>
      <c r="C29" s="66" t="s">
        <v>302</v>
      </c>
      <c r="D29" s="65" t="s">
        <v>14</v>
      </c>
      <c r="E29" s="66" t="s">
        <v>99</v>
      </c>
      <c r="F29" s="66" t="s">
        <v>304</v>
      </c>
      <c r="G29" s="67" t="s">
        <v>15</v>
      </c>
      <c r="H29" s="67" t="s">
        <v>15</v>
      </c>
      <c r="I29" s="67" t="s">
        <v>282</v>
      </c>
      <c r="J29" s="67" t="s">
        <v>282</v>
      </c>
      <c r="K29" s="67" t="s">
        <v>282</v>
      </c>
      <c r="L29" s="67" t="s">
        <v>282</v>
      </c>
      <c r="M29" s="67" t="s">
        <v>282</v>
      </c>
      <c r="N29" s="67" t="s">
        <v>282</v>
      </c>
      <c r="O29" s="68" t="s">
        <v>282</v>
      </c>
      <c r="P29" s="68" t="s">
        <v>282</v>
      </c>
      <c r="Q29" s="68" t="s">
        <v>282</v>
      </c>
      <c r="R29" s="68" t="s">
        <v>282</v>
      </c>
      <c r="S29" s="68" t="s">
        <v>17</v>
      </c>
      <c r="T29" s="68" t="s">
        <v>283</v>
      </c>
      <c r="U29" s="68" t="s">
        <v>283</v>
      </c>
      <c r="V29" s="68" t="s">
        <v>282</v>
      </c>
      <c r="W29" s="69" t="s">
        <v>282</v>
      </c>
      <c r="X29" s="69" t="s">
        <v>282</v>
      </c>
      <c r="Y29" s="70" t="s">
        <v>282</v>
      </c>
    </row>
    <row r="30" spans="1:25">
      <c r="A30" s="64">
        <v>1</v>
      </c>
      <c r="B30" s="65" t="str">
        <f>VLOOKUP(Tabel10[[#This Row],[Code]],Ruimtegroepen[[Code]:[Ruimte omschrijving]],2,FALSE)</f>
        <v>Magazijnen/bergingen</v>
      </c>
      <c r="C30" s="66" t="s">
        <v>302</v>
      </c>
      <c r="D30" s="65" t="s">
        <v>14</v>
      </c>
      <c r="E30" s="66" t="s">
        <v>101</v>
      </c>
      <c r="F30" s="66" t="s">
        <v>305</v>
      </c>
      <c r="G30" s="71" t="s">
        <v>282</v>
      </c>
      <c r="H30" s="67" t="s">
        <v>282</v>
      </c>
      <c r="I30" s="67" t="s">
        <v>15</v>
      </c>
      <c r="J30" s="67" t="s">
        <v>15</v>
      </c>
      <c r="K30" s="67" t="s">
        <v>249</v>
      </c>
      <c r="L30" s="67" t="s">
        <v>282</v>
      </c>
      <c r="M30" s="67" t="s">
        <v>282</v>
      </c>
      <c r="N30" s="67" t="s">
        <v>282</v>
      </c>
      <c r="O30" s="68" t="s">
        <v>282</v>
      </c>
      <c r="P30" s="68" t="s">
        <v>282</v>
      </c>
      <c r="Q30" s="68" t="s">
        <v>282</v>
      </c>
      <c r="R30" s="68" t="s">
        <v>282</v>
      </c>
      <c r="S30" s="68" t="s">
        <v>17</v>
      </c>
      <c r="T30" s="68" t="s">
        <v>283</v>
      </c>
      <c r="U30" s="68" t="s">
        <v>283</v>
      </c>
      <c r="V30" s="68" t="s">
        <v>282</v>
      </c>
      <c r="W30" s="69" t="s">
        <v>282</v>
      </c>
      <c r="X30" s="69" t="s">
        <v>282</v>
      </c>
      <c r="Y30" s="70" t="s">
        <v>282</v>
      </c>
    </row>
    <row r="31" spans="1:25">
      <c r="A31" s="64">
        <v>1</v>
      </c>
      <c r="B31" s="65" t="str">
        <f>VLOOKUP(Tabel10[[#This Row],[Code]],Ruimtegroepen[[Code]:[Ruimte omschrijving]],2,FALSE)</f>
        <v>Magazijnen/bergingen</v>
      </c>
      <c r="C31" s="66" t="s">
        <v>302</v>
      </c>
      <c r="D31" s="65" t="s">
        <v>14</v>
      </c>
      <c r="E31" s="66" t="s">
        <v>102</v>
      </c>
      <c r="F31" s="66" t="s">
        <v>306</v>
      </c>
      <c r="G31" s="71" t="s">
        <v>282</v>
      </c>
      <c r="H31" s="67" t="s">
        <v>282</v>
      </c>
      <c r="I31" s="67" t="s">
        <v>15</v>
      </c>
      <c r="J31" s="67" t="s">
        <v>15</v>
      </c>
      <c r="K31" s="67" t="s">
        <v>249</v>
      </c>
      <c r="L31" s="67" t="s">
        <v>282</v>
      </c>
      <c r="M31" s="67" t="s">
        <v>282</v>
      </c>
      <c r="N31" s="67" t="s">
        <v>282</v>
      </c>
      <c r="O31" s="68" t="s">
        <v>282</v>
      </c>
      <c r="P31" s="68" t="s">
        <v>282</v>
      </c>
      <c r="Q31" s="68" t="s">
        <v>282</v>
      </c>
      <c r="R31" s="68" t="s">
        <v>282</v>
      </c>
      <c r="S31" s="68" t="s">
        <v>17</v>
      </c>
      <c r="T31" s="68" t="s">
        <v>283</v>
      </c>
      <c r="U31" s="68" t="s">
        <v>283</v>
      </c>
      <c r="V31" s="68" t="s">
        <v>282</v>
      </c>
      <c r="W31" s="69" t="s">
        <v>282</v>
      </c>
      <c r="X31" s="69" t="s">
        <v>282</v>
      </c>
      <c r="Y31" s="70" t="s">
        <v>282</v>
      </c>
    </row>
    <row r="32" spans="1:25">
      <c r="A32" s="64">
        <v>1</v>
      </c>
      <c r="B32" s="65" t="str">
        <f>VLOOKUP(Tabel10[[#This Row],[Code]],Ruimtegroepen[[Code]:[Ruimte omschrijving]],2,FALSE)</f>
        <v>Magazijnen/bergingen</v>
      </c>
      <c r="C32" s="66" t="s">
        <v>302</v>
      </c>
      <c r="D32" s="65" t="s">
        <v>14</v>
      </c>
      <c r="E32" s="66" t="s">
        <v>99</v>
      </c>
      <c r="F32" s="66" t="s">
        <v>304</v>
      </c>
      <c r="G32" s="67" t="s">
        <v>15</v>
      </c>
      <c r="H32" s="67" t="s">
        <v>15</v>
      </c>
      <c r="I32" s="67" t="s">
        <v>282</v>
      </c>
      <c r="J32" s="67" t="s">
        <v>282</v>
      </c>
      <c r="K32" s="67" t="s">
        <v>282</v>
      </c>
      <c r="L32" s="67" t="s">
        <v>282</v>
      </c>
      <c r="M32" s="67" t="s">
        <v>282</v>
      </c>
      <c r="N32" s="67" t="s">
        <v>282</v>
      </c>
      <c r="O32" s="68" t="s">
        <v>282</v>
      </c>
      <c r="P32" s="68" t="s">
        <v>282</v>
      </c>
      <c r="Q32" s="68" t="s">
        <v>282</v>
      </c>
      <c r="R32" s="68" t="s">
        <v>282</v>
      </c>
      <c r="S32" s="68" t="s">
        <v>17</v>
      </c>
      <c r="T32" s="68" t="s">
        <v>283</v>
      </c>
      <c r="U32" s="68" t="s">
        <v>283</v>
      </c>
      <c r="V32" s="68" t="s">
        <v>282</v>
      </c>
      <c r="W32" s="69" t="s">
        <v>282</v>
      </c>
      <c r="X32" s="69" t="s">
        <v>282</v>
      </c>
      <c r="Y32" s="70" t="s">
        <v>282</v>
      </c>
    </row>
    <row r="33" spans="1:25">
      <c r="A33" s="64">
        <v>1</v>
      </c>
      <c r="B33" s="65" t="str">
        <f>VLOOKUP(Tabel10[[#This Row],[Code]],Ruimtegroepen[[Code]:[Ruimte omschrijving]],2,FALSE)</f>
        <v>Magazijnen/bergingen</v>
      </c>
      <c r="C33" s="66" t="s">
        <v>302</v>
      </c>
      <c r="D33" s="65" t="s">
        <v>14</v>
      </c>
      <c r="E33" s="66" t="s">
        <v>1309</v>
      </c>
      <c r="F33" s="66" t="s">
        <v>1314</v>
      </c>
      <c r="G33" s="71" t="s">
        <v>282</v>
      </c>
      <c r="H33" s="67" t="s">
        <v>282</v>
      </c>
      <c r="I33" s="67" t="s">
        <v>15</v>
      </c>
      <c r="J33" s="67" t="s">
        <v>15</v>
      </c>
      <c r="K33" s="67" t="s">
        <v>249</v>
      </c>
      <c r="L33" s="67" t="s">
        <v>282</v>
      </c>
      <c r="M33" s="67" t="s">
        <v>282</v>
      </c>
      <c r="N33" s="67" t="s">
        <v>282</v>
      </c>
      <c r="O33" s="68" t="s">
        <v>282</v>
      </c>
      <c r="P33" s="68" t="s">
        <v>282</v>
      </c>
      <c r="Q33" s="68" t="s">
        <v>282</v>
      </c>
      <c r="R33" s="68" t="s">
        <v>282</v>
      </c>
      <c r="S33" s="68" t="s">
        <v>17</v>
      </c>
      <c r="T33" s="68" t="s">
        <v>283</v>
      </c>
      <c r="U33" s="68" t="s">
        <v>283</v>
      </c>
      <c r="V33" s="68" t="s">
        <v>282</v>
      </c>
      <c r="W33" s="69" t="s">
        <v>282</v>
      </c>
      <c r="X33" s="69" t="s">
        <v>282</v>
      </c>
      <c r="Y33" s="70" t="s">
        <v>282</v>
      </c>
    </row>
    <row r="34" spans="1:25">
      <c r="A34" s="64">
        <v>1</v>
      </c>
      <c r="B34" s="65" t="str">
        <f>VLOOKUP(Tabel10[[#This Row],[Code]],Ruimtegroepen[[Code]:[Ruimte omschrijving]],2,FALSE)</f>
        <v>Magazijnen/bergingen</v>
      </c>
      <c r="C34" s="66" t="s">
        <v>307</v>
      </c>
      <c r="D34" s="65" t="s">
        <v>13</v>
      </c>
      <c r="E34" s="66" t="s">
        <v>100</v>
      </c>
      <c r="F34" s="66" t="s">
        <v>308</v>
      </c>
      <c r="G34" s="71" t="s">
        <v>282</v>
      </c>
      <c r="H34" s="67" t="s">
        <v>282</v>
      </c>
      <c r="I34" s="67" t="s">
        <v>15</v>
      </c>
      <c r="J34" s="67" t="s">
        <v>15</v>
      </c>
      <c r="K34" s="67" t="s">
        <v>282</v>
      </c>
      <c r="L34" s="67" t="s">
        <v>282</v>
      </c>
      <c r="M34" s="67" t="s">
        <v>282</v>
      </c>
      <c r="N34" s="67" t="s">
        <v>282</v>
      </c>
      <c r="O34" s="68" t="s">
        <v>282</v>
      </c>
      <c r="P34" s="68" t="s">
        <v>282</v>
      </c>
      <c r="Q34" s="68" t="s">
        <v>282</v>
      </c>
      <c r="R34" s="68" t="s">
        <v>282</v>
      </c>
      <c r="S34" s="68" t="s">
        <v>15</v>
      </c>
      <c r="T34" s="68" t="s">
        <v>283</v>
      </c>
      <c r="U34" s="68" t="s">
        <v>283</v>
      </c>
      <c r="V34" s="68" t="s">
        <v>282</v>
      </c>
      <c r="W34" s="69" t="s">
        <v>282</v>
      </c>
      <c r="X34" s="69" t="s">
        <v>282</v>
      </c>
      <c r="Y34" s="70" t="s">
        <v>282</v>
      </c>
    </row>
    <row r="35" spans="1:25">
      <c r="A35" s="64">
        <v>1</v>
      </c>
      <c r="B35" s="65" t="str">
        <f>VLOOKUP(Tabel10[[#This Row],[Code]],Ruimtegroepen[[Code]:[Ruimte omschrijving]],2,FALSE)</f>
        <v>Magazijnen/bergingen</v>
      </c>
      <c r="C35" s="66" t="s">
        <v>307</v>
      </c>
      <c r="D35" s="65" t="s">
        <v>13</v>
      </c>
      <c r="E35" s="66" t="s">
        <v>99</v>
      </c>
      <c r="F35" s="66" t="s">
        <v>309</v>
      </c>
      <c r="G35" s="71" t="s">
        <v>282</v>
      </c>
      <c r="H35" s="67" t="s">
        <v>15</v>
      </c>
      <c r="I35" s="67" t="s">
        <v>282</v>
      </c>
      <c r="J35" s="67" t="s">
        <v>282</v>
      </c>
      <c r="K35" s="67" t="s">
        <v>282</v>
      </c>
      <c r="L35" s="67" t="s">
        <v>282</v>
      </c>
      <c r="M35" s="67" t="s">
        <v>282</v>
      </c>
      <c r="N35" s="67" t="s">
        <v>282</v>
      </c>
      <c r="O35" s="68" t="s">
        <v>282</v>
      </c>
      <c r="P35" s="68" t="s">
        <v>282</v>
      </c>
      <c r="Q35" s="68" t="s">
        <v>282</v>
      </c>
      <c r="R35" s="68" t="s">
        <v>282</v>
      </c>
      <c r="S35" s="68" t="s">
        <v>15</v>
      </c>
      <c r="T35" s="68" t="s">
        <v>283</v>
      </c>
      <c r="U35" s="68" t="s">
        <v>283</v>
      </c>
      <c r="V35" s="68" t="s">
        <v>282</v>
      </c>
      <c r="W35" s="69" t="s">
        <v>282</v>
      </c>
      <c r="X35" s="69" t="s">
        <v>282</v>
      </c>
      <c r="Y35" s="70" t="s">
        <v>282</v>
      </c>
    </row>
    <row r="36" spans="1:25">
      <c r="A36" s="64">
        <v>1</v>
      </c>
      <c r="B36" s="65" t="str">
        <f>VLOOKUP(Tabel10[[#This Row],[Code]],Ruimtegroepen[[Code]:[Ruimte omschrijving]],2,FALSE)</f>
        <v>Magazijnen/bergingen</v>
      </c>
      <c r="C36" s="66" t="s">
        <v>307</v>
      </c>
      <c r="D36" s="65" t="s">
        <v>13</v>
      </c>
      <c r="E36" s="66" t="s">
        <v>101</v>
      </c>
      <c r="F36" s="66" t="s">
        <v>310</v>
      </c>
      <c r="G36" s="71" t="s">
        <v>282</v>
      </c>
      <c r="H36" s="67" t="s">
        <v>282</v>
      </c>
      <c r="I36" s="67" t="s">
        <v>282</v>
      </c>
      <c r="J36" s="67" t="s">
        <v>15</v>
      </c>
      <c r="K36" s="67" t="s">
        <v>249</v>
      </c>
      <c r="L36" s="67" t="s">
        <v>282</v>
      </c>
      <c r="M36" s="67" t="s">
        <v>282</v>
      </c>
      <c r="N36" s="67" t="s">
        <v>282</v>
      </c>
      <c r="O36" s="68" t="s">
        <v>282</v>
      </c>
      <c r="P36" s="68" t="s">
        <v>282</v>
      </c>
      <c r="Q36" s="68" t="s">
        <v>282</v>
      </c>
      <c r="R36" s="68" t="s">
        <v>282</v>
      </c>
      <c r="S36" s="68" t="s">
        <v>15</v>
      </c>
      <c r="T36" s="68" t="s">
        <v>283</v>
      </c>
      <c r="U36" s="68" t="s">
        <v>283</v>
      </c>
      <c r="V36" s="68" t="s">
        <v>282</v>
      </c>
      <c r="W36" s="69" t="s">
        <v>282</v>
      </c>
      <c r="X36" s="69" t="s">
        <v>282</v>
      </c>
      <c r="Y36" s="70" t="s">
        <v>282</v>
      </c>
    </row>
    <row r="37" spans="1:25">
      <c r="A37" s="64">
        <v>1</v>
      </c>
      <c r="B37" s="65" t="str">
        <f>VLOOKUP(Tabel10[[#This Row],[Code]],Ruimtegroepen[[Code]:[Ruimte omschrijving]],2,FALSE)</f>
        <v>Magazijnen/bergingen</v>
      </c>
      <c r="C37" s="66" t="s">
        <v>307</v>
      </c>
      <c r="D37" s="65" t="s">
        <v>13</v>
      </c>
      <c r="E37" s="66" t="s">
        <v>102</v>
      </c>
      <c r="F37" s="66" t="s">
        <v>311</v>
      </c>
      <c r="G37" s="71" t="s">
        <v>282</v>
      </c>
      <c r="H37" s="67" t="s">
        <v>282</v>
      </c>
      <c r="I37" s="67" t="s">
        <v>15</v>
      </c>
      <c r="J37" s="67" t="s">
        <v>15</v>
      </c>
      <c r="K37" s="67" t="s">
        <v>249</v>
      </c>
      <c r="L37" s="67" t="s">
        <v>282</v>
      </c>
      <c r="M37" s="67" t="s">
        <v>282</v>
      </c>
      <c r="N37" s="67" t="s">
        <v>282</v>
      </c>
      <c r="O37" s="68" t="s">
        <v>282</v>
      </c>
      <c r="P37" s="68" t="s">
        <v>282</v>
      </c>
      <c r="Q37" s="68" t="s">
        <v>282</v>
      </c>
      <c r="R37" s="68" t="s">
        <v>282</v>
      </c>
      <c r="S37" s="68" t="s">
        <v>15</v>
      </c>
      <c r="T37" s="68" t="s">
        <v>283</v>
      </c>
      <c r="U37" s="68" t="s">
        <v>283</v>
      </c>
      <c r="V37" s="68" t="s">
        <v>282</v>
      </c>
      <c r="W37" s="69" t="s">
        <v>282</v>
      </c>
      <c r="X37" s="69" t="s">
        <v>282</v>
      </c>
      <c r="Y37" s="70" t="s">
        <v>282</v>
      </c>
    </row>
    <row r="38" spans="1:25">
      <c r="A38" s="64">
        <v>1</v>
      </c>
      <c r="B38" s="65" t="str">
        <f>VLOOKUP(Tabel10[[#This Row],[Code]],Ruimtegroepen[[Code]:[Ruimte omschrijving]],2,FALSE)</f>
        <v>Magazijnen/bergingen</v>
      </c>
      <c r="C38" s="66" t="s">
        <v>307</v>
      </c>
      <c r="D38" s="65" t="s">
        <v>13</v>
      </c>
      <c r="E38" s="66" t="s">
        <v>99</v>
      </c>
      <c r="F38" s="66" t="s">
        <v>309</v>
      </c>
      <c r="G38" s="71" t="s">
        <v>282</v>
      </c>
      <c r="H38" s="67" t="s">
        <v>15</v>
      </c>
      <c r="I38" s="67" t="s">
        <v>282</v>
      </c>
      <c r="J38" s="67" t="s">
        <v>282</v>
      </c>
      <c r="K38" s="67" t="s">
        <v>282</v>
      </c>
      <c r="L38" s="67" t="s">
        <v>282</v>
      </c>
      <c r="M38" s="67" t="s">
        <v>282</v>
      </c>
      <c r="N38" s="67" t="s">
        <v>282</v>
      </c>
      <c r="O38" s="68" t="s">
        <v>282</v>
      </c>
      <c r="P38" s="68" t="s">
        <v>282</v>
      </c>
      <c r="Q38" s="68" t="s">
        <v>282</v>
      </c>
      <c r="R38" s="68" t="s">
        <v>282</v>
      </c>
      <c r="S38" s="68" t="s">
        <v>15</v>
      </c>
      <c r="T38" s="68" t="s">
        <v>283</v>
      </c>
      <c r="U38" s="68" t="s">
        <v>283</v>
      </c>
      <c r="V38" s="68" t="s">
        <v>282</v>
      </c>
      <c r="W38" s="69" t="s">
        <v>282</v>
      </c>
      <c r="X38" s="69" t="s">
        <v>282</v>
      </c>
      <c r="Y38" s="70" t="s">
        <v>282</v>
      </c>
    </row>
    <row r="39" spans="1:25">
      <c r="A39" s="64">
        <v>1</v>
      </c>
      <c r="B39" s="65" t="str">
        <f>VLOOKUP(Tabel10[[#This Row],[Code]],Ruimtegroepen[[Code]:[Ruimte omschrijving]],2,FALSE)</f>
        <v>Magazijnen/bergingen</v>
      </c>
      <c r="C39" s="66" t="s">
        <v>307</v>
      </c>
      <c r="D39" s="65" t="s">
        <v>13</v>
      </c>
      <c r="E39" s="66" t="s">
        <v>1309</v>
      </c>
      <c r="F39" s="66" t="s">
        <v>1315</v>
      </c>
      <c r="G39" s="71" t="s">
        <v>282</v>
      </c>
      <c r="H39" s="67" t="s">
        <v>282</v>
      </c>
      <c r="I39" s="67" t="s">
        <v>15</v>
      </c>
      <c r="J39" s="67" t="s">
        <v>15</v>
      </c>
      <c r="K39" s="67" t="s">
        <v>249</v>
      </c>
      <c r="L39" s="67" t="s">
        <v>282</v>
      </c>
      <c r="M39" s="67" t="s">
        <v>282</v>
      </c>
      <c r="N39" s="67" t="s">
        <v>282</v>
      </c>
      <c r="O39" s="68" t="s">
        <v>282</v>
      </c>
      <c r="P39" s="68" t="s">
        <v>282</v>
      </c>
      <c r="Q39" s="68" t="s">
        <v>282</v>
      </c>
      <c r="R39" s="68" t="s">
        <v>282</v>
      </c>
      <c r="S39" s="68" t="s">
        <v>15</v>
      </c>
      <c r="T39" s="68" t="s">
        <v>283</v>
      </c>
      <c r="U39" s="68" t="s">
        <v>283</v>
      </c>
      <c r="V39" s="68" t="s">
        <v>282</v>
      </c>
      <c r="W39" s="69" t="s">
        <v>282</v>
      </c>
      <c r="X39" s="69" t="s">
        <v>282</v>
      </c>
      <c r="Y39" s="70" t="s">
        <v>282</v>
      </c>
    </row>
    <row r="40" spans="1:25">
      <c r="A40" s="64">
        <v>1</v>
      </c>
      <c r="B40" s="65" t="str">
        <f>VLOOKUP(Tabel10[[#This Row],[Code]],Ruimtegroepen[[Code]:[Ruimte omschrijving]],2,FALSE)</f>
        <v>Magazijnen/bergingen</v>
      </c>
      <c r="C40" s="66" t="s">
        <v>312</v>
      </c>
      <c r="D40" s="65" t="s">
        <v>0</v>
      </c>
      <c r="E40" s="66" t="s">
        <v>100</v>
      </c>
      <c r="F40" s="66" t="s">
        <v>313</v>
      </c>
      <c r="G40" s="71" t="s">
        <v>282</v>
      </c>
      <c r="H40" s="67" t="s">
        <v>282</v>
      </c>
      <c r="I40" s="67" t="s">
        <v>16</v>
      </c>
      <c r="J40" s="67" t="s">
        <v>16</v>
      </c>
      <c r="K40" s="67" t="s">
        <v>282</v>
      </c>
      <c r="L40" s="67" t="s">
        <v>282</v>
      </c>
      <c r="M40" s="67" t="s">
        <v>282</v>
      </c>
      <c r="N40" s="67" t="s">
        <v>282</v>
      </c>
      <c r="O40" s="68" t="s">
        <v>282</v>
      </c>
      <c r="P40" s="68" t="s">
        <v>282</v>
      </c>
      <c r="Q40" s="68" t="s">
        <v>282</v>
      </c>
      <c r="R40" s="68" t="s">
        <v>282</v>
      </c>
      <c r="S40" s="68" t="s">
        <v>16</v>
      </c>
      <c r="T40" s="68" t="s">
        <v>283</v>
      </c>
      <c r="U40" s="68" t="s">
        <v>283</v>
      </c>
      <c r="V40" s="68" t="s">
        <v>282</v>
      </c>
      <c r="W40" s="69" t="s">
        <v>282</v>
      </c>
      <c r="X40" s="69" t="s">
        <v>282</v>
      </c>
      <c r="Y40" s="70" t="s">
        <v>282</v>
      </c>
    </row>
    <row r="41" spans="1:25">
      <c r="A41" s="64">
        <v>1</v>
      </c>
      <c r="B41" s="65" t="str">
        <f>VLOOKUP(Tabel10[[#This Row],[Code]],Ruimtegroepen[[Code]:[Ruimte omschrijving]],2,FALSE)</f>
        <v>Magazijnen/bergingen</v>
      </c>
      <c r="C41" s="66" t="s">
        <v>312</v>
      </c>
      <c r="D41" s="65" t="s">
        <v>0</v>
      </c>
      <c r="E41" s="66" t="s">
        <v>99</v>
      </c>
      <c r="F41" s="66" t="s">
        <v>314</v>
      </c>
      <c r="G41" s="71" t="s">
        <v>282</v>
      </c>
      <c r="H41" s="67" t="s">
        <v>16</v>
      </c>
      <c r="I41" s="67" t="s">
        <v>282</v>
      </c>
      <c r="J41" s="67" t="s">
        <v>282</v>
      </c>
      <c r="K41" s="67" t="s">
        <v>282</v>
      </c>
      <c r="L41" s="67" t="s">
        <v>282</v>
      </c>
      <c r="M41" s="67" t="s">
        <v>282</v>
      </c>
      <c r="N41" s="67" t="s">
        <v>282</v>
      </c>
      <c r="O41" s="68" t="s">
        <v>282</v>
      </c>
      <c r="P41" s="68" t="s">
        <v>282</v>
      </c>
      <c r="Q41" s="68" t="s">
        <v>282</v>
      </c>
      <c r="R41" s="68" t="s">
        <v>282</v>
      </c>
      <c r="S41" s="68" t="s">
        <v>16</v>
      </c>
      <c r="T41" s="68" t="s">
        <v>283</v>
      </c>
      <c r="U41" s="68" t="s">
        <v>283</v>
      </c>
      <c r="V41" s="68" t="s">
        <v>282</v>
      </c>
      <c r="W41" s="69" t="s">
        <v>282</v>
      </c>
      <c r="X41" s="69" t="s">
        <v>282</v>
      </c>
      <c r="Y41" s="70" t="s">
        <v>282</v>
      </c>
    </row>
    <row r="42" spans="1:25">
      <c r="A42" s="64">
        <v>1</v>
      </c>
      <c r="B42" s="65" t="str">
        <f>VLOOKUP(Tabel10[[#This Row],[Code]],Ruimtegroepen[[Code]:[Ruimte omschrijving]],2,FALSE)</f>
        <v>Magazijnen/bergingen</v>
      </c>
      <c r="C42" s="66" t="s">
        <v>312</v>
      </c>
      <c r="D42" s="65" t="s">
        <v>0</v>
      </c>
      <c r="E42" s="66" t="s">
        <v>101</v>
      </c>
      <c r="F42" s="66" t="s">
        <v>315</v>
      </c>
      <c r="G42" s="71" t="s">
        <v>282</v>
      </c>
      <c r="H42" s="67" t="s">
        <v>282</v>
      </c>
      <c r="I42" s="67" t="s">
        <v>282</v>
      </c>
      <c r="J42" s="67" t="s">
        <v>16</v>
      </c>
      <c r="K42" s="67" t="s">
        <v>249</v>
      </c>
      <c r="L42" s="67" t="s">
        <v>282</v>
      </c>
      <c r="M42" s="67" t="s">
        <v>282</v>
      </c>
      <c r="N42" s="67" t="s">
        <v>282</v>
      </c>
      <c r="O42" s="68" t="s">
        <v>282</v>
      </c>
      <c r="P42" s="68" t="s">
        <v>282</v>
      </c>
      <c r="Q42" s="68" t="s">
        <v>282</v>
      </c>
      <c r="R42" s="68" t="s">
        <v>282</v>
      </c>
      <c r="S42" s="68" t="s">
        <v>16</v>
      </c>
      <c r="T42" s="68" t="s">
        <v>283</v>
      </c>
      <c r="U42" s="68" t="s">
        <v>283</v>
      </c>
      <c r="V42" s="68" t="s">
        <v>282</v>
      </c>
      <c r="W42" s="69" t="s">
        <v>282</v>
      </c>
      <c r="X42" s="69" t="s">
        <v>282</v>
      </c>
      <c r="Y42" s="70" t="s">
        <v>282</v>
      </c>
    </row>
    <row r="43" spans="1:25">
      <c r="A43" s="64">
        <v>1</v>
      </c>
      <c r="B43" s="65" t="str">
        <f>VLOOKUP(Tabel10[[#This Row],[Code]],Ruimtegroepen[[Code]:[Ruimte omschrijving]],2,FALSE)</f>
        <v>Magazijnen/bergingen</v>
      </c>
      <c r="C43" s="66" t="s">
        <v>312</v>
      </c>
      <c r="D43" s="65" t="s">
        <v>0</v>
      </c>
      <c r="E43" s="66" t="s">
        <v>102</v>
      </c>
      <c r="F43" s="66" t="s">
        <v>316</v>
      </c>
      <c r="G43" s="71" t="s">
        <v>282</v>
      </c>
      <c r="H43" s="67" t="s">
        <v>282</v>
      </c>
      <c r="I43" s="67" t="s">
        <v>16</v>
      </c>
      <c r="J43" s="67" t="s">
        <v>16</v>
      </c>
      <c r="K43" s="67" t="s">
        <v>249</v>
      </c>
      <c r="L43" s="67" t="s">
        <v>282</v>
      </c>
      <c r="M43" s="67" t="s">
        <v>282</v>
      </c>
      <c r="N43" s="67" t="s">
        <v>282</v>
      </c>
      <c r="O43" s="68" t="s">
        <v>282</v>
      </c>
      <c r="P43" s="68" t="s">
        <v>282</v>
      </c>
      <c r="Q43" s="68" t="s">
        <v>282</v>
      </c>
      <c r="R43" s="68" t="s">
        <v>282</v>
      </c>
      <c r="S43" s="68" t="s">
        <v>16</v>
      </c>
      <c r="T43" s="68" t="s">
        <v>283</v>
      </c>
      <c r="U43" s="68" t="s">
        <v>283</v>
      </c>
      <c r="V43" s="68" t="s">
        <v>282</v>
      </c>
      <c r="W43" s="69" t="s">
        <v>282</v>
      </c>
      <c r="X43" s="69" t="s">
        <v>282</v>
      </c>
      <c r="Y43" s="70" t="s">
        <v>282</v>
      </c>
    </row>
    <row r="44" spans="1:25">
      <c r="A44" s="64">
        <v>1</v>
      </c>
      <c r="B44" s="65" t="str">
        <f>VLOOKUP(Tabel10[[#This Row],[Code]],Ruimtegroepen[[Code]:[Ruimte omschrijving]],2,FALSE)</f>
        <v>Magazijnen/bergingen</v>
      </c>
      <c r="C44" s="66" t="s">
        <v>312</v>
      </c>
      <c r="D44" s="65" t="s">
        <v>0</v>
      </c>
      <c r="E44" s="66" t="s">
        <v>99</v>
      </c>
      <c r="F44" s="66" t="s">
        <v>314</v>
      </c>
      <c r="G44" s="71" t="s">
        <v>282</v>
      </c>
      <c r="H44" s="67" t="s">
        <v>16</v>
      </c>
      <c r="I44" s="67" t="s">
        <v>282</v>
      </c>
      <c r="J44" s="67" t="s">
        <v>282</v>
      </c>
      <c r="K44" s="67" t="s">
        <v>282</v>
      </c>
      <c r="L44" s="67" t="s">
        <v>282</v>
      </c>
      <c r="M44" s="67" t="s">
        <v>282</v>
      </c>
      <c r="N44" s="67" t="s">
        <v>282</v>
      </c>
      <c r="O44" s="68" t="s">
        <v>282</v>
      </c>
      <c r="P44" s="68" t="s">
        <v>282</v>
      </c>
      <c r="Q44" s="68" t="s">
        <v>282</v>
      </c>
      <c r="R44" s="68" t="s">
        <v>282</v>
      </c>
      <c r="S44" s="68" t="s">
        <v>16</v>
      </c>
      <c r="T44" s="68" t="s">
        <v>283</v>
      </c>
      <c r="U44" s="68" t="s">
        <v>283</v>
      </c>
      <c r="V44" s="68" t="s">
        <v>282</v>
      </c>
      <c r="W44" s="69" t="s">
        <v>282</v>
      </c>
      <c r="X44" s="69" t="s">
        <v>282</v>
      </c>
      <c r="Y44" s="70" t="s">
        <v>282</v>
      </c>
    </row>
    <row r="45" spans="1:25">
      <c r="A45" s="64">
        <v>1</v>
      </c>
      <c r="B45" s="65" t="str">
        <f>VLOOKUP(Tabel10[[#This Row],[Code]],Ruimtegroepen[[Code]:[Ruimte omschrijving]],2,FALSE)</f>
        <v>Magazijnen/bergingen</v>
      </c>
      <c r="C45" s="66" t="s">
        <v>312</v>
      </c>
      <c r="D45" s="65" t="s">
        <v>0</v>
      </c>
      <c r="E45" s="66" t="s">
        <v>1309</v>
      </c>
      <c r="F45" s="66" t="s">
        <v>1316</v>
      </c>
      <c r="G45" s="71" t="s">
        <v>282</v>
      </c>
      <c r="H45" s="67" t="s">
        <v>282</v>
      </c>
      <c r="I45" s="67" t="s">
        <v>16</v>
      </c>
      <c r="J45" s="67" t="s">
        <v>16</v>
      </c>
      <c r="K45" s="67" t="s">
        <v>249</v>
      </c>
      <c r="L45" s="67" t="s">
        <v>282</v>
      </c>
      <c r="M45" s="67" t="s">
        <v>282</v>
      </c>
      <c r="N45" s="67" t="s">
        <v>282</v>
      </c>
      <c r="O45" s="68" t="s">
        <v>282</v>
      </c>
      <c r="P45" s="68" t="s">
        <v>282</v>
      </c>
      <c r="Q45" s="68" t="s">
        <v>282</v>
      </c>
      <c r="R45" s="68" t="s">
        <v>282</v>
      </c>
      <c r="S45" s="68" t="s">
        <v>16</v>
      </c>
      <c r="T45" s="68" t="s">
        <v>283</v>
      </c>
      <c r="U45" s="68" t="s">
        <v>283</v>
      </c>
      <c r="V45" s="68" t="s">
        <v>282</v>
      </c>
      <c r="W45" s="69" t="s">
        <v>282</v>
      </c>
      <c r="X45" s="69" t="s">
        <v>282</v>
      </c>
      <c r="Y45" s="70" t="s">
        <v>282</v>
      </c>
    </row>
    <row r="46" spans="1:25">
      <c r="A46" s="64">
        <v>1</v>
      </c>
      <c r="B46" s="65" t="str">
        <f>VLOOKUP(Tabel10[[#This Row],[Code]],Ruimtegroepen[[Code]:[Ruimte omschrijving]],2,FALSE)</f>
        <v>Magazijnen/bergingen</v>
      </c>
      <c r="C46" s="66" t="s">
        <v>317</v>
      </c>
      <c r="D46" s="65" t="s">
        <v>27</v>
      </c>
      <c r="E46" s="66" t="s">
        <v>100</v>
      </c>
      <c r="F46" s="66" t="s">
        <v>318</v>
      </c>
      <c r="G46" s="71" t="s">
        <v>282</v>
      </c>
      <c r="H46" s="67" t="s">
        <v>282</v>
      </c>
      <c r="I46" s="67" t="s">
        <v>15</v>
      </c>
      <c r="J46" s="67" t="s">
        <v>15</v>
      </c>
      <c r="K46" s="67" t="s">
        <v>282</v>
      </c>
      <c r="L46" s="67" t="s">
        <v>282</v>
      </c>
      <c r="M46" s="67" t="s">
        <v>282</v>
      </c>
      <c r="N46" s="67" t="s">
        <v>282</v>
      </c>
      <c r="O46" s="68" t="s">
        <v>282</v>
      </c>
      <c r="P46" s="68" t="s">
        <v>282</v>
      </c>
      <c r="Q46" s="68" t="s">
        <v>282</v>
      </c>
      <c r="R46" s="68" t="s">
        <v>282</v>
      </c>
      <c r="S46" s="68" t="s">
        <v>15</v>
      </c>
      <c r="T46" s="68" t="s">
        <v>282</v>
      </c>
      <c r="U46" s="68" t="s">
        <v>282</v>
      </c>
      <c r="V46" s="68" t="s">
        <v>282</v>
      </c>
      <c r="W46" s="69" t="s">
        <v>282</v>
      </c>
      <c r="X46" s="69" t="s">
        <v>282</v>
      </c>
      <c r="Y46" s="70" t="s">
        <v>282</v>
      </c>
    </row>
    <row r="47" spans="1:25">
      <c r="A47" s="64">
        <v>1</v>
      </c>
      <c r="B47" s="65" t="str">
        <f>VLOOKUP(Tabel10[[#This Row],[Code]],Ruimtegroepen[[Code]:[Ruimte omschrijving]],2,FALSE)</f>
        <v>Magazijnen/bergingen</v>
      </c>
      <c r="C47" s="66" t="s">
        <v>317</v>
      </c>
      <c r="D47" s="65" t="s">
        <v>27</v>
      </c>
      <c r="E47" s="66" t="s">
        <v>99</v>
      </c>
      <c r="F47" s="66" t="s">
        <v>319</v>
      </c>
      <c r="G47" s="71" t="s">
        <v>282</v>
      </c>
      <c r="H47" s="67" t="s">
        <v>15</v>
      </c>
      <c r="I47" s="67" t="s">
        <v>282</v>
      </c>
      <c r="J47" s="67" t="s">
        <v>282</v>
      </c>
      <c r="K47" s="67" t="s">
        <v>282</v>
      </c>
      <c r="L47" s="67" t="s">
        <v>282</v>
      </c>
      <c r="M47" s="67" t="s">
        <v>282</v>
      </c>
      <c r="N47" s="67" t="s">
        <v>282</v>
      </c>
      <c r="O47" s="68" t="s">
        <v>282</v>
      </c>
      <c r="P47" s="68" t="s">
        <v>282</v>
      </c>
      <c r="Q47" s="68" t="s">
        <v>282</v>
      </c>
      <c r="R47" s="68" t="s">
        <v>282</v>
      </c>
      <c r="S47" s="68" t="s">
        <v>15</v>
      </c>
      <c r="T47" s="68" t="s">
        <v>282</v>
      </c>
      <c r="U47" s="68" t="s">
        <v>282</v>
      </c>
      <c r="V47" s="68" t="s">
        <v>282</v>
      </c>
      <c r="W47" s="69" t="s">
        <v>282</v>
      </c>
      <c r="X47" s="69" t="s">
        <v>282</v>
      </c>
      <c r="Y47" s="70" t="s">
        <v>282</v>
      </c>
    </row>
    <row r="48" spans="1:25">
      <c r="A48" s="64">
        <v>1</v>
      </c>
      <c r="B48" s="65" t="str">
        <f>VLOOKUP(Tabel10[[#This Row],[Code]],Ruimtegroepen[[Code]:[Ruimte omschrijving]],2,FALSE)</f>
        <v>Magazijnen/bergingen</v>
      </c>
      <c r="C48" s="66" t="s">
        <v>317</v>
      </c>
      <c r="D48" s="65" t="s">
        <v>27</v>
      </c>
      <c r="E48" s="66" t="s">
        <v>101</v>
      </c>
      <c r="F48" s="66" t="s">
        <v>320</v>
      </c>
      <c r="G48" s="71" t="s">
        <v>282</v>
      </c>
      <c r="H48" s="67" t="s">
        <v>282</v>
      </c>
      <c r="I48" s="67" t="s">
        <v>15</v>
      </c>
      <c r="J48" s="67" t="s">
        <v>282</v>
      </c>
      <c r="K48" s="67" t="s">
        <v>282</v>
      </c>
      <c r="L48" s="67" t="s">
        <v>282</v>
      </c>
      <c r="M48" s="67" t="s">
        <v>282</v>
      </c>
      <c r="N48" s="67" t="s">
        <v>282</v>
      </c>
      <c r="O48" s="68" t="s">
        <v>282</v>
      </c>
      <c r="P48" s="68" t="s">
        <v>282</v>
      </c>
      <c r="Q48" s="68" t="s">
        <v>282</v>
      </c>
      <c r="R48" s="68" t="s">
        <v>282</v>
      </c>
      <c r="S48" s="68" t="s">
        <v>15</v>
      </c>
      <c r="T48" s="68" t="s">
        <v>282</v>
      </c>
      <c r="U48" s="68" t="s">
        <v>282</v>
      </c>
      <c r="V48" s="68" t="s">
        <v>282</v>
      </c>
      <c r="W48" s="69" t="s">
        <v>282</v>
      </c>
      <c r="X48" s="69" t="s">
        <v>282</v>
      </c>
      <c r="Y48" s="70" t="s">
        <v>282</v>
      </c>
    </row>
    <row r="49" spans="1:25">
      <c r="A49" s="64">
        <v>1</v>
      </c>
      <c r="B49" s="65" t="str">
        <f>VLOOKUP(Tabel10[[#This Row],[Code]],Ruimtegroepen[[Code]:[Ruimte omschrijving]],2,FALSE)</f>
        <v>Magazijnen/bergingen</v>
      </c>
      <c r="C49" s="66" t="s">
        <v>317</v>
      </c>
      <c r="D49" s="65" t="s">
        <v>27</v>
      </c>
      <c r="E49" s="66" t="s">
        <v>102</v>
      </c>
      <c r="F49" s="66" t="s">
        <v>321</v>
      </c>
      <c r="G49" s="71" t="s">
        <v>282</v>
      </c>
      <c r="H49" s="67" t="s">
        <v>282</v>
      </c>
      <c r="I49" s="67" t="s">
        <v>15</v>
      </c>
      <c r="J49" s="67" t="s">
        <v>282</v>
      </c>
      <c r="K49" s="67" t="s">
        <v>282</v>
      </c>
      <c r="L49" s="67" t="s">
        <v>282</v>
      </c>
      <c r="M49" s="67" t="s">
        <v>282</v>
      </c>
      <c r="N49" s="67" t="s">
        <v>282</v>
      </c>
      <c r="O49" s="68" t="s">
        <v>282</v>
      </c>
      <c r="P49" s="68" t="s">
        <v>282</v>
      </c>
      <c r="Q49" s="68" t="s">
        <v>282</v>
      </c>
      <c r="R49" s="68" t="s">
        <v>282</v>
      </c>
      <c r="S49" s="68" t="s">
        <v>15</v>
      </c>
      <c r="T49" s="68" t="s">
        <v>282</v>
      </c>
      <c r="U49" s="68" t="s">
        <v>282</v>
      </c>
      <c r="V49" s="68" t="s">
        <v>282</v>
      </c>
      <c r="W49" s="69" t="s">
        <v>282</v>
      </c>
      <c r="X49" s="69" t="s">
        <v>282</v>
      </c>
      <c r="Y49" s="70" t="s">
        <v>282</v>
      </c>
    </row>
    <row r="50" spans="1:25">
      <c r="A50" s="64">
        <v>1</v>
      </c>
      <c r="B50" s="65" t="str">
        <f>VLOOKUP(Tabel10[[#This Row],[Code]],Ruimtegroepen[[Code]:[Ruimte omschrijving]],2,FALSE)</f>
        <v>Magazijnen/bergingen</v>
      </c>
      <c r="C50" s="66" t="s">
        <v>317</v>
      </c>
      <c r="D50" s="65" t="s">
        <v>27</v>
      </c>
      <c r="E50" s="66" t="s">
        <v>99</v>
      </c>
      <c r="F50" s="66" t="s">
        <v>319</v>
      </c>
      <c r="G50" s="71" t="s">
        <v>282</v>
      </c>
      <c r="H50" s="67" t="s">
        <v>15</v>
      </c>
      <c r="I50" s="67" t="s">
        <v>282</v>
      </c>
      <c r="J50" s="67" t="s">
        <v>282</v>
      </c>
      <c r="K50" s="67" t="s">
        <v>282</v>
      </c>
      <c r="L50" s="67" t="s">
        <v>282</v>
      </c>
      <c r="M50" s="67" t="s">
        <v>282</v>
      </c>
      <c r="N50" s="67" t="s">
        <v>282</v>
      </c>
      <c r="O50" s="68" t="s">
        <v>282</v>
      </c>
      <c r="P50" s="68" t="s">
        <v>282</v>
      </c>
      <c r="Q50" s="68" t="s">
        <v>282</v>
      </c>
      <c r="R50" s="68" t="s">
        <v>282</v>
      </c>
      <c r="S50" s="68" t="s">
        <v>15</v>
      </c>
      <c r="T50" s="68" t="s">
        <v>282</v>
      </c>
      <c r="U50" s="68" t="s">
        <v>282</v>
      </c>
      <c r="V50" s="68" t="s">
        <v>282</v>
      </c>
      <c r="W50" s="69" t="s">
        <v>282</v>
      </c>
      <c r="X50" s="69" t="s">
        <v>282</v>
      </c>
      <c r="Y50" s="70" t="s">
        <v>282</v>
      </c>
    </row>
    <row r="51" spans="1:25">
      <c r="A51" s="64">
        <v>1</v>
      </c>
      <c r="B51" s="65" t="str">
        <f>VLOOKUP(Tabel10[[#This Row],[Code]],Ruimtegroepen[[Code]:[Ruimte omschrijving]],2,FALSE)</f>
        <v>Magazijnen/bergingen</v>
      </c>
      <c r="C51" s="66" t="s">
        <v>317</v>
      </c>
      <c r="D51" s="65" t="s">
        <v>27</v>
      </c>
      <c r="E51" s="66" t="s">
        <v>1309</v>
      </c>
      <c r="F51" s="66" t="s">
        <v>1317</v>
      </c>
      <c r="G51" s="71" t="s">
        <v>282</v>
      </c>
      <c r="H51" s="67" t="s">
        <v>282</v>
      </c>
      <c r="I51" s="67" t="s">
        <v>15</v>
      </c>
      <c r="J51" s="67" t="s">
        <v>282</v>
      </c>
      <c r="K51" s="67" t="s">
        <v>282</v>
      </c>
      <c r="L51" s="67" t="s">
        <v>282</v>
      </c>
      <c r="M51" s="67" t="s">
        <v>282</v>
      </c>
      <c r="N51" s="67" t="s">
        <v>282</v>
      </c>
      <c r="O51" s="68" t="s">
        <v>282</v>
      </c>
      <c r="P51" s="68" t="s">
        <v>282</v>
      </c>
      <c r="Q51" s="68" t="s">
        <v>282</v>
      </c>
      <c r="R51" s="68" t="s">
        <v>282</v>
      </c>
      <c r="S51" s="68" t="s">
        <v>15</v>
      </c>
      <c r="T51" s="68" t="s">
        <v>282</v>
      </c>
      <c r="U51" s="68" t="s">
        <v>282</v>
      </c>
      <c r="V51" s="68" t="s">
        <v>282</v>
      </c>
      <c r="W51" s="69" t="s">
        <v>282</v>
      </c>
      <c r="X51" s="69" t="s">
        <v>282</v>
      </c>
      <c r="Y51" s="70" t="s">
        <v>282</v>
      </c>
    </row>
    <row r="52" spans="1:25">
      <c r="A52" s="64">
        <v>1</v>
      </c>
      <c r="B52" s="65" t="str">
        <f>VLOOKUP(Tabel10[[#This Row],[Code]],Ruimtegroepen[[Code]:[Ruimte omschrijving]],2,FALSE)</f>
        <v>Magazijnen/bergingen</v>
      </c>
      <c r="C52" s="66" t="s">
        <v>322</v>
      </c>
      <c r="D52" s="65" t="s">
        <v>28</v>
      </c>
      <c r="E52" s="66" t="s">
        <v>100</v>
      </c>
      <c r="F52" s="66" t="s">
        <v>323</v>
      </c>
      <c r="G52" s="71" t="s">
        <v>282</v>
      </c>
      <c r="H52" s="67" t="s">
        <v>282</v>
      </c>
      <c r="I52" s="67" t="s">
        <v>17</v>
      </c>
      <c r="J52" s="67" t="s">
        <v>282</v>
      </c>
      <c r="K52" s="67" t="s">
        <v>282</v>
      </c>
      <c r="L52" s="67" t="s">
        <v>282</v>
      </c>
      <c r="M52" s="67" t="s">
        <v>282</v>
      </c>
      <c r="N52" s="67" t="s">
        <v>282</v>
      </c>
      <c r="O52" s="68" t="s">
        <v>282</v>
      </c>
      <c r="P52" s="68" t="s">
        <v>282</v>
      </c>
      <c r="Q52" s="68" t="s">
        <v>282</v>
      </c>
      <c r="R52" s="68" t="s">
        <v>282</v>
      </c>
      <c r="S52" s="68" t="s">
        <v>15</v>
      </c>
      <c r="T52" s="68" t="s">
        <v>282</v>
      </c>
      <c r="U52" s="68" t="s">
        <v>282</v>
      </c>
      <c r="V52" s="68" t="s">
        <v>282</v>
      </c>
      <c r="W52" s="69" t="s">
        <v>282</v>
      </c>
      <c r="X52" s="69" t="s">
        <v>282</v>
      </c>
      <c r="Y52" s="70" t="s">
        <v>282</v>
      </c>
    </row>
    <row r="53" spans="1:25">
      <c r="A53" s="64">
        <v>1</v>
      </c>
      <c r="B53" s="65" t="str">
        <f>VLOOKUP(Tabel10[[#This Row],[Code]],Ruimtegroepen[[Code]:[Ruimte omschrijving]],2,FALSE)</f>
        <v>Magazijnen/bergingen</v>
      </c>
      <c r="C53" s="66" t="s">
        <v>322</v>
      </c>
      <c r="D53" s="65" t="s">
        <v>28</v>
      </c>
      <c r="E53" s="66" t="s">
        <v>99</v>
      </c>
      <c r="F53" s="66" t="s">
        <v>324</v>
      </c>
      <c r="G53" s="71" t="s">
        <v>282</v>
      </c>
      <c r="H53" s="67" t="s">
        <v>17</v>
      </c>
      <c r="I53" s="67" t="s">
        <v>282</v>
      </c>
      <c r="J53" s="67" t="s">
        <v>282</v>
      </c>
      <c r="K53" s="67" t="s">
        <v>282</v>
      </c>
      <c r="L53" s="67" t="s">
        <v>282</v>
      </c>
      <c r="M53" s="67" t="s">
        <v>282</v>
      </c>
      <c r="N53" s="67" t="s">
        <v>282</v>
      </c>
      <c r="O53" s="68" t="s">
        <v>282</v>
      </c>
      <c r="P53" s="68" t="s">
        <v>282</v>
      </c>
      <c r="Q53" s="68" t="s">
        <v>282</v>
      </c>
      <c r="R53" s="68" t="s">
        <v>282</v>
      </c>
      <c r="S53" s="68" t="s">
        <v>15</v>
      </c>
      <c r="T53" s="68" t="s">
        <v>282</v>
      </c>
      <c r="U53" s="68" t="s">
        <v>282</v>
      </c>
      <c r="V53" s="68" t="s">
        <v>282</v>
      </c>
      <c r="W53" s="69" t="s">
        <v>282</v>
      </c>
      <c r="X53" s="69" t="s">
        <v>282</v>
      </c>
      <c r="Y53" s="70" t="s">
        <v>282</v>
      </c>
    </row>
    <row r="54" spans="1:25">
      <c r="A54" s="64">
        <v>1</v>
      </c>
      <c r="B54" s="65" t="str">
        <f>VLOOKUP(Tabel10[[#This Row],[Code]],Ruimtegroepen[[Code]:[Ruimte omschrijving]],2,FALSE)</f>
        <v>Magazijnen/bergingen</v>
      </c>
      <c r="C54" s="66" t="s">
        <v>322</v>
      </c>
      <c r="D54" s="65" t="s">
        <v>28</v>
      </c>
      <c r="E54" s="66" t="s">
        <v>101</v>
      </c>
      <c r="F54" s="66" t="s">
        <v>325</v>
      </c>
      <c r="G54" s="71" t="s">
        <v>282</v>
      </c>
      <c r="H54" s="67" t="s">
        <v>282</v>
      </c>
      <c r="I54" s="67" t="s">
        <v>17</v>
      </c>
      <c r="J54" s="67" t="s">
        <v>282</v>
      </c>
      <c r="K54" s="67" t="s">
        <v>282</v>
      </c>
      <c r="L54" s="67" t="s">
        <v>282</v>
      </c>
      <c r="M54" s="67" t="s">
        <v>282</v>
      </c>
      <c r="N54" s="67" t="s">
        <v>282</v>
      </c>
      <c r="O54" s="68" t="s">
        <v>282</v>
      </c>
      <c r="P54" s="68" t="s">
        <v>282</v>
      </c>
      <c r="Q54" s="68" t="s">
        <v>282</v>
      </c>
      <c r="R54" s="68" t="s">
        <v>282</v>
      </c>
      <c r="S54" s="68" t="s">
        <v>15</v>
      </c>
      <c r="T54" s="68" t="s">
        <v>282</v>
      </c>
      <c r="U54" s="68" t="s">
        <v>282</v>
      </c>
      <c r="V54" s="68" t="s">
        <v>282</v>
      </c>
      <c r="W54" s="69" t="s">
        <v>282</v>
      </c>
      <c r="X54" s="69" t="s">
        <v>282</v>
      </c>
      <c r="Y54" s="70" t="s">
        <v>282</v>
      </c>
    </row>
    <row r="55" spans="1:25">
      <c r="A55" s="64">
        <v>1</v>
      </c>
      <c r="B55" s="65" t="str">
        <f>VLOOKUP(Tabel10[[#This Row],[Code]],Ruimtegroepen[[Code]:[Ruimte omschrijving]],2,FALSE)</f>
        <v>Magazijnen/bergingen</v>
      </c>
      <c r="C55" s="66" t="s">
        <v>322</v>
      </c>
      <c r="D55" s="65" t="s">
        <v>28</v>
      </c>
      <c r="E55" s="66" t="s">
        <v>102</v>
      </c>
      <c r="F55" s="66" t="s">
        <v>326</v>
      </c>
      <c r="G55" s="71" t="s">
        <v>282</v>
      </c>
      <c r="H55" s="67" t="s">
        <v>282</v>
      </c>
      <c r="I55" s="67" t="s">
        <v>17</v>
      </c>
      <c r="J55" s="67" t="s">
        <v>282</v>
      </c>
      <c r="K55" s="67" t="s">
        <v>282</v>
      </c>
      <c r="L55" s="67" t="s">
        <v>282</v>
      </c>
      <c r="M55" s="67" t="s">
        <v>282</v>
      </c>
      <c r="N55" s="67" t="s">
        <v>282</v>
      </c>
      <c r="O55" s="68" t="s">
        <v>282</v>
      </c>
      <c r="P55" s="68" t="s">
        <v>282</v>
      </c>
      <c r="Q55" s="68" t="s">
        <v>282</v>
      </c>
      <c r="R55" s="68" t="s">
        <v>282</v>
      </c>
      <c r="S55" s="68" t="s">
        <v>15</v>
      </c>
      <c r="T55" s="68" t="s">
        <v>282</v>
      </c>
      <c r="U55" s="68" t="s">
        <v>282</v>
      </c>
      <c r="V55" s="68" t="s">
        <v>282</v>
      </c>
      <c r="W55" s="69" t="s">
        <v>282</v>
      </c>
      <c r="X55" s="69" t="s">
        <v>282</v>
      </c>
      <c r="Y55" s="70" t="s">
        <v>282</v>
      </c>
    </row>
    <row r="56" spans="1:25">
      <c r="A56" s="64">
        <v>1</v>
      </c>
      <c r="B56" s="65" t="str">
        <f>VLOOKUP(Tabel10[[#This Row],[Code]],Ruimtegroepen[[Code]:[Ruimte omschrijving]],2,FALSE)</f>
        <v>Magazijnen/bergingen</v>
      </c>
      <c r="C56" s="66" t="s">
        <v>322</v>
      </c>
      <c r="D56" s="65" t="s">
        <v>28</v>
      </c>
      <c r="E56" s="66" t="s">
        <v>99</v>
      </c>
      <c r="F56" s="66" t="s">
        <v>324</v>
      </c>
      <c r="G56" s="71" t="s">
        <v>282</v>
      </c>
      <c r="H56" s="67" t="s">
        <v>17</v>
      </c>
      <c r="I56" s="67" t="s">
        <v>282</v>
      </c>
      <c r="J56" s="67" t="s">
        <v>282</v>
      </c>
      <c r="K56" s="67" t="s">
        <v>282</v>
      </c>
      <c r="L56" s="67" t="s">
        <v>282</v>
      </c>
      <c r="M56" s="67" t="s">
        <v>282</v>
      </c>
      <c r="N56" s="67" t="s">
        <v>282</v>
      </c>
      <c r="O56" s="68" t="s">
        <v>282</v>
      </c>
      <c r="P56" s="68" t="s">
        <v>282</v>
      </c>
      <c r="Q56" s="68" t="s">
        <v>282</v>
      </c>
      <c r="R56" s="68" t="s">
        <v>282</v>
      </c>
      <c r="S56" s="68" t="s">
        <v>15</v>
      </c>
      <c r="T56" s="68" t="s">
        <v>282</v>
      </c>
      <c r="U56" s="68" t="s">
        <v>282</v>
      </c>
      <c r="V56" s="68" t="s">
        <v>282</v>
      </c>
      <c r="W56" s="69" t="s">
        <v>282</v>
      </c>
      <c r="X56" s="69" t="s">
        <v>282</v>
      </c>
      <c r="Y56" s="70" t="s">
        <v>282</v>
      </c>
    </row>
    <row r="57" spans="1:25">
      <c r="A57" s="64">
        <v>1</v>
      </c>
      <c r="B57" s="65" t="str">
        <f>VLOOKUP(Tabel10[[#This Row],[Code]],Ruimtegroepen[[Code]:[Ruimte omschrijving]],2,FALSE)</f>
        <v>Magazijnen/bergingen</v>
      </c>
      <c r="C57" s="66" t="s">
        <v>322</v>
      </c>
      <c r="D57" s="65" t="s">
        <v>28</v>
      </c>
      <c r="E57" s="66" t="s">
        <v>1309</v>
      </c>
      <c r="F57" s="66" t="s">
        <v>1318</v>
      </c>
      <c r="G57" s="71" t="s">
        <v>282</v>
      </c>
      <c r="H57" s="67" t="s">
        <v>282</v>
      </c>
      <c r="I57" s="67" t="s">
        <v>17</v>
      </c>
      <c r="J57" s="67" t="s">
        <v>282</v>
      </c>
      <c r="K57" s="67" t="s">
        <v>282</v>
      </c>
      <c r="L57" s="67" t="s">
        <v>282</v>
      </c>
      <c r="M57" s="67" t="s">
        <v>282</v>
      </c>
      <c r="N57" s="67" t="s">
        <v>282</v>
      </c>
      <c r="O57" s="68" t="s">
        <v>282</v>
      </c>
      <c r="P57" s="68" t="s">
        <v>282</v>
      </c>
      <c r="Q57" s="68" t="s">
        <v>282</v>
      </c>
      <c r="R57" s="68" t="s">
        <v>282</v>
      </c>
      <c r="S57" s="68" t="s">
        <v>15</v>
      </c>
      <c r="T57" s="68" t="s">
        <v>282</v>
      </c>
      <c r="U57" s="68" t="s">
        <v>282</v>
      </c>
      <c r="V57" s="68" t="s">
        <v>282</v>
      </c>
      <c r="W57" s="69" t="s">
        <v>282</v>
      </c>
      <c r="X57" s="69" t="s">
        <v>282</v>
      </c>
      <c r="Y57" s="70" t="s">
        <v>282</v>
      </c>
    </row>
    <row r="58" spans="1:25">
      <c r="A58" s="64">
        <v>2</v>
      </c>
      <c r="B58" s="65" t="str">
        <f>VLOOKUP(Tabel10[[#This Row],[Code]],Ruimtegroepen[[Code]:[Ruimte omschrijving]],2,FALSE)</f>
        <v>Kantoren</v>
      </c>
      <c r="C58" s="66" t="s">
        <v>327</v>
      </c>
      <c r="D58" s="65" t="s">
        <v>29</v>
      </c>
      <c r="E58" s="66" t="s">
        <v>100</v>
      </c>
      <c r="F58" s="66" t="s">
        <v>328</v>
      </c>
      <c r="G58" s="71" t="s">
        <v>282</v>
      </c>
      <c r="H58" s="67" t="s">
        <v>282</v>
      </c>
      <c r="I58" s="67" t="s">
        <v>20</v>
      </c>
      <c r="J58" s="67" t="s">
        <v>15</v>
      </c>
      <c r="K58" s="67" t="s">
        <v>282</v>
      </c>
      <c r="L58" s="67" t="s">
        <v>282</v>
      </c>
      <c r="M58" s="67" t="s">
        <v>282</v>
      </c>
      <c r="N58" s="67" t="s">
        <v>2</v>
      </c>
      <c r="O58" s="68" t="s">
        <v>2</v>
      </c>
      <c r="P58" s="68" t="s">
        <v>2</v>
      </c>
      <c r="Q58" s="68" t="s">
        <v>15</v>
      </c>
      <c r="R58" s="68" t="s">
        <v>15</v>
      </c>
      <c r="S58" s="68" t="s">
        <v>16</v>
      </c>
      <c r="T58" s="68" t="s">
        <v>329</v>
      </c>
      <c r="U58" s="68" t="s">
        <v>249</v>
      </c>
      <c r="V58" s="68" t="s">
        <v>2</v>
      </c>
      <c r="W58" s="69" t="s">
        <v>282</v>
      </c>
      <c r="X58" s="69" t="s">
        <v>282</v>
      </c>
      <c r="Y58" s="70" t="s">
        <v>282</v>
      </c>
    </row>
    <row r="59" spans="1:25">
      <c r="A59" s="64">
        <v>2</v>
      </c>
      <c r="B59" s="65" t="str">
        <f>VLOOKUP(Tabel10[[#This Row],[Code]],Ruimtegroepen[[Code]:[Ruimte omschrijving]],2,FALSE)</f>
        <v>Kantoren</v>
      </c>
      <c r="C59" s="66" t="s">
        <v>327</v>
      </c>
      <c r="D59" s="65" t="s">
        <v>29</v>
      </c>
      <c r="E59" s="66" t="s">
        <v>99</v>
      </c>
      <c r="F59" s="66" t="s">
        <v>330</v>
      </c>
      <c r="G59" s="67" t="s">
        <v>20</v>
      </c>
      <c r="H59" s="67" t="s">
        <v>15</v>
      </c>
      <c r="I59" s="67" t="s">
        <v>282</v>
      </c>
      <c r="J59" s="67" t="s">
        <v>282</v>
      </c>
      <c r="K59" s="67" t="s">
        <v>282</v>
      </c>
      <c r="L59" s="67" t="s">
        <v>282</v>
      </c>
      <c r="M59" s="67" t="s">
        <v>282</v>
      </c>
      <c r="N59" s="67" t="s">
        <v>2</v>
      </c>
      <c r="O59" s="68" t="s">
        <v>2</v>
      </c>
      <c r="P59" s="68" t="s">
        <v>2</v>
      </c>
      <c r="Q59" s="68" t="s">
        <v>15</v>
      </c>
      <c r="R59" s="68" t="s">
        <v>15</v>
      </c>
      <c r="S59" s="68" t="s">
        <v>16</v>
      </c>
      <c r="T59" s="68" t="s">
        <v>329</v>
      </c>
      <c r="U59" s="68" t="s">
        <v>249</v>
      </c>
      <c r="V59" s="68" t="s">
        <v>2</v>
      </c>
      <c r="W59" s="69" t="s">
        <v>282</v>
      </c>
      <c r="X59" s="69" t="s">
        <v>282</v>
      </c>
      <c r="Y59" s="70" t="s">
        <v>282</v>
      </c>
    </row>
    <row r="60" spans="1:25">
      <c r="A60" s="64">
        <v>2</v>
      </c>
      <c r="B60" s="65" t="str">
        <f>VLOOKUP(Tabel10[[#This Row],[Code]],Ruimtegroepen[[Code]:[Ruimte omschrijving]],2,FALSE)</f>
        <v>Kantoren</v>
      </c>
      <c r="C60" s="66" t="s">
        <v>327</v>
      </c>
      <c r="D60" s="65" t="s">
        <v>29</v>
      </c>
      <c r="E60" s="66" t="s">
        <v>101</v>
      </c>
      <c r="F60" s="66" t="s">
        <v>331</v>
      </c>
      <c r="G60" s="71" t="s">
        <v>282</v>
      </c>
      <c r="H60" s="67" t="s">
        <v>282</v>
      </c>
      <c r="I60" s="67" t="s">
        <v>20</v>
      </c>
      <c r="J60" s="67" t="s">
        <v>15</v>
      </c>
      <c r="K60" s="67" t="s">
        <v>249</v>
      </c>
      <c r="L60" s="67" t="s">
        <v>282</v>
      </c>
      <c r="M60" s="67" t="s">
        <v>282</v>
      </c>
      <c r="N60" s="67" t="s">
        <v>2</v>
      </c>
      <c r="O60" s="68" t="s">
        <v>2</v>
      </c>
      <c r="P60" s="68" t="s">
        <v>2</v>
      </c>
      <c r="Q60" s="68" t="s">
        <v>15</v>
      </c>
      <c r="R60" s="68" t="s">
        <v>15</v>
      </c>
      <c r="S60" s="68" t="s">
        <v>16</v>
      </c>
      <c r="T60" s="68" t="s">
        <v>329</v>
      </c>
      <c r="U60" s="68" t="s">
        <v>249</v>
      </c>
      <c r="V60" s="68" t="s">
        <v>2</v>
      </c>
      <c r="W60" s="69" t="s">
        <v>282</v>
      </c>
      <c r="X60" s="69" t="s">
        <v>282</v>
      </c>
      <c r="Y60" s="70" t="s">
        <v>282</v>
      </c>
    </row>
    <row r="61" spans="1:25">
      <c r="A61" s="64">
        <v>2</v>
      </c>
      <c r="B61" s="65" t="str">
        <f>VLOOKUP(Tabel10[[#This Row],[Code]],Ruimtegroepen[[Code]:[Ruimte omschrijving]],2,FALSE)</f>
        <v>Kantoren</v>
      </c>
      <c r="C61" s="66" t="s">
        <v>327</v>
      </c>
      <c r="D61" s="65" t="s">
        <v>29</v>
      </c>
      <c r="E61" s="66" t="s">
        <v>102</v>
      </c>
      <c r="F61" s="66" t="s">
        <v>332</v>
      </c>
      <c r="G61" s="71" t="s">
        <v>282</v>
      </c>
      <c r="H61" s="67" t="s">
        <v>282</v>
      </c>
      <c r="I61" s="67" t="s">
        <v>20</v>
      </c>
      <c r="J61" s="67" t="s">
        <v>15</v>
      </c>
      <c r="K61" s="67" t="s">
        <v>249</v>
      </c>
      <c r="L61" s="67" t="s">
        <v>282</v>
      </c>
      <c r="M61" s="67" t="s">
        <v>282</v>
      </c>
      <c r="N61" s="67" t="s">
        <v>2</v>
      </c>
      <c r="O61" s="68" t="s">
        <v>2</v>
      </c>
      <c r="P61" s="68" t="s">
        <v>2</v>
      </c>
      <c r="Q61" s="68" t="s">
        <v>15</v>
      </c>
      <c r="R61" s="68" t="s">
        <v>15</v>
      </c>
      <c r="S61" s="68" t="s">
        <v>16</v>
      </c>
      <c r="T61" s="68" t="s">
        <v>329</v>
      </c>
      <c r="U61" s="68" t="s">
        <v>249</v>
      </c>
      <c r="V61" s="68" t="s">
        <v>2</v>
      </c>
      <c r="W61" s="69" t="s">
        <v>282</v>
      </c>
      <c r="X61" s="69" t="s">
        <v>282</v>
      </c>
      <c r="Y61" s="70" t="s">
        <v>282</v>
      </c>
    </row>
    <row r="62" spans="1:25">
      <c r="A62" s="64">
        <v>2</v>
      </c>
      <c r="B62" s="65" t="str">
        <f>VLOOKUP(Tabel10[[#This Row],[Code]],Ruimtegroepen[[Code]:[Ruimte omschrijving]],2,FALSE)</f>
        <v>Kantoren</v>
      </c>
      <c r="C62" s="66" t="s">
        <v>327</v>
      </c>
      <c r="D62" s="65" t="s">
        <v>29</v>
      </c>
      <c r="E62" s="66" t="s">
        <v>99</v>
      </c>
      <c r="F62" s="66" t="s">
        <v>330</v>
      </c>
      <c r="G62" s="67" t="s">
        <v>20</v>
      </c>
      <c r="H62" s="67" t="s">
        <v>15</v>
      </c>
      <c r="I62" s="67" t="s">
        <v>282</v>
      </c>
      <c r="J62" s="67" t="s">
        <v>282</v>
      </c>
      <c r="K62" s="67" t="s">
        <v>282</v>
      </c>
      <c r="L62" s="67" t="s">
        <v>282</v>
      </c>
      <c r="M62" s="67" t="s">
        <v>282</v>
      </c>
      <c r="N62" s="67" t="s">
        <v>2</v>
      </c>
      <c r="O62" s="68" t="s">
        <v>2</v>
      </c>
      <c r="P62" s="68" t="s">
        <v>2</v>
      </c>
      <c r="Q62" s="68" t="s">
        <v>15</v>
      </c>
      <c r="R62" s="68" t="s">
        <v>15</v>
      </c>
      <c r="S62" s="68" t="s">
        <v>16</v>
      </c>
      <c r="T62" s="68" t="s">
        <v>329</v>
      </c>
      <c r="U62" s="68" t="s">
        <v>249</v>
      </c>
      <c r="V62" s="68" t="s">
        <v>2</v>
      </c>
      <c r="W62" s="69" t="s">
        <v>282</v>
      </c>
      <c r="X62" s="69" t="s">
        <v>282</v>
      </c>
      <c r="Y62" s="70" t="s">
        <v>282</v>
      </c>
    </row>
    <row r="63" spans="1:25">
      <c r="A63" s="64">
        <v>2</v>
      </c>
      <c r="B63" s="65" t="str">
        <f>VLOOKUP(Tabel10[[#This Row],[Code]],Ruimtegroepen[[Code]:[Ruimte omschrijving]],2,FALSE)</f>
        <v>Kantoren</v>
      </c>
      <c r="C63" s="66" t="s">
        <v>327</v>
      </c>
      <c r="D63" s="65" t="s">
        <v>29</v>
      </c>
      <c r="E63" s="66" t="s">
        <v>1309</v>
      </c>
      <c r="F63" s="66" t="s">
        <v>1328</v>
      </c>
      <c r="G63" s="71" t="s">
        <v>282</v>
      </c>
      <c r="H63" s="67" t="s">
        <v>282</v>
      </c>
      <c r="I63" s="67" t="s">
        <v>20</v>
      </c>
      <c r="J63" s="67" t="s">
        <v>15</v>
      </c>
      <c r="K63" s="67" t="s">
        <v>249</v>
      </c>
      <c r="L63" s="67" t="s">
        <v>282</v>
      </c>
      <c r="M63" s="67" t="s">
        <v>282</v>
      </c>
      <c r="N63" s="67" t="s">
        <v>2</v>
      </c>
      <c r="O63" s="68" t="s">
        <v>2</v>
      </c>
      <c r="P63" s="68" t="s">
        <v>2</v>
      </c>
      <c r="Q63" s="68" t="s">
        <v>15</v>
      </c>
      <c r="R63" s="68" t="s">
        <v>15</v>
      </c>
      <c r="S63" s="68" t="s">
        <v>16</v>
      </c>
      <c r="T63" s="68" t="s">
        <v>329</v>
      </c>
      <c r="U63" s="68" t="s">
        <v>249</v>
      </c>
      <c r="V63" s="68" t="s">
        <v>2</v>
      </c>
      <c r="W63" s="69" t="s">
        <v>282</v>
      </c>
      <c r="X63" s="69" t="s">
        <v>282</v>
      </c>
      <c r="Y63" s="70" t="s">
        <v>282</v>
      </c>
    </row>
    <row r="64" spans="1:25">
      <c r="A64" s="64">
        <v>2</v>
      </c>
      <c r="B64" s="65" t="str">
        <f>VLOOKUP(Tabel10[[#This Row],[Code]],Ruimtegroepen[[Code]:[Ruimte omschrijving]],2,FALSE)</f>
        <v>Kantoren</v>
      </c>
      <c r="C64" s="66" t="s">
        <v>333</v>
      </c>
      <c r="D64" s="65" t="s">
        <v>1</v>
      </c>
      <c r="E64" s="66" t="s">
        <v>100</v>
      </c>
      <c r="F64" s="66" t="s">
        <v>334</v>
      </c>
      <c r="G64" s="71" t="s">
        <v>282</v>
      </c>
      <c r="H64" s="67" t="s">
        <v>282</v>
      </c>
      <c r="I64" s="67" t="s">
        <v>20</v>
      </c>
      <c r="J64" s="67" t="s">
        <v>15</v>
      </c>
      <c r="K64" s="67" t="s">
        <v>282</v>
      </c>
      <c r="L64" s="67" t="s">
        <v>282</v>
      </c>
      <c r="M64" s="67" t="s">
        <v>282</v>
      </c>
      <c r="N64" s="67" t="s">
        <v>282</v>
      </c>
      <c r="O64" s="68" t="s">
        <v>2</v>
      </c>
      <c r="P64" s="68" t="s">
        <v>2</v>
      </c>
      <c r="Q64" s="68" t="s">
        <v>15</v>
      </c>
      <c r="R64" s="68" t="s">
        <v>15</v>
      </c>
      <c r="S64" s="68" t="s">
        <v>16</v>
      </c>
      <c r="T64" s="68" t="s">
        <v>329</v>
      </c>
      <c r="U64" s="68" t="s">
        <v>249</v>
      </c>
      <c r="V64" s="68" t="s">
        <v>282</v>
      </c>
      <c r="W64" s="69" t="s">
        <v>282</v>
      </c>
      <c r="X64" s="69" t="s">
        <v>282</v>
      </c>
      <c r="Y64" s="70" t="s">
        <v>282</v>
      </c>
    </row>
    <row r="65" spans="1:25">
      <c r="A65" s="64">
        <v>2</v>
      </c>
      <c r="B65" s="65" t="str">
        <f>VLOOKUP(Tabel10[[#This Row],[Code]],Ruimtegroepen[[Code]:[Ruimte omschrijving]],2,FALSE)</f>
        <v>Kantoren</v>
      </c>
      <c r="C65" s="66" t="s">
        <v>333</v>
      </c>
      <c r="D65" s="65" t="s">
        <v>1</v>
      </c>
      <c r="E65" s="66" t="s">
        <v>99</v>
      </c>
      <c r="F65" s="66" t="s">
        <v>335</v>
      </c>
      <c r="G65" s="67" t="s">
        <v>20</v>
      </c>
      <c r="H65" s="67" t="s">
        <v>15</v>
      </c>
      <c r="I65" s="67" t="s">
        <v>282</v>
      </c>
      <c r="J65" s="67" t="s">
        <v>282</v>
      </c>
      <c r="K65" s="67" t="s">
        <v>282</v>
      </c>
      <c r="L65" s="67" t="s">
        <v>282</v>
      </c>
      <c r="M65" s="67" t="s">
        <v>282</v>
      </c>
      <c r="N65" s="67" t="s">
        <v>282</v>
      </c>
      <c r="O65" s="68" t="s">
        <v>2</v>
      </c>
      <c r="P65" s="68" t="s">
        <v>2</v>
      </c>
      <c r="Q65" s="68" t="s">
        <v>15</v>
      </c>
      <c r="R65" s="68" t="s">
        <v>15</v>
      </c>
      <c r="S65" s="68" t="s">
        <v>16</v>
      </c>
      <c r="T65" s="68" t="s">
        <v>329</v>
      </c>
      <c r="U65" s="68" t="s">
        <v>249</v>
      </c>
      <c r="V65" s="68" t="s">
        <v>282</v>
      </c>
      <c r="W65" s="69" t="s">
        <v>282</v>
      </c>
      <c r="X65" s="69" t="s">
        <v>282</v>
      </c>
      <c r="Y65" s="70" t="s">
        <v>282</v>
      </c>
    </row>
    <row r="66" spans="1:25">
      <c r="A66" s="64">
        <v>2</v>
      </c>
      <c r="B66" s="65" t="str">
        <f>VLOOKUP(Tabel10[[#This Row],[Code]],Ruimtegroepen[[Code]:[Ruimte omschrijving]],2,FALSE)</f>
        <v>Kantoren</v>
      </c>
      <c r="C66" s="66" t="s">
        <v>333</v>
      </c>
      <c r="D66" s="65" t="s">
        <v>1</v>
      </c>
      <c r="E66" s="66" t="s">
        <v>101</v>
      </c>
      <c r="F66" s="66" t="s">
        <v>336</v>
      </c>
      <c r="G66" s="71" t="s">
        <v>282</v>
      </c>
      <c r="H66" s="67" t="s">
        <v>282</v>
      </c>
      <c r="I66" s="67" t="s">
        <v>20</v>
      </c>
      <c r="J66" s="67" t="s">
        <v>15</v>
      </c>
      <c r="K66" s="67" t="s">
        <v>249</v>
      </c>
      <c r="L66" s="67" t="s">
        <v>282</v>
      </c>
      <c r="M66" s="67" t="s">
        <v>282</v>
      </c>
      <c r="N66" s="67" t="s">
        <v>282</v>
      </c>
      <c r="O66" s="68" t="s">
        <v>2</v>
      </c>
      <c r="P66" s="68" t="s">
        <v>2</v>
      </c>
      <c r="Q66" s="68" t="s">
        <v>15</v>
      </c>
      <c r="R66" s="68" t="s">
        <v>15</v>
      </c>
      <c r="S66" s="68" t="s">
        <v>16</v>
      </c>
      <c r="T66" s="68" t="s">
        <v>329</v>
      </c>
      <c r="U66" s="68" t="s">
        <v>249</v>
      </c>
      <c r="V66" s="68" t="s">
        <v>282</v>
      </c>
      <c r="W66" s="69" t="s">
        <v>282</v>
      </c>
      <c r="X66" s="69" t="s">
        <v>282</v>
      </c>
      <c r="Y66" s="70" t="s">
        <v>282</v>
      </c>
    </row>
    <row r="67" spans="1:25">
      <c r="A67" s="64">
        <v>2</v>
      </c>
      <c r="B67" s="65" t="str">
        <f>VLOOKUP(Tabel10[[#This Row],[Code]],Ruimtegroepen[[Code]:[Ruimte omschrijving]],2,FALSE)</f>
        <v>Kantoren</v>
      </c>
      <c r="C67" s="66" t="s">
        <v>333</v>
      </c>
      <c r="D67" s="65" t="s">
        <v>1</v>
      </c>
      <c r="E67" s="66" t="s">
        <v>102</v>
      </c>
      <c r="F67" s="66" t="s">
        <v>337</v>
      </c>
      <c r="G67" s="71" t="s">
        <v>282</v>
      </c>
      <c r="H67" s="67" t="s">
        <v>282</v>
      </c>
      <c r="I67" s="67" t="s">
        <v>20</v>
      </c>
      <c r="J67" s="67" t="s">
        <v>15</v>
      </c>
      <c r="K67" s="67" t="s">
        <v>249</v>
      </c>
      <c r="L67" s="67" t="s">
        <v>282</v>
      </c>
      <c r="M67" s="67" t="s">
        <v>282</v>
      </c>
      <c r="N67" s="67" t="s">
        <v>282</v>
      </c>
      <c r="O67" s="68" t="s">
        <v>2</v>
      </c>
      <c r="P67" s="68" t="s">
        <v>2</v>
      </c>
      <c r="Q67" s="68" t="s">
        <v>15</v>
      </c>
      <c r="R67" s="68" t="s">
        <v>15</v>
      </c>
      <c r="S67" s="68" t="s">
        <v>16</v>
      </c>
      <c r="T67" s="68" t="s">
        <v>329</v>
      </c>
      <c r="U67" s="68" t="s">
        <v>249</v>
      </c>
      <c r="V67" s="68" t="s">
        <v>282</v>
      </c>
      <c r="W67" s="69" t="s">
        <v>282</v>
      </c>
      <c r="X67" s="69" t="s">
        <v>282</v>
      </c>
      <c r="Y67" s="70" t="s">
        <v>282</v>
      </c>
    </row>
    <row r="68" spans="1:25">
      <c r="A68" s="64">
        <v>2</v>
      </c>
      <c r="B68" s="65" t="str">
        <f>VLOOKUP(Tabel10[[#This Row],[Code]],Ruimtegroepen[[Code]:[Ruimte omschrijving]],2,FALSE)</f>
        <v>Kantoren</v>
      </c>
      <c r="C68" s="66" t="s">
        <v>333</v>
      </c>
      <c r="D68" s="65" t="s">
        <v>1</v>
      </c>
      <c r="E68" s="66" t="s">
        <v>99</v>
      </c>
      <c r="F68" s="66" t="s">
        <v>335</v>
      </c>
      <c r="G68" s="67" t="s">
        <v>20</v>
      </c>
      <c r="H68" s="67" t="s">
        <v>15</v>
      </c>
      <c r="I68" s="67" t="s">
        <v>282</v>
      </c>
      <c r="J68" s="67" t="s">
        <v>282</v>
      </c>
      <c r="K68" s="67" t="s">
        <v>282</v>
      </c>
      <c r="L68" s="67" t="s">
        <v>282</v>
      </c>
      <c r="M68" s="67" t="s">
        <v>282</v>
      </c>
      <c r="N68" s="67" t="s">
        <v>282</v>
      </c>
      <c r="O68" s="68" t="s">
        <v>2</v>
      </c>
      <c r="P68" s="68" t="s">
        <v>2</v>
      </c>
      <c r="Q68" s="68" t="s">
        <v>15</v>
      </c>
      <c r="R68" s="68" t="s">
        <v>15</v>
      </c>
      <c r="S68" s="68" t="s">
        <v>16</v>
      </c>
      <c r="T68" s="68" t="s">
        <v>329</v>
      </c>
      <c r="U68" s="68" t="s">
        <v>249</v>
      </c>
      <c r="V68" s="68" t="s">
        <v>282</v>
      </c>
      <c r="W68" s="69" t="s">
        <v>282</v>
      </c>
      <c r="X68" s="69" t="s">
        <v>282</v>
      </c>
      <c r="Y68" s="70" t="s">
        <v>282</v>
      </c>
    </row>
    <row r="69" spans="1:25">
      <c r="A69" s="64">
        <v>2</v>
      </c>
      <c r="B69" s="65" t="str">
        <f>VLOOKUP(Tabel10[[#This Row],[Code]],Ruimtegroepen[[Code]:[Ruimte omschrijving]],2,FALSE)</f>
        <v>Kantoren</v>
      </c>
      <c r="C69" s="66" t="s">
        <v>333</v>
      </c>
      <c r="D69" s="65" t="s">
        <v>1</v>
      </c>
      <c r="E69" s="66" t="s">
        <v>1309</v>
      </c>
      <c r="F69" s="66" t="s">
        <v>1329</v>
      </c>
      <c r="G69" s="71" t="s">
        <v>282</v>
      </c>
      <c r="H69" s="67" t="s">
        <v>282</v>
      </c>
      <c r="I69" s="67" t="s">
        <v>20</v>
      </c>
      <c r="J69" s="67" t="s">
        <v>15</v>
      </c>
      <c r="K69" s="67" t="s">
        <v>249</v>
      </c>
      <c r="L69" s="67" t="s">
        <v>282</v>
      </c>
      <c r="M69" s="67" t="s">
        <v>282</v>
      </c>
      <c r="N69" s="67" t="s">
        <v>282</v>
      </c>
      <c r="O69" s="68" t="s">
        <v>2</v>
      </c>
      <c r="P69" s="68" t="s">
        <v>2</v>
      </c>
      <c r="Q69" s="68" t="s">
        <v>15</v>
      </c>
      <c r="R69" s="68" t="s">
        <v>15</v>
      </c>
      <c r="S69" s="68" t="s">
        <v>16</v>
      </c>
      <c r="T69" s="68" t="s">
        <v>329</v>
      </c>
      <c r="U69" s="68" t="s">
        <v>249</v>
      </c>
      <c r="V69" s="68" t="s">
        <v>282</v>
      </c>
      <c r="W69" s="69" t="s">
        <v>282</v>
      </c>
      <c r="X69" s="69" t="s">
        <v>282</v>
      </c>
      <c r="Y69" s="70" t="s">
        <v>282</v>
      </c>
    </row>
    <row r="70" spans="1:25">
      <c r="A70" s="64">
        <v>2</v>
      </c>
      <c r="B70" s="65" t="str">
        <f>VLOOKUP(Tabel10[[#This Row],[Code]],Ruimtegroepen[[Code]:[Ruimte omschrijving]],2,FALSE)</f>
        <v>Kantoren</v>
      </c>
      <c r="C70" s="66" t="s">
        <v>338</v>
      </c>
      <c r="D70" s="65" t="s">
        <v>21</v>
      </c>
      <c r="E70" s="66" t="s">
        <v>100</v>
      </c>
      <c r="F70" s="66" t="s">
        <v>339</v>
      </c>
      <c r="G70" s="71" t="s">
        <v>282</v>
      </c>
      <c r="H70" s="67" t="s">
        <v>282</v>
      </c>
      <c r="I70" s="67" t="s">
        <v>18</v>
      </c>
      <c r="J70" s="67" t="s">
        <v>15</v>
      </c>
      <c r="K70" s="67" t="s">
        <v>282</v>
      </c>
      <c r="L70" s="67" t="s">
        <v>282</v>
      </c>
      <c r="M70" s="67" t="s">
        <v>282</v>
      </c>
      <c r="N70" s="67" t="s">
        <v>282</v>
      </c>
      <c r="O70" s="68" t="s">
        <v>20</v>
      </c>
      <c r="P70" s="68" t="s">
        <v>20</v>
      </c>
      <c r="Q70" s="68" t="s">
        <v>15</v>
      </c>
      <c r="R70" s="68" t="s">
        <v>15</v>
      </c>
      <c r="S70" s="68" t="s">
        <v>16</v>
      </c>
      <c r="T70" s="68" t="s">
        <v>329</v>
      </c>
      <c r="U70" s="68" t="s">
        <v>249</v>
      </c>
      <c r="V70" s="68" t="s">
        <v>282</v>
      </c>
      <c r="W70" s="69" t="s">
        <v>282</v>
      </c>
      <c r="X70" s="69" t="s">
        <v>282</v>
      </c>
      <c r="Y70" s="70" t="s">
        <v>282</v>
      </c>
    </row>
    <row r="71" spans="1:25">
      <c r="A71" s="64">
        <v>2</v>
      </c>
      <c r="B71" s="65" t="str">
        <f>VLOOKUP(Tabel10[[#This Row],[Code]],Ruimtegroepen[[Code]:[Ruimte omschrijving]],2,FALSE)</f>
        <v>Kantoren</v>
      </c>
      <c r="C71" s="66" t="s">
        <v>338</v>
      </c>
      <c r="D71" s="65" t="s">
        <v>21</v>
      </c>
      <c r="E71" s="66" t="s">
        <v>99</v>
      </c>
      <c r="F71" s="66" t="s">
        <v>340</v>
      </c>
      <c r="G71" s="67" t="s">
        <v>18</v>
      </c>
      <c r="H71" s="67" t="s">
        <v>15</v>
      </c>
      <c r="I71" s="67" t="s">
        <v>282</v>
      </c>
      <c r="J71" s="67" t="s">
        <v>282</v>
      </c>
      <c r="K71" s="67" t="s">
        <v>282</v>
      </c>
      <c r="L71" s="67" t="s">
        <v>282</v>
      </c>
      <c r="M71" s="67" t="s">
        <v>282</v>
      </c>
      <c r="N71" s="67" t="s">
        <v>282</v>
      </c>
      <c r="O71" s="68" t="s">
        <v>20</v>
      </c>
      <c r="P71" s="68" t="s">
        <v>20</v>
      </c>
      <c r="Q71" s="68" t="s">
        <v>15</v>
      </c>
      <c r="R71" s="68" t="s">
        <v>15</v>
      </c>
      <c r="S71" s="68" t="s">
        <v>16</v>
      </c>
      <c r="T71" s="68" t="s">
        <v>329</v>
      </c>
      <c r="U71" s="68" t="s">
        <v>249</v>
      </c>
      <c r="V71" s="68" t="s">
        <v>282</v>
      </c>
      <c r="W71" s="69" t="s">
        <v>282</v>
      </c>
      <c r="X71" s="69" t="s">
        <v>282</v>
      </c>
      <c r="Y71" s="70" t="s">
        <v>282</v>
      </c>
    </row>
    <row r="72" spans="1:25">
      <c r="A72" s="64">
        <v>2</v>
      </c>
      <c r="B72" s="65" t="str">
        <f>VLOOKUP(Tabel10[[#This Row],[Code]],Ruimtegroepen[[Code]:[Ruimte omschrijving]],2,FALSE)</f>
        <v>Kantoren</v>
      </c>
      <c r="C72" s="66" t="s">
        <v>338</v>
      </c>
      <c r="D72" s="65" t="s">
        <v>21</v>
      </c>
      <c r="E72" s="66" t="s">
        <v>101</v>
      </c>
      <c r="F72" s="66" t="s">
        <v>341</v>
      </c>
      <c r="G72" s="71" t="s">
        <v>282</v>
      </c>
      <c r="H72" s="67" t="s">
        <v>282</v>
      </c>
      <c r="I72" s="67" t="s">
        <v>18</v>
      </c>
      <c r="J72" s="67" t="s">
        <v>15</v>
      </c>
      <c r="K72" s="67" t="s">
        <v>249</v>
      </c>
      <c r="L72" s="67" t="s">
        <v>282</v>
      </c>
      <c r="M72" s="67" t="s">
        <v>282</v>
      </c>
      <c r="N72" s="67" t="s">
        <v>282</v>
      </c>
      <c r="O72" s="68" t="s">
        <v>20</v>
      </c>
      <c r="P72" s="68" t="s">
        <v>20</v>
      </c>
      <c r="Q72" s="68" t="s">
        <v>15</v>
      </c>
      <c r="R72" s="68" t="s">
        <v>15</v>
      </c>
      <c r="S72" s="68" t="s">
        <v>16</v>
      </c>
      <c r="T72" s="68" t="s">
        <v>329</v>
      </c>
      <c r="U72" s="68" t="s">
        <v>249</v>
      </c>
      <c r="V72" s="68" t="s">
        <v>282</v>
      </c>
      <c r="W72" s="69" t="s">
        <v>282</v>
      </c>
      <c r="X72" s="69" t="s">
        <v>282</v>
      </c>
      <c r="Y72" s="70" t="s">
        <v>282</v>
      </c>
    </row>
    <row r="73" spans="1:25">
      <c r="A73" s="64">
        <v>2</v>
      </c>
      <c r="B73" s="65" t="str">
        <f>VLOOKUP(Tabel10[[#This Row],[Code]],Ruimtegroepen[[Code]:[Ruimte omschrijving]],2,FALSE)</f>
        <v>Kantoren</v>
      </c>
      <c r="C73" s="66" t="s">
        <v>338</v>
      </c>
      <c r="D73" s="65" t="s">
        <v>21</v>
      </c>
      <c r="E73" s="66" t="s">
        <v>102</v>
      </c>
      <c r="F73" s="66" t="s">
        <v>342</v>
      </c>
      <c r="G73" s="71" t="s">
        <v>282</v>
      </c>
      <c r="H73" s="67" t="s">
        <v>282</v>
      </c>
      <c r="I73" s="67" t="s">
        <v>18</v>
      </c>
      <c r="J73" s="67" t="s">
        <v>15</v>
      </c>
      <c r="K73" s="67" t="s">
        <v>249</v>
      </c>
      <c r="L73" s="67" t="s">
        <v>282</v>
      </c>
      <c r="M73" s="67" t="s">
        <v>282</v>
      </c>
      <c r="N73" s="67" t="s">
        <v>282</v>
      </c>
      <c r="O73" s="68" t="s">
        <v>20</v>
      </c>
      <c r="P73" s="68" t="s">
        <v>20</v>
      </c>
      <c r="Q73" s="68" t="s">
        <v>15</v>
      </c>
      <c r="R73" s="68" t="s">
        <v>15</v>
      </c>
      <c r="S73" s="68" t="s">
        <v>16</v>
      </c>
      <c r="T73" s="68" t="s">
        <v>329</v>
      </c>
      <c r="U73" s="68" t="s">
        <v>249</v>
      </c>
      <c r="V73" s="68" t="s">
        <v>282</v>
      </c>
      <c r="W73" s="69" t="s">
        <v>282</v>
      </c>
      <c r="X73" s="69" t="s">
        <v>282</v>
      </c>
      <c r="Y73" s="70" t="s">
        <v>282</v>
      </c>
    </row>
    <row r="74" spans="1:25">
      <c r="A74" s="64">
        <v>2</v>
      </c>
      <c r="B74" s="65" t="str">
        <f>VLOOKUP(Tabel10[[#This Row],[Code]],Ruimtegroepen[[Code]:[Ruimte omschrijving]],2,FALSE)</f>
        <v>Kantoren</v>
      </c>
      <c r="C74" s="66" t="s">
        <v>338</v>
      </c>
      <c r="D74" s="65" t="s">
        <v>21</v>
      </c>
      <c r="E74" s="66" t="s">
        <v>99</v>
      </c>
      <c r="F74" s="66" t="s">
        <v>340</v>
      </c>
      <c r="G74" s="67" t="s">
        <v>18</v>
      </c>
      <c r="H74" s="67" t="s">
        <v>15</v>
      </c>
      <c r="I74" s="67" t="s">
        <v>282</v>
      </c>
      <c r="J74" s="67" t="s">
        <v>282</v>
      </c>
      <c r="K74" s="67" t="s">
        <v>282</v>
      </c>
      <c r="L74" s="67" t="s">
        <v>282</v>
      </c>
      <c r="M74" s="67" t="s">
        <v>282</v>
      </c>
      <c r="N74" s="67" t="s">
        <v>282</v>
      </c>
      <c r="O74" s="68" t="s">
        <v>20</v>
      </c>
      <c r="P74" s="68" t="s">
        <v>20</v>
      </c>
      <c r="Q74" s="68" t="s">
        <v>15</v>
      </c>
      <c r="R74" s="68" t="s">
        <v>15</v>
      </c>
      <c r="S74" s="68" t="s">
        <v>16</v>
      </c>
      <c r="T74" s="68" t="s">
        <v>329</v>
      </c>
      <c r="U74" s="68" t="s">
        <v>249</v>
      </c>
      <c r="V74" s="68" t="s">
        <v>282</v>
      </c>
      <c r="W74" s="69" t="s">
        <v>282</v>
      </c>
      <c r="X74" s="69" t="s">
        <v>282</v>
      </c>
      <c r="Y74" s="70" t="s">
        <v>282</v>
      </c>
    </row>
    <row r="75" spans="1:25">
      <c r="A75" s="64">
        <v>2</v>
      </c>
      <c r="B75" s="65" t="str">
        <f>VLOOKUP(Tabel10[[#This Row],[Code]],Ruimtegroepen[[Code]:[Ruimte omschrijving]],2,FALSE)</f>
        <v>Kantoren</v>
      </c>
      <c r="C75" s="66" t="s">
        <v>343</v>
      </c>
      <c r="D75" s="65" t="s">
        <v>12</v>
      </c>
      <c r="E75" s="66" t="s">
        <v>1309</v>
      </c>
      <c r="F75" s="66" t="s">
        <v>1331</v>
      </c>
      <c r="G75" s="71" t="s">
        <v>282</v>
      </c>
      <c r="H75" s="67" t="s">
        <v>282</v>
      </c>
      <c r="I75" s="67" t="s">
        <v>18</v>
      </c>
      <c r="J75" s="67" t="s">
        <v>15</v>
      </c>
      <c r="K75" s="67" t="s">
        <v>249</v>
      </c>
      <c r="L75" s="67" t="s">
        <v>282</v>
      </c>
      <c r="M75" s="67" t="s">
        <v>282</v>
      </c>
      <c r="N75" s="67" t="s">
        <v>282</v>
      </c>
      <c r="O75" s="68" t="s">
        <v>20</v>
      </c>
      <c r="P75" s="68" t="s">
        <v>20</v>
      </c>
      <c r="Q75" s="68" t="s">
        <v>15</v>
      </c>
      <c r="R75" s="68" t="s">
        <v>15</v>
      </c>
      <c r="S75" s="68" t="s">
        <v>16</v>
      </c>
      <c r="T75" s="68" t="s">
        <v>329</v>
      </c>
      <c r="U75" s="68" t="s">
        <v>249</v>
      </c>
      <c r="V75" s="68" t="s">
        <v>282</v>
      </c>
      <c r="W75" s="69" t="s">
        <v>282</v>
      </c>
      <c r="X75" s="69" t="s">
        <v>282</v>
      </c>
      <c r="Y75" s="70" t="s">
        <v>282</v>
      </c>
    </row>
    <row r="76" spans="1:25">
      <c r="A76" s="64">
        <v>2</v>
      </c>
      <c r="B76" s="65" t="str">
        <f>VLOOKUP(Tabel10[[#This Row],[Code]],Ruimtegroepen[[Code]:[Ruimte omschrijving]],2,FALSE)</f>
        <v>Kantoren</v>
      </c>
      <c r="C76" s="66" t="s">
        <v>343</v>
      </c>
      <c r="D76" s="65" t="s">
        <v>12</v>
      </c>
      <c r="E76" s="66" t="s">
        <v>100</v>
      </c>
      <c r="F76" s="66" t="s">
        <v>344</v>
      </c>
      <c r="G76" s="71" t="s">
        <v>282</v>
      </c>
      <c r="H76" s="67" t="s">
        <v>282</v>
      </c>
      <c r="I76" s="67" t="s">
        <v>17</v>
      </c>
      <c r="J76" s="67" t="s">
        <v>15</v>
      </c>
      <c r="K76" s="67" t="s">
        <v>282</v>
      </c>
      <c r="L76" s="67" t="s">
        <v>282</v>
      </c>
      <c r="M76" s="67" t="s">
        <v>282</v>
      </c>
      <c r="N76" s="67" t="s">
        <v>282</v>
      </c>
      <c r="O76" s="68" t="s">
        <v>18</v>
      </c>
      <c r="P76" s="68" t="s">
        <v>18</v>
      </c>
      <c r="Q76" s="68" t="s">
        <v>15</v>
      </c>
      <c r="R76" s="68" t="s">
        <v>15</v>
      </c>
      <c r="S76" s="68" t="s">
        <v>16</v>
      </c>
      <c r="T76" s="68" t="s">
        <v>329</v>
      </c>
      <c r="U76" s="68" t="s">
        <v>249</v>
      </c>
      <c r="V76" s="68" t="s">
        <v>282</v>
      </c>
      <c r="W76" s="69" t="s">
        <v>282</v>
      </c>
      <c r="X76" s="69" t="s">
        <v>282</v>
      </c>
      <c r="Y76" s="70" t="s">
        <v>282</v>
      </c>
    </row>
    <row r="77" spans="1:25">
      <c r="A77" s="64">
        <v>2</v>
      </c>
      <c r="B77" s="65" t="str">
        <f>VLOOKUP(Tabel10[[#This Row],[Code]],Ruimtegroepen[[Code]:[Ruimte omschrijving]],2,FALSE)</f>
        <v>Kantoren</v>
      </c>
      <c r="C77" s="66" t="s">
        <v>343</v>
      </c>
      <c r="D77" s="65" t="s">
        <v>12</v>
      </c>
      <c r="E77" s="66" t="s">
        <v>99</v>
      </c>
      <c r="F77" s="66" t="s">
        <v>345</v>
      </c>
      <c r="G77" s="67" t="s">
        <v>17</v>
      </c>
      <c r="H77" s="67" t="s">
        <v>15</v>
      </c>
      <c r="I77" s="67" t="s">
        <v>282</v>
      </c>
      <c r="J77" s="67" t="s">
        <v>282</v>
      </c>
      <c r="K77" s="67" t="s">
        <v>282</v>
      </c>
      <c r="L77" s="67" t="s">
        <v>282</v>
      </c>
      <c r="M77" s="67" t="s">
        <v>282</v>
      </c>
      <c r="N77" s="67" t="s">
        <v>282</v>
      </c>
      <c r="O77" s="68" t="s">
        <v>18</v>
      </c>
      <c r="P77" s="68" t="s">
        <v>18</v>
      </c>
      <c r="Q77" s="68" t="s">
        <v>15</v>
      </c>
      <c r="R77" s="68" t="s">
        <v>15</v>
      </c>
      <c r="S77" s="68" t="s">
        <v>16</v>
      </c>
      <c r="T77" s="68" t="s">
        <v>329</v>
      </c>
      <c r="U77" s="68" t="s">
        <v>249</v>
      </c>
      <c r="V77" s="68" t="s">
        <v>282</v>
      </c>
      <c r="W77" s="69" t="s">
        <v>282</v>
      </c>
      <c r="X77" s="69" t="s">
        <v>282</v>
      </c>
      <c r="Y77" s="70" t="s">
        <v>282</v>
      </c>
    </row>
    <row r="78" spans="1:25">
      <c r="A78" s="64">
        <v>2</v>
      </c>
      <c r="B78" s="65" t="str">
        <f>VLOOKUP(Tabel10[[#This Row],[Code]],Ruimtegroepen[[Code]:[Ruimte omschrijving]],2,FALSE)</f>
        <v>Kantoren</v>
      </c>
      <c r="C78" s="66" t="s">
        <v>343</v>
      </c>
      <c r="D78" s="65" t="s">
        <v>12</v>
      </c>
      <c r="E78" s="66" t="s">
        <v>101</v>
      </c>
      <c r="F78" s="66" t="s">
        <v>346</v>
      </c>
      <c r="G78" s="71" t="s">
        <v>282</v>
      </c>
      <c r="H78" s="67" t="s">
        <v>282</v>
      </c>
      <c r="I78" s="67" t="s">
        <v>17</v>
      </c>
      <c r="J78" s="67" t="s">
        <v>15</v>
      </c>
      <c r="K78" s="67" t="s">
        <v>249</v>
      </c>
      <c r="L78" s="67" t="s">
        <v>282</v>
      </c>
      <c r="M78" s="67" t="s">
        <v>282</v>
      </c>
      <c r="N78" s="67" t="s">
        <v>282</v>
      </c>
      <c r="O78" s="68" t="s">
        <v>18</v>
      </c>
      <c r="P78" s="68" t="s">
        <v>18</v>
      </c>
      <c r="Q78" s="68" t="s">
        <v>15</v>
      </c>
      <c r="R78" s="68" t="s">
        <v>15</v>
      </c>
      <c r="S78" s="68" t="s">
        <v>16</v>
      </c>
      <c r="T78" s="68" t="s">
        <v>329</v>
      </c>
      <c r="U78" s="68" t="s">
        <v>249</v>
      </c>
      <c r="V78" s="68" t="s">
        <v>282</v>
      </c>
      <c r="W78" s="69" t="s">
        <v>282</v>
      </c>
      <c r="X78" s="69" t="s">
        <v>282</v>
      </c>
      <c r="Y78" s="70" t="s">
        <v>282</v>
      </c>
    </row>
    <row r="79" spans="1:25">
      <c r="A79" s="64">
        <v>2</v>
      </c>
      <c r="B79" s="65" t="str">
        <f>VLOOKUP(Tabel10[[#This Row],[Code]],Ruimtegroepen[[Code]:[Ruimte omschrijving]],2,FALSE)</f>
        <v>Kantoren</v>
      </c>
      <c r="C79" s="66" t="s">
        <v>343</v>
      </c>
      <c r="D79" s="65" t="s">
        <v>12</v>
      </c>
      <c r="E79" s="66" t="s">
        <v>102</v>
      </c>
      <c r="F79" s="66" t="s">
        <v>347</v>
      </c>
      <c r="G79" s="71" t="s">
        <v>282</v>
      </c>
      <c r="H79" s="67" t="s">
        <v>282</v>
      </c>
      <c r="I79" s="67" t="s">
        <v>17</v>
      </c>
      <c r="J79" s="67" t="s">
        <v>15</v>
      </c>
      <c r="K79" s="67" t="s">
        <v>249</v>
      </c>
      <c r="L79" s="67" t="s">
        <v>282</v>
      </c>
      <c r="M79" s="67" t="s">
        <v>282</v>
      </c>
      <c r="N79" s="67" t="s">
        <v>282</v>
      </c>
      <c r="O79" s="68" t="s">
        <v>18</v>
      </c>
      <c r="P79" s="68" t="s">
        <v>18</v>
      </c>
      <c r="Q79" s="68" t="s">
        <v>15</v>
      </c>
      <c r="R79" s="68" t="s">
        <v>15</v>
      </c>
      <c r="S79" s="68" t="s">
        <v>16</v>
      </c>
      <c r="T79" s="68" t="s">
        <v>329</v>
      </c>
      <c r="U79" s="68" t="s">
        <v>249</v>
      </c>
      <c r="V79" s="68" t="s">
        <v>282</v>
      </c>
      <c r="W79" s="69" t="s">
        <v>282</v>
      </c>
      <c r="X79" s="69" t="s">
        <v>282</v>
      </c>
      <c r="Y79" s="70" t="s">
        <v>282</v>
      </c>
    </row>
    <row r="80" spans="1:25">
      <c r="A80" s="64">
        <v>2</v>
      </c>
      <c r="B80" s="65" t="str">
        <f>VLOOKUP(Tabel10[[#This Row],[Code]],Ruimtegroepen[[Code]:[Ruimte omschrijving]],2,FALSE)</f>
        <v>Kantoren</v>
      </c>
      <c r="C80" s="66" t="s">
        <v>343</v>
      </c>
      <c r="D80" s="65" t="s">
        <v>12</v>
      </c>
      <c r="E80" s="66" t="s">
        <v>99</v>
      </c>
      <c r="F80" s="66" t="s">
        <v>345</v>
      </c>
      <c r="G80" s="67" t="s">
        <v>17</v>
      </c>
      <c r="H80" s="67" t="s">
        <v>15</v>
      </c>
      <c r="I80" s="67" t="s">
        <v>282</v>
      </c>
      <c r="J80" s="67" t="s">
        <v>282</v>
      </c>
      <c r="K80" s="67" t="s">
        <v>282</v>
      </c>
      <c r="L80" s="67" t="s">
        <v>282</v>
      </c>
      <c r="M80" s="67" t="s">
        <v>282</v>
      </c>
      <c r="N80" s="67" t="s">
        <v>282</v>
      </c>
      <c r="O80" s="68" t="s">
        <v>18</v>
      </c>
      <c r="P80" s="68" t="s">
        <v>18</v>
      </c>
      <c r="Q80" s="68" t="s">
        <v>15</v>
      </c>
      <c r="R80" s="68" t="s">
        <v>15</v>
      </c>
      <c r="S80" s="68" t="s">
        <v>16</v>
      </c>
      <c r="T80" s="68" t="s">
        <v>329</v>
      </c>
      <c r="U80" s="68" t="s">
        <v>249</v>
      </c>
      <c r="V80" s="68" t="s">
        <v>282</v>
      </c>
      <c r="W80" s="69" t="s">
        <v>282</v>
      </c>
      <c r="X80" s="69" t="s">
        <v>282</v>
      </c>
      <c r="Y80" s="70" t="s">
        <v>282</v>
      </c>
    </row>
    <row r="81" spans="1:25">
      <c r="A81" s="64">
        <v>2</v>
      </c>
      <c r="B81" s="65" t="str">
        <f>VLOOKUP(Tabel10[[#This Row],[Code]],Ruimtegroepen[[Code]:[Ruimte omschrijving]],2,FALSE)</f>
        <v>Kantoren</v>
      </c>
      <c r="C81" s="66" t="s">
        <v>343</v>
      </c>
      <c r="D81" s="65" t="s">
        <v>12</v>
      </c>
      <c r="E81" s="66" t="s">
        <v>1309</v>
      </c>
      <c r="F81" s="66" t="s">
        <v>1330</v>
      </c>
      <c r="G81" s="71" t="s">
        <v>282</v>
      </c>
      <c r="H81" s="67" t="s">
        <v>282</v>
      </c>
      <c r="I81" s="67" t="s">
        <v>17</v>
      </c>
      <c r="J81" s="67" t="s">
        <v>15</v>
      </c>
      <c r="K81" s="67" t="s">
        <v>249</v>
      </c>
      <c r="L81" s="67" t="s">
        <v>282</v>
      </c>
      <c r="M81" s="67" t="s">
        <v>282</v>
      </c>
      <c r="N81" s="67" t="s">
        <v>282</v>
      </c>
      <c r="O81" s="68" t="s">
        <v>18</v>
      </c>
      <c r="P81" s="68" t="s">
        <v>18</v>
      </c>
      <c r="Q81" s="68" t="s">
        <v>15</v>
      </c>
      <c r="R81" s="68" t="s">
        <v>15</v>
      </c>
      <c r="S81" s="68" t="s">
        <v>16</v>
      </c>
      <c r="T81" s="68" t="s">
        <v>329</v>
      </c>
      <c r="U81" s="68" t="s">
        <v>249</v>
      </c>
      <c r="V81" s="68" t="s">
        <v>282</v>
      </c>
      <c r="W81" s="69" t="s">
        <v>282</v>
      </c>
      <c r="X81" s="69" t="s">
        <v>282</v>
      </c>
      <c r="Y81" s="70" t="s">
        <v>282</v>
      </c>
    </row>
    <row r="82" spans="1:25">
      <c r="A82" s="64">
        <v>2</v>
      </c>
      <c r="B82" s="65" t="str">
        <f>VLOOKUP(Tabel10[[#This Row],[Code]],Ruimtegroepen[[Code]:[Ruimte omschrijving]],2,FALSE)</f>
        <v>Kantoren</v>
      </c>
      <c r="C82" s="66" t="s">
        <v>348</v>
      </c>
      <c r="D82" s="65" t="s">
        <v>14</v>
      </c>
      <c r="E82" s="66" t="s">
        <v>100</v>
      </c>
      <c r="F82" s="66" t="s">
        <v>349</v>
      </c>
      <c r="G82" s="71" t="s">
        <v>282</v>
      </c>
      <c r="H82" s="67" t="s">
        <v>282</v>
      </c>
      <c r="I82" s="67" t="s">
        <v>15</v>
      </c>
      <c r="J82" s="67" t="s">
        <v>15</v>
      </c>
      <c r="K82" s="67" t="s">
        <v>282</v>
      </c>
      <c r="L82" s="67" t="s">
        <v>282</v>
      </c>
      <c r="M82" s="67" t="s">
        <v>282</v>
      </c>
      <c r="N82" s="67" t="s">
        <v>282</v>
      </c>
      <c r="O82" s="68" t="s">
        <v>17</v>
      </c>
      <c r="P82" s="68" t="s">
        <v>17</v>
      </c>
      <c r="Q82" s="68" t="s">
        <v>15</v>
      </c>
      <c r="R82" s="68" t="s">
        <v>15</v>
      </c>
      <c r="S82" s="68" t="s">
        <v>16</v>
      </c>
      <c r="T82" s="68" t="s">
        <v>329</v>
      </c>
      <c r="U82" s="68" t="s">
        <v>249</v>
      </c>
      <c r="V82" s="68" t="s">
        <v>282</v>
      </c>
      <c r="W82" s="69" t="s">
        <v>282</v>
      </c>
      <c r="X82" s="69" t="s">
        <v>282</v>
      </c>
      <c r="Y82" s="70" t="s">
        <v>282</v>
      </c>
    </row>
    <row r="83" spans="1:25">
      <c r="A83" s="64">
        <v>2</v>
      </c>
      <c r="B83" s="65" t="str">
        <f>VLOOKUP(Tabel10[[#This Row],[Code]],Ruimtegroepen[[Code]:[Ruimte omschrijving]],2,FALSE)</f>
        <v>Kantoren</v>
      </c>
      <c r="C83" s="66" t="s">
        <v>348</v>
      </c>
      <c r="D83" s="65" t="s">
        <v>14</v>
      </c>
      <c r="E83" s="66" t="s">
        <v>99</v>
      </c>
      <c r="F83" s="66" t="s">
        <v>350</v>
      </c>
      <c r="G83" s="67" t="s">
        <v>15</v>
      </c>
      <c r="H83" s="67" t="s">
        <v>15</v>
      </c>
      <c r="I83" s="67" t="s">
        <v>282</v>
      </c>
      <c r="J83" s="67" t="s">
        <v>282</v>
      </c>
      <c r="K83" s="67" t="s">
        <v>282</v>
      </c>
      <c r="L83" s="67" t="s">
        <v>282</v>
      </c>
      <c r="M83" s="67" t="s">
        <v>282</v>
      </c>
      <c r="N83" s="67" t="s">
        <v>282</v>
      </c>
      <c r="O83" s="68" t="s">
        <v>17</v>
      </c>
      <c r="P83" s="68" t="s">
        <v>17</v>
      </c>
      <c r="Q83" s="68" t="s">
        <v>15</v>
      </c>
      <c r="R83" s="68" t="s">
        <v>15</v>
      </c>
      <c r="S83" s="68" t="s">
        <v>16</v>
      </c>
      <c r="T83" s="68" t="s">
        <v>329</v>
      </c>
      <c r="U83" s="68" t="s">
        <v>249</v>
      </c>
      <c r="V83" s="68" t="s">
        <v>282</v>
      </c>
      <c r="W83" s="69" t="s">
        <v>282</v>
      </c>
      <c r="X83" s="69" t="s">
        <v>282</v>
      </c>
      <c r="Y83" s="70" t="s">
        <v>282</v>
      </c>
    </row>
    <row r="84" spans="1:25">
      <c r="A84" s="64">
        <v>2</v>
      </c>
      <c r="B84" s="65" t="str">
        <f>VLOOKUP(Tabel10[[#This Row],[Code]],Ruimtegroepen[[Code]:[Ruimte omschrijving]],2,FALSE)</f>
        <v>Kantoren</v>
      </c>
      <c r="C84" s="66" t="s">
        <v>348</v>
      </c>
      <c r="D84" s="65" t="s">
        <v>14</v>
      </c>
      <c r="E84" s="66" t="s">
        <v>101</v>
      </c>
      <c r="F84" s="66" t="s">
        <v>351</v>
      </c>
      <c r="G84" s="71" t="s">
        <v>282</v>
      </c>
      <c r="H84" s="67" t="s">
        <v>282</v>
      </c>
      <c r="I84" s="67" t="s">
        <v>15</v>
      </c>
      <c r="J84" s="67" t="s">
        <v>15</v>
      </c>
      <c r="K84" s="67" t="s">
        <v>249</v>
      </c>
      <c r="L84" s="67" t="s">
        <v>282</v>
      </c>
      <c r="M84" s="67" t="s">
        <v>282</v>
      </c>
      <c r="N84" s="67" t="s">
        <v>282</v>
      </c>
      <c r="O84" s="68" t="s">
        <v>17</v>
      </c>
      <c r="P84" s="68" t="s">
        <v>17</v>
      </c>
      <c r="Q84" s="68" t="s">
        <v>15</v>
      </c>
      <c r="R84" s="68" t="s">
        <v>15</v>
      </c>
      <c r="S84" s="68" t="s">
        <v>16</v>
      </c>
      <c r="T84" s="68" t="s">
        <v>329</v>
      </c>
      <c r="U84" s="68" t="s">
        <v>249</v>
      </c>
      <c r="V84" s="68" t="s">
        <v>282</v>
      </c>
      <c r="W84" s="69" t="s">
        <v>282</v>
      </c>
      <c r="X84" s="69" t="s">
        <v>282</v>
      </c>
      <c r="Y84" s="70" t="s">
        <v>282</v>
      </c>
    </row>
    <row r="85" spans="1:25">
      <c r="A85" s="64">
        <v>2</v>
      </c>
      <c r="B85" s="65" t="str">
        <f>VLOOKUP(Tabel10[[#This Row],[Code]],Ruimtegroepen[[Code]:[Ruimte omschrijving]],2,FALSE)</f>
        <v>Kantoren</v>
      </c>
      <c r="C85" s="66" t="s">
        <v>348</v>
      </c>
      <c r="D85" s="65" t="s">
        <v>14</v>
      </c>
      <c r="E85" s="66" t="s">
        <v>102</v>
      </c>
      <c r="F85" s="66" t="s">
        <v>352</v>
      </c>
      <c r="G85" s="71" t="s">
        <v>282</v>
      </c>
      <c r="H85" s="67" t="s">
        <v>282</v>
      </c>
      <c r="I85" s="67" t="s">
        <v>15</v>
      </c>
      <c r="J85" s="67" t="s">
        <v>15</v>
      </c>
      <c r="K85" s="67" t="s">
        <v>249</v>
      </c>
      <c r="L85" s="67" t="s">
        <v>282</v>
      </c>
      <c r="M85" s="67" t="s">
        <v>282</v>
      </c>
      <c r="N85" s="67" t="s">
        <v>282</v>
      </c>
      <c r="O85" s="68" t="s">
        <v>17</v>
      </c>
      <c r="P85" s="68" t="s">
        <v>17</v>
      </c>
      <c r="Q85" s="68" t="s">
        <v>15</v>
      </c>
      <c r="R85" s="68" t="s">
        <v>15</v>
      </c>
      <c r="S85" s="68" t="s">
        <v>16</v>
      </c>
      <c r="T85" s="68" t="s">
        <v>329</v>
      </c>
      <c r="U85" s="68" t="s">
        <v>249</v>
      </c>
      <c r="V85" s="68" t="s">
        <v>282</v>
      </c>
      <c r="W85" s="69" t="s">
        <v>282</v>
      </c>
      <c r="X85" s="69" t="s">
        <v>282</v>
      </c>
      <c r="Y85" s="70" t="s">
        <v>282</v>
      </c>
    </row>
    <row r="86" spans="1:25">
      <c r="A86" s="64">
        <v>2</v>
      </c>
      <c r="B86" s="65" t="str">
        <f>VLOOKUP(Tabel10[[#This Row],[Code]],Ruimtegroepen[[Code]:[Ruimte omschrijving]],2,FALSE)</f>
        <v>Kantoren</v>
      </c>
      <c r="C86" s="66" t="s">
        <v>348</v>
      </c>
      <c r="D86" s="65" t="s">
        <v>14</v>
      </c>
      <c r="E86" s="66" t="s">
        <v>99</v>
      </c>
      <c r="F86" s="66" t="s">
        <v>350</v>
      </c>
      <c r="G86" s="67" t="s">
        <v>15</v>
      </c>
      <c r="H86" s="67" t="s">
        <v>15</v>
      </c>
      <c r="I86" s="67" t="s">
        <v>282</v>
      </c>
      <c r="J86" s="67" t="s">
        <v>282</v>
      </c>
      <c r="K86" s="67" t="s">
        <v>282</v>
      </c>
      <c r="L86" s="67" t="s">
        <v>282</v>
      </c>
      <c r="M86" s="67" t="s">
        <v>282</v>
      </c>
      <c r="N86" s="67" t="s">
        <v>282</v>
      </c>
      <c r="O86" s="68" t="s">
        <v>17</v>
      </c>
      <c r="P86" s="68" t="s">
        <v>17</v>
      </c>
      <c r="Q86" s="68" t="s">
        <v>15</v>
      </c>
      <c r="R86" s="68" t="s">
        <v>15</v>
      </c>
      <c r="S86" s="68" t="s">
        <v>16</v>
      </c>
      <c r="T86" s="68" t="s">
        <v>329</v>
      </c>
      <c r="U86" s="68" t="s">
        <v>249</v>
      </c>
      <c r="V86" s="68" t="s">
        <v>282</v>
      </c>
      <c r="W86" s="69" t="s">
        <v>282</v>
      </c>
      <c r="X86" s="69" t="s">
        <v>282</v>
      </c>
      <c r="Y86" s="70" t="s">
        <v>282</v>
      </c>
    </row>
    <row r="87" spans="1:25">
      <c r="A87" s="64">
        <v>2</v>
      </c>
      <c r="B87" s="65" t="str">
        <f>VLOOKUP(Tabel10[[#This Row],[Code]],Ruimtegroepen[[Code]:[Ruimte omschrijving]],2,FALSE)</f>
        <v>Kantoren</v>
      </c>
      <c r="C87" s="66" t="s">
        <v>348</v>
      </c>
      <c r="D87" s="65" t="s">
        <v>14</v>
      </c>
      <c r="E87" s="66" t="s">
        <v>1309</v>
      </c>
      <c r="F87" s="66" t="s">
        <v>1332</v>
      </c>
      <c r="G87" s="71" t="s">
        <v>282</v>
      </c>
      <c r="H87" s="67" t="s">
        <v>282</v>
      </c>
      <c r="I87" s="67" t="s">
        <v>15</v>
      </c>
      <c r="J87" s="67" t="s">
        <v>15</v>
      </c>
      <c r="K87" s="67" t="s">
        <v>249</v>
      </c>
      <c r="L87" s="67" t="s">
        <v>282</v>
      </c>
      <c r="M87" s="67" t="s">
        <v>282</v>
      </c>
      <c r="N87" s="67" t="s">
        <v>282</v>
      </c>
      <c r="O87" s="68" t="s">
        <v>17</v>
      </c>
      <c r="P87" s="68" t="s">
        <v>17</v>
      </c>
      <c r="Q87" s="68" t="s">
        <v>15</v>
      </c>
      <c r="R87" s="68" t="s">
        <v>15</v>
      </c>
      <c r="S87" s="68" t="s">
        <v>16</v>
      </c>
      <c r="T87" s="68" t="s">
        <v>329</v>
      </c>
      <c r="U87" s="68" t="s">
        <v>249</v>
      </c>
      <c r="V87" s="68" t="s">
        <v>282</v>
      </c>
      <c r="W87" s="69" t="s">
        <v>282</v>
      </c>
      <c r="X87" s="69" t="s">
        <v>282</v>
      </c>
      <c r="Y87" s="70" t="s">
        <v>282</v>
      </c>
    </row>
    <row r="88" spans="1:25">
      <c r="A88" s="64">
        <v>2</v>
      </c>
      <c r="B88" s="65" t="str">
        <f>VLOOKUP(Tabel10[[#This Row],[Code]],Ruimtegroepen[[Code]:[Ruimte omschrijving]],2,FALSE)</f>
        <v>Kantoren</v>
      </c>
      <c r="C88" s="66" t="s">
        <v>353</v>
      </c>
      <c r="D88" s="65" t="s">
        <v>13</v>
      </c>
      <c r="E88" s="66" t="s">
        <v>100</v>
      </c>
      <c r="F88" s="66" t="s">
        <v>354</v>
      </c>
      <c r="G88" s="71" t="s">
        <v>282</v>
      </c>
      <c r="H88" s="67" t="s">
        <v>282</v>
      </c>
      <c r="I88" s="67" t="s">
        <v>282</v>
      </c>
      <c r="J88" s="67" t="s">
        <v>15</v>
      </c>
      <c r="K88" s="67" t="s">
        <v>282</v>
      </c>
      <c r="L88" s="67" t="s">
        <v>282</v>
      </c>
      <c r="M88" s="67" t="s">
        <v>282</v>
      </c>
      <c r="N88" s="67" t="s">
        <v>282</v>
      </c>
      <c r="O88" s="68" t="s">
        <v>15</v>
      </c>
      <c r="P88" s="68" t="s">
        <v>15</v>
      </c>
      <c r="Q88" s="68" t="s">
        <v>15</v>
      </c>
      <c r="R88" s="68" t="s">
        <v>15</v>
      </c>
      <c r="S88" s="68" t="s">
        <v>16</v>
      </c>
      <c r="T88" s="68" t="s">
        <v>329</v>
      </c>
      <c r="U88" s="68" t="s">
        <v>249</v>
      </c>
      <c r="V88" s="68" t="s">
        <v>282</v>
      </c>
      <c r="W88" s="69" t="s">
        <v>282</v>
      </c>
      <c r="X88" s="69" t="s">
        <v>282</v>
      </c>
      <c r="Y88" s="70" t="s">
        <v>282</v>
      </c>
    </row>
    <row r="89" spans="1:25">
      <c r="A89" s="64">
        <v>2</v>
      </c>
      <c r="B89" s="65" t="str">
        <f>VLOOKUP(Tabel10[[#This Row],[Code]],Ruimtegroepen[[Code]:[Ruimte omschrijving]],2,FALSE)</f>
        <v>Kantoren</v>
      </c>
      <c r="C89" s="66" t="s">
        <v>353</v>
      </c>
      <c r="D89" s="65" t="s">
        <v>13</v>
      </c>
      <c r="E89" s="66" t="s">
        <v>99</v>
      </c>
      <c r="F89" s="66" t="s">
        <v>355</v>
      </c>
      <c r="G89" s="71" t="s">
        <v>282</v>
      </c>
      <c r="H89" s="67" t="s">
        <v>15</v>
      </c>
      <c r="I89" s="67" t="s">
        <v>282</v>
      </c>
      <c r="J89" s="67" t="s">
        <v>282</v>
      </c>
      <c r="K89" s="67" t="s">
        <v>282</v>
      </c>
      <c r="L89" s="67" t="s">
        <v>282</v>
      </c>
      <c r="M89" s="67" t="s">
        <v>282</v>
      </c>
      <c r="N89" s="67" t="s">
        <v>282</v>
      </c>
      <c r="O89" s="68" t="s">
        <v>15</v>
      </c>
      <c r="P89" s="68" t="s">
        <v>15</v>
      </c>
      <c r="Q89" s="68" t="s">
        <v>15</v>
      </c>
      <c r="R89" s="68" t="s">
        <v>15</v>
      </c>
      <c r="S89" s="68" t="s">
        <v>16</v>
      </c>
      <c r="T89" s="68" t="s">
        <v>329</v>
      </c>
      <c r="U89" s="68" t="s">
        <v>249</v>
      </c>
      <c r="V89" s="68" t="s">
        <v>282</v>
      </c>
      <c r="W89" s="69" t="s">
        <v>282</v>
      </c>
      <c r="X89" s="69" t="s">
        <v>282</v>
      </c>
      <c r="Y89" s="70" t="s">
        <v>282</v>
      </c>
    </row>
    <row r="90" spans="1:25">
      <c r="A90" s="64">
        <v>2</v>
      </c>
      <c r="B90" s="65" t="str">
        <f>VLOOKUP(Tabel10[[#This Row],[Code]],Ruimtegroepen[[Code]:[Ruimte omschrijving]],2,FALSE)</f>
        <v>Kantoren</v>
      </c>
      <c r="C90" s="66" t="s">
        <v>353</v>
      </c>
      <c r="D90" s="65" t="s">
        <v>13</v>
      </c>
      <c r="E90" s="66" t="s">
        <v>101</v>
      </c>
      <c r="F90" s="66" t="s">
        <v>356</v>
      </c>
      <c r="G90" s="71" t="s">
        <v>282</v>
      </c>
      <c r="H90" s="67" t="s">
        <v>282</v>
      </c>
      <c r="I90" s="67" t="s">
        <v>282</v>
      </c>
      <c r="J90" s="67" t="s">
        <v>15</v>
      </c>
      <c r="K90" s="67" t="s">
        <v>249</v>
      </c>
      <c r="L90" s="67" t="s">
        <v>282</v>
      </c>
      <c r="M90" s="67" t="s">
        <v>282</v>
      </c>
      <c r="N90" s="67" t="s">
        <v>282</v>
      </c>
      <c r="O90" s="68" t="s">
        <v>15</v>
      </c>
      <c r="P90" s="68" t="s">
        <v>15</v>
      </c>
      <c r="Q90" s="68" t="s">
        <v>15</v>
      </c>
      <c r="R90" s="68" t="s">
        <v>15</v>
      </c>
      <c r="S90" s="68" t="s">
        <v>16</v>
      </c>
      <c r="T90" s="68" t="s">
        <v>329</v>
      </c>
      <c r="U90" s="68" t="s">
        <v>249</v>
      </c>
      <c r="V90" s="68" t="s">
        <v>282</v>
      </c>
      <c r="W90" s="69" t="s">
        <v>282</v>
      </c>
      <c r="X90" s="69" t="s">
        <v>282</v>
      </c>
      <c r="Y90" s="70" t="s">
        <v>282</v>
      </c>
    </row>
    <row r="91" spans="1:25">
      <c r="A91" s="64">
        <v>2</v>
      </c>
      <c r="B91" s="65" t="str">
        <f>VLOOKUP(Tabel10[[#This Row],[Code]],Ruimtegroepen[[Code]:[Ruimte omschrijving]],2,FALSE)</f>
        <v>Kantoren</v>
      </c>
      <c r="C91" s="66" t="s">
        <v>353</v>
      </c>
      <c r="D91" s="65" t="s">
        <v>13</v>
      </c>
      <c r="E91" s="66" t="s">
        <v>102</v>
      </c>
      <c r="F91" s="66" t="s">
        <v>357</v>
      </c>
      <c r="G91" s="71" t="s">
        <v>282</v>
      </c>
      <c r="H91" s="67" t="s">
        <v>282</v>
      </c>
      <c r="I91" s="67" t="s">
        <v>282</v>
      </c>
      <c r="J91" s="67" t="s">
        <v>15</v>
      </c>
      <c r="K91" s="67" t="s">
        <v>249</v>
      </c>
      <c r="L91" s="67" t="s">
        <v>282</v>
      </c>
      <c r="M91" s="67" t="s">
        <v>282</v>
      </c>
      <c r="N91" s="67" t="s">
        <v>282</v>
      </c>
      <c r="O91" s="68" t="s">
        <v>15</v>
      </c>
      <c r="P91" s="68" t="s">
        <v>15</v>
      </c>
      <c r="Q91" s="68" t="s">
        <v>15</v>
      </c>
      <c r="R91" s="68" t="s">
        <v>15</v>
      </c>
      <c r="S91" s="68" t="s">
        <v>16</v>
      </c>
      <c r="T91" s="68" t="s">
        <v>329</v>
      </c>
      <c r="U91" s="68" t="s">
        <v>249</v>
      </c>
      <c r="V91" s="68" t="s">
        <v>282</v>
      </c>
      <c r="W91" s="69" t="s">
        <v>282</v>
      </c>
      <c r="X91" s="69" t="s">
        <v>282</v>
      </c>
      <c r="Y91" s="70" t="s">
        <v>282</v>
      </c>
    </row>
    <row r="92" spans="1:25">
      <c r="A92" s="64">
        <v>2</v>
      </c>
      <c r="B92" s="65" t="str">
        <f>VLOOKUP(Tabel10[[#This Row],[Code]],Ruimtegroepen[[Code]:[Ruimte omschrijving]],2,FALSE)</f>
        <v>Kantoren</v>
      </c>
      <c r="C92" s="66" t="s">
        <v>353</v>
      </c>
      <c r="D92" s="65" t="s">
        <v>13</v>
      </c>
      <c r="E92" s="66" t="s">
        <v>99</v>
      </c>
      <c r="F92" s="66" t="s">
        <v>355</v>
      </c>
      <c r="G92" s="71" t="s">
        <v>282</v>
      </c>
      <c r="H92" s="67" t="s">
        <v>15</v>
      </c>
      <c r="I92" s="67" t="s">
        <v>282</v>
      </c>
      <c r="J92" s="67" t="s">
        <v>282</v>
      </c>
      <c r="K92" s="67" t="s">
        <v>282</v>
      </c>
      <c r="L92" s="67" t="s">
        <v>282</v>
      </c>
      <c r="M92" s="67" t="s">
        <v>282</v>
      </c>
      <c r="N92" s="67" t="s">
        <v>282</v>
      </c>
      <c r="O92" s="68" t="s">
        <v>15</v>
      </c>
      <c r="P92" s="68" t="s">
        <v>15</v>
      </c>
      <c r="Q92" s="68" t="s">
        <v>15</v>
      </c>
      <c r="R92" s="68" t="s">
        <v>15</v>
      </c>
      <c r="S92" s="68" t="s">
        <v>16</v>
      </c>
      <c r="T92" s="68" t="s">
        <v>329</v>
      </c>
      <c r="U92" s="68" t="s">
        <v>249</v>
      </c>
      <c r="V92" s="68" t="s">
        <v>282</v>
      </c>
      <c r="W92" s="69" t="s">
        <v>282</v>
      </c>
      <c r="X92" s="69" t="s">
        <v>282</v>
      </c>
      <c r="Y92" s="70" t="s">
        <v>282</v>
      </c>
    </row>
    <row r="93" spans="1:25">
      <c r="A93" s="64">
        <v>2</v>
      </c>
      <c r="B93" s="65" t="str">
        <f>VLOOKUP(Tabel10[[#This Row],[Code]],Ruimtegroepen[[Code]:[Ruimte omschrijving]],2,FALSE)</f>
        <v>Kantoren</v>
      </c>
      <c r="C93" s="66" t="s">
        <v>353</v>
      </c>
      <c r="D93" s="65" t="s">
        <v>13</v>
      </c>
      <c r="E93" s="66" t="s">
        <v>1309</v>
      </c>
      <c r="F93" s="66" t="s">
        <v>1333</v>
      </c>
      <c r="G93" s="71" t="s">
        <v>282</v>
      </c>
      <c r="H93" s="67" t="s">
        <v>282</v>
      </c>
      <c r="I93" s="67" t="s">
        <v>282</v>
      </c>
      <c r="J93" s="67" t="s">
        <v>15</v>
      </c>
      <c r="K93" s="67" t="s">
        <v>249</v>
      </c>
      <c r="L93" s="67" t="s">
        <v>282</v>
      </c>
      <c r="M93" s="67" t="s">
        <v>282</v>
      </c>
      <c r="N93" s="67" t="s">
        <v>282</v>
      </c>
      <c r="O93" s="68" t="s">
        <v>15</v>
      </c>
      <c r="P93" s="68" t="s">
        <v>15</v>
      </c>
      <c r="Q93" s="68" t="s">
        <v>15</v>
      </c>
      <c r="R93" s="68" t="s">
        <v>15</v>
      </c>
      <c r="S93" s="68" t="s">
        <v>16</v>
      </c>
      <c r="T93" s="68" t="s">
        <v>329</v>
      </c>
      <c r="U93" s="68" t="s">
        <v>249</v>
      </c>
      <c r="V93" s="68" t="s">
        <v>282</v>
      </c>
      <c r="W93" s="69" t="s">
        <v>282</v>
      </c>
      <c r="X93" s="69" t="s">
        <v>282</v>
      </c>
      <c r="Y93" s="70" t="s">
        <v>282</v>
      </c>
    </row>
    <row r="94" spans="1:25">
      <c r="A94" s="64">
        <v>2</v>
      </c>
      <c r="B94" s="65" t="str">
        <f>VLOOKUP(Tabel10[[#This Row],[Code]],Ruimtegroepen[[Code]:[Ruimte omschrijving]],2,FALSE)</f>
        <v>Kantoren</v>
      </c>
      <c r="C94" s="66" t="s">
        <v>358</v>
      </c>
      <c r="D94" s="65" t="s">
        <v>0</v>
      </c>
      <c r="E94" s="66" t="s">
        <v>100</v>
      </c>
      <c r="F94" s="66" t="s">
        <v>359</v>
      </c>
      <c r="G94" s="71" t="s">
        <v>282</v>
      </c>
      <c r="H94" s="67" t="s">
        <v>282</v>
      </c>
      <c r="I94" s="67" t="s">
        <v>16</v>
      </c>
      <c r="J94" s="67" t="s">
        <v>282</v>
      </c>
      <c r="K94" s="67" t="s">
        <v>282</v>
      </c>
      <c r="L94" s="67" t="s">
        <v>282</v>
      </c>
      <c r="M94" s="67" t="s">
        <v>282</v>
      </c>
      <c r="N94" s="67" t="s">
        <v>282</v>
      </c>
      <c r="O94" s="68" t="s">
        <v>16</v>
      </c>
      <c r="P94" s="68" t="s">
        <v>16</v>
      </c>
      <c r="Q94" s="68" t="s">
        <v>16</v>
      </c>
      <c r="R94" s="68" t="s">
        <v>16</v>
      </c>
      <c r="S94" s="68" t="s">
        <v>16</v>
      </c>
      <c r="T94" s="68" t="s">
        <v>329</v>
      </c>
      <c r="U94" s="68" t="s">
        <v>249</v>
      </c>
      <c r="V94" s="68" t="s">
        <v>282</v>
      </c>
      <c r="W94" s="69" t="s">
        <v>282</v>
      </c>
      <c r="X94" s="69" t="s">
        <v>282</v>
      </c>
      <c r="Y94" s="70" t="s">
        <v>282</v>
      </c>
    </row>
    <row r="95" spans="1:25">
      <c r="A95" s="64">
        <v>2</v>
      </c>
      <c r="B95" s="65" t="str">
        <f>VLOOKUP(Tabel10[[#This Row],[Code]],Ruimtegroepen[[Code]:[Ruimte omschrijving]],2,FALSE)</f>
        <v>Kantoren</v>
      </c>
      <c r="C95" s="66" t="s">
        <v>358</v>
      </c>
      <c r="D95" s="65" t="s">
        <v>0</v>
      </c>
      <c r="E95" s="66" t="s">
        <v>99</v>
      </c>
      <c r="F95" s="66" t="s">
        <v>360</v>
      </c>
      <c r="G95" s="71" t="s">
        <v>282</v>
      </c>
      <c r="H95" s="67" t="s">
        <v>16</v>
      </c>
      <c r="I95" s="67" t="s">
        <v>282</v>
      </c>
      <c r="J95" s="67" t="s">
        <v>282</v>
      </c>
      <c r="K95" s="67" t="s">
        <v>282</v>
      </c>
      <c r="L95" s="67" t="s">
        <v>282</v>
      </c>
      <c r="M95" s="67" t="s">
        <v>282</v>
      </c>
      <c r="N95" s="67" t="s">
        <v>282</v>
      </c>
      <c r="O95" s="68" t="s">
        <v>16</v>
      </c>
      <c r="P95" s="68" t="s">
        <v>16</v>
      </c>
      <c r="Q95" s="68" t="s">
        <v>16</v>
      </c>
      <c r="R95" s="68" t="s">
        <v>16</v>
      </c>
      <c r="S95" s="68" t="s">
        <v>16</v>
      </c>
      <c r="T95" s="68" t="s">
        <v>329</v>
      </c>
      <c r="U95" s="68" t="s">
        <v>249</v>
      </c>
      <c r="V95" s="68" t="s">
        <v>282</v>
      </c>
      <c r="W95" s="69" t="s">
        <v>282</v>
      </c>
      <c r="X95" s="69" t="s">
        <v>282</v>
      </c>
      <c r="Y95" s="70" t="s">
        <v>282</v>
      </c>
    </row>
    <row r="96" spans="1:25">
      <c r="A96" s="64">
        <v>2</v>
      </c>
      <c r="B96" s="65" t="str">
        <f>VLOOKUP(Tabel10[[#This Row],[Code]],Ruimtegroepen[[Code]:[Ruimte omschrijving]],2,FALSE)</f>
        <v>Kantoren</v>
      </c>
      <c r="C96" s="66" t="s">
        <v>358</v>
      </c>
      <c r="D96" s="65" t="s">
        <v>0</v>
      </c>
      <c r="E96" s="66" t="s">
        <v>101</v>
      </c>
      <c r="F96" s="66" t="s">
        <v>362</v>
      </c>
      <c r="G96" s="71" t="s">
        <v>282</v>
      </c>
      <c r="H96" s="67" t="s">
        <v>282</v>
      </c>
      <c r="I96" s="67" t="s">
        <v>282</v>
      </c>
      <c r="J96" s="67" t="s">
        <v>16</v>
      </c>
      <c r="K96" s="67" t="s">
        <v>249</v>
      </c>
      <c r="L96" s="67" t="s">
        <v>282</v>
      </c>
      <c r="M96" s="67" t="s">
        <v>282</v>
      </c>
      <c r="N96" s="67" t="s">
        <v>282</v>
      </c>
      <c r="O96" s="68" t="s">
        <v>16</v>
      </c>
      <c r="P96" s="68" t="s">
        <v>16</v>
      </c>
      <c r="Q96" s="68" t="s">
        <v>16</v>
      </c>
      <c r="R96" s="68" t="s">
        <v>16</v>
      </c>
      <c r="S96" s="68" t="s">
        <v>16</v>
      </c>
      <c r="T96" s="68" t="s">
        <v>329</v>
      </c>
      <c r="U96" s="68" t="s">
        <v>249</v>
      </c>
      <c r="V96" s="68" t="s">
        <v>282</v>
      </c>
      <c r="W96" s="69" t="s">
        <v>282</v>
      </c>
      <c r="X96" s="69" t="s">
        <v>282</v>
      </c>
      <c r="Y96" s="70" t="s">
        <v>282</v>
      </c>
    </row>
    <row r="97" spans="1:25">
      <c r="A97" s="64">
        <v>2</v>
      </c>
      <c r="B97" s="65" t="str">
        <f>VLOOKUP(Tabel10[[#This Row],[Code]],Ruimtegroepen[[Code]:[Ruimte omschrijving]],2,FALSE)</f>
        <v>Kantoren</v>
      </c>
      <c r="C97" s="66" t="s">
        <v>358</v>
      </c>
      <c r="D97" s="65" t="s">
        <v>0</v>
      </c>
      <c r="E97" s="66" t="s">
        <v>102</v>
      </c>
      <c r="F97" s="66" t="s">
        <v>363</v>
      </c>
      <c r="G97" s="71" t="s">
        <v>282</v>
      </c>
      <c r="H97" s="67" t="s">
        <v>282</v>
      </c>
      <c r="I97" s="67" t="s">
        <v>16</v>
      </c>
      <c r="J97" s="67" t="s">
        <v>282</v>
      </c>
      <c r="K97" s="67" t="s">
        <v>249</v>
      </c>
      <c r="L97" s="67" t="s">
        <v>282</v>
      </c>
      <c r="M97" s="67" t="s">
        <v>282</v>
      </c>
      <c r="N97" s="67" t="s">
        <v>282</v>
      </c>
      <c r="O97" s="68" t="s">
        <v>16</v>
      </c>
      <c r="P97" s="68" t="s">
        <v>16</v>
      </c>
      <c r="Q97" s="68" t="s">
        <v>16</v>
      </c>
      <c r="R97" s="68" t="s">
        <v>16</v>
      </c>
      <c r="S97" s="68" t="s">
        <v>16</v>
      </c>
      <c r="T97" s="68" t="s">
        <v>329</v>
      </c>
      <c r="U97" s="68" t="s">
        <v>249</v>
      </c>
      <c r="V97" s="68" t="s">
        <v>282</v>
      </c>
      <c r="W97" s="69" t="s">
        <v>282</v>
      </c>
      <c r="X97" s="69" t="s">
        <v>282</v>
      </c>
      <c r="Y97" s="70" t="s">
        <v>282</v>
      </c>
    </row>
    <row r="98" spans="1:25">
      <c r="A98" s="64">
        <v>2</v>
      </c>
      <c r="B98" s="65" t="str">
        <f>VLOOKUP(Tabel10[[#This Row],[Code]],Ruimtegroepen[[Code]:[Ruimte omschrijving]],2,FALSE)</f>
        <v>Kantoren</v>
      </c>
      <c r="C98" s="66" t="s">
        <v>358</v>
      </c>
      <c r="D98" s="65" t="s">
        <v>0</v>
      </c>
      <c r="E98" s="66" t="s">
        <v>99</v>
      </c>
      <c r="F98" s="66" t="s">
        <v>360</v>
      </c>
      <c r="G98" s="71" t="s">
        <v>282</v>
      </c>
      <c r="H98" s="67" t="s">
        <v>16</v>
      </c>
      <c r="I98" s="67" t="s">
        <v>282</v>
      </c>
      <c r="J98" s="67" t="s">
        <v>282</v>
      </c>
      <c r="K98" s="67" t="s">
        <v>282</v>
      </c>
      <c r="L98" s="67" t="s">
        <v>282</v>
      </c>
      <c r="M98" s="67" t="s">
        <v>282</v>
      </c>
      <c r="N98" s="67" t="s">
        <v>282</v>
      </c>
      <c r="O98" s="68" t="s">
        <v>16</v>
      </c>
      <c r="P98" s="68" t="s">
        <v>16</v>
      </c>
      <c r="Q98" s="68" t="s">
        <v>16</v>
      </c>
      <c r="R98" s="68" t="s">
        <v>16</v>
      </c>
      <c r="S98" s="68" t="s">
        <v>16</v>
      </c>
      <c r="T98" s="68" t="s">
        <v>329</v>
      </c>
      <c r="U98" s="68" t="s">
        <v>249</v>
      </c>
      <c r="V98" s="68" t="s">
        <v>282</v>
      </c>
      <c r="W98" s="69" t="s">
        <v>282</v>
      </c>
      <c r="X98" s="69" t="s">
        <v>282</v>
      </c>
      <c r="Y98" s="70" t="s">
        <v>282</v>
      </c>
    </row>
    <row r="99" spans="1:25">
      <c r="A99" s="64">
        <v>2</v>
      </c>
      <c r="B99" s="65" t="str">
        <f>VLOOKUP(Tabel10[[#This Row],[Code]],Ruimtegroepen[[Code]:[Ruimte omschrijving]],2,FALSE)</f>
        <v>Kantoren</v>
      </c>
      <c r="C99" s="66" t="s">
        <v>358</v>
      </c>
      <c r="D99" s="65" t="s">
        <v>0</v>
      </c>
      <c r="E99" s="66" t="s">
        <v>1309</v>
      </c>
      <c r="F99" s="66" t="s">
        <v>1334</v>
      </c>
      <c r="G99" s="71" t="s">
        <v>282</v>
      </c>
      <c r="H99" s="67" t="s">
        <v>282</v>
      </c>
      <c r="I99" s="67" t="s">
        <v>16</v>
      </c>
      <c r="J99" s="67" t="s">
        <v>282</v>
      </c>
      <c r="K99" s="67" t="s">
        <v>249</v>
      </c>
      <c r="L99" s="67" t="s">
        <v>282</v>
      </c>
      <c r="M99" s="67" t="s">
        <v>282</v>
      </c>
      <c r="N99" s="67" t="s">
        <v>282</v>
      </c>
      <c r="O99" s="68" t="s">
        <v>16</v>
      </c>
      <c r="P99" s="68" t="s">
        <v>16</v>
      </c>
      <c r="Q99" s="68" t="s">
        <v>16</v>
      </c>
      <c r="R99" s="68" t="s">
        <v>16</v>
      </c>
      <c r="S99" s="68" t="s">
        <v>16</v>
      </c>
      <c r="T99" s="68" t="s">
        <v>329</v>
      </c>
      <c r="U99" s="68" t="s">
        <v>249</v>
      </c>
      <c r="V99" s="68" t="s">
        <v>282</v>
      </c>
      <c r="W99" s="69" t="s">
        <v>282</v>
      </c>
      <c r="X99" s="69" t="s">
        <v>282</v>
      </c>
      <c r="Y99" s="70" t="s">
        <v>282</v>
      </c>
    </row>
    <row r="100" spans="1:25">
      <c r="A100" s="64">
        <v>2</v>
      </c>
      <c r="B100" s="65" t="str">
        <f>VLOOKUP(Tabel10[[#This Row],[Code]],Ruimtegroepen[[Code]:[Ruimte omschrijving]],2,FALSE)</f>
        <v>Kantoren</v>
      </c>
      <c r="C100" s="66" t="s">
        <v>364</v>
      </c>
      <c r="D100" s="65" t="s">
        <v>27</v>
      </c>
      <c r="E100" s="66" t="s">
        <v>100</v>
      </c>
      <c r="F100" s="66" t="s">
        <v>365</v>
      </c>
      <c r="G100" s="71" t="s">
        <v>282</v>
      </c>
      <c r="H100" s="67" t="s">
        <v>282</v>
      </c>
      <c r="I100" s="67" t="s">
        <v>15</v>
      </c>
      <c r="J100" s="67" t="s">
        <v>282</v>
      </c>
      <c r="K100" s="67" t="s">
        <v>282</v>
      </c>
      <c r="L100" s="67" t="s">
        <v>282</v>
      </c>
      <c r="M100" s="67" t="s">
        <v>282</v>
      </c>
      <c r="N100" s="67" t="s">
        <v>282</v>
      </c>
      <c r="O100" s="68" t="s">
        <v>15</v>
      </c>
      <c r="P100" s="68" t="s">
        <v>15</v>
      </c>
      <c r="Q100" s="68" t="s">
        <v>15</v>
      </c>
      <c r="R100" s="68" t="s">
        <v>282</v>
      </c>
      <c r="S100" s="68" t="s">
        <v>282</v>
      </c>
      <c r="T100" s="68" t="s">
        <v>282</v>
      </c>
      <c r="U100" s="68" t="s">
        <v>282</v>
      </c>
      <c r="V100" s="68" t="s">
        <v>282</v>
      </c>
      <c r="W100" s="69" t="s">
        <v>282</v>
      </c>
      <c r="X100" s="69" t="s">
        <v>282</v>
      </c>
      <c r="Y100" s="70" t="s">
        <v>282</v>
      </c>
    </row>
    <row r="101" spans="1:25">
      <c r="A101" s="64">
        <v>2</v>
      </c>
      <c r="B101" s="65" t="str">
        <f>VLOOKUP(Tabel10[[#This Row],[Code]],Ruimtegroepen[[Code]:[Ruimte omschrijving]],2,FALSE)</f>
        <v>Kantoren</v>
      </c>
      <c r="C101" s="66" t="s">
        <v>364</v>
      </c>
      <c r="D101" s="65" t="s">
        <v>27</v>
      </c>
      <c r="E101" s="66" t="s">
        <v>99</v>
      </c>
      <c r="F101" s="66" t="s">
        <v>366</v>
      </c>
      <c r="G101" s="71" t="s">
        <v>282</v>
      </c>
      <c r="H101" s="67" t="s">
        <v>15</v>
      </c>
      <c r="I101" s="67" t="s">
        <v>282</v>
      </c>
      <c r="J101" s="67" t="s">
        <v>282</v>
      </c>
      <c r="K101" s="67" t="s">
        <v>282</v>
      </c>
      <c r="L101" s="67" t="s">
        <v>282</v>
      </c>
      <c r="M101" s="67" t="s">
        <v>282</v>
      </c>
      <c r="N101" s="67" t="s">
        <v>282</v>
      </c>
      <c r="O101" s="68" t="s">
        <v>15</v>
      </c>
      <c r="P101" s="68" t="s">
        <v>15</v>
      </c>
      <c r="Q101" s="68" t="s">
        <v>15</v>
      </c>
      <c r="R101" s="68" t="s">
        <v>282</v>
      </c>
      <c r="S101" s="68" t="s">
        <v>282</v>
      </c>
      <c r="T101" s="68" t="s">
        <v>282</v>
      </c>
      <c r="U101" s="68" t="s">
        <v>282</v>
      </c>
      <c r="V101" s="68" t="s">
        <v>282</v>
      </c>
      <c r="W101" s="69" t="s">
        <v>282</v>
      </c>
      <c r="X101" s="69" t="s">
        <v>282</v>
      </c>
      <c r="Y101" s="70" t="s">
        <v>282</v>
      </c>
    </row>
    <row r="102" spans="1:25">
      <c r="A102" s="64">
        <v>2</v>
      </c>
      <c r="B102" s="65" t="str">
        <f>VLOOKUP(Tabel10[[#This Row],[Code]],Ruimtegroepen[[Code]:[Ruimte omschrijving]],2,FALSE)</f>
        <v>Kantoren</v>
      </c>
      <c r="C102" s="66" t="s">
        <v>364</v>
      </c>
      <c r="D102" s="65" t="s">
        <v>27</v>
      </c>
      <c r="E102" s="66" t="s">
        <v>101</v>
      </c>
      <c r="F102" s="66" t="s">
        <v>367</v>
      </c>
      <c r="G102" s="71" t="s">
        <v>282</v>
      </c>
      <c r="H102" s="67" t="s">
        <v>282</v>
      </c>
      <c r="I102" s="67" t="s">
        <v>15</v>
      </c>
      <c r="J102" s="67" t="s">
        <v>282</v>
      </c>
      <c r="K102" s="67" t="s">
        <v>282</v>
      </c>
      <c r="L102" s="67" t="s">
        <v>282</v>
      </c>
      <c r="M102" s="67" t="s">
        <v>282</v>
      </c>
      <c r="N102" s="67" t="s">
        <v>282</v>
      </c>
      <c r="O102" s="68" t="s">
        <v>15</v>
      </c>
      <c r="P102" s="68" t="s">
        <v>15</v>
      </c>
      <c r="Q102" s="68" t="s">
        <v>15</v>
      </c>
      <c r="R102" s="68" t="s">
        <v>282</v>
      </c>
      <c r="S102" s="68" t="s">
        <v>282</v>
      </c>
      <c r="T102" s="68" t="s">
        <v>282</v>
      </c>
      <c r="U102" s="68" t="s">
        <v>282</v>
      </c>
      <c r="V102" s="68" t="s">
        <v>282</v>
      </c>
      <c r="W102" s="69" t="s">
        <v>282</v>
      </c>
      <c r="X102" s="69" t="s">
        <v>282</v>
      </c>
      <c r="Y102" s="70" t="s">
        <v>282</v>
      </c>
    </row>
    <row r="103" spans="1:25">
      <c r="A103" s="64">
        <v>2</v>
      </c>
      <c r="B103" s="65" t="str">
        <f>VLOOKUP(Tabel10[[#This Row],[Code]],Ruimtegroepen[[Code]:[Ruimte omschrijving]],2,FALSE)</f>
        <v>Kantoren</v>
      </c>
      <c r="C103" s="66" t="s">
        <v>364</v>
      </c>
      <c r="D103" s="65" t="s">
        <v>27</v>
      </c>
      <c r="E103" s="66" t="s">
        <v>102</v>
      </c>
      <c r="F103" s="66" t="s">
        <v>368</v>
      </c>
      <c r="G103" s="71" t="s">
        <v>282</v>
      </c>
      <c r="H103" s="67" t="s">
        <v>282</v>
      </c>
      <c r="I103" s="67" t="s">
        <v>15</v>
      </c>
      <c r="J103" s="67" t="s">
        <v>282</v>
      </c>
      <c r="K103" s="67" t="s">
        <v>282</v>
      </c>
      <c r="L103" s="67" t="s">
        <v>282</v>
      </c>
      <c r="M103" s="67" t="s">
        <v>282</v>
      </c>
      <c r="N103" s="67" t="s">
        <v>282</v>
      </c>
      <c r="O103" s="68" t="s">
        <v>15</v>
      </c>
      <c r="P103" s="68" t="s">
        <v>15</v>
      </c>
      <c r="Q103" s="68" t="s">
        <v>15</v>
      </c>
      <c r="R103" s="68" t="s">
        <v>282</v>
      </c>
      <c r="S103" s="68" t="s">
        <v>282</v>
      </c>
      <c r="T103" s="68" t="s">
        <v>282</v>
      </c>
      <c r="U103" s="68" t="s">
        <v>282</v>
      </c>
      <c r="V103" s="68" t="s">
        <v>282</v>
      </c>
      <c r="W103" s="69" t="s">
        <v>282</v>
      </c>
      <c r="X103" s="69" t="s">
        <v>282</v>
      </c>
      <c r="Y103" s="70" t="s">
        <v>282</v>
      </c>
    </row>
    <row r="104" spans="1:25">
      <c r="A104" s="64">
        <v>2</v>
      </c>
      <c r="B104" s="65" t="str">
        <f>VLOOKUP(Tabel10[[#This Row],[Code]],Ruimtegroepen[[Code]:[Ruimte omschrijving]],2,FALSE)</f>
        <v>Kantoren</v>
      </c>
      <c r="C104" s="66" t="s">
        <v>364</v>
      </c>
      <c r="D104" s="65" t="s">
        <v>27</v>
      </c>
      <c r="E104" s="66" t="s">
        <v>99</v>
      </c>
      <c r="F104" s="66" t="s">
        <v>366</v>
      </c>
      <c r="G104" s="71" t="s">
        <v>282</v>
      </c>
      <c r="H104" s="67" t="s">
        <v>15</v>
      </c>
      <c r="I104" s="67" t="s">
        <v>282</v>
      </c>
      <c r="J104" s="67" t="s">
        <v>282</v>
      </c>
      <c r="K104" s="67" t="s">
        <v>282</v>
      </c>
      <c r="L104" s="67" t="s">
        <v>282</v>
      </c>
      <c r="M104" s="67" t="s">
        <v>282</v>
      </c>
      <c r="N104" s="67" t="s">
        <v>282</v>
      </c>
      <c r="O104" s="68" t="s">
        <v>15</v>
      </c>
      <c r="P104" s="68" t="s">
        <v>15</v>
      </c>
      <c r="Q104" s="68" t="s">
        <v>15</v>
      </c>
      <c r="R104" s="68" t="s">
        <v>282</v>
      </c>
      <c r="S104" s="68" t="s">
        <v>282</v>
      </c>
      <c r="T104" s="68" t="s">
        <v>282</v>
      </c>
      <c r="U104" s="68" t="s">
        <v>282</v>
      </c>
      <c r="V104" s="68" t="s">
        <v>282</v>
      </c>
      <c r="W104" s="69" t="s">
        <v>282</v>
      </c>
      <c r="X104" s="69" t="s">
        <v>282</v>
      </c>
      <c r="Y104" s="70" t="s">
        <v>282</v>
      </c>
    </row>
    <row r="105" spans="1:25">
      <c r="A105" s="64">
        <v>2</v>
      </c>
      <c r="B105" s="65" t="str">
        <f>VLOOKUP(Tabel10[[#This Row],[Code]],Ruimtegroepen[[Code]:[Ruimte omschrijving]],2,FALSE)</f>
        <v>Kantoren</v>
      </c>
      <c r="C105" s="66" t="s">
        <v>364</v>
      </c>
      <c r="D105" s="65" t="s">
        <v>27</v>
      </c>
      <c r="E105" s="66" t="s">
        <v>1309</v>
      </c>
      <c r="F105" s="66" t="s">
        <v>1335</v>
      </c>
      <c r="G105" s="71" t="s">
        <v>282</v>
      </c>
      <c r="H105" s="67" t="s">
        <v>282</v>
      </c>
      <c r="I105" s="67" t="s">
        <v>15</v>
      </c>
      <c r="J105" s="67" t="s">
        <v>282</v>
      </c>
      <c r="K105" s="67" t="s">
        <v>282</v>
      </c>
      <c r="L105" s="67" t="s">
        <v>282</v>
      </c>
      <c r="M105" s="67" t="s">
        <v>282</v>
      </c>
      <c r="N105" s="67" t="s">
        <v>282</v>
      </c>
      <c r="O105" s="68" t="s">
        <v>15</v>
      </c>
      <c r="P105" s="68" t="s">
        <v>15</v>
      </c>
      <c r="Q105" s="68" t="s">
        <v>15</v>
      </c>
      <c r="R105" s="68" t="s">
        <v>282</v>
      </c>
      <c r="S105" s="68" t="s">
        <v>282</v>
      </c>
      <c r="T105" s="68" t="s">
        <v>282</v>
      </c>
      <c r="U105" s="68" t="s">
        <v>282</v>
      </c>
      <c r="V105" s="68" t="s">
        <v>282</v>
      </c>
      <c r="W105" s="69" t="s">
        <v>282</v>
      </c>
      <c r="X105" s="69" t="s">
        <v>282</v>
      </c>
      <c r="Y105" s="70" t="s">
        <v>282</v>
      </c>
    </row>
    <row r="106" spans="1:25">
      <c r="A106" s="64">
        <v>2</v>
      </c>
      <c r="B106" s="65" t="str">
        <f>VLOOKUP(Tabel10[[#This Row],[Code]],Ruimtegroepen[[Code]:[Ruimte omschrijving]],2,FALSE)</f>
        <v>Kantoren</v>
      </c>
      <c r="C106" s="66" t="s">
        <v>369</v>
      </c>
      <c r="D106" s="65" t="s">
        <v>28</v>
      </c>
      <c r="E106" s="66" t="s">
        <v>100</v>
      </c>
      <c r="F106" s="66" t="s">
        <v>370</v>
      </c>
      <c r="G106" s="71" t="s">
        <v>282</v>
      </c>
      <c r="H106" s="67" t="s">
        <v>282</v>
      </c>
      <c r="I106" s="67" t="s">
        <v>17</v>
      </c>
      <c r="J106" s="67" t="s">
        <v>282</v>
      </c>
      <c r="K106" s="67" t="s">
        <v>282</v>
      </c>
      <c r="L106" s="67" t="s">
        <v>282</v>
      </c>
      <c r="M106" s="67" t="s">
        <v>282</v>
      </c>
      <c r="N106" s="67" t="s">
        <v>282</v>
      </c>
      <c r="O106" s="68" t="s">
        <v>17</v>
      </c>
      <c r="P106" s="68" t="s">
        <v>17</v>
      </c>
      <c r="Q106" s="68" t="s">
        <v>15</v>
      </c>
      <c r="R106" s="68" t="s">
        <v>282</v>
      </c>
      <c r="S106" s="68" t="s">
        <v>282</v>
      </c>
      <c r="T106" s="68" t="s">
        <v>282</v>
      </c>
      <c r="U106" s="68" t="s">
        <v>282</v>
      </c>
      <c r="V106" s="68" t="s">
        <v>282</v>
      </c>
      <c r="W106" s="69" t="s">
        <v>282</v>
      </c>
      <c r="X106" s="69" t="s">
        <v>282</v>
      </c>
      <c r="Y106" s="70" t="s">
        <v>282</v>
      </c>
    </row>
    <row r="107" spans="1:25">
      <c r="A107" s="64">
        <v>2</v>
      </c>
      <c r="B107" s="65" t="str">
        <f>VLOOKUP(Tabel10[[#This Row],[Code]],Ruimtegroepen[[Code]:[Ruimte omschrijving]],2,FALSE)</f>
        <v>Kantoren</v>
      </c>
      <c r="C107" s="66" t="s">
        <v>369</v>
      </c>
      <c r="D107" s="65" t="s">
        <v>28</v>
      </c>
      <c r="E107" s="66" t="s">
        <v>99</v>
      </c>
      <c r="F107" s="66" t="s">
        <v>371</v>
      </c>
      <c r="G107" s="71" t="s">
        <v>282</v>
      </c>
      <c r="H107" s="67" t="s">
        <v>17</v>
      </c>
      <c r="I107" s="67" t="s">
        <v>282</v>
      </c>
      <c r="J107" s="67" t="s">
        <v>282</v>
      </c>
      <c r="K107" s="67" t="s">
        <v>282</v>
      </c>
      <c r="L107" s="67" t="s">
        <v>282</v>
      </c>
      <c r="M107" s="67" t="s">
        <v>282</v>
      </c>
      <c r="N107" s="67" t="s">
        <v>282</v>
      </c>
      <c r="O107" s="68" t="s">
        <v>17</v>
      </c>
      <c r="P107" s="68" t="s">
        <v>17</v>
      </c>
      <c r="Q107" s="68" t="s">
        <v>15</v>
      </c>
      <c r="R107" s="68" t="s">
        <v>282</v>
      </c>
      <c r="S107" s="68" t="s">
        <v>282</v>
      </c>
      <c r="T107" s="68" t="s">
        <v>282</v>
      </c>
      <c r="U107" s="68" t="s">
        <v>282</v>
      </c>
      <c r="V107" s="68" t="s">
        <v>282</v>
      </c>
      <c r="W107" s="69" t="s">
        <v>282</v>
      </c>
      <c r="X107" s="69" t="s">
        <v>282</v>
      </c>
      <c r="Y107" s="70" t="s">
        <v>282</v>
      </c>
    </row>
    <row r="108" spans="1:25">
      <c r="A108" s="64">
        <v>2</v>
      </c>
      <c r="B108" s="65" t="str">
        <f>VLOOKUP(Tabel10[[#This Row],[Code]],Ruimtegroepen[[Code]:[Ruimte omschrijving]],2,FALSE)</f>
        <v>Kantoren</v>
      </c>
      <c r="C108" s="66" t="s">
        <v>369</v>
      </c>
      <c r="D108" s="65" t="s">
        <v>28</v>
      </c>
      <c r="E108" s="66" t="s">
        <v>101</v>
      </c>
      <c r="F108" s="66" t="s">
        <v>372</v>
      </c>
      <c r="G108" s="71" t="s">
        <v>282</v>
      </c>
      <c r="H108" s="67" t="s">
        <v>282</v>
      </c>
      <c r="I108" s="67" t="s">
        <v>17</v>
      </c>
      <c r="J108" s="67" t="s">
        <v>282</v>
      </c>
      <c r="K108" s="67" t="s">
        <v>282</v>
      </c>
      <c r="L108" s="67" t="s">
        <v>282</v>
      </c>
      <c r="M108" s="67" t="s">
        <v>282</v>
      </c>
      <c r="N108" s="67" t="s">
        <v>282</v>
      </c>
      <c r="O108" s="68" t="s">
        <v>17</v>
      </c>
      <c r="P108" s="68" t="s">
        <v>17</v>
      </c>
      <c r="Q108" s="68" t="s">
        <v>15</v>
      </c>
      <c r="R108" s="68" t="s">
        <v>282</v>
      </c>
      <c r="S108" s="68" t="s">
        <v>282</v>
      </c>
      <c r="T108" s="68" t="s">
        <v>282</v>
      </c>
      <c r="U108" s="68" t="s">
        <v>282</v>
      </c>
      <c r="V108" s="68" t="s">
        <v>282</v>
      </c>
      <c r="W108" s="69" t="s">
        <v>282</v>
      </c>
      <c r="X108" s="69" t="s">
        <v>282</v>
      </c>
      <c r="Y108" s="70" t="s">
        <v>282</v>
      </c>
    </row>
    <row r="109" spans="1:25">
      <c r="A109" s="64">
        <v>2</v>
      </c>
      <c r="B109" s="65" t="str">
        <f>VLOOKUP(Tabel10[[#This Row],[Code]],Ruimtegroepen[[Code]:[Ruimte omschrijving]],2,FALSE)</f>
        <v>Kantoren</v>
      </c>
      <c r="C109" s="66" t="s">
        <v>369</v>
      </c>
      <c r="D109" s="65" t="s">
        <v>28</v>
      </c>
      <c r="E109" s="66" t="s">
        <v>102</v>
      </c>
      <c r="F109" s="66" t="s">
        <v>373</v>
      </c>
      <c r="G109" s="71" t="s">
        <v>282</v>
      </c>
      <c r="H109" s="67" t="s">
        <v>282</v>
      </c>
      <c r="I109" s="67" t="s">
        <v>17</v>
      </c>
      <c r="J109" s="67" t="s">
        <v>282</v>
      </c>
      <c r="K109" s="67" t="s">
        <v>282</v>
      </c>
      <c r="L109" s="67" t="s">
        <v>282</v>
      </c>
      <c r="M109" s="67" t="s">
        <v>282</v>
      </c>
      <c r="N109" s="67" t="s">
        <v>282</v>
      </c>
      <c r="O109" s="68" t="s">
        <v>17</v>
      </c>
      <c r="P109" s="68" t="s">
        <v>17</v>
      </c>
      <c r="Q109" s="68" t="s">
        <v>15</v>
      </c>
      <c r="R109" s="68" t="s">
        <v>282</v>
      </c>
      <c r="S109" s="68" t="s">
        <v>282</v>
      </c>
      <c r="T109" s="68" t="s">
        <v>282</v>
      </c>
      <c r="U109" s="68" t="s">
        <v>282</v>
      </c>
      <c r="V109" s="68" t="s">
        <v>282</v>
      </c>
      <c r="W109" s="69" t="s">
        <v>282</v>
      </c>
      <c r="X109" s="69" t="s">
        <v>282</v>
      </c>
      <c r="Y109" s="70" t="s">
        <v>282</v>
      </c>
    </row>
    <row r="110" spans="1:25">
      <c r="A110" s="64">
        <v>2</v>
      </c>
      <c r="B110" s="65" t="str">
        <f>VLOOKUP(Tabel10[[#This Row],[Code]],Ruimtegroepen[[Code]:[Ruimte omschrijving]],2,FALSE)</f>
        <v>Kantoren</v>
      </c>
      <c r="C110" s="66" t="s">
        <v>369</v>
      </c>
      <c r="D110" s="65" t="s">
        <v>28</v>
      </c>
      <c r="E110" s="66" t="s">
        <v>99</v>
      </c>
      <c r="F110" s="66" t="s">
        <v>371</v>
      </c>
      <c r="G110" s="71" t="s">
        <v>282</v>
      </c>
      <c r="H110" s="67" t="s">
        <v>17</v>
      </c>
      <c r="I110" s="67" t="s">
        <v>282</v>
      </c>
      <c r="J110" s="67" t="s">
        <v>282</v>
      </c>
      <c r="K110" s="67" t="s">
        <v>282</v>
      </c>
      <c r="L110" s="67" t="s">
        <v>282</v>
      </c>
      <c r="M110" s="67" t="s">
        <v>282</v>
      </c>
      <c r="N110" s="67" t="s">
        <v>282</v>
      </c>
      <c r="O110" s="68" t="s">
        <v>17</v>
      </c>
      <c r="P110" s="68" t="s">
        <v>17</v>
      </c>
      <c r="Q110" s="68" t="s">
        <v>15</v>
      </c>
      <c r="R110" s="68" t="s">
        <v>282</v>
      </c>
      <c r="S110" s="68" t="s">
        <v>282</v>
      </c>
      <c r="T110" s="68" t="s">
        <v>282</v>
      </c>
      <c r="U110" s="68" t="s">
        <v>282</v>
      </c>
      <c r="V110" s="68" t="s">
        <v>282</v>
      </c>
      <c r="W110" s="69" t="s">
        <v>282</v>
      </c>
      <c r="X110" s="69" t="s">
        <v>282</v>
      </c>
      <c r="Y110" s="70" t="s">
        <v>282</v>
      </c>
    </row>
    <row r="111" spans="1:25">
      <c r="A111" s="64">
        <v>2</v>
      </c>
      <c r="B111" s="65" t="str">
        <f>VLOOKUP(Tabel10[[#This Row],[Code]],Ruimtegroepen[[Code]:[Ruimte omschrijving]],2,FALSE)</f>
        <v>Kantoren</v>
      </c>
      <c r="C111" s="66" t="s">
        <v>369</v>
      </c>
      <c r="D111" s="65" t="s">
        <v>28</v>
      </c>
      <c r="E111" s="66" t="s">
        <v>1309</v>
      </c>
      <c r="F111" s="66" t="s">
        <v>1336</v>
      </c>
      <c r="G111" s="71" t="s">
        <v>282</v>
      </c>
      <c r="H111" s="67" t="s">
        <v>282</v>
      </c>
      <c r="I111" s="67" t="s">
        <v>17</v>
      </c>
      <c r="J111" s="67" t="s">
        <v>282</v>
      </c>
      <c r="K111" s="67" t="s">
        <v>282</v>
      </c>
      <c r="L111" s="67" t="s">
        <v>282</v>
      </c>
      <c r="M111" s="67" t="s">
        <v>282</v>
      </c>
      <c r="N111" s="67" t="s">
        <v>282</v>
      </c>
      <c r="O111" s="68" t="s">
        <v>17</v>
      </c>
      <c r="P111" s="68" t="s">
        <v>17</v>
      </c>
      <c r="Q111" s="68" t="s">
        <v>15</v>
      </c>
      <c r="R111" s="68" t="s">
        <v>282</v>
      </c>
      <c r="S111" s="68" t="s">
        <v>282</v>
      </c>
      <c r="T111" s="68" t="s">
        <v>282</v>
      </c>
      <c r="U111" s="68" t="s">
        <v>282</v>
      </c>
      <c r="V111" s="68" t="s">
        <v>282</v>
      </c>
      <c r="W111" s="69" t="s">
        <v>282</v>
      </c>
      <c r="X111" s="69" t="s">
        <v>282</v>
      </c>
      <c r="Y111" s="70" t="s">
        <v>282</v>
      </c>
    </row>
    <row r="112" spans="1:25">
      <c r="A112" s="64">
        <v>3</v>
      </c>
      <c r="B112" s="65" t="str">
        <f>VLOOKUP(Tabel10[[#This Row],[Code]],Ruimtegroepen[[Code]:[Ruimte omschrijving]],2,FALSE)</f>
        <v>Reproruimte</v>
      </c>
      <c r="C112" s="66" t="s">
        <v>374</v>
      </c>
      <c r="D112" s="65" t="s">
        <v>29</v>
      </c>
      <c r="E112" s="66" t="s">
        <v>100</v>
      </c>
      <c r="F112" s="66" t="s">
        <v>375</v>
      </c>
      <c r="G112" s="71" t="s">
        <v>282</v>
      </c>
      <c r="H112" s="67" t="s">
        <v>282</v>
      </c>
      <c r="I112" s="67" t="s">
        <v>20</v>
      </c>
      <c r="J112" s="67" t="s">
        <v>15</v>
      </c>
      <c r="K112" s="67" t="s">
        <v>282</v>
      </c>
      <c r="L112" s="67" t="s">
        <v>282</v>
      </c>
      <c r="M112" s="67" t="s">
        <v>282</v>
      </c>
      <c r="N112" s="67" t="s">
        <v>2</v>
      </c>
      <c r="O112" s="68" t="s">
        <v>2</v>
      </c>
      <c r="P112" s="68" t="s">
        <v>2</v>
      </c>
      <c r="Q112" s="68" t="s">
        <v>15</v>
      </c>
      <c r="R112" s="68" t="s">
        <v>15</v>
      </c>
      <c r="S112" s="68" t="s">
        <v>16</v>
      </c>
      <c r="T112" s="68" t="s">
        <v>283</v>
      </c>
      <c r="U112" s="68" t="s">
        <v>249</v>
      </c>
      <c r="V112" s="68" t="s">
        <v>2</v>
      </c>
      <c r="W112" s="69" t="s">
        <v>282</v>
      </c>
      <c r="X112" s="69" t="s">
        <v>282</v>
      </c>
      <c r="Y112" s="70" t="s">
        <v>282</v>
      </c>
    </row>
    <row r="113" spans="1:25">
      <c r="A113" s="64">
        <v>3</v>
      </c>
      <c r="B113" s="65" t="str">
        <f>VLOOKUP(Tabel10[[#This Row],[Code]],Ruimtegroepen[[Code]:[Ruimte omschrijving]],2,FALSE)</f>
        <v>Reproruimte</v>
      </c>
      <c r="C113" s="66" t="s">
        <v>374</v>
      </c>
      <c r="D113" s="65" t="s">
        <v>29</v>
      </c>
      <c r="E113" s="66" t="s">
        <v>99</v>
      </c>
      <c r="F113" s="66" t="s">
        <v>376</v>
      </c>
      <c r="G113" s="67" t="s">
        <v>20</v>
      </c>
      <c r="H113" s="67" t="s">
        <v>15</v>
      </c>
      <c r="I113" s="67" t="s">
        <v>282</v>
      </c>
      <c r="J113" s="67" t="s">
        <v>282</v>
      </c>
      <c r="K113" s="67" t="s">
        <v>282</v>
      </c>
      <c r="L113" s="67" t="s">
        <v>282</v>
      </c>
      <c r="M113" s="67" t="s">
        <v>282</v>
      </c>
      <c r="N113" s="67" t="s">
        <v>2</v>
      </c>
      <c r="O113" s="68" t="s">
        <v>2</v>
      </c>
      <c r="P113" s="68" t="s">
        <v>2</v>
      </c>
      <c r="Q113" s="68" t="s">
        <v>15</v>
      </c>
      <c r="R113" s="68" t="s">
        <v>15</v>
      </c>
      <c r="S113" s="68" t="s">
        <v>16</v>
      </c>
      <c r="T113" s="68" t="s">
        <v>283</v>
      </c>
      <c r="U113" s="68" t="s">
        <v>249</v>
      </c>
      <c r="V113" s="68" t="s">
        <v>2</v>
      </c>
      <c r="W113" s="69" t="s">
        <v>282</v>
      </c>
      <c r="X113" s="69" t="s">
        <v>282</v>
      </c>
      <c r="Y113" s="70" t="s">
        <v>282</v>
      </c>
    </row>
    <row r="114" spans="1:25">
      <c r="A114" s="64">
        <v>3</v>
      </c>
      <c r="B114" s="65" t="str">
        <f>VLOOKUP(Tabel10[[#This Row],[Code]],Ruimtegroepen[[Code]:[Ruimte omschrijving]],2,FALSE)</f>
        <v>Reproruimte</v>
      </c>
      <c r="C114" s="66" t="s">
        <v>374</v>
      </c>
      <c r="D114" s="65" t="s">
        <v>29</v>
      </c>
      <c r="E114" s="66" t="s">
        <v>101</v>
      </c>
      <c r="F114" s="66" t="s">
        <v>377</v>
      </c>
      <c r="G114" s="71" t="s">
        <v>282</v>
      </c>
      <c r="H114" s="67" t="s">
        <v>282</v>
      </c>
      <c r="I114" s="67" t="s">
        <v>20</v>
      </c>
      <c r="J114" s="67" t="s">
        <v>15</v>
      </c>
      <c r="K114" s="67" t="s">
        <v>329</v>
      </c>
      <c r="L114" s="67" t="s">
        <v>282</v>
      </c>
      <c r="M114" s="67" t="s">
        <v>282</v>
      </c>
      <c r="N114" s="67" t="s">
        <v>2</v>
      </c>
      <c r="O114" s="68" t="s">
        <v>2</v>
      </c>
      <c r="P114" s="68" t="s">
        <v>2</v>
      </c>
      <c r="Q114" s="68" t="s">
        <v>15</v>
      </c>
      <c r="R114" s="68" t="s">
        <v>15</v>
      </c>
      <c r="S114" s="68" t="s">
        <v>16</v>
      </c>
      <c r="T114" s="68" t="s">
        <v>283</v>
      </c>
      <c r="U114" s="68" t="s">
        <v>249</v>
      </c>
      <c r="V114" s="68" t="s">
        <v>2</v>
      </c>
      <c r="W114" s="69" t="s">
        <v>282</v>
      </c>
      <c r="X114" s="69" t="s">
        <v>282</v>
      </c>
      <c r="Y114" s="70" t="s">
        <v>282</v>
      </c>
    </row>
    <row r="115" spans="1:25">
      <c r="A115" s="64">
        <v>3</v>
      </c>
      <c r="B115" s="65" t="str">
        <f>VLOOKUP(Tabel10[[#This Row],[Code]],Ruimtegroepen[[Code]:[Ruimte omschrijving]],2,FALSE)</f>
        <v>Reproruimte</v>
      </c>
      <c r="C115" s="66" t="s">
        <v>374</v>
      </c>
      <c r="D115" s="65" t="s">
        <v>29</v>
      </c>
      <c r="E115" s="66" t="s">
        <v>102</v>
      </c>
      <c r="F115" s="66" t="s">
        <v>378</v>
      </c>
      <c r="G115" s="71" t="s">
        <v>282</v>
      </c>
      <c r="H115" s="67" t="s">
        <v>282</v>
      </c>
      <c r="I115" s="67" t="s">
        <v>20</v>
      </c>
      <c r="J115" s="67" t="s">
        <v>15</v>
      </c>
      <c r="K115" s="67" t="s">
        <v>329</v>
      </c>
      <c r="L115" s="67" t="s">
        <v>282</v>
      </c>
      <c r="M115" s="67" t="s">
        <v>282</v>
      </c>
      <c r="N115" s="67" t="s">
        <v>2</v>
      </c>
      <c r="O115" s="68" t="s">
        <v>2</v>
      </c>
      <c r="P115" s="68" t="s">
        <v>2</v>
      </c>
      <c r="Q115" s="68" t="s">
        <v>15</v>
      </c>
      <c r="R115" s="68" t="s">
        <v>15</v>
      </c>
      <c r="S115" s="68" t="s">
        <v>16</v>
      </c>
      <c r="T115" s="68" t="s">
        <v>283</v>
      </c>
      <c r="U115" s="68" t="s">
        <v>249</v>
      </c>
      <c r="V115" s="68" t="s">
        <v>2</v>
      </c>
      <c r="W115" s="69" t="s">
        <v>282</v>
      </c>
      <c r="X115" s="69" t="s">
        <v>282</v>
      </c>
      <c r="Y115" s="70" t="s">
        <v>282</v>
      </c>
    </row>
    <row r="116" spans="1:25">
      <c r="A116" s="64">
        <v>3</v>
      </c>
      <c r="B116" s="65" t="str">
        <f>VLOOKUP(Tabel10[[#This Row],[Code]],Ruimtegroepen[[Code]:[Ruimte omschrijving]],2,FALSE)</f>
        <v>Reproruimte</v>
      </c>
      <c r="C116" s="66" t="s">
        <v>374</v>
      </c>
      <c r="D116" s="65" t="s">
        <v>29</v>
      </c>
      <c r="E116" s="66" t="s">
        <v>99</v>
      </c>
      <c r="F116" s="66" t="s">
        <v>376</v>
      </c>
      <c r="G116" s="67" t="s">
        <v>20</v>
      </c>
      <c r="H116" s="67" t="s">
        <v>15</v>
      </c>
      <c r="I116" s="67" t="s">
        <v>282</v>
      </c>
      <c r="J116" s="67" t="s">
        <v>282</v>
      </c>
      <c r="K116" s="67" t="s">
        <v>282</v>
      </c>
      <c r="L116" s="67" t="s">
        <v>282</v>
      </c>
      <c r="M116" s="67" t="s">
        <v>282</v>
      </c>
      <c r="N116" s="67" t="s">
        <v>282</v>
      </c>
      <c r="O116" s="68" t="s">
        <v>282</v>
      </c>
      <c r="P116" s="68" t="s">
        <v>282</v>
      </c>
      <c r="Q116" s="68" t="s">
        <v>282</v>
      </c>
      <c r="R116" s="68" t="s">
        <v>282</v>
      </c>
      <c r="S116" s="68" t="s">
        <v>282</v>
      </c>
      <c r="T116" s="68" t="s">
        <v>282</v>
      </c>
      <c r="U116" s="68" t="s">
        <v>282</v>
      </c>
      <c r="V116" s="68" t="s">
        <v>282</v>
      </c>
      <c r="W116" s="69" t="s">
        <v>282</v>
      </c>
      <c r="X116" s="69" t="s">
        <v>282</v>
      </c>
      <c r="Y116" s="70" t="s">
        <v>282</v>
      </c>
    </row>
    <row r="117" spans="1:25">
      <c r="A117" s="64">
        <v>3</v>
      </c>
      <c r="B117" s="65" t="str">
        <f>VLOOKUP(Tabel10[[#This Row],[Code]],Ruimtegroepen[[Code]:[Ruimte omschrijving]],2,FALSE)</f>
        <v>Reproruimte</v>
      </c>
      <c r="C117" s="66" t="s">
        <v>374</v>
      </c>
      <c r="D117" s="65" t="s">
        <v>29</v>
      </c>
      <c r="E117" s="66" t="s">
        <v>1309</v>
      </c>
      <c r="F117" s="66" t="s">
        <v>1337</v>
      </c>
      <c r="G117" s="71" t="s">
        <v>282</v>
      </c>
      <c r="H117" s="67" t="s">
        <v>282</v>
      </c>
      <c r="I117" s="67" t="s">
        <v>20</v>
      </c>
      <c r="J117" s="67" t="s">
        <v>15</v>
      </c>
      <c r="K117" s="67" t="s">
        <v>329</v>
      </c>
      <c r="L117" s="67" t="s">
        <v>282</v>
      </c>
      <c r="M117" s="67" t="s">
        <v>282</v>
      </c>
      <c r="N117" s="67" t="s">
        <v>2</v>
      </c>
      <c r="O117" s="68" t="s">
        <v>2</v>
      </c>
      <c r="P117" s="68" t="s">
        <v>2</v>
      </c>
      <c r="Q117" s="68" t="s">
        <v>15</v>
      </c>
      <c r="R117" s="68" t="s">
        <v>15</v>
      </c>
      <c r="S117" s="68" t="s">
        <v>16</v>
      </c>
      <c r="T117" s="68" t="s">
        <v>283</v>
      </c>
      <c r="U117" s="68" t="s">
        <v>249</v>
      </c>
      <c r="V117" s="68" t="s">
        <v>2</v>
      </c>
      <c r="W117" s="69" t="s">
        <v>282</v>
      </c>
      <c r="X117" s="69" t="s">
        <v>282</v>
      </c>
      <c r="Y117" s="70" t="s">
        <v>282</v>
      </c>
    </row>
    <row r="118" spans="1:25">
      <c r="A118" s="64">
        <v>3</v>
      </c>
      <c r="B118" s="65" t="str">
        <f>VLOOKUP(Tabel10[[#This Row],[Code]],Ruimtegroepen[[Code]:[Ruimte omschrijving]],2,FALSE)</f>
        <v>Reproruimte</v>
      </c>
      <c r="C118" s="66" t="s">
        <v>379</v>
      </c>
      <c r="D118" s="65" t="s">
        <v>1</v>
      </c>
      <c r="E118" s="66" t="s">
        <v>100</v>
      </c>
      <c r="F118" s="66" t="s">
        <v>380</v>
      </c>
      <c r="G118" s="71" t="s">
        <v>282</v>
      </c>
      <c r="H118" s="67" t="s">
        <v>282</v>
      </c>
      <c r="I118" s="67" t="s">
        <v>20</v>
      </c>
      <c r="J118" s="67" t="s">
        <v>15</v>
      </c>
      <c r="K118" s="67" t="s">
        <v>282</v>
      </c>
      <c r="L118" s="67" t="s">
        <v>282</v>
      </c>
      <c r="M118" s="67" t="s">
        <v>282</v>
      </c>
      <c r="N118" s="67" t="s">
        <v>282</v>
      </c>
      <c r="O118" s="68" t="s">
        <v>2</v>
      </c>
      <c r="P118" s="68" t="s">
        <v>2</v>
      </c>
      <c r="Q118" s="68" t="s">
        <v>15</v>
      </c>
      <c r="R118" s="68" t="s">
        <v>15</v>
      </c>
      <c r="S118" s="68" t="s">
        <v>16</v>
      </c>
      <c r="T118" s="68" t="s">
        <v>283</v>
      </c>
      <c r="U118" s="68" t="s">
        <v>249</v>
      </c>
      <c r="V118" s="68" t="s">
        <v>282</v>
      </c>
      <c r="W118" s="69" t="s">
        <v>282</v>
      </c>
      <c r="X118" s="69" t="s">
        <v>282</v>
      </c>
      <c r="Y118" s="70" t="s">
        <v>282</v>
      </c>
    </row>
    <row r="119" spans="1:25">
      <c r="A119" s="64">
        <v>3</v>
      </c>
      <c r="B119" s="65" t="str">
        <f>VLOOKUP(Tabel10[[#This Row],[Code]],Ruimtegroepen[[Code]:[Ruimte omschrijving]],2,FALSE)</f>
        <v>Reproruimte</v>
      </c>
      <c r="C119" s="66" t="s">
        <v>379</v>
      </c>
      <c r="D119" s="65" t="s">
        <v>1</v>
      </c>
      <c r="E119" s="66" t="s">
        <v>99</v>
      </c>
      <c r="F119" s="66" t="s">
        <v>381</v>
      </c>
      <c r="G119" s="67" t="s">
        <v>20</v>
      </c>
      <c r="H119" s="67" t="s">
        <v>15</v>
      </c>
      <c r="I119" s="67" t="s">
        <v>282</v>
      </c>
      <c r="J119" s="67" t="s">
        <v>282</v>
      </c>
      <c r="K119" s="67" t="s">
        <v>282</v>
      </c>
      <c r="L119" s="67" t="s">
        <v>282</v>
      </c>
      <c r="M119" s="67" t="s">
        <v>282</v>
      </c>
      <c r="N119" s="67" t="s">
        <v>282</v>
      </c>
      <c r="O119" s="68" t="s">
        <v>2</v>
      </c>
      <c r="P119" s="68" t="s">
        <v>2</v>
      </c>
      <c r="Q119" s="68" t="s">
        <v>15</v>
      </c>
      <c r="R119" s="68" t="s">
        <v>15</v>
      </c>
      <c r="S119" s="68" t="s">
        <v>16</v>
      </c>
      <c r="T119" s="68" t="s">
        <v>283</v>
      </c>
      <c r="U119" s="68" t="s">
        <v>249</v>
      </c>
      <c r="V119" s="68" t="s">
        <v>282</v>
      </c>
      <c r="W119" s="69" t="s">
        <v>282</v>
      </c>
      <c r="X119" s="69" t="s">
        <v>282</v>
      </c>
      <c r="Y119" s="70" t="s">
        <v>282</v>
      </c>
    </row>
    <row r="120" spans="1:25">
      <c r="A120" s="64">
        <v>3</v>
      </c>
      <c r="B120" s="65" t="str">
        <f>VLOOKUP(Tabel10[[#This Row],[Code]],Ruimtegroepen[[Code]:[Ruimte omschrijving]],2,FALSE)</f>
        <v>Reproruimte</v>
      </c>
      <c r="C120" s="66" t="s">
        <v>379</v>
      </c>
      <c r="D120" s="65" t="s">
        <v>1</v>
      </c>
      <c r="E120" s="66" t="s">
        <v>101</v>
      </c>
      <c r="F120" s="66" t="s">
        <v>382</v>
      </c>
      <c r="G120" s="71" t="s">
        <v>282</v>
      </c>
      <c r="H120" s="67" t="s">
        <v>282</v>
      </c>
      <c r="I120" s="67" t="s">
        <v>20</v>
      </c>
      <c r="J120" s="67" t="s">
        <v>15</v>
      </c>
      <c r="K120" s="67" t="s">
        <v>329</v>
      </c>
      <c r="L120" s="67" t="s">
        <v>282</v>
      </c>
      <c r="M120" s="67" t="s">
        <v>282</v>
      </c>
      <c r="N120" s="67" t="s">
        <v>282</v>
      </c>
      <c r="O120" s="68" t="s">
        <v>2</v>
      </c>
      <c r="P120" s="68" t="s">
        <v>2</v>
      </c>
      <c r="Q120" s="68" t="s">
        <v>15</v>
      </c>
      <c r="R120" s="68" t="s">
        <v>15</v>
      </c>
      <c r="S120" s="68" t="s">
        <v>16</v>
      </c>
      <c r="T120" s="68" t="s">
        <v>283</v>
      </c>
      <c r="U120" s="68" t="s">
        <v>249</v>
      </c>
      <c r="V120" s="68" t="s">
        <v>282</v>
      </c>
      <c r="W120" s="69" t="s">
        <v>282</v>
      </c>
      <c r="X120" s="69" t="s">
        <v>282</v>
      </c>
      <c r="Y120" s="70" t="s">
        <v>282</v>
      </c>
    </row>
    <row r="121" spans="1:25">
      <c r="A121" s="64">
        <v>3</v>
      </c>
      <c r="B121" s="65" t="str">
        <f>VLOOKUP(Tabel10[[#This Row],[Code]],Ruimtegroepen[[Code]:[Ruimte omschrijving]],2,FALSE)</f>
        <v>Reproruimte</v>
      </c>
      <c r="C121" s="66" t="s">
        <v>379</v>
      </c>
      <c r="D121" s="65" t="s">
        <v>1</v>
      </c>
      <c r="E121" s="66" t="s">
        <v>102</v>
      </c>
      <c r="F121" s="66" t="s">
        <v>383</v>
      </c>
      <c r="G121" s="71" t="s">
        <v>282</v>
      </c>
      <c r="H121" s="67" t="s">
        <v>282</v>
      </c>
      <c r="I121" s="67" t="s">
        <v>20</v>
      </c>
      <c r="J121" s="67" t="s">
        <v>15</v>
      </c>
      <c r="K121" s="67" t="s">
        <v>329</v>
      </c>
      <c r="L121" s="67" t="s">
        <v>282</v>
      </c>
      <c r="M121" s="67" t="s">
        <v>282</v>
      </c>
      <c r="N121" s="67" t="s">
        <v>282</v>
      </c>
      <c r="O121" s="68" t="s">
        <v>2</v>
      </c>
      <c r="P121" s="68" t="s">
        <v>2</v>
      </c>
      <c r="Q121" s="68" t="s">
        <v>15</v>
      </c>
      <c r="R121" s="68" t="s">
        <v>15</v>
      </c>
      <c r="S121" s="68" t="s">
        <v>16</v>
      </c>
      <c r="T121" s="68" t="s">
        <v>283</v>
      </c>
      <c r="U121" s="68" t="s">
        <v>249</v>
      </c>
      <c r="V121" s="68" t="s">
        <v>282</v>
      </c>
      <c r="W121" s="69" t="s">
        <v>282</v>
      </c>
      <c r="X121" s="69" t="s">
        <v>282</v>
      </c>
      <c r="Y121" s="70" t="s">
        <v>282</v>
      </c>
    </row>
    <row r="122" spans="1:25">
      <c r="A122" s="64">
        <v>3</v>
      </c>
      <c r="B122" s="65" t="str">
        <f>VLOOKUP(Tabel10[[#This Row],[Code]],Ruimtegroepen[[Code]:[Ruimte omschrijving]],2,FALSE)</f>
        <v>Reproruimte</v>
      </c>
      <c r="C122" s="66" t="s">
        <v>379</v>
      </c>
      <c r="D122" s="65" t="s">
        <v>1</v>
      </c>
      <c r="E122" s="66" t="s">
        <v>99</v>
      </c>
      <c r="F122" s="66" t="s">
        <v>381</v>
      </c>
      <c r="G122" s="67" t="s">
        <v>20</v>
      </c>
      <c r="H122" s="67" t="s">
        <v>15</v>
      </c>
      <c r="I122" s="67" t="s">
        <v>282</v>
      </c>
      <c r="J122" s="67" t="s">
        <v>282</v>
      </c>
      <c r="K122" s="67" t="s">
        <v>282</v>
      </c>
      <c r="L122" s="67" t="s">
        <v>282</v>
      </c>
      <c r="M122" s="67" t="s">
        <v>282</v>
      </c>
      <c r="N122" s="67" t="s">
        <v>282</v>
      </c>
      <c r="O122" s="68" t="s">
        <v>282</v>
      </c>
      <c r="P122" s="68" t="s">
        <v>282</v>
      </c>
      <c r="Q122" s="68" t="s">
        <v>282</v>
      </c>
      <c r="R122" s="68" t="s">
        <v>282</v>
      </c>
      <c r="S122" s="68" t="s">
        <v>282</v>
      </c>
      <c r="T122" s="68" t="s">
        <v>282</v>
      </c>
      <c r="U122" s="68" t="s">
        <v>282</v>
      </c>
      <c r="V122" s="68" t="s">
        <v>282</v>
      </c>
      <c r="W122" s="69" t="s">
        <v>282</v>
      </c>
      <c r="X122" s="69" t="s">
        <v>282</v>
      </c>
      <c r="Y122" s="70" t="s">
        <v>282</v>
      </c>
    </row>
    <row r="123" spans="1:25">
      <c r="A123" s="64">
        <v>3</v>
      </c>
      <c r="B123" s="65" t="str">
        <f>VLOOKUP(Tabel10[[#This Row],[Code]],Ruimtegroepen[[Code]:[Ruimte omschrijving]],2,FALSE)</f>
        <v>Reproruimte</v>
      </c>
      <c r="C123" s="66" t="s">
        <v>379</v>
      </c>
      <c r="D123" s="65" t="s">
        <v>1</v>
      </c>
      <c r="E123" s="66" t="s">
        <v>1309</v>
      </c>
      <c r="F123" s="66" t="s">
        <v>1338</v>
      </c>
      <c r="G123" s="71" t="s">
        <v>282</v>
      </c>
      <c r="H123" s="67" t="s">
        <v>282</v>
      </c>
      <c r="I123" s="67" t="s">
        <v>20</v>
      </c>
      <c r="J123" s="67" t="s">
        <v>15</v>
      </c>
      <c r="K123" s="67" t="s">
        <v>329</v>
      </c>
      <c r="L123" s="67" t="s">
        <v>282</v>
      </c>
      <c r="M123" s="67" t="s">
        <v>282</v>
      </c>
      <c r="N123" s="67" t="s">
        <v>282</v>
      </c>
      <c r="O123" s="68" t="s">
        <v>2</v>
      </c>
      <c r="P123" s="68" t="s">
        <v>2</v>
      </c>
      <c r="Q123" s="68" t="s">
        <v>15</v>
      </c>
      <c r="R123" s="68" t="s">
        <v>15</v>
      </c>
      <c r="S123" s="68" t="s">
        <v>16</v>
      </c>
      <c r="T123" s="68" t="s">
        <v>283</v>
      </c>
      <c r="U123" s="68" t="s">
        <v>249</v>
      </c>
      <c r="V123" s="68" t="s">
        <v>282</v>
      </c>
      <c r="W123" s="69" t="s">
        <v>282</v>
      </c>
      <c r="X123" s="69" t="s">
        <v>282</v>
      </c>
      <c r="Y123" s="70" t="s">
        <v>282</v>
      </c>
    </row>
    <row r="124" spans="1:25">
      <c r="A124" s="64">
        <v>3</v>
      </c>
      <c r="B124" s="65" t="str">
        <f>VLOOKUP(Tabel10[[#This Row],[Code]],Ruimtegroepen[[Code]:[Ruimte omschrijving]],2,FALSE)</f>
        <v>Reproruimte</v>
      </c>
      <c r="C124" s="66" t="s">
        <v>384</v>
      </c>
      <c r="D124" s="65" t="s">
        <v>21</v>
      </c>
      <c r="E124" s="66" t="s">
        <v>100</v>
      </c>
      <c r="F124" s="66" t="s">
        <v>385</v>
      </c>
      <c r="G124" s="71" t="s">
        <v>282</v>
      </c>
      <c r="H124" s="67" t="s">
        <v>282</v>
      </c>
      <c r="I124" s="67" t="s">
        <v>18</v>
      </c>
      <c r="J124" s="67" t="s">
        <v>15</v>
      </c>
      <c r="K124" s="67" t="s">
        <v>282</v>
      </c>
      <c r="L124" s="67" t="s">
        <v>282</v>
      </c>
      <c r="M124" s="67" t="s">
        <v>282</v>
      </c>
      <c r="N124" s="67" t="s">
        <v>282</v>
      </c>
      <c r="O124" s="68" t="s">
        <v>20</v>
      </c>
      <c r="P124" s="68" t="s">
        <v>20</v>
      </c>
      <c r="Q124" s="68" t="s">
        <v>15</v>
      </c>
      <c r="R124" s="68" t="s">
        <v>15</v>
      </c>
      <c r="S124" s="68" t="s">
        <v>16</v>
      </c>
      <c r="T124" s="68" t="s">
        <v>283</v>
      </c>
      <c r="U124" s="68" t="s">
        <v>249</v>
      </c>
      <c r="V124" s="68" t="s">
        <v>282</v>
      </c>
      <c r="W124" s="69" t="s">
        <v>282</v>
      </c>
      <c r="X124" s="69" t="s">
        <v>282</v>
      </c>
      <c r="Y124" s="70" t="s">
        <v>282</v>
      </c>
    </row>
    <row r="125" spans="1:25">
      <c r="A125" s="64">
        <v>3</v>
      </c>
      <c r="B125" s="65" t="str">
        <f>VLOOKUP(Tabel10[[#This Row],[Code]],Ruimtegroepen[[Code]:[Ruimte omschrijving]],2,FALSE)</f>
        <v>Reproruimte</v>
      </c>
      <c r="C125" s="66" t="s">
        <v>384</v>
      </c>
      <c r="D125" s="65" t="s">
        <v>21</v>
      </c>
      <c r="E125" s="66" t="s">
        <v>99</v>
      </c>
      <c r="F125" s="66" t="s">
        <v>386</v>
      </c>
      <c r="G125" s="67" t="s">
        <v>18</v>
      </c>
      <c r="H125" s="67" t="s">
        <v>15</v>
      </c>
      <c r="I125" s="67" t="s">
        <v>282</v>
      </c>
      <c r="J125" s="67" t="s">
        <v>282</v>
      </c>
      <c r="K125" s="67" t="s">
        <v>282</v>
      </c>
      <c r="L125" s="67" t="s">
        <v>282</v>
      </c>
      <c r="M125" s="67" t="s">
        <v>282</v>
      </c>
      <c r="N125" s="67" t="s">
        <v>282</v>
      </c>
      <c r="O125" s="68" t="s">
        <v>20</v>
      </c>
      <c r="P125" s="68" t="s">
        <v>20</v>
      </c>
      <c r="Q125" s="68" t="s">
        <v>15</v>
      </c>
      <c r="R125" s="68" t="s">
        <v>15</v>
      </c>
      <c r="S125" s="68" t="s">
        <v>16</v>
      </c>
      <c r="T125" s="68" t="s">
        <v>283</v>
      </c>
      <c r="U125" s="68" t="s">
        <v>249</v>
      </c>
      <c r="V125" s="68" t="s">
        <v>282</v>
      </c>
      <c r="W125" s="69" t="s">
        <v>282</v>
      </c>
      <c r="X125" s="69" t="s">
        <v>282</v>
      </c>
      <c r="Y125" s="70" t="s">
        <v>282</v>
      </c>
    </row>
    <row r="126" spans="1:25">
      <c r="A126" s="64">
        <v>3</v>
      </c>
      <c r="B126" s="65" t="str">
        <f>VLOOKUP(Tabel10[[#This Row],[Code]],Ruimtegroepen[[Code]:[Ruimte omschrijving]],2,FALSE)</f>
        <v>Reproruimte</v>
      </c>
      <c r="C126" s="66" t="s">
        <v>384</v>
      </c>
      <c r="D126" s="65" t="s">
        <v>21</v>
      </c>
      <c r="E126" s="66" t="s">
        <v>101</v>
      </c>
      <c r="F126" s="66" t="s">
        <v>387</v>
      </c>
      <c r="G126" s="71" t="s">
        <v>282</v>
      </c>
      <c r="H126" s="67" t="s">
        <v>282</v>
      </c>
      <c r="I126" s="67" t="s">
        <v>18</v>
      </c>
      <c r="J126" s="67" t="s">
        <v>15</v>
      </c>
      <c r="K126" s="67" t="s">
        <v>329</v>
      </c>
      <c r="L126" s="67" t="s">
        <v>282</v>
      </c>
      <c r="M126" s="67" t="s">
        <v>282</v>
      </c>
      <c r="N126" s="67" t="s">
        <v>282</v>
      </c>
      <c r="O126" s="68" t="s">
        <v>20</v>
      </c>
      <c r="P126" s="68" t="s">
        <v>20</v>
      </c>
      <c r="Q126" s="68" t="s">
        <v>15</v>
      </c>
      <c r="R126" s="68" t="s">
        <v>15</v>
      </c>
      <c r="S126" s="68" t="s">
        <v>16</v>
      </c>
      <c r="T126" s="68" t="s">
        <v>283</v>
      </c>
      <c r="U126" s="68" t="s">
        <v>249</v>
      </c>
      <c r="V126" s="68" t="s">
        <v>282</v>
      </c>
      <c r="W126" s="69" t="s">
        <v>282</v>
      </c>
      <c r="X126" s="69" t="s">
        <v>282</v>
      </c>
      <c r="Y126" s="70" t="s">
        <v>282</v>
      </c>
    </row>
    <row r="127" spans="1:25">
      <c r="A127" s="64">
        <v>3</v>
      </c>
      <c r="B127" s="65" t="str">
        <f>VLOOKUP(Tabel10[[#This Row],[Code]],Ruimtegroepen[[Code]:[Ruimte omschrijving]],2,FALSE)</f>
        <v>Reproruimte</v>
      </c>
      <c r="C127" s="66" t="s">
        <v>384</v>
      </c>
      <c r="D127" s="65" t="s">
        <v>21</v>
      </c>
      <c r="E127" s="66" t="s">
        <v>102</v>
      </c>
      <c r="F127" s="66" t="s">
        <v>388</v>
      </c>
      <c r="G127" s="71" t="s">
        <v>282</v>
      </c>
      <c r="H127" s="67" t="s">
        <v>282</v>
      </c>
      <c r="I127" s="67" t="s">
        <v>18</v>
      </c>
      <c r="J127" s="67" t="s">
        <v>15</v>
      </c>
      <c r="K127" s="67" t="s">
        <v>329</v>
      </c>
      <c r="L127" s="67" t="s">
        <v>282</v>
      </c>
      <c r="M127" s="67" t="s">
        <v>282</v>
      </c>
      <c r="N127" s="67" t="s">
        <v>282</v>
      </c>
      <c r="O127" s="68" t="s">
        <v>20</v>
      </c>
      <c r="P127" s="68" t="s">
        <v>20</v>
      </c>
      <c r="Q127" s="68" t="s">
        <v>15</v>
      </c>
      <c r="R127" s="68" t="s">
        <v>15</v>
      </c>
      <c r="S127" s="68" t="s">
        <v>16</v>
      </c>
      <c r="T127" s="68" t="s">
        <v>283</v>
      </c>
      <c r="U127" s="68" t="s">
        <v>249</v>
      </c>
      <c r="V127" s="68" t="s">
        <v>282</v>
      </c>
      <c r="W127" s="69" t="s">
        <v>282</v>
      </c>
      <c r="X127" s="69" t="s">
        <v>282</v>
      </c>
      <c r="Y127" s="70" t="s">
        <v>282</v>
      </c>
    </row>
    <row r="128" spans="1:25">
      <c r="A128" s="64">
        <v>3</v>
      </c>
      <c r="B128" s="65" t="str">
        <f>VLOOKUP(Tabel10[[#This Row],[Code]],Ruimtegroepen[[Code]:[Ruimte omschrijving]],2,FALSE)</f>
        <v>Reproruimte</v>
      </c>
      <c r="C128" s="66" t="s">
        <v>384</v>
      </c>
      <c r="D128" s="65" t="s">
        <v>21</v>
      </c>
      <c r="E128" s="66" t="s">
        <v>99</v>
      </c>
      <c r="F128" s="66" t="s">
        <v>386</v>
      </c>
      <c r="G128" s="67" t="s">
        <v>18</v>
      </c>
      <c r="H128" s="67" t="s">
        <v>15</v>
      </c>
      <c r="I128" s="67" t="s">
        <v>282</v>
      </c>
      <c r="J128" s="67" t="s">
        <v>282</v>
      </c>
      <c r="K128" s="67" t="s">
        <v>282</v>
      </c>
      <c r="L128" s="67" t="s">
        <v>282</v>
      </c>
      <c r="M128" s="67" t="s">
        <v>282</v>
      </c>
      <c r="N128" s="67" t="s">
        <v>282</v>
      </c>
      <c r="O128" s="68" t="s">
        <v>282</v>
      </c>
      <c r="P128" s="68" t="s">
        <v>282</v>
      </c>
      <c r="Q128" s="68" t="s">
        <v>282</v>
      </c>
      <c r="R128" s="68" t="s">
        <v>282</v>
      </c>
      <c r="S128" s="68" t="s">
        <v>282</v>
      </c>
      <c r="T128" s="68" t="s">
        <v>282</v>
      </c>
      <c r="U128" s="68" t="s">
        <v>282</v>
      </c>
      <c r="V128" s="68" t="s">
        <v>282</v>
      </c>
      <c r="W128" s="69" t="s">
        <v>282</v>
      </c>
      <c r="X128" s="69" t="s">
        <v>282</v>
      </c>
      <c r="Y128" s="70" t="s">
        <v>282</v>
      </c>
    </row>
    <row r="129" spans="1:25">
      <c r="A129" s="64">
        <v>3</v>
      </c>
      <c r="B129" s="65" t="str">
        <f>VLOOKUP(Tabel10[[#This Row],[Code]],Ruimtegroepen[[Code]:[Ruimte omschrijving]],2,FALSE)</f>
        <v>Reproruimte</v>
      </c>
      <c r="C129" s="66" t="s">
        <v>384</v>
      </c>
      <c r="D129" s="65" t="s">
        <v>21</v>
      </c>
      <c r="E129" s="66" t="s">
        <v>1309</v>
      </c>
      <c r="F129" s="66" t="s">
        <v>1339</v>
      </c>
      <c r="G129" s="71" t="s">
        <v>282</v>
      </c>
      <c r="H129" s="67" t="s">
        <v>282</v>
      </c>
      <c r="I129" s="67" t="s">
        <v>18</v>
      </c>
      <c r="J129" s="67" t="s">
        <v>15</v>
      </c>
      <c r="K129" s="67" t="s">
        <v>329</v>
      </c>
      <c r="L129" s="67" t="s">
        <v>282</v>
      </c>
      <c r="M129" s="67" t="s">
        <v>282</v>
      </c>
      <c r="N129" s="67" t="s">
        <v>282</v>
      </c>
      <c r="O129" s="68" t="s">
        <v>20</v>
      </c>
      <c r="P129" s="68" t="s">
        <v>20</v>
      </c>
      <c r="Q129" s="68" t="s">
        <v>15</v>
      </c>
      <c r="R129" s="68" t="s">
        <v>15</v>
      </c>
      <c r="S129" s="68" t="s">
        <v>16</v>
      </c>
      <c r="T129" s="68" t="s">
        <v>283</v>
      </c>
      <c r="U129" s="68" t="s">
        <v>249</v>
      </c>
      <c r="V129" s="68" t="s">
        <v>282</v>
      </c>
      <c r="W129" s="69" t="s">
        <v>282</v>
      </c>
      <c r="X129" s="69" t="s">
        <v>282</v>
      </c>
      <c r="Y129" s="70" t="s">
        <v>282</v>
      </c>
    </row>
    <row r="130" spans="1:25">
      <c r="A130" s="64">
        <v>3</v>
      </c>
      <c r="B130" s="65" t="str">
        <f>VLOOKUP(Tabel10[[#This Row],[Code]],Ruimtegroepen[[Code]:[Ruimte omschrijving]],2,FALSE)</f>
        <v>Reproruimte</v>
      </c>
      <c r="C130" s="66" t="s">
        <v>389</v>
      </c>
      <c r="D130" s="65" t="s">
        <v>12</v>
      </c>
      <c r="E130" s="66" t="s">
        <v>100</v>
      </c>
      <c r="F130" s="66" t="s">
        <v>390</v>
      </c>
      <c r="G130" s="71" t="s">
        <v>282</v>
      </c>
      <c r="H130" s="67" t="s">
        <v>282</v>
      </c>
      <c r="I130" s="67" t="s">
        <v>17</v>
      </c>
      <c r="J130" s="67" t="s">
        <v>15</v>
      </c>
      <c r="K130" s="67" t="s">
        <v>282</v>
      </c>
      <c r="L130" s="67" t="s">
        <v>282</v>
      </c>
      <c r="M130" s="67" t="s">
        <v>282</v>
      </c>
      <c r="N130" s="67" t="s">
        <v>282</v>
      </c>
      <c r="O130" s="68" t="s">
        <v>18</v>
      </c>
      <c r="P130" s="68" t="s">
        <v>18</v>
      </c>
      <c r="Q130" s="68" t="s">
        <v>15</v>
      </c>
      <c r="R130" s="68" t="s">
        <v>15</v>
      </c>
      <c r="S130" s="68" t="s">
        <v>16</v>
      </c>
      <c r="T130" s="68" t="s">
        <v>283</v>
      </c>
      <c r="U130" s="68" t="s">
        <v>249</v>
      </c>
      <c r="V130" s="68" t="s">
        <v>282</v>
      </c>
      <c r="W130" s="69" t="s">
        <v>282</v>
      </c>
      <c r="X130" s="69" t="s">
        <v>282</v>
      </c>
      <c r="Y130" s="70" t="s">
        <v>282</v>
      </c>
    </row>
    <row r="131" spans="1:25">
      <c r="A131" s="64">
        <v>3</v>
      </c>
      <c r="B131" s="65" t="str">
        <f>VLOOKUP(Tabel10[[#This Row],[Code]],Ruimtegroepen[[Code]:[Ruimte omschrijving]],2,FALSE)</f>
        <v>Reproruimte</v>
      </c>
      <c r="C131" s="66" t="s">
        <v>389</v>
      </c>
      <c r="D131" s="65" t="s">
        <v>12</v>
      </c>
      <c r="E131" s="66" t="s">
        <v>99</v>
      </c>
      <c r="F131" s="66" t="s">
        <v>391</v>
      </c>
      <c r="G131" s="67" t="s">
        <v>17</v>
      </c>
      <c r="H131" s="67" t="s">
        <v>15</v>
      </c>
      <c r="I131" s="67" t="s">
        <v>282</v>
      </c>
      <c r="J131" s="67" t="s">
        <v>282</v>
      </c>
      <c r="K131" s="67" t="s">
        <v>282</v>
      </c>
      <c r="L131" s="67" t="s">
        <v>282</v>
      </c>
      <c r="M131" s="67" t="s">
        <v>282</v>
      </c>
      <c r="N131" s="67" t="s">
        <v>282</v>
      </c>
      <c r="O131" s="68" t="s">
        <v>18</v>
      </c>
      <c r="P131" s="68" t="s">
        <v>18</v>
      </c>
      <c r="Q131" s="68" t="s">
        <v>15</v>
      </c>
      <c r="R131" s="68" t="s">
        <v>15</v>
      </c>
      <c r="S131" s="68" t="s">
        <v>16</v>
      </c>
      <c r="T131" s="68" t="s">
        <v>283</v>
      </c>
      <c r="U131" s="68" t="s">
        <v>249</v>
      </c>
      <c r="V131" s="68" t="s">
        <v>282</v>
      </c>
      <c r="W131" s="69" t="s">
        <v>282</v>
      </c>
      <c r="X131" s="69" t="s">
        <v>282</v>
      </c>
      <c r="Y131" s="70" t="s">
        <v>282</v>
      </c>
    </row>
    <row r="132" spans="1:25">
      <c r="A132" s="64">
        <v>3</v>
      </c>
      <c r="B132" s="65" t="str">
        <f>VLOOKUP(Tabel10[[#This Row],[Code]],Ruimtegroepen[[Code]:[Ruimte omschrijving]],2,FALSE)</f>
        <v>Reproruimte</v>
      </c>
      <c r="C132" s="66" t="s">
        <v>389</v>
      </c>
      <c r="D132" s="65" t="s">
        <v>12</v>
      </c>
      <c r="E132" s="66" t="s">
        <v>101</v>
      </c>
      <c r="F132" s="66" t="s">
        <v>392</v>
      </c>
      <c r="G132" s="71" t="s">
        <v>282</v>
      </c>
      <c r="H132" s="67" t="s">
        <v>282</v>
      </c>
      <c r="I132" s="67" t="s">
        <v>17</v>
      </c>
      <c r="J132" s="67" t="s">
        <v>15</v>
      </c>
      <c r="K132" s="67" t="s">
        <v>329</v>
      </c>
      <c r="L132" s="67" t="s">
        <v>282</v>
      </c>
      <c r="M132" s="67" t="s">
        <v>282</v>
      </c>
      <c r="N132" s="67" t="s">
        <v>282</v>
      </c>
      <c r="O132" s="68" t="s">
        <v>18</v>
      </c>
      <c r="P132" s="68" t="s">
        <v>18</v>
      </c>
      <c r="Q132" s="68" t="s">
        <v>15</v>
      </c>
      <c r="R132" s="68" t="s">
        <v>15</v>
      </c>
      <c r="S132" s="68" t="s">
        <v>16</v>
      </c>
      <c r="T132" s="68" t="s">
        <v>283</v>
      </c>
      <c r="U132" s="68" t="s">
        <v>249</v>
      </c>
      <c r="V132" s="68" t="s">
        <v>282</v>
      </c>
      <c r="W132" s="69" t="s">
        <v>282</v>
      </c>
      <c r="X132" s="69" t="s">
        <v>282</v>
      </c>
      <c r="Y132" s="70" t="s">
        <v>282</v>
      </c>
    </row>
    <row r="133" spans="1:25">
      <c r="A133" s="64">
        <v>3</v>
      </c>
      <c r="B133" s="65" t="str">
        <f>VLOOKUP(Tabel10[[#This Row],[Code]],Ruimtegroepen[[Code]:[Ruimte omschrijving]],2,FALSE)</f>
        <v>Reproruimte</v>
      </c>
      <c r="C133" s="66" t="s">
        <v>389</v>
      </c>
      <c r="D133" s="65" t="s">
        <v>12</v>
      </c>
      <c r="E133" s="66" t="s">
        <v>102</v>
      </c>
      <c r="F133" s="66" t="s">
        <v>393</v>
      </c>
      <c r="G133" s="71" t="s">
        <v>282</v>
      </c>
      <c r="H133" s="67" t="s">
        <v>282</v>
      </c>
      <c r="I133" s="67" t="s">
        <v>17</v>
      </c>
      <c r="J133" s="67" t="s">
        <v>15</v>
      </c>
      <c r="K133" s="67" t="s">
        <v>329</v>
      </c>
      <c r="L133" s="67" t="s">
        <v>282</v>
      </c>
      <c r="M133" s="67" t="s">
        <v>282</v>
      </c>
      <c r="N133" s="67" t="s">
        <v>282</v>
      </c>
      <c r="O133" s="68" t="s">
        <v>18</v>
      </c>
      <c r="P133" s="68" t="s">
        <v>18</v>
      </c>
      <c r="Q133" s="68" t="s">
        <v>15</v>
      </c>
      <c r="R133" s="68" t="s">
        <v>15</v>
      </c>
      <c r="S133" s="68" t="s">
        <v>16</v>
      </c>
      <c r="T133" s="68" t="s">
        <v>283</v>
      </c>
      <c r="U133" s="68" t="s">
        <v>249</v>
      </c>
      <c r="V133" s="68" t="s">
        <v>282</v>
      </c>
      <c r="W133" s="69" t="s">
        <v>282</v>
      </c>
      <c r="X133" s="69" t="s">
        <v>282</v>
      </c>
      <c r="Y133" s="70" t="s">
        <v>282</v>
      </c>
    </row>
    <row r="134" spans="1:25">
      <c r="A134" s="64">
        <v>3</v>
      </c>
      <c r="B134" s="65" t="str">
        <f>VLOOKUP(Tabel10[[#This Row],[Code]],Ruimtegroepen[[Code]:[Ruimte omschrijving]],2,FALSE)</f>
        <v>Reproruimte</v>
      </c>
      <c r="C134" s="66" t="s">
        <v>389</v>
      </c>
      <c r="D134" s="65" t="s">
        <v>12</v>
      </c>
      <c r="E134" s="66" t="s">
        <v>99</v>
      </c>
      <c r="F134" s="66" t="s">
        <v>391</v>
      </c>
      <c r="G134" s="67" t="s">
        <v>17</v>
      </c>
      <c r="H134" s="67" t="s">
        <v>15</v>
      </c>
      <c r="I134" s="67" t="s">
        <v>282</v>
      </c>
      <c r="J134" s="67" t="s">
        <v>282</v>
      </c>
      <c r="K134" s="67" t="s">
        <v>282</v>
      </c>
      <c r="L134" s="67" t="s">
        <v>282</v>
      </c>
      <c r="M134" s="67" t="s">
        <v>282</v>
      </c>
      <c r="N134" s="67" t="s">
        <v>282</v>
      </c>
      <c r="O134" s="68" t="s">
        <v>282</v>
      </c>
      <c r="P134" s="68" t="s">
        <v>282</v>
      </c>
      <c r="Q134" s="68" t="s">
        <v>282</v>
      </c>
      <c r="R134" s="68" t="s">
        <v>282</v>
      </c>
      <c r="S134" s="68" t="s">
        <v>282</v>
      </c>
      <c r="T134" s="68" t="s">
        <v>282</v>
      </c>
      <c r="U134" s="68" t="s">
        <v>282</v>
      </c>
      <c r="V134" s="68" t="s">
        <v>282</v>
      </c>
      <c r="W134" s="69" t="s">
        <v>282</v>
      </c>
      <c r="X134" s="69" t="s">
        <v>282</v>
      </c>
      <c r="Y134" s="70" t="s">
        <v>282</v>
      </c>
    </row>
    <row r="135" spans="1:25">
      <c r="A135" s="64">
        <v>3</v>
      </c>
      <c r="B135" s="65" t="str">
        <f>VLOOKUP(Tabel10[[#This Row],[Code]],Ruimtegroepen[[Code]:[Ruimte omschrijving]],2,FALSE)</f>
        <v>Reproruimte</v>
      </c>
      <c r="C135" s="66" t="s">
        <v>389</v>
      </c>
      <c r="D135" s="65" t="s">
        <v>12</v>
      </c>
      <c r="E135" s="66" t="s">
        <v>1309</v>
      </c>
      <c r="F135" s="66" t="s">
        <v>1340</v>
      </c>
      <c r="G135" s="71" t="s">
        <v>282</v>
      </c>
      <c r="H135" s="67" t="s">
        <v>282</v>
      </c>
      <c r="I135" s="67" t="s">
        <v>17</v>
      </c>
      <c r="J135" s="67" t="s">
        <v>15</v>
      </c>
      <c r="K135" s="67" t="s">
        <v>329</v>
      </c>
      <c r="L135" s="67" t="s">
        <v>282</v>
      </c>
      <c r="M135" s="67" t="s">
        <v>282</v>
      </c>
      <c r="N135" s="67" t="s">
        <v>282</v>
      </c>
      <c r="O135" s="68" t="s">
        <v>18</v>
      </c>
      <c r="P135" s="68" t="s">
        <v>18</v>
      </c>
      <c r="Q135" s="68" t="s">
        <v>15</v>
      </c>
      <c r="R135" s="68" t="s">
        <v>15</v>
      </c>
      <c r="S135" s="68" t="s">
        <v>16</v>
      </c>
      <c r="T135" s="68" t="s">
        <v>283</v>
      </c>
      <c r="U135" s="68" t="s">
        <v>249</v>
      </c>
      <c r="V135" s="68" t="s">
        <v>282</v>
      </c>
      <c r="W135" s="69" t="s">
        <v>282</v>
      </c>
      <c r="X135" s="69" t="s">
        <v>282</v>
      </c>
      <c r="Y135" s="70" t="s">
        <v>282</v>
      </c>
    </row>
    <row r="136" spans="1:25">
      <c r="A136" s="64">
        <v>3</v>
      </c>
      <c r="B136" s="65" t="str">
        <f>VLOOKUP(Tabel10[[#This Row],[Code]],Ruimtegroepen[[Code]:[Ruimte omschrijving]],2,FALSE)</f>
        <v>Reproruimte</v>
      </c>
      <c r="C136" s="66" t="s">
        <v>394</v>
      </c>
      <c r="D136" s="65" t="s">
        <v>14</v>
      </c>
      <c r="E136" s="66" t="s">
        <v>100</v>
      </c>
      <c r="F136" s="66" t="s">
        <v>395</v>
      </c>
      <c r="G136" s="71" t="s">
        <v>282</v>
      </c>
      <c r="H136" s="67" t="s">
        <v>282</v>
      </c>
      <c r="I136" s="67" t="s">
        <v>15</v>
      </c>
      <c r="J136" s="67" t="s">
        <v>15</v>
      </c>
      <c r="K136" s="67" t="s">
        <v>282</v>
      </c>
      <c r="L136" s="67" t="s">
        <v>282</v>
      </c>
      <c r="M136" s="67" t="s">
        <v>282</v>
      </c>
      <c r="N136" s="67" t="s">
        <v>282</v>
      </c>
      <c r="O136" s="68" t="s">
        <v>17</v>
      </c>
      <c r="P136" s="68" t="s">
        <v>17</v>
      </c>
      <c r="Q136" s="68" t="s">
        <v>15</v>
      </c>
      <c r="R136" s="68" t="s">
        <v>15</v>
      </c>
      <c r="S136" s="68" t="s">
        <v>16</v>
      </c>
      <c r="T136" s="68" t="s">
        <v>283</v>
      </c>
      <c r="U136" s="68" t="s">
        <v>249</v>
      </c>
      <c r="V136" s="68" t="s">
        <v>282</v>
      </c>
      <c r="W136" s="69" t="s">
        <v>282</v>
      </c>
      <c r="X136" s="69" t="s">
        <v>282</v>
      </c>
      <c r="Y136" s="70" t="s">
        <v>282</v>
      </c>
    </row>
    <row r="137" spans="1:25">
      <c r="A137" s="64">
        <v>3</v>
      </c>
      <c r="B137" s="65" t="str">
        <f>VLOOKUP(Tabel10[[#This Row],[Code]],Ruimtegroepen[[Code]:[Ruimte omschrijving]],2,FALSE)</f>
        <v>Reproruimte</v>
      </c>
      <c r="C137" s="66" t="s">
        <v>394</v>
      </c>
      <c r="D137" s="65" t="s">
        <v>14</v>
      </c>
      <c r="E137" s="66" t="s">
        <v>99</v>
      </c>
      <c r="F137" s="66" t="s">
        <v>396</v>
      </c>
      <c r="G137" s="67" t="s">
        <v>15</v>
      </c>
      <c r="H137" s="67" t="s">
        <v>15</v>
      </c>
      <c r="I137" s="67" t="s">
        <v>282</v>
      </c>
      <c r="J137" s="67" t="s">
        <v>282</v>
      </c>
      <c r="K137" s="67" t="s">
        <v>282</v>
      </c>
      <c r="L137" s="67" t="s">
        <v>282</v>
      </c>
      <c r="M137" s="67" t="s">
        <v>282</v>
      </c>
      <c r="N137" s="67" t="s">
        <v>282</v>
      </c>
      <c r="O137" s="68" t="s">
        <v>17</v>
      </c>
      <c r="P137" s="68" t="s">
        <v>17</v>
      </c>
      <c r="Q137" s="68" t="s">
        <v>15</v>
      </c>
      <c r="R137" s="68" t="s">
        <v>15</v>
      </c>
      <c r="S137" s="68" t="s">
        <v>16</v>
      </c>
      <c r="T137" s="68" t="s">
        <v>283</v>
      </c>
      <c r="U137" s="68" t="s">
        <v>249</v>
      </c>
      <c r="V137" s="68" t="s">
        <v>282</v>
      </c>
      <c r="W137" s="69" t="s">
        <v>282</v>
      </c>
      <c r="X137" s="69" t="s">
        <v>282</v>
      </c>
      <c r="Y137" s="70" t="s">
        <v>282</v>
      </c>
    </row>
    <row r="138" spans="1:25">
      <c r="A138" s="64">
        <v>3</v>
      </c>
      <c r="B138" s="65" t="str">
        <f>VLOOKUP(Tabel10[[#This Row],[Code]],Ruimtegroepen[[Code]:[Ruimte omschrijving]],2,FALSE)</f>
        <v>Reproruimte</v>
      </c>
      <c r="C138" s="66" t="s">
        <v>394</v>
      </c>
      <c r="D138" s="65" t="s">
        <v>14</v>
      </c>
      <c r="E138" s="66" t="s">
        <v>101</v>
      </c>
      <c r="F138" s="66" t="s">
        <v>397</v>
      </c>
      <c r="G138" s="71" t="s">
        <v>282</v>
      </c>
      <c r="H138" s="67" t="s">
        <v>282</v>
      </c>
      <c r="I138" s="67" t="s">
        <v>15</v>
      </c>
      <c r="J138" s="67" t="s">
        <v>15</v>
      </c>
      <c r="K138" s="67" t="s">
        <v>329</v>
      </c>
      <c r="L138" s="67" t="s">
        <v>282</v>
      </c>
      <c r="M138" s="67" t="s">
        <v>282</v>
      </c>
      <c r="N138" s="67" t="s">
        <v>282</v>
      </c>
      <c r="O138" s="68" t="s">
        <v>17</v>
      </c>
      <c r="P138" s="68" t="s">
        <v>17</v>
      </c>
      <c r="Q138" s="68" t="s">
        <v>15</v>
      </c>
      <c r="R138" s="68" t="s">
        <v>15</v>
      </c>
      <c r="S138" s="68" t="s">
        <v>16</v>
      </c>
      <c r="T138" s="68" t="s">
        <v>283</v>
      </c>
      <c r="U138" s="68" t="s">
        <v>249</v>
      </c>
      <c r="V138" s="68" t="s">
        <v>282</v>
      </c>
      <c r="W138" s="69" t="s">
        <v>282</v>
      </c>
      <c r="X138" s="69" t="s">
        <v>282</v>
      </c>
      <c r="Y138" s="70" t="s">
        <v>282</v>
      </c>
    </row>
    <row r="139" spans="1:25">
      <c r="A139" s="64">
        <v>3</v>
      </c>
      <c r="B139" s="65" t="str">
        <f>VLOOKUP(Tabel10[[#This Row],[Code]],Ruimtegroepen[[Code]:[Ruimte omschrijving]],2,FALSE)</f>
        <v>Reproruimte</v>
      </c>
      <c r="C139" s="66" t="s">
        <v>394</v>
      </c>
      <c r="D139" s="65" t="s">
        <v>14</v>
      </c>
      <c r="E139" s="66" t="s">
        <v>102</v>
      </c>
      <c r="F139" s="66" t="s">
        <v>398</v>
      </c>
      <c r="G139" s="71" t="s">
        <v>282</v>
      </c>
      <c r="H139" s="67" t="s">
        <v>282</v>
      </c>
      <c r="I139" s="67" t="s">
        <v>15</v>
      </c>
      <c r="J139" s="67" t="s">
        <v>15</v>
      </c>
      <c r="K139" s="67" t="s">
        <v>329</v>
      </c>
      <c r="L139" s="67" t="s">
        <v>282</v>
      </c>
      <c r="M139" s="67" t="s">
        <v>282</v>
      </c>
      <c r="N139" s="67" t="s">
        <v>282</v>
      </c>
      <c r="O139" s="68" t="s">
        <v>17</v>
      </c>
      <c r="P139" s="68" t="s">
        <v>17</v>
      </c>
      <c r="Q139" s="68" t="s">
        <v>15</v>
      </c>
      <c r="R139" s="68" t="s">
        <v>15</v>
      </c>
      <c r="S139" s="68" t="s">
        <v>16</v>
      </c>
      <c r="T139" s="68" t="s">
        <v>283</v>
      </c>
      <c r="U139" s="68" t="s">
        <v>249</v>
      </c>
      <c r="V139" s="68" t="s">
        <v>282</v>
      </c>
      <c r="W139" s="69" t="s">
        <v>282</v>
      </c>
      <c r="X139" s="69" t="s">
        <v>282</v>
      </c>
      <c r="Y139" s="70" t="s">
        <v>282</v>
      </c>
    </row>
    <row r="140" spans="1:25">
      <c r="A140" s="64">
        <v>3</v>
      </c>
      <c r="B140" s="65" t="str">
        <f>VLOOKUP(Tabel10[[#This Row],[Code]],Ruimtegroepen[[Code]:[Ruimte omschrijving]],2,FALSE)</f>
        <v>Reproruimte</v>
      </c>
      <c r="C140" s="66" t="s">
        <v>394</v>
      </c>
      <c r="D140" s="65" t="s">
        <v>14</v>
      </c>
      <c r="E140" s="66" t="s">
        <v>99</v>
      </c>
      <c r="F140" s="66" t="s">
        <v>396</v>
      </c>
      <c r="G140" s="67" t="s">
        <v>15</v>
      </c>
      <c r="H140" s="67" t="s">
        <v>15</v>
      </c>
      <c r="I140" s="67" t="s">
        <v>282</v>
      </c>
      <c r="J140" s="67" t="s">
        <v>282</v>
      </c>
      <c r="K140" s="67" t="s">
        <v>282</v>
      </c>
      <c r="L140" s="67" t="s">
        <v>282</v>
      </c>
      <c r="M140" s="67" t="s">
        <v>282</v>
      </c>
      <c r="N140" s="67" t="s">
        <v>282</v>
      </c>
      <c r="O140" s="68" t="s">
        <v>282</v>
      </c>
      <c r="P140" s="68" t="s">
        <v>282</v>
      </c>
      <c r="Q140" s="68" t="s">
        <v>282</v>
      </c>
      <c r="R140" s="68" t="s">
        <v>282</v>
      </c>
      <c r="S140" s="68" t="s">
        <v>282</v>
      </c>
      <c r="T140" s="68" t="s">
        <v>282</v>
      </c>
      <c r="U140" s="68" t="s">
        <v>282</v>
      </c>
      <c r="V140" s="68" t="s">
        <v>282</v>
      </c>
      <c r="W140" s="69" t="s">
        <v>282</v>
      </c>
      <c r="X140" s="69" t="s">
        <v>282</v>
      </c>
      <c r="Y140" s="70" t="s">
        <v>282</v>
      </c>
    </row>
    <row r="141" spans="1:25">
      <c r="A141" s="64">
        <v>3</v>
      </c>
      <c r="B141" s="65" t="str">
        <f>VLOOKUP(Tabel10[[#This Row],[Code]],Ruimtegroepen[[Code]:[Ruimte omschrijving]],2,FALSE)</f>
        <v>Reproruimte</v>
      </c>
      <c r="C141" s="66" t="s">
        <v>394</v>
      </c>
      <c r="D141" s="65" t="s">
        <v>14</v>
      </c>
      <c r="E141" s="66" t="s">
        <v>1309</v>
      </c>
      <c r="F141" s="66" t="s">
        <v>1341</v>
      </c>
      <c r="G141" s="71" t="s">
        <v>282</v>
      </c>
      <c r="H141" s="67" t="s">
        <v>282</v>
      </c>
      <c r="I141" s="67" t="s">
        <v>15</v>
      </c>
      <c r="J141" s="67" t="s">
        <v>15</v>
      </c>
      <c r="K141" s="67" t="s">
        <v>329</v>
      </c>
      <c r="L141" s="67" t="s">
        <v>282</v>
      </c>
      <c r="M141" s="67" t="s">
        <v>282</v>
      </c>
      <c r="N141" s="67" t="s">
        <v>282</v>
      </c>
      <c r="O141" s="68" t="s">
        <v>17</v>
      </c>
      <c r="P141" s="68" t="s">
        <v>17</v>
      </c>
      <c r="Q141" s="68" t="s">
        <v>15</v>
      </c>
      <c r="R141" s="68" t="s">
        <v>15</v>
      </c>
      <c r="S141" s="68" t="s">
        <v>16</v>
      </c>
      <c r="T141" s="68" t="s">
        <v>283</v>
      </c>
      <c r="U141" s="68" t="s">
        <v>249</v>
      </c>
      <c r="V141" s="68" t="s">
        <v>282</v>
      </c>
      <c r="W141" s="69" t="s">
        <v>282</v>
      </c>
      <c r="X141" s="69" t="s">
        <v>282</v>
      </c>
      <c r="Y141" s="70" t="s">
        <v>282</v>
      </c>
    </row>
    <row r="142" spans="1:25">
      <c r="A142" s="64">
        <v>3</v>
      </c>
      <c r="B142" s="65" t="str">
        <f>VLOOKUP(Tabel10[[#This Row],[Code]],Ruimtegroepen[[Code]:[Ruimte omschrijving]],2,FALSE)</f>
        <v>Reproruimte</v>
      </c>
      <c r="C142" s="66" t="s">
        <v>399</v>
      </c>
      <c r="D142" s="65" t="s">
        <v>13</v>
      </c>
      <c r="E142" s="66" t="s">
        <v>100</v>
      </c>
      <c r="F142" s="66" t="s">
        <v>400</v>
      </c>
      <c r="G142" s="71" t="s">
        <v>282</v>
      </c>
      <c r="H142" s="67" t="s">
        <v>282</v>
      </c>
      <c r="I142" s="67" t="s">
        <v>282</v>
      </c>
      <c r="J142" s="67" t="s">
        <v>15</v>
      </c>
      <c r="K142" s="67" t="s">
        <v>282</v>
      </c>
      <c r="L142" s="67" t="s">
        <v>282</v>
      </c>
      <c r="M142" s="67" t="s">
        <v>282</v>
      </c>
      <c r="N142" s="67" t="s">
        <v>282</v>
      </c>
      <c r="O142" s="68" t="s">
        <v>15</v>
      </c>
      <c r="P142" s="68" t="s">
        <v>15</v>
      </c>
      <c r="Q142" s="68" t="s">
        <v>15</v>
      </c>
      <c r="R142" s="68" t="s">
        <v>15</v>
      </c>
      <c r="S142" s="68" t="s">
        <v>16</v>
      </c>
      <c r="T142" s="68" t="s">
        <v>283</v>
      </c>
      <c r="U142" s="68" t="s">
        <v>249</v>
      </c>
      <c r="V142" s="68" t="s">
        <v>282</v>
      </c>
      <c r="W142" s="69" t="s">
        <v>282</v>
      </c>
      <c r="X142" s="69" t="s">
        <v>282</v>
      </c>
      <c r="Y142" s="70" t="s">
        <v>282</v>
      </c>
    </row>
    <row r="143" spans="1:25">
      <c r="A143" s="64">
        <v>3</v>
      </c>
      <c r="B143" s="65" t="str">
        <f>VLOOKUP(Tabel10[[#This Row],[Code]],Ruimtegroepen[[Code]:[Ruimte omschrijving]],2,FALSE)</f>
        <v>Reproruimte</v>
      </c>
      <c r="C143" s="66" t="s">
        <v>399</v>
      </c>
      <c r="D143" s="65" t="s">
        <v>13</v>
      </c>
      <c r="E143" s="66" t="s">
        <v>99</v>
      </c>
      <c r="F143" s="66" t="s">
        <v>401</v>
      </c>
      <c r="G143" s="71" t="s">
        <v>282</v>
      </c>
      <c r="H143" s="67" t="s">
        <v>15</v>
      </c>
      <c r="I143" s="67" t="s">
        <v>282</v>
      </c>
      <c r="J143" s="67" t="s">
        <v>282</v>
      </c>
      <c r="K143" s="67" t="s">
        <v>282</v>
      </c>
      <c r="L143" s="67" t="s">
        <v>282</v>
      </c>
      <c r="M143" s="67" t="s">
        <v>282</v>
      </c>
      <c r="N143" s="67" t="s">
        <v>282</v>
      </c>
      <c r="O143" s="68" t="s">
        <v>15</v>
      </c>
      <c r="P143" s="68" t="s">
        <v>15</v>
      </c>
      <c r="Q143" s="68" t="s">
        <v>15</v>
      </c>
      <c r="R143" s="68" t="s">
        <v>15</v>
      </c>
      <c r="S143" s="68" t="s">
        <v>16</v>
      </c>
      <c r="T143" s="68" t="s">
        <v>283</v>
      </c>
      <c r="U143" s="68" t="s">
        <v>249</v>
      </c>
      <c r="V143" s="68" t="s">
        <v>282</v>
      </c>
      <c r="W143" s="69" t="s">
        <v>282</v>
      </c>
      <c r="X143" s="69" t="s">
        <v>282</v>
      </c>
      <c r="Y143" s="70" t="s">
        <v>282</v>
      </c>
    </row>
    <row r="144" spans="1:25">
      <c r="A144" s="64">
        <v>3</v>
      </c>
      <c r="B144" s="65" t="str">
        <f>VLOOKUP(Tabel10[[#This Row],[Code]],Ruimtegroepen[[Code]:[Ruimte omschrijving]],2,FALSE)</f>
        <v>Reproruimte</v>
      </c>
      <c r="C144" s="66" t="s">
        <v>399</v>
      </c>
      <c r="D144" s="65" t="s">
        <v>13</v>
      </c>
      <c r="E144" s="66" t="s">
        <v>101</v>
      </c>
      <c r="F144" s="66" t="s">
        <v>402</v>
      </c>
      <c r="G144" s="71" t="s">
        <v>282</v>
      </c>
      <c r="H144" s="67" t="s">
        <v>282</v>
      </c>
      <c r="I144" s="67" t="s">
        <v>282</v>
      </c>
      <c r="J144" s="67" t="s">
        <v>15</v>
      </c>
      <c r="K144" s="67" t="s">
        <v>329</v>
      </c>
      <c r="L144" s="67" t="s">
        <v>282</v>
      </c>
      <c r="M144" s="67" t="s">
        <v>282</v>
      </c>
      <c r="N144" s="67" t="s">
        <v>282</v>
      </c>
      <c r="O144" s="68" t="s">
        <v>15</v>
      </c>
      <c r="P144" s="68" t="s">
        <v>15</v>
      </c>
      <c r="Q144" s="68" t="s">
        <v>15</v>
      </c>
      <c r="R144" s="68" t="s">
        <v>15</v>
      </c>
      <c r="S144" s="68" t="s">
        <v>16</v>
      </c>
      <c r="T144" s="68" t="s">
        <v>283</v>
      </c>
      <c r="U144" s="68" t="s">
        <v>249</v>
      </c>
      <c r="V144" s="68" t="s">
        <v>282</v>
      </c>
      <c r="W144" s="69" t="s">
        <v>282</v>
      </c>
      <c r="X144" s="69" t="s">
        <v>282</v>
      </c>
      <c r="Y144" s="70" t="s">
        <v>282</v>
      </c>
    </row>
    <row r="145" spans="1:25">
      <c r="A145" s="64">
        <v>3</v>
      </c>
      <c r="B145" s="65" t="str">
        <f>VLOOKUP(Tabel10[[#This Row],[Code]],Ruimtegroepen[[Code]:[Ruimte omschrijving]],2,FALSE)</f>
        <v>Reproruimte</v>
      </c>
      <c r="C145" s="66" t="s">
        <v>399</v>
      </c>
      <c r="D145" s="65" t="s">
        <v>13</v>
      </c>
      <c r="E145" s="66" t="s">
        <v>102</v>
      </c>
      <c r="F145" s="66" t="s">
        <v>403</v>
      </c>
      <c r="G145" s="71" t="s">
        <v>282</v>
      </c>
      <c r="H145" s="67" t="s">
        <v>282</v>
      </c>
      <c r="I145" s="67" t="s">
        <v>282</v>
      </c>
      <c r="J145" s="67" t="s">
        <v>15</v>
      </c>
      <c r="K145" s="67" t="s">
        <v>329</v>
      </c>
      <c r="L145" s="67" t="s">
        <v>282</v>
      </c>
      <c r="M145" s="67" t="s">
        <v>282</v>
      </c>
      <c r="N145" s="67" t="s">
        <v>282</v>
      </c>
      <c r="O145" s="68" t="s">
        <v>15</v>
      </c>
      <c r="P145" s="68" t="s">
        <v>15</v>
      </c>
      <c r="Q145" s="68" t="s">
        <v>15</v>
      </c>
      <c r="R145" s="68" t="s">
        <v>15</v>
      </c>
      <c r="S145" s="68" t="s">
        <v>16</v>
      </c>
      <c r="T145" s="68" t="s">
        <v>283</v>
      </c>
      <c r="U145" s="68" t="s">
        <v>249</v>
      </c>
      <c r="V145" s="68" t="s">
        <v>282</v>
      </c>
      <c r="W145" s="69" t="s">
        <v>282</v>
      </c>
      <c r="X145" s="69" t="s">
        <v>282</v>
      </c>
      <c r="Y145" s="70" t="s">
        <v>282</v>
      </c>
    </row>
    <row r="146" spans="1:25">
      <c r="A146" s="64">
        <v>3</v>
      </c>
      <c r="B146" s="65" t="str">
        <f>VLOOKUP(Tabel10[[#This Row],[Code]],Ruimtegroepen[[Code]:[Ruimte omschrijving]],2,FALSE)</f>
        <v>Reproruimte</v>
      </c>
      <c r="C146" s="66" t="s">
        <v>399</v>
      </c>
      <c r="D146" s="65" t="s">
        <v>13</v>
      </c>
      <c r="E146" s="66" t="s">
        <v>99</v>
      </c>
      <c r="F146" s="66" t="s">
        <v>401</v>
      </c>
      <c r="G146" s="71" t="s">
        <v>282</v>
      </c>
      <c r="H146" s="67" t="s">
        <v>15</v>
      </c>
      <c r="I146" s="67" t="s">
        <v>282</v>
      </c>
      <c r="J146" s="67" t="s">
        <v>282</v>
      </c>
      <c r="K146" s="67" t="s">
        <v>282</v>
      </c>
      <c r="L146" s="67" t="s">
        <v>282</v>
      </c>
      <c r="M146" s="67" t="s">
        <v>282</v>
      </c>
      <c r="N146" s="67" t="s">
        <v>282</v>
      </c>
      <c r="O146" s="68" t="s">
        <v>282</v>
      </c>
      <c r="P146" s="68" t="s">
        <v>282</v>
      </c>
      <c r="Q146" s="68" t="s">
        <v>282</v>
      </c>
      <c r="R146" s="68" t="s">
        <v>282</v>
      </c>
      <c r="S146" s="68" t="s">
        <v>282</v>
      </c>
      <c r="T146" s="68" t="s">
        <v>282</v>
      </c>
      <c r="U146" s="68" t="s">
        <v>282</v>
      </c>
      <c r="V146" s="68" t="s">
        <v>282</v>
      </c>
      <c r="W146" s="69" t="s">
        <v>282</v>
      </c>
      <c r="X146" s="69" t="s">
        <v>282</v>
      </c>
      <c r="Y146" s="70" t="s">
        <v>282</v>
      </c>
    </row>
    <row r="147" spans="1:25">
      <c r="A147" s="64">
        <v>3</v>
      </c>
      <c r="B147" s="65" t="str">
        <f>VLOOKUP(Tabel10[[#This Row],[Code]],Ruimtegroepen[[Code]:[Ruimte omschrijving]],2,FALSE)</f>
        <v>Reproruimte</v>
      </c>
      <c r="C147" s="66" t="s">
        <v>399</v>
      </c>
      <c r="D147" s="65" t="s">
        <v>13</v>
      </c>
      <c r="E147" s="66" t="s">
        <v>1309</v>
      </c>
      <c r="F147" s="66" t="s">
        <v>1342</v>
      </c>
      <c r="G147" s="71" t="s">
        <v>282</v>
      </c>
      <c r="H147" s="67" t="s">
        <v>282</v>
      </c>
      <c r="I147" s="67" t="s">
        <v>282</v>
      </c>
      <c r="J147" s="67" t="s">
        <v>15</v>
      </c>
      <c r="K147" s="67" t="s">
        <v>329</v>
      </c>
      <c r="L147" s="67" t="s">
        <v>282</v>
      </c>
      <c r="M147" s="67" t="s">
        <v>282</v>
      </c>
      <c r="N147" s="67" t="s">
        <v>282</v>
      </c>
      <c r="O147" s="68" t="s">
        <v>15</v>
      </c>
      <c r="P147" s="68" t="s">
        <v>15</v>
      </c>
      <c r="Q147" s="68" t="s">
        <v>15</v>
      </c>
      <c r="R147" s="68" t="s">
        <v>15</v>
      </c>
      <c r="S147" s="68" t="s">
        <v>16</v>
      </c>
      <c r="T147" s="68" t="s">
        <v>283</v>
      </c>
      <c r="U147" s="68" t="s">
        <v>249</v>
      </c>
      <c r="V147" s="68" t="s">
        <v>282</v>
      </c>
      <c r="W147" s="69" t="s">
        <v>282</v>
      </c>
      <c r="X147" s="69" t="s">
        <v>282</v>
      </c>
      <c r="Y147" s="70" t="s">
        <v>282</v>
      </c>
    </row>
    <row r="148" spans="1:25">
      <c r="A148" s="64">
        <v>3</v>
      </c>
      <c r="B148" s="65" t="str">
        <f>VLOOKUP(Tabel10[[#This Row],[Code]],Ruimtegroepen[[Code]:[Ruimte omschrijving]],2,FALSE)</f>
        <v>Reproruimte</v>
      </c>
      <c r="C148" s="66" t="s">
        <v>404</v>
      </c>
      <c r="D148" s="65" t="s">
        <v>0</v>
      </c>
      <c r="E148" s="66" t="s">
        <v>100</v>
      </c>
      <c r="F148" s="66" t="s">
        <v>405</v>
      </c>
      <c r="G148" s="71" t="s">
        <v>282</v>
      </c>
      <c r="H148" s="67" t="s">
        <v>282</v>
      </c>
      <c r="I148" s="67" t="s">
        <v>16</v>
      </c>
      <c r="J148" s="67" t="s">
        <v>282</v>
      </c>
      <c r="K148" s="67" t="s">
        <v>282</v>
      </c>
      <c r="L148" s="67" t="s">
        <v>282</v>
      </c>
      <c r="M148" s="67" t="s">
        <v>282</v>
      </c>
      <c r="N148" s="67" t="s">
        <v>282</v>
      </c>
      <c r="O148" s="68" t="s">
        <v>16</v>
      </c>
      <c r="P148" s="68" t="s">
        <v>16</v>
      </c>
      <c r="Q148" s="68" t="s">
        <v>16</v>
      </c>
      <c r="R148" s="68" t="s">
        <v>16</v>
      </c>
      <c r="S148" s="68" t="s">
        <v>16</v>
      </c>
      <c r="T148" s="68" t="s">
        <v>283</v>
      </c>
      <c r="U148" s="68" t="s">
        <v>249</v>
      </c>
      <c r="V148" s="68" t="s">
        <v>282</v>
      </c>
      <c r="W148" s="69" t="s">
        <v>282</v>
      </c>
      <c r="X148" s="69" t="s">
        <v>282</v>
      </c>
      <c r="Y148" s="70" t="s">
        <v>282</v>
      </c>
    </row>
    <row r="149" spans="1:25">
      <c r="A149" s="64">
        <v>3</v>
      </c>
      <c r="B149" s="65" t="str">
        <f>VLOOKUP(Tabel10[[#This Row],[Code]],Ruimtegroepen[[Code]:[Ruimte omschrijving]],2,FALSE)</f>
        <v>Reproruimte</v>
      </c>
      <c r="C149" s="66" t="s">
        <v>404</v>
      </c>
      <c r="D149" s="65" t="s">
        <v>0</v>
      </c>
      <c r="E149" s="66" t="s">
        <v>99</v>
      </c>
      <c r="F149" s="66" t="s">
        <v>406</v>
      </c>
      <c r="G149" s="71" t="s">
        <v>282</v>
      </c>
      <c r="H149" s="67" t="s">
        <v>16</v>
      </c>
      <c r="I149" s="67" t="s">
        <v>282</v>
      </c>
      <c r="J149" s="67" t="s">
        <v>282</v>
      </c>
      <c r="K149" s="67" t="s">
        <v>282</v>
      </c>
      <c r="L149" s="67" t="s">
        <v>282</v>
      </c>
      <c r="M149" s="67" t="s">
        <v>282</v>
      </c>
      <c r="N149" s="67" t="s">
        <v>282</v>
      </c>
      <c r="O149" s="68" t="s">
        <v>16</v>
      </c>
      <c r="P149" s="68" t="s">
        <v>16</v>
      </c>
      <c r="Q149" s="68" t="s">
        <v>16</v>
      </c>
      <c r="R149" s="68" t="s">
        <v>16</v>
      </c>
      <c r="S149" s="68" t="s">
        <v>16</v>
      </c>
      <c r="T149" s="68" t="s">
        <v>283</v>
      </c>
      <c r="U149" s="68" t="s">
        <v>249</v>
      </c>
      <c r="V149" s="68" t="s">
        <v>282</v>
      </c>
      <c r="W149" s="69" t="s">
        <v>282</v>
      </c>
      <c r="X149" s="69" t="s">
        <v>282</v>
      </c>
      <c r="Y149" s="70" t="s">
        <v>282</v>
      </c>
    </row>
    <row r="150" spans="1:25">
      <c r="A150" s="64">
        <v>3</v>
      </c>
      <c r="B150" s="65" t="str">
        <f>VLOOKUP(Tabel10[[#This Row],[Code]],Ruimtegroepen[[Code]:[Ruimte omschrijving]],2,FALSE)</f>
        <v>Reproruimte</v>
      </c>
      <c r="C150" s="66" t="s">
        <v>404</v>
      </c>
      <c r="D150" s="65" t="s">
        <v>0</v>
      </c>
      <c r="E150" s="66" t="s">
        <v>101</v>
      </c>
      <c r="F150" s="66" t="s">
        <v>407</v>
      </c>
      <c r="G150" s="71" t="s">
        <v>282</v>
      </c>
      <c r="H150" s="67" t="s">
        <v>282</v>
      </c>
      <c r="I150" s="67" t="s">
        <v>282</v>
      </c>
      <c r="J150" s="67" t="s">
        <v>16</v>
      </c>
      <c r="K150" s="67" t="s">
        <v>329</v>
      </c>
      <c r="L150" s="67" t="s">
        <v>282</v>
      </c>
      <c r="M150" s="67" t="s">
        <v>282</v>
      </c>
      <c r="N150" s="67" t="s">
        <v>282</v>
      </c>
      <c r="O150" s="68" t="s">
        <v>16</v>
      </c>
      <c r="P150" s="68" t="s">
        <v>16</v>
      </c>
      <c r="Q150" s="68" t="s">
        <v>16</v>
      </c>
      <c r="R150" s="68" t="s">
        <v>16</v>
      </c>
      <c r="S150" s="68" t="s">
        <v>16</v>
      </c>
      <c r="T150" s="68" t="s">
        <v>283</v>
      </c>
      <c r="U150" s="68" t="s">
        <v>249</v>
      </c>
      <c r="V150" s="68" t="s">
        <v>282</v>
      </c>
      <c r="W150" s="69" t="s">
        <v>282</v>
      </c>
      <c r="X150" s="69" t="s">
        <v>282</v>
      </c>
      <c r="Y150" s="70" t="s">
        <v>282</v>
      </c>
    </row>
    <row r="151" spans="1:25">
      <c r="A151" s="64">
        <v>3</v>
      </c>
      <c r="B151" s="65" t="str">
        <f>VLOOKUP(Tabel10[[#This Row],[Code]],Ruimtegroepen[[Code]:[Ruimte omschrijving]],2,FALSE)</f>
        <v>Reproruimte</v>
      </c>
      <c r="C151" s="66" t="s">
        <v>404</v>
      </c>
      <c r="D151" s="65" t="s">
        <v>0</v>
      </c>
      <c r="E151" s="66" t="s">
        <v>102</v>
      </c>
      <c r="F151" s="66" t="s">
        <v>408</v>
      </c>
      <c r="G151" s="71" t="s">
        <v>282</v>
      </c>
      <c r="H151" s="67" t="s">
        <v>282</v>
      </c>
      <c r="I151" s="67" t="s">
        <v>16</v>
      </c>
      <c r="J151" s="67" t="s">
        <v>282</v>
      </c>
      <c r="K151" s="67" t="s">
        <v>329</v>
      </c>
      <c r="L151" s="67" t="s">
        <v>282</v>
      </c>
      <c r="M151" s="67" t="s">
        <v>282</v>
      </c>
      <c r="N151" s="67" t="s">
        <v>282</v>
      </c>
      <c r="O151" s="68" t="s">
        <v>16</v>
      </c>
      <c r="P151" s="68" t="s">
        <v>16</v>
      </c>
      <c r="Q151" s="68" t="s">
        <v>16</v>
      </c>
      <c r="R151" s="68" t="s">
        <v>16</v>
      </c>
      <c r="S151" s="68" t="s">
        <v>16</v>
      </c>
      <c r="T151" s="68" t="s">
        <v>283</v>
      </c>
      <c r="U151" s="68" t="s">
        <v>249</v>
      </c>
      <c r="V151" s="68" t="s">
        <v>282</v>
      </c>
      <c r="W151" s="69" t="s">
        <v>282</v>
      </c>
      <c r="X151" s="69" t="s">
        <v>282</v>
      </c>
      <c r="Y151" s="70" t="s">
        <v>282</v>
      </c>
    </row>
    <row r="152" spans="1:25">
      <c r="A152" s="64">
        <v>3</v>
      </c>
      <c r="B152" s="65" t="str">
        <f>VLOOKUP(Tabel10[[#This Row],[Code]],Ruimtegroepen[[Code]:[Ruimte omschrijving]],2,FALSE)</f>
        <v>Reproruimte</v>
      </c>
      <c r="C152" s="66" t="s">
        <v>404</v>
      </c>
      <c r="D152" s="65" t="s">
        <v>0</v>
      </c>
      <c r="E152" s="66" t="s">
        <v>99</v>
      </c>
      <c r="F152" s="66" t="s">
        <v>406</v>
      </c>
      <c r="G152" s="71" t="s">
        <v>282</v>
      </c>
      <c r="H152" s="67" t="s">
        <v>16</v>
      </c>
      <c r="I152" s="67" t="s">
        <v>282</v>
      </c>
      <c r="J152" s="67" t="s">
        <v>282</v>
      </c>
      <c r="K152" s="67" t="s">
        <v>282</v>
      </c>
      <c r="L152" s="67" t="s">
        <v>282</v>
      </c>
      <c r="M152" s="67" t="s">
        <v>282</v>
      </c>
      <c r="N152" s="67" t="s">
        <v>282</v>
      </c>
      <c r="O152" s="68" t="s">
        <v>282</v>
      </c>
      <c r="P152" s="68" t="s">
        <v>282</v>
      </c>
      <c r="Q152" s="68" t="s">
        <v>282</v>
      </c>
      <c r="R152" s="68" t="s">
        <v>282</v>
      </c>
      <c r="S152" s="68" t="s">
        <v>282</v>
      </c>
      <c r="T152" s="68" t="s">
        <v>282</v>
      </c>
      <c r="U152" s="68" t="s">
        <v>282</v>
      </c>
      <c r="V152" s="68" t="s">
        <v>282</v>
      </c>
      <c r="W152" s="69" t="s">
        <v>282</v>
      </c>
      <c r="X152" s="69" t="s">
        <v>282</v>
      </c>
      <c r="Y152" s="70" t="s">
        <v>282</v>
      </c>
    </row>
    <row r="153" spans="1:25">
      <c r="A153" s="64">
        <v>3</v>
      </c>
      <c r="B153" s="65" t="str">
        <f>VLOOKUP(Tabel10[[#This Row],[Code]],Ruimtegroepen[[Code]:[Ruimte omschrijving]],2,FALSE)</f>
        <v>Reproruimte</v>
      </c>
      <c r="C153" s="66" t="s">
        <v>404</v>
      </c>
      <c r="D153" s="65" t="s">
        <v>0</v>
      </c>
      <c r="E153" s="66" t="s">
        <v>1309</v>
      </c>
      <c r="F153" s="66" t="s">
        <v>1343</v>
      </c>
      <c r="G153" s="71" t="s">
        <v>282</v>
      </c>
      <c r="H153" s="67" t="s">
        <v>282</v>
      </c>
      <c r="I153" s="67" t="s">
        <v>16</v>
      </c>
      <c r="J153" s="67" t="s">
        <v>282</v>
      </c>
      <c r="K153" s="67" t="s">
        <v>329</v>
      </c>
      <c r="L153" s="67" t="s">
        <v>282</v>
      </c>
      <c r="M153" s="67" t="s">
        <v>282</v>
      </c>
      <c r="N153" s="67" t="s">
        <v>282</v>
      </c>
      <c r="O153" s="68" t="s">
        <v>16</v>
      </c>
      <c r="P153" s="68" t="s">
        <v>16</v>
      </c>
      <c r="Q153" s="68" t="s">
        <v>16</v>
      </c>
      <c r="R153" s="68" t="s">
        <v>16</v>
      </c>
      <c r="S153" s="68" t="s">
        <v>16</v>
      </c>
      <c r="T153" s="68" t="s">
        <v>283</v>
      </c>
      <c r="U153" s="68" t="s">
        <v>249</v>
      </c>
      <c r="V153" s="68" t="s">
        <v>282</v>
      </c>
      <c r="W153" s="69" t="s">
        <v>282</v>
      </c>
      <c r="X153" s="69" t="s">
        <v>282</v>
      </c>
      <c r="Y153" s="70" t="s">
        <v>282</v>
      </c>
    </row>
    <row r="154" spans="1:25">
      <c r="A154" s="64">
        <v>3</v>
      </c>
      <c r="B154" s="65" t="str">
        <f>VLOOKUP(Tabel10[[#This Row],[Code]],Ruimtegroepen[[Code]:[Ruimte omschrijving]],2,FALSE)</f>
        <v>Reproruimte</v>
      </c>
      <c r="C154" s="66" t="s">
        <v>409</v>
      </c>
      <c r="D154" s="65" t="s">
        <v>27</v>
      </c>
      <c r="E154" s="66" t="s">
        <v>100</v>
      </c>
      <c r="F154" s="66" t="s">
        <v>410</v>
      </c>
      <c r="G154" s="71" t="s">
        <v>282</v>
      </c>
      <c r="H154" s="67" t="s">
        <v>282</v>
      </c>
      <c r="I154" s="67" t="s">
        <v>282</v>
      </c>
      <c r="J154" s="67" t="s">
        <v>15</v>
      </c>
      <c r="K154" s="67" t="s">
        <v>282</v>
      </c>
      <c r="L154" s="67" t="s">
        <v>282</v>
      </c>
      <c r="M154" s="67" t="s">
        <v>282</v>
      </c>
      <c r="N154" s="67" t="s">
        <v>282</v>
      </c>
      <c r="O154" s="68" t="s">
        <v>15</v>
      </c>
      <c r="P154" s="68" t="s">
        <v>15</v>
      </c>
      <c r="Q154" s="68" t="s">
        <v>15</v>
      </c>
      <c r="R154" s="68" t="s">
        <v>282</v>
      </c>
      <c r="S154" s="68" t="s">
        <v>282</v>
      </c>
      <c r="T154" s="68" t="s">
        <v>282</v>
      </c>
      <c r="U154" s="68" t="s">
        <v>282</v>
      </c>
      <c r="V154" s="68" t="s">
        <v>282</v>
      </c>
      <c r="W154" s="69" t="s">
        <v>282</v>
      </c>
      <c r="X154" s="69" t="s">
        <v>282</v>
      </c>
      <c r="Y154" s="70" t="s">
        <v>282</v>
      </c>
    </row>
    <row r="155" spans="1:25">
      <c r="A155" s="64">
        <v>3</v>
      </c>
      <c r="B155" s="65" t="str">
        <f>VLOOKUP(Tabel10[[#This Row],[Code]],Ruimtegroepen[[Code]:[Ruimte omschrijving]],2,FALSE)</f>
        <v>Reproruimte</v>
      </c>
      <c r="C155" s="66" t="s">
        <v>409</v>
      </c>
      <c r="D155" s="65" t="s">
        <v>27</v>
      </c>
      <c r="E155" s="66" t="s">
        <v>99</v>
      </c>
      <c r="F155" s="66" t="s">
        <v>411</v>
      </c>
      <c r="G155" s="71" t="s">
        <v>282</v>
      </c>
      <c r="H155" s="67" t="s">
        <v>15</v>
      </c>
      <c r="I155" s="67" t="s">
        <v>282</v>
      </c>
      <c r="J155" s="67" t="s">
        <v>282</v>
      </c>
      <c r="K155" s="67" t="s">
        <v>282</v>
      </c>
      <c r="L155" s="67" t="s">
        <v>282</v>
      </c>
      <c r="M155" s="67" t="s">
        <v>282</v>
      </c>
      <c r="N155" s="67" t="s">
        <v>282</v>
      </c>
      <c r="O155" s="68" t="s">
        <v>15</v>
      </c>
      <c r="P155" s="68" t="s">
        <v>15</v>
      </c>
      <c r="Q155" s="68" t="s">
        <v>15</v>
      </c>
      <c r="R155" s="68" t="s">
        <v>282</v>
      </c>
      <c r="S155" s="68" t="s">
        <v>282</v>
      </c>
      <c r="T155" s="68" t="s">
        <v>282</v>
      </c>
      <c r="U155" s="68" t="s">
        <v>282</v>
      </c>
      <c r="V155" s="68" t="s">
        <v>282</v>
      </c>
      <c r="W155" s="69" t="s">
        <v>282</v>
      </c>
      <c r="X155" s="69" t="s">
        <v>282</v>
      </c>
      <c r="Y155" s="70" t="s">
        <v>282</v>
      </c>
    </row>
    <row r="156" spans="1:25">
      <c r="A156" s="64">
        <v>3</v>
      </c>
      <c r="B156" s="65" t="str">
        <f>VLOOKUP(Tabel10[[#This Row],[Code]],Ruimtegroepen[[Code]:[Ruimte omschrijving]],2,FALSE)</f>
        <v>Reproruimte</v>
      </c>
      <c r="C156" s="66" t="s">
        <v>409</v>
      </c>
      <c r="D156" s="65" t="s">
        <v>27</v>
      </c>
      <c r="E156" s="66" t="s">
        <v>101</v>
      </c>
      <c r="F156" s="66" t="s">
        <v>412</v>
      </c>
      <c r="G156" s="71" t="s">
        <v>282</v>
      </c>
      <c r="H156" s="67" t="s">
        <v>282</v>
      </c>
      <c r="I156" s="67" t="s">
        <v>282</v>
      </c>
      <c r="J156" s="67" t="s">
        <v>15</v>
      </c>
      <c r="K156" s="67" t="s">
        <v>282</v>
      </c>
      <c r="L156" s="67" t="s">
        <v>282</v>
      </c>
      <c r="M156" s="67" t="s">
        <v>282</v>
      </c>
      <c r="N156" s="67" t="s">
        <v>282</v>
      </c>
      <c r="O156" s="68" t="s">
        <v>15</v>
      </c>
      <c r="P156" s="68" t="s">
        <v>15</v>
      </c>
      <c r="Q156" s="68" t="s">
        <v>15</v>
      </c>
      <c r="R156" s="68" t="s">
        <v>282</v>
      </c>
      <c r="S156" s="68" t="s">
        <v>282</v>
      </c>
      <c r="T156" s="68" t="s">
        <v>282</v>
      </c>
      <c r="U156" s="68" t="s">
        <v>282</v>
      </c>
      <c r="V156" s="68" t="s">
        <v>282</v>
      </c>
      <c r="W156" s="69" t="s">
        <v>282</v>
      </c>
      <c r="X156" s="69" t="s">
        <v>282</v>
      </c>
      <c r="Y156" s="70" t="s">
        <v>282</v>
      </c>
    </row>
    <row r="157" spans="1:25">
      <c r="A157" s="64">
        <v>3</v>
      </c>
      <c r="B157" s="65" t="str">
        <f>VLOOKUP(Tabel10[[#This Row],[Code]],Ruimtegroepen[[Code]:[Ruimte omschrijving]],2,FALSE)</f>
        <v>Reproruimte</v>
      </c>
      <c r="C157" s="66" t="s">
        <v>409</v>
      </c>
      <c r="D157" s="65" t="s">
        <v>27</v>
      </c>
      <c r="E157" s="66" t="s">
        <v>102</v>
      </c>
      <c r="F157" s="66" t="s">
        <v>413</v>
      </c>
      <c r="G157" s="71" t="s">
        <v>282</v>
      </c>
      <c r="H157" s="67" t="s">
        <v>282</v>
      </c>
      <c r="I157" s="67" t="s">
        <v>282</v>
      </c>
      <c r="J157" s="67" t="s">
        <v>15</v>
      </c>
      <c r="K157" s="67" t="s">
        <v>282</v>
      </c>
      <c r="L157" s="67" t="s">
        <v>282</v>
      </c>
      <c r="M157" s="67" t="s">
        <v>282</v>
      </c>
      <c r="N157" s="67" t="s">
        <v>282</v>
      </c>
      <c r="O157" s="68" t="s">
        <v>15</v>
      </c>
      <c r="P157" s="68" t="s">
        <v>15</v>
      </c>
      <c r="Q157" s="68" t="s">
        <v>15</v>
      </c>
      <c r="R157" s="68" t="s">
        <v>282</v>
      </c>
      <c r="S157" s="68" t="s">
        <v>282</v>
      </c>
      <c r="T157" s="68" t="s">
        <v>282</v>
      </c>
      <c r="U157" s="68" t="s">
        <v>282</v>
      </c>
      <c r="V157" s="68" t="s">
        <v>282</v>
      </c>
      <c r="W157" s="69" t="s">
        <v>282</v>
      </c>
      <c r="X157" s="69" t="s">
        <v>282</v>
      </c>
      <c r="Y157" s="70" t="s">
        <v>282</v>
      </c>
    </row>
    <row r="158" spans="1:25">
      <c r="A158" s="64">
        <v>3</v>
      </c>
      <c r="B158" s="65" t="str">
        <f>VLOOKUP(Tabel10[[#This Row],[Code]],Ruimtegroepen[[Code]:[Ruimte omschrijving]],2,FALSE)</f>
        <v>Reproruimte</v>
      </c>
      <c r="C158" s="66" t="s">
        <v>409</v>
      </c>
      <c r="D158" s="65" t="s">
        <v>27</v>
      </c>
      <c r="E158" s="66" t="s">
        <v>99</v>
      </c>
      <c r="F158" s="66" t="s">
        <v>411</v>
      </c>
      <c r="G158" s="71" t="s">
        <v>282</v>
      </c>
      <c r="H158" s="67" t="s">
        <v>15</v>
      </c>
      <c r="I158" s="67" t="s">
        <v>282</v>
      </c>
      <c r="J158" s="67" t="s">
        <v>282</v>
      </c>
      <c r="K158" s="67" t="s">
        <v>282</v>
      </c>
      <c r="L158" s="67" t="s">
        <v>282</v>
      </c>
      <c r="M158" s="67" t="s">
        <v>282</v>
      </c>
      <c r="N158" s="67" t="s">
        <v>282</v>
      </c>
      <c r="O158" s="68" t="s">
        <v>15</v>
      </c>
      <c r="P158" s="68" t="s">
        <v>15</v>
      </c>
      <c r="Q158" s="68" t="s">
        <v>15</v>
      </c>
      <c r="R158" s="68" t="s">
        <v>282</v>
      </c>
      <c r="S158" s="68" t="s">
        <v>282</v>
      </c>
      <c r="T158" s="68" t="s">
        <v>282</v>
      </c>
      <c r="U158" s="68" t="s">
        <v>282</v>
      </c>
      <c r="V158" s="68" t="s">
        <v>282</v>
      </c>
      <c r="W158" s="69" t="s">
        <v>282</v>
      </c>
      <c r="X158" s="69" t="s">
        <v>282</v>
      </c>
      <c r="Y158" s="70" t="s">
        <v>282</v>
      </c>
    </row>
    <row r="159" spans="1:25">
      <c r="A159" s="64">
        <v>3</v>
      </c>
      <c r="B159" s="65" t="str">
        <f>VLOOKUP(Tabel10[[#This Row],[Code]],Ruimtegroepen[[Code]:[Ruimte omschrijving]],2,FALSE)</f>
        <v>Reproruimte</v>
      </c>
      <c r="C159" s="66" t="s">
        <v>409</v>
      </c>
      <c r="D159" s="65" t="s">
        <v>27</v>
      </c>
      <c r="E159" s="66" t="s">
        <v>1309</v>
      </c>
      <c r="F159" s="66" t="s">
        <v>1376</v>
      </c>
      <c r="G159" s="71" t="s">
        <v>282</v>
      </c>
      <c r="H159" s="67" t="s">
        <v>282</v>
      </c>
      <c r="I159" s="67" t="s">
        <v>282</v>
      </c>
      <c r="J159" s="67" t="s">
        <v>15</v>
      </c>
      <c r="K159" s="67" t="s">
        <v>282</v>
      </c>
      <c r="L159" s="67" t="s">
        <v>282</v>
      </c>
      <c r="M159" s="67" t="s">
        <v>282</v>
      </c>
      <c r="N159" s="67" t="s">
        <v>282</v>
      </c>
      <c r="O159" s="68" t="s">
        <v>15</v>
      </c>
      <c r="P159" s="68" t="s">
        <v>15</v>
      </c>
      <c r="Q159" s="68" t="s">
        <v>15</v>
      </c>
      <c r="R159" s="68" t="s">
        <v>282</v>
      </c>
      <c r="S159" s="68" t="s">
        <v>282</v>
      </c>
      <c r="T159" s="68" t="s">
        <v>282</v>
      </c>
      <c r="U159" s="68" t="s">
        <v>282</v>
      </c>
      <c r="V159" s="68" t="s">
        <v>282</v>
      </c>
      <c r="W159" s="69" t="s">
        <v>282</v>
      </c>
      <c r="X159" s="69" t="s">
        <v>282</v>
      </c>
      <c r="Y159" s="70" t="s">
        <v>282</v>
      </c>
    </row>
    <row r="160" spans="1:25">
      <c r="A160" s="64">
        <v>3</v>
      </c>
      <c r="B160" s="65" t="str">
        <f>VLOOKUP(Tabel10[[#This Row],[Code]],Ruimtegroepen[[Code]:[Ruimte omschrijving]],2,FALSE)</f>
        <v>Reproruimte</v>
      </c>
      <c r="C160" s="66" t="s">
        <v>414</v>
      </c>
      <c r="D160" s="65" t="s">
        <v>28</v>
      </c>
      <c r="E160" s="66" t="s">
        <v>100</v>
      </c>
      <c r="F160" s="66" t="s">
        <v>415</v>
      </c>
      <c r="G160" s="71" t="s">
        <v>282</v>
      </c>
      <c r="H160" s="67" t="s">
        <v>282</v>
      </c>
      <c r="I160" s="67" t="s">
        <v>17</v>
      </c>
      <c r="J160" s="67" t="s">
        <v>282</v>
      </c>
      <c r="K160" s="67" t="s">
        <v>282</v>
      </c>
      <c r="L160" s="67" t="s">
        <v>282</v>
      </c>
      <c r="M160" s="67" t="s">
        <v>282</v>
      </c>
      <c r="N160" s="67" t="s">
        <v>282</v>
      </c>
      <c r="O160" s="68" t="s">
        <v>17</v>
      </c>
      <c r="P160" s="68" t="s">
        <v>17</v>
      </c>
      <c r="Q160" s="68" t="s">
        <v>15</v>
      </c>
      <c r="R160" s="68" t="s">
        <v>282</v>
      </c>
      <c r="S160" s="68" t="s">
        <v>282</v>
      </c>
      <c r="T160" s="68" t="s">
        <v>282</v>
      </c>
      <c r="U160" s="68" t="s">
        <v>282</v>
      </c>
      <c r="V160" s="68" t="s">
        <v>282</v>
      </c>
      <c r="W160" s="69" t="s">
        <v>282</v>
      </c>
      <c r="X160" s="69" t="s">
        <v>282</v>
      </c>
      <c r="Y160" s="70" t="s">
        <v>282</v>
      </c>
    </row>
    <row r="161" spans="1:25">
      <c r="A161" s="64">
        <v>3</v>
      </c>
      <c r="B161" s="65" t="str">
        <f>VLOOKUP(Tabel10[[#This Row],[Code]],Ruimtegroepen[[Code]:[Ruimte omschrijving]],2,FALSE)</f>
        <v>Reproruimte</v>
      </c>
      <c r="C161" s="66" t="s">
        <v>414</v>
      </c>
      <c r="D161" s="65" t="s">
        <v>28</v>
      </c>
      <c r="E161" s="66" t="s">
        <v>99</v>
      </c>
      <c r="F161" s="66" t="s">
        <v>416</v>
      </c>
      <c r="G161" s="71" t="s">
        <v>282</v>
      </c>
      <c r="H161" s="67" t="s">
        <v>17</v>
      </c>
      <c r="I161" s="67" t="s">
        <v>282</v>
      </c>
      <c r="J161" s="67" t="s">
        <v>282</v>
      </c>
      <c r="K161" s="67" t="s">
        <v>282</v>
      </c>
      <c r="L161" s="67" t="s">
        <v>282</v>
      </c>
      <c r="M161" s="67" t="s">
        <v>282</v>
      </c>
      <c r="N161" s="67" t="s">
        <v>282</v>
      </c>
      <c r="O161" s="68" t="s">
        <v>17</v>
      </c>
      <c r="P161" s="68" t="s">
        <v>17</v>
      </c>
      <c r="Q161" s="68" t="s">
        <v>15</v>
      </c>
      <c r="R161" s="68" t="s">
        <v>282</v>
      </c>
      <c r="S161" s="68" t="s">
        <v>282</v>
      </c>
      <c r="T161" s="68" t="s">
        <v>282</v>
      </c>
      <c r="U161" s="68" t="s">
        <v>282</v>
      </c>
      <c r="V161" s="68" t="s">
        <v>282</v>
      </c>
      <c r="W161" s="69" t="s">
        <v>282</v>
      </c>
      <c r="X161" s="69" t="s">
        <v>282</v>
      </c>
      <c r="Y161" s="70" t="s">
        <v>282</v>
      </c>
    </row>
    <row r="162" spans="1:25">
      <c r="A162" s="64">
        <v>3</v>
      </c>
      <c r="B162" s="65" t="str">
        <f>VLOOKUP(Tabel10[[#This Row],[Code]],Ruimtegroepen[[Code]:[Ruimte omschrijving]],2,FALSE)</f>
        <v>Reproruimte</v>
      </c>
      <c r="C162" s="66" t="s">
        <v>414</v>
      </c>
      <c r="D162" s="65" t="s">
        <v>28</v>
      </c>
      <c r="E162" s="66" t="s">
        <v>101</v>
      </c>
      <c r="F162" s="66" t="s">
        <v>417</v>
      </c>
      <c r="G162" s="71" t="s">
        <v>282</v>
      </c>
      <c r="H162" s="67" t="s">
        <v>282</v>
      </c>
      <c r="I162" s="67" t="s">
        <v>17</v>
      </c>
      <c r="J162" s="67" t="s">
        <v>282</v>
      </c>
      <c r="K162" s="67" t="s">
        <v>282</v>
      </c>
      <c r="L162" s="67" t="s">
        <v>282</v>
      </c>
      <c r="M162" s="67" t="s">
        <v>282</v>
      </c>
      <c r="N162" s="67" t="s">
        <v>282</v>
      </c>
      <c r="O162" s="68" t="s">
        <v>17</v>
      </c>
      <c r="P162" s="68" t="s">
        <v>17</v>
      </c>
      <c r="Q162" s="68" t="s">
        <v>15</v>
      </c>
      <c r="R162" s="68" t="s">
        <v>282</v>
      </c>
      <c r="S162" s="68" t="s">
        <v>282</v>
      </c>
      <c r="T162" s="68" t="s">
        <v>282</v>
      </c>
      <c r="U162" s="68" t="s">
        <v>282</v>
      </c>
      <c r="V162" s="68" t="s">
        <v>282</v>
      </c>
      <c r="W162" s="69" t="s">
        <v>282</v>
      </c>
      <c r="X162" s="69" t="s">
        <v>282</v>
      </c>
      <c r="Y162" s="70" t="s">
        <v>282</v>
      </c>
    </row>
    <row r="163" spans="1:25">
      <c r="A163" s="64">
        <v>3</v>
      </c>
      <c r="B163" s="65" t="str">
        <f>VLOOKUP(Tabel10[[#This Row],[Code]],Ruimtegroepen[[Code]:[Ruimte omschrijving]],2,FALSE)</f>
        <v>Reproruimte</v>
      </c>
      <c r="C163" s="66" t="s">
        <v>414</v>
      </c>
      <c r="D163" s="65" t="s">
        <v>28</v>
      </c>
      <c r="E163" s="66" t="s">
        <v>102</v>
      </c>
      <c r="F163" s="66" t="s">
        <v>418</v>
      </c>
      <c r="G163" s="71" t="s">
        <v>282</v>
      </c>
      <c r="H163" s="67" t="s">
        <v>282</v>
      </c>
      <c r="I163" s="67" t="s">
        <v>17</v>
      </c>
      <c r="J163" s="67" t="s">
        <v>282</v>
      </c>
      <c r="K163" s="67" t="s">
        <v>282</v>
      </c>
      <c r="L163" s="67" t="s">
        <v>282</v>
      </c>
      <c r="M163" s="67" t="s">
        <v>282</v>
      </c>
      <c r="N163" s="67" t="s">
        <v>282</v>
      </c>
      <c r="O163" s="68" t="s">
        <v>17</v>
      </c>
      <c r="P163" s="68" t="s">
        <v>17</v>
      </c>
      <c r="Q163" s="68" t="s">
        <v>15</v>
      </c>
      <c r="R163" s="68" t="s">
        <v>282</v>
      </c>
      <c r="S163" s="68" t="s">
        <v>282</v>
      </c>
      <c r="T163" s="68" t="s">
        <v>282</v>
      </c>
      <c r="U163" s="68" t="s">
        <v>282</v>
      </c>
      <c r="V163" s="68" t="s">
        <v>282</v>
      </c>
      <c r="W163" s="69" t="s">
        <v>282</v>
      </c>
      <c r="X163" s="69" t="s">
        <v>282</v>
      </c>
      <c r="Y163" s="70" t="s">
        <v>282</v>
      </c>
    </row>
    <row r="164" spans="1:25">
      <c r="A164" s="64">
        <v>3</v>
      </c>
      <c r="B164" s="65" t="str">
        <f>VLOOKUP(Tabel10[[#This Row],[Code]],Ruimtegroepen[[Code]:[Ruimte omschrijving]],2,FALSE)</f>
        <v>Reproruimte</v>
      </c>
      <c r="C164" s="66" t="s">
        <v>414</v>
      </c>
      <c r="D164" s="65" t="s">
        <v>28</v>
      </c>
      <c r="E164" s="66" t="s">
        <v>99</v>
      </c>
      <c r="F164" s="66" t="s">
        <v>416</v>
      </c>
      <c r="G164" s="71" t="s">
        <v>282</v>
      </c>
      <c r="H164" s="67" t="s">
        <v>17</v>
      </c>
      <c r="I164" s="67" t="s">
        <v>282</v>
      </c>
      <c r="J164" s="67" t="s">
        <v>282</v>
      </c>
      <c r="K164" s="67" t="s">
        <v>282</v>
      </c>
      <c r="L164" s="67" t="s">
        <v>282</v>
      </c>
      <c r="M164" s="67" t="s">
        <v>282</v>
      </c>
      <c r="N164" s="67" t="s">
        <v>282</v>
      </c>
      <c r="O164" s="68" t="s">
        <v>17</v>
      </c>
      <c r="P164" s="68" t="s">
        <v>17</v>
      </c>
      <c r="Q164" s="68" t="s">
        <v>15</v>
      </c>
      <c r="R164" s="68" t="s">
        <v>282</v>
      </c>
      <c r="S164" s="68" t="s">
        <v>282</v>
      </c>
      <c r="T164" s="68" t="s">
        <v>282</v>
      </c>
      <c r="U164" s="68" t="s">
        <v>282</v>
      </c>
      <c r="V164" s="68" t="s">
        <v>282</v>
      </c>
      <c r="W164" s="69" t="s">
        <v>282</v>
      </c>
      <c r="X164" s="69" t="s">
        <v>282</v>
      </c>
      <c r="Y164" s="70" t="s">
        <v>282</v>
      </c>
    </row>
    <row r="165" spans="1:25">
      <c r="A165" s="64">
        <v>3</v>
      </c>
      <c r="B165" s="65" t="str">
        <f>VLOOKUP(Tabel10[[#This Row],[Code]],Ruimtegroepen[[Code]:[Ruimte omschrijving]],2,FALSE)</f>
        <v>Reproruimte</v>
      </c>
      <c r="C165" s="66" t="s">
        <v>414</v>
      </c>
      <c r="D165" s="65" t="s">
        <v>28</v>
      </c>
      <c r="E165" s="66" t="s">
        <v>1309</v>
      </c>
      <c r="F165" s="66" t="s">
        <v>1409</v>
      </c>
      <c r="G165" s="71" t="s">
        <v>282</v>
      </c>
      <c r="H165" s="67" t="s">
        <v>282</v>
      </c>
      <c r="I165" s="67" t="s">
        <v>17</v>
      </c>
      <c r="J165" s="67" t="s">
        <v>282</v>
      </c>
      <c r="K165" s="67" t="s">
        <v>282</v>
      </c>
      <c r="L165" s="67" t="s">
        <v>282</v>
      </c>
      <c r="M165" s="67" t="s">
        <v>282</v>
      </c>
      <c r="N165" s="67" t="s">
        <v>282</v>
      </c>
      <c r="O165" s="68" t="s">
        <v>17</v>
      </c>
      <c r="P165" s="68" t="s">
        <v>17</v>
      </c>
      <c r="Q165" s="68" t="s">
        <v>15</v>
      </c>
      <c r="R165" s="68" t="s">
        <v>282</v>
      </c>
      <c r="S165" s="68" t="s">
        <v>282</v>
      </c>
      <c r="T165" s="68" t="s">
        <v>282</v>
      </c>
      <c r="U165" s="68" t="s">
        <v>282</v>
      </c>
      <c r="V165" s="68" t="s">
        <v>282</v>
      </c>
      <c r="W165" s="69" t="s">
        <v>282</v>
      </c>
      <c r="X165" s="69" t="s">
        <v>282</v>
      </c>
      <c r="Y165" s="70" t="s">
        <v>282</v>
      </c>
    </row>
    <row r="166" spans="1:25">
      <c r="A166" s="64">
        <v>4</v>
      </c>
      <c r="B166" s="65" t="str">
        <f>VLOOKUP(Tabel10[[#This Row],[Code]],Ruimtegroepen[[Code]:[Ruimte omschrijving]],2,FALSE)</f>
        <v>Vergader/spreekkamers</v>
      </c>
      <c r="C166" s="66" t="s">
        <v>419</v>
      </c>
      <c r="D166" s="65" t="s">
        <v>29</v>
      </c>
      <c r="E166" s="66" t="s">
        <v>100</v>
      </c>
      <c r="F166" s="66" t="s">
        <v>420</v>
      </c>
      <c r="G166" s="71" t="s">
        <v>282</v>
      </c>
      <c r="H166" s="67" t="s">
        <v>282</v>
      </c>
      <c r="I166" s="67" t="s">
        <v>20</v>
      </c>
      <c r="J166" s="67" t="s">
        <v>15</v>
      </c>
      <c r="K166" s="67" t="s">
        <v>282</v>
      </c>
      <c r="L166" s="67" t="s">
        <v>282</v>
      </c>
      <c r="M166" s="67" t="s">
        <v>282</v>
      </c>
      <c r="N166" s="67" t="s">
        <v>2</v>
      </c>
      <c r="O166" s="68" t="s">
        <v>2</v>
      </c>
      <c r="P166" s="68" t="s">
        <v>2</v>
      </c>
      <c r="Q166" s="68" t="s">
        <v>15</v>
      </c>
      <c r="R166" s="68" t="s">
        <v>15</v>
      </c>
      <c r="S166" s="68" t="s">
        <v>16</v>
      </c>
      <c r="T166" s="68" t="s">
        <v>329</v>
      </c>
      <c r="U166" s="68" t="s">
        <v>249</v>
      </c>
      <c r="V166" s="68" t="s">
        <v>2</v>
      </c>
      <c r="W166" s="69" t="s">
        <v>282</v>
      </c>
      <c r="X166" s="69" t="s">
        <v>282</v>
      </c>
      <c r="Y166" s="70" t="s">
        <v>282</v>
      </c>
    </row>
    <row r="167" spans="1:25">
      <c r="A167" s="64">
        <v>4</v>
      </c>
      <c r="B167" s="65" t="str">
        <f>VLOOKUP(Tabel10[[#This Row],[Code]],Ruimtegroepen[[Code]:[Ruimte omschrijving]],2,FALSE)</f>
        <v>Vergader/spreekkamers</v>
      </c>
      <c r="C167" s="66" t="s">
        <v>419</v>
      </c>
      <c r="D167" s="65" t="s">
        <v>29</v>
      </c>
      <c r="E167" s="66" t="s">
        <v>99</v>
      </c>
      <c r="F167" s="66" t="s">
        <v>421</v>
      </c>
      <c r="G167" s="67" t="s">
        <v>20</v>
      </c>
      <c r="H167" s="67" t="s">
        <v>15</v>
      </c>
      <c r="I167" s="67" t="s">
        <v>282</v>
      </c>
      <c r="J167" s="67" t="s">
        <v>282</v>
      </c>
      <c r="K167" s="67" t="s">
        <v>282</v>
      </c>
      <c r="L167" s="67" t="s">
        <v>282</v>
      </c>
      <c r="M167" s="67" t="s">
        <v>282</v>
      </c>
      <c r="N167" s="67" t="s">
        <v>2</v>
      </c>
      <c r="O167" s="68" t="s">
        <v>2</v>
      </c>
      <c r="P167" s="68" t="s">
        <v>2</v>
      </c>
      <c r="Q167" s="68" t="s">
        <v>15</v>
      </c>
      <c r="R167" s="68" t="s">
        <v>15</v>
      </c>
      <c r="S167" s="68" t="s">
        <v>16</v>
      </c>
      <c r="T167" s="68" t="s">
        <v>329</v>
      </c>
      <c r="U167" s="68" t="s">
        <v>249</v>
      </c>
      <c r="V167" s="68" t="s">
        <v>2</v>
      </c>
      <c r="W167" s="69" t="s">
        <v>282</v>
      </c>
      <c r="X167" s="69" t="s">
        <v>282</v>
      </c>
      <c r="Y167" s="70" t="s">
        <v>282</v>
      </c>
    </row>
    <row r="168" spans="1:25">
      <c r="A168" s="64">
        <v>4</v>
      </c>
      <c r="B168" s="65" t="str">
        <f>VLOOKUP(Tabel10[[#This Row],[Code]],Ruimtegroepen[[Code]:[Ruimte omschrijving]],2,FALSE)</f>
        <v>Vergader/spreekkamers</v>
      </c>
      <c r="C168" s="66" t="s">
        <v>419</v>
      </c>
      <c r="D168" s="65" t="s">
        <v>29</v>
      </c>
      <c r="E168" s="66" t="s">
        <v>101</v>
      </c>
      <c r="F168" s="66" t="s">
        <v>422</v>
      </c>
      <c r="G168" s="71" t="s">
        <v>282</v>
      </c>
      <c r="H168" s="67" t="s">
        <v>282</v>
      </c>
      <c r="I168" s="67" t="s">
        <v>20</v>
      </c>
      <c r="J168" s="67" t="s">
        <v>15</v>
      </c>
      <c r="K168" s="67" t="s">
        <v>329</v>
      </c>
      <c r="L168" s="67" t="s">
        <v>282</v>
      </c>
      <c r="M168" s="67" t="s">
        <v>282</v>
      </c>
      <c r="N168" s="67" t="s">
        <v>2</v>
      </c>
      <c r="O168" s="68" t="s">
        <v>2</v>
      </c>
      <c r="P168" s="68" t="s">
        <v>2</v>
      </c>
      <c r="Q168" s="68" t="s">
        <v>15</v>
      </c>
      <c r="R168" s="68" t="s">
        <v>15</v>
      </c>
      <c r="S168" s="68" t="s">
        <v>16</v>
      </c>
      <c r="T168" s="68" t="s">
        <v>329</v>
      </c>
      <c r="U168" s="68" t="s">
        <v>249</v>
      </c>
      <c r="V168" s="68" t="s">
        <v>2</v>
      </c>
      <c r="W168" s="69" t="s">
        <v>282</v>
      </c>
      <c r="X168" s="69" t="s">
        <v>282</v>
      </c>
      <c r="Y168" s="70" t="s">
        <v>282</v>
      </c>
    </row>
    <row r="169" spans="1:25">
      <c r="A169" s="64">
        <v>4</v>
      </c>
      <c r="B169" s="65" t="str">
        <f>VLOOKUP(Tabel10[[#This Row],[Code]],Ruimtegroepen[[Code]:[Ruimte omschrijving]],2,FALSE)</f>
        <v>Vergader/spreekkamers</v>
      </c>
      <c r="C169" s="66" t="s">
        <v>419</v>
      </c>
      <c r="D169" s="65" t="s">
        <v>29</v>
      </c>
      <c r="E169" s="66" t="s">
        <v>102</v>
      </c>
      <c r="F169" s="66" t="s">
        <v>423</v>
      </c>
      <c r="G169" s="71" t="s">
        <v>282</v>
      </c>
      <c r="H169" s="67" t="s">
        <v>282</v>
      </c>
      <c r="I169" s="67" t="s">
        <v>20</v>
      </c>
      <c r="J169" s="67" t="s">
        <v>15</v>
      </c>
      <c r="K169" s="67" t="s">
        <v>329</v>
      </c>
      <c r="L169" s="67" t="s">
        <v>282</v>
      </c>
      <c r="M169" s="67" t="s">
        <v>282</v>
      </c>
      <c r="N169" s="67" t="s">
        <v>2</v>
      </c>
      <c r="O169" s="68" t="s">
        <v>2</v>
      </c>
      <c r="P169" s="68" t="s">
        <v>2</v>
      </c>
      <c r="Q169" s="68" t="s">
        <v>15</v>
      </c>
      <c r="R169" s="68" t="s">
        <v>15</v>
      </c>
      <c r="S169" s="68" t="s">
        <v>16</v>
      </c>
      <c r="T169" s="68" t="s">
        <v>329</v>
      </c>
      <c r="U169" s="68" t="s">
        <v>249</v>
      </c>
      <c r="V169" s="68" t="s">
        <v>2</v>
      </c>
      <c r="W169" s="69" t="s">
        <v>282</v>
      </c>
      <c r="X169" s="69" t="s">
        <v>282</v>
      </c>
      <c r="Y169" s="70" t="s">
        <v>282</v>
      </c>
    </row>
    <row r="170" spans="1:25">
      <c r="A170" s="64">
        <v>4</v>
      </c>
      <c r="B170" s="65" t="str">
        <f>VLOOKUP(Tabel10[[#This Row],[Code]],Ruimtegroepen[[Code]:[Ruimte omschrijving]],2,FALSE)</f>
        <v>Vergader/spreekkamers</v>
      </c>
      <c r="C170" s="66" t="s">
        <v>419</v>
      </c>
      <c r="D170" s="65" t="s">
        <v>29</v>
      </c>
      <c r="E170" s="66" t="s">
        <v>99</v>
      </c>
      <c r="F170" s="66" t="s">
        <v>421</v>
      </c>
      <c r="G170" s="67" t="s">
        <v>20</v>
      </c>
      <c r="H170" s="67" t="s">
        <v>15</v>
      </c>
      <c r="I170" s="67" t="s">
        <v>282</v>
      </c>
      <c r="J170" s="67" t="s">
        <v>282</v>
      </c>
      <c r="K170" s="67" t="s">
        <v>282</v>
      </c>
      <c r="L170" s="67" t="s">
        <v>282</v>
      </c>
      <c r="M170" s="67" t="s">
        <v>282</v>
      </c>
      <c r="N170" s="67" t="s">
        <v>2</v>
      </c>
      <c r="O170" s="68" t="s">
        <v>2</v>
      </c>
      <c r="P170" s="68" t="s">
        <v>2</v>
      </c>
      <c r="Q170" s="68" t="s">
        <v>15</v>
      </c>
      <c r="R170" s="68" t="s">
        <v>15</v>
      </c>
      <c r="S170" s="68" t="s">
        <v>16</v>
      </c>
      <c r="T170" s="68" t="s">
        <v>329</v>
      </c>
      <c r="U170" s="68" t="s">
        <v>249</v>
      </c>
      <c r="V170" s="68" t="s">
        <v>2</v>
      </c>
      <c r="W170" s="69" t="s">
        <v>282</v>
      </c>
      <c r="X170" s="69" t="s">
        <v>282</v>
      </c>
      <c r="Y170" s="70" t="s">
        <v>282</v>
      </c>
    </row>
    <row r="171" spans="1:25">
      <c r="A171" s="64">
        <v>4</v>
      </c>
      <c r="B171" s="65" t="str">
        <f>VLOOKUP(Tabel10[[#This Row],[Code]],Ruimtegroepen[[Code]:[Ruimte omschrijving]],2,FALSE)</f>
        <v>Vergader/spreekkamers</v>
      </c>
      <c r="C171" s="66" t="s">
        <v>419</v>
      </c>
      <c r="D171" s="65" t="s">
        <v>29</v>
      </c>
      <c r="E171" s="66" t="s">
        <v>1309</v>
      </c>
      <c r="F171" s="66" t="s">
        <v>1477</v>
      </c>
      <c r="G171" s="71" t="s">
        <v>282</v>
      </c>
      <c r="H171" s="67" t="s">
        <v>282</v>
      </c>
      <c r="I171" s="67" t="s">
        <v>20</v>
      </c>
      <c r="J171" s="67" t="s">
        <v>15</v>
      </c>
      <c r="K171" s="67" t="s">
        <v>329</v>
      </c>
      <c r="L171" s="67" t="s">
        <v>282</v>
      </c>
      <c r="M171" s="67" t="s">
        <v>282</v>
      </c>
      <c r="N171" s="67" t="s">
        <v>2</v>
      </c>
      <c r="O171" s="68" t="s">
        <v>2</v>
      </c>
      <c r="P171" s="68" t="s">
        <v>2</v>
      </c>
      <c r="Q171" s="68" t="s">
        <v>15</v>
      </c>
      <c r="R171" s="68" t="s">
        <v>15</v>
      </c>
      <c r="S171" s="68" t="s">
        <v>16</v>
      </c>
      <c r="T171" s="68" t="s">
        <v>329</v>
      </c>
      <c r="U171" s="68" t="s">
        <v>249</v>
      </c>
      <c r="V171" s="68" t="s">
        <v>2</v>
      </c>
      <c r="W171" s="69" t="s">
        <v>282</v>
      </c>
      <c r="X171" s="69" t="s">
        <v>282</v>
      </c>
      <c r="Y171" s="70" t="s">
        <v>282</v>
      </c>
    </row>
    <row r="172" spans="1:25">
      <c r="A172" s="64">
        <v>4</v>
      </c>
      <c r="B172" s="65" t="str">
        <f>VLOOKUP(Tabel10[[#This Row],[Code]],Ruimtegroepen[[Code]:[Ruimte omschrijving]],2,FALSE)</f>
        <v>Vergader/spreekkamers</v>
      </c>
      <c r="C172" s="66" t="s">
        <v>424</v>
      </c>
      <c r="D172" s="65" t="s">
        <v>1</v>
      </c>
      <c r="E172" s="66" t="s">
        <v>100</v>
      </c>
      <c r="F172" s="66" t="s">
        <v>425</v>
      </c>
      <c r="G172" s="71" t="s">
        <v>282</v>
      </c>
      <c r="H172" s="67" t="s">
        <v>282</v>
      </c>
      <c r="I172" s="67" t="s">
        <v>20</v>
      </c>
      <c r="J172" s="67" t="s">
        <v>15</v>
      </c>
      <c r="K172" s="67" t="s">
        <v>282</v>
      </c>
      <c r="L172" s="67" t="s">
        <v>282</v>
      </c>
      <c r="M172" s="67" t="s">
        <v>282</v>
      </c>
      <c r="N172" s="67" t="s">
        <v>282</v>
      </c>
      <c r="O172" s="68" t="s">
        <v>2</v>
      </c>
      <c r="P172" s="68" t="s">
        <v>2</v>
      </c>
      <c r="Q172" s="68" t="s">
        <v>15</v>
      </c>
      <c r="R172" s="68" t="s">
        <v>15</v>
      </c>
      <c r="S172" s="68" t="s">
        <v>16</v>
      </c>
      <c r="T172" s="68" t="s">
        <v>329</v>
      </c>
      <c r="U172" s="68" t="s">
        <v>249</v>
      </c>
      <c r="V172" s="68" t="s">
        <v>282</v>
      </c>
      <c r="W172" s="69" t="s">
        <v>282</v>
      </c>
      <c r="X172" s="69" t="s">
        <v>282</v>
      </c>
      <c r="Y172" s="70" t="s">
        <v>282</v>
      </c>
    </row>
    <row r="173" spans="1:25">
      <c r="A173" s="64">
        <v>4</v>
      </c>
      <c r="B173" s="65" t="str">
        <f>VLOOKUP(Tabel10[[#This Row],[Code]],Ruimtegroepen[[Code]:[Ruimte omschrijving]],2,FALSE)</f>
        <v>Vergader/spreekkamers</v>
      </c>
      <c r="C173" s="66" t="s">
        <v>424</v>
      </c>
      <c r="D173" s="65" t="s">
        <v>1</v>
      </c>
      <c r="E173" s="66" t="s">
        <v>99</v>
      </c>
      <c r="F173" s="66" t="s">
        <v>426</v>
      </c>
      <c r="G173" s="67" t="s">
        <v>20</v>
      </c>
      <c r="H173" s="67" t="s">
        <v>15</v>
      </c>
      <c r="I173" s="67" t="s">
        <v>282</v>
      </c>
      <c r="J173" s="67" t="s">
        <v>282</v>
      </c>
      <c r="K173" s="67" t="s">
        <v>282</v>
      </c>
      <c r="L173" s="67" t="s">
        <v>282</v>
      </c>
      <c r="M173" s="67" t="s">
        <v>282</v>
      </c>
      <c r="N173" s="67" t="s">
        <v>282</v>
      </c>
      <c r="O173" s="68" t="s">
        <v>2</v>
      </c>
      <c r="P173" s="68" t="s">
        <v>2</v>
      </c>
      <c r="Q173" s="68" t="s">
        <v>15</v>
      </c>
      <c r="R173" s="68" t="s">
        <v>15</v>
      </c>
      <c r="S173" s="68" t="s">
        <v>16</v>
      </c>
      <c r="T173" s="68" t="s">
        <v>329</v>
      </c>
      <c r="U173" s="68" t="s">
        <v>249</v>
      </c>
      <c r="V173" s="68" t="s">
        <v>282</v>
      </c>
      <c r="W173" s="69" t="s">
        <v>282</v>
      </c>
      <c r="X173" s="69" t="s">
        <v>282</v>
      </c>
      <c r="Y173" s="70" t="s">
        <v>282</v>
      </c>
    </row>
    <row r="174" spans="1:25">
      <c r="A174" s="64">
        <v>4</v>
      </c>
      <c r="B174" s="65" t="str">
        <f>VLOOKUP(Tabel10[[#This Row],[Code]],Ruimtegroepen[[Code]:[Ruimte omschrijving]],2,FALSE)</f>
        <v>Vergader/spreekkamers</v>
      </c>
      <c r="C174" s="66" t="s">
        <v>424</v>
      </c>
      <c r="D174" s="65" t="s">
        <v>1</v>
      </c>
      <c r="E174" s="66" t="s">
        <v>101</v>
      </c>
      <c r="F174" s="66" t="s">
        <v>427</v>
      </c>
      <c r="G174" s="71" t="s">
        <v>282</v>
      </c>
      <c r="H174" s="67" t="s">
        <v>282</v>
      </c>
      <c r="I174" s="67" t="s">
        <v>20</v>
      </c>
      <c r="J174" s="67" t="s">
        <v>15</v>
      </c>
      <c r="K174" s="67" t="s">
        <v>329</v>
      </c>
      <c r="L174" s="67" t="s">
        <v>282</v>
      </c>
      <c r="M174" s="67" t="s">
        <v>282</v>
      </c>
      <c r="N174" s="67" t="s">
        <v>282</v>
      </c>
      <c r="O174" s="68" t="s">
        <v>2</v>
      </c>
      <c r="P174" s="68" t="s">
        <v>2</v>
      </c>
      <c r="Q174" s="68" t="s">
        <v>15</v>
      </c>
      <c r="R174" s="68" t="s">
        <v>15</v>
      </c>
      <c r="S174" s="68" t="s">
        <v>16</v>
      </c>
      <c r="T174" s="68" t="s">
        <v>329</v>
      </c>
      <c r="U174" s="68" t="s">
        <v>249</v>
      </c>
      <c r="V174" s="68" t="s">
        <v>282</v>
      </c>
      <c r="W174" s="69" t="s">
        <v>282</v>
      </c>
      <c r="X174" s="69" t="s">
        <v>282</v>
      </c>
      <c r="Y174" s="70" t="s">
        <v>282</v>
      </c>
    </row>
    <row r="175" spans="1:25">
      <c r="A175" s="64">
        <v>4</v>
      </c>
      <c r="B175" s="65" t="str">
        <f>VLOOKUP(Tabel10[[#This Row],[Code]],Ruimtegroepen[[Code]:[Ruimte omschrijving]],2,FALSE)</f>
        <v>Vergader/spreekkamers</v>
      </c>
      <c r="C175" s="66" t="s">
        <v>424</v>
      </c>
      <c r="D175" s="65" t="s">
        <v>1</v>
      </c>
      <c r="E175" s="66" t="s">
        <v>102</v>
      </c>
      <c r="F175" s="66" t="s">
        <v>428</v>
      </c>
      <c r="G175" s="71" t="s">
        <v>282</v>
      </c>
      <c r="H175" s="67" t="s">
        <v>282</v>
      </c>
      <c r="I175" s="67" t="s">
        <v>20</v>
      </c>
      <c r="J175" s="67" t="s">
        <v>15</v>
      </c>
      <c r="K175" s="67" t="s">
        <v>329</v>
      </c>
      <c r="L175" s="67" t="s">
        <v>282</v>
      </c>
      <c r="M175" s="67" t="s">
        <v>282</v>
      </c>
      <c r="N175" s="67" t="s">
        <v>282</v>
      </c>
      <c r="O175" s="68" t="s">
        <v>2</v>
      </c>
      <c r="P175" s="68" t="s">
        <v>2</v>
      </c>
      <c r="Q175" s="68" t="s">
        <v>15</v>
      </c>
      <c r="R175" s="68" t="s">
        <v>15</v>
      </c>
      <c r="S175" s="68" t="s">
        <v>16</v>
      </c>
      <c r="T175" s="68" t="s">
        <v>329</v>
      </c>
      <c r="U175" s="68" t="s">
        <v>249</v>
      </c>
      <c r="V175" s="68" t="s">
        <v>282</v>
      </c>
      <c r="W175" s="69" t="s">
        <v>282</v>
      </c>
      <c r="X175" s="69" t="s">
        <v>282</v>
      </c>
      <c r="Y175" s="70" t="s">
        <v>282</v>
      </c>
    </row>
    <row r="176" spans="1:25">
      <c r="A176" s="64">
        <v>4</v>
      </c>
      <c r="B176" s="65" t="str">
        <f>VLOOKUP(Tabel10[[#This Row],[Code]],Ruimtegroepen[[Code]:[Ruimte omschrijving]],2,FALSE)</f>
        <v>Vergader/spreekkamers</v>
      </c>
      <c r="C176" s="66" t="s">
        <v>424</v>
      </c>
      <c r="D176" s="65" t="s">
        <v>1</v>
      </c>
      <c r="E176" s="66" t="s">
        <v>99</v>
      </c>
      <c r="F176" s="66" t="s">
        <v>426</v>
      </c>
      <c r="G176" s="67" t="s">
        <v>20</v>
      </c>
      <c r="H176" s="67" t="s">
        <v>15</v>
      </c>
      <c r="I176" s="67" t="s">
        <v>282</v>
      </c>
      <c r="J176" s="67" t="s">
        <v>282</v>
      </c>
      <c r="K176" s="67" t="s">
        <v>282</v>
      </c>
      <c r="L176" s="67" t="s">
        <v>282</v>
      </c>
      <c r="M176" s="67" t="s">
        <v>282</v>
      </c>
      <c r="N176" s="67" t="s">
        <v>282</v>
      </c>
      <c r="O176" s="68" t="s">
        <v>2</v>
      </c>
      <c r="P176" s="68" t="s">
        <v>2</v>
      </c>
      <c r="Q176" s="68" t="s">
        <v>15</v>
      </c>
      <c r="R176" s="68" t="s">
        <v>15</v>
      </c>
      <c r="S176" s="68" t="s">
        <v>16</v>
      </c>
      <c r="T176" s="68" t="s">
        <v>329</v>
      </c>
      <c r="U176" s="68" t="s">
        <v>249</v>
      </c>
      <c r="V176" s="68" t="s">
        <v>282</v>
      </c>
      <c r="W176" s="69" t="s">
        <v>282</v>
      </c>
      <c r="X176" s="69" t="s">
        <v>282</v>
      </c>
      <c r="Y176" s="70" t="s">
        <v>282</v>
      </c>
    </row>
    <row r="177" spans="1:25">
      <c r="A177" s="64">
        <v>4</v>
      </c>
      <c r="B177" s="65" t="str">
        <f>VLOOKUP(Tabel10[[#This Row],[Code]],Ruimtegroepen[[Code]:[Ruimte omschrijving]],2,FALSE)</f>
        <v>Vergader/spreekkamers</v>
      </c>
      <c r="C177" s="66" t="s">
        <v>424</v>
      </c>
      <c r="D177" s="65" t="s">
        <v>1</v>
      </c>
      <c r="E177" s="66" t="s">
        <v>1309</v>
      </c>
      <c r="F177" s="66" t="s">
        <v>1462</v>
      </c>
      <c r="G177" s="71" t="s">
        <v>282</v>
      </c>
      <c r="H177" s="67" t="s">
        <v>282</v>
      </c>
      <c r="I177" s="67" t="s">
        <v>20</v>
      </c>
      <c r="J177" s="67" t="s">
        <v>15</v>
      </c>
      <c r="K177" s="67" t="s">
        <v>329</v>
      </c>
      <c r="L177" s="67" t="s">
        <v>282</v>
      </c>
      <c r="M177" s="67" t="s">
        <v>282</v>
      </c>
      <c r="N177" s="67" t="s">
        <v>282</v>
      </c>
      <c r="O177" s="68" t="s">
        <v>2</v>
      </c>
      <c r="P177" s="68" t="s">
        <v>2</v>
      </c>
      <c r="Q177" s="68" t="s">
        <v>15</v>
      </c>
      <c r="R177" s="68" t="s">
        <v>15</v>
      </c>
      <c r="S177" s="68" t="s">
        <v>16</v>
      </c>
      <c r="T177" s="68" t="s">
        <v>329</v>
      </c>
      <c r="U177" s="68" t="s">
        <v>249</v>
      </c>
      <c r="V177" s="68" t="s">
        <v>282</v>
      </c>
      <c r="W177" s="69" t="s">
        <v>282</v>
      </c>
      <c r="X177" s="69" t="s">
        <v>282</v>
      </c>
      <c r="Y177" s="70" t="s">
        <v>282</v>
      </c>
    </row>
    <row r="178" spans="1:25">
      <c r="A178" s="64">
        <v>4</v>
      </c>
      <c r="B178" s="65" t="str">
        <f>VLOOKUP(Tabel10[[#This Row],[Code]],Ruimtegroepen[[Code]:[Ruimte omschrijving]],2,FALSE)</f>
        <v>Vergader/spreekkamers</v>
      </c>
      <c r="C178" s="66" t="s">
        <v>429</v>
      </c>
      <c r="D178" s="65" t="s">
        <v>21</v>
      </c>
      <c r="E178" s="66" t="s">
        <v>100</v>
      </c>
      <c r="F178" s="66" t="s">
        <v>430</v>
      </c>
      <c r="G178" s="71" t="s">
        <v>282</v>
      </c>
      <c r="H178" s="67" t="s">
        <v>282</v>
      </c>
      <c r="I178" s="67" t="s">
        <v>18</v>
      </c>
      <c r="J178" s="67" t="s">
        <v>15</v>
      </c>
      <c r="K178" s="67" t="s">
        <v>282</v>
      </c>
      <c r="L178" s="67" t="s">
        <v>282</v>
      </c>
      <c r="M178" s="67" t="s">
        <v>282</v>
      </c>
      <c r="N178" s="67" t="s">
        <v>282</v>
      </c>
      <c r="O178" s="68" t="s">
        <v>20</v>
      </c>
      <c r="P178" s="68" t="s">
        <v>20</v>
      </c>
      <c r="Q178" s="68" t="s">
        <v>15</v>
      </c>
      <c r="R178" s="68" t="s">
        <v>15</v>
      </c>
      <c r="S178" s="68" t="s">
        <v>16</v>
      </c>
      <c r="T178" s="68" t="s">
        <v>329</v>
      </c>
      <c r="U178" s="68" t="s">
        <v>249</v>
      </c>
      <c r="V178" s="68" t="s">
        <v>282</v>
      </c>
      <c r="W178" s="69" t="s">
        <v>282</v>
      </c>
      <c r="X178" s="69" t="s">
        <v>282</v>
      </c>
      <c r="Y178" s="70" t="s">
        <v>282</v>
      </c>
    </row>
    <row r="179" spans="1:25">
      <c r="A179" s="64">
        <v>4</v>
      </c>
      <c r="B179" s="65" t="str">
        <f>VLOOKUP(Tabel10[[#This Row],[Code]],Ruimtegroepen[[Code]:[Ruimte omschrijving]],2,FALSE)</f>
        <v>Vergader/spreekkamers</v>
      </c>
      <c r="C179" s="66" t="s">
        <v>429</v>
      </c>
      <c r="D179" s="65" t="s">
        <v>21</v>
      </c>
      <c r="E179" s="66" t="s">
        <v>99</v>
      </c>
      <c r="F179" s="66" t="s">
        <v>431</v>
      </c>
      <c r="G179" s="67" t="s">
        <v>18</v>
      </c>
      <c r="H179" s="67" t="s">
        <v>15</v>
      </c>
      <c r="I179" s="67" t="s">
        <v>282</v>
      </c>
      <c r="J179" s="67" t="s">
        <v>282</v>
      </c>
      <c r="K179" s="67" t="s">
        <v>282</v>
      </c>
      <c r="L179" s="67" t="s">
        <v>282</v>
      </c>
      <c r="M179" s="67" t="s">
        <v>282</v>
      </c>
      <c r="N179" s="67" t="s">
        <v>282</v>
      </c>
      <c r="O179" s="68" t="s">
        <v>20</v>
      </c>
      <c r="P179" s="68" t="s">
        <v>20</v>
      </c>
      <c r="Q179" s="68" t="s">
        <v>15</v>
      </c>
      <c r="R179" s="68" t="s">
        <v>15</v>
      </c>
      <c r="S179" s="68" t="s">
        <v>16</v>
      </c>
      <c r="T179" s="68" t="s">
        <v>329</v>
      </c>
      <c r="U179" s="68" t="s">
        <v>249</v>
      </c>
      <c r="V179" s="68" t="s">
        <v>282</v>
      </c>
      <c r="W179" s="69" t="s">
        <v>282</v>
      </c>
      <c r="X179" s="69" t="s">
        <v>282</v>
      </c>
      <c r="Y179" s="70" t="s">
        <v>282</v>
      </c>
    </row>
    <row r="180" spans="1:25">
      <c r="A180" s="64">
        <v>4</v>
      </c>
      <c r="B180" s="65" t="str">
        <f>VLOOKUP(Tabel10[[#This Row],[Code]],Ruimtegroepen[[Code]:[Ruimte omschrijving]],2,FALSE)</f>
        <v>Vergader/spreekkamers</v>
      </c>
      <c r="C180" s="66" t="s">
        <v>429</v>
      </c>
      <c r="D180" s="65" t="s">
        <v>21</v>
      </c>
      <c r="E180" s="66" t="s">
        <v>101</v>
      </c>
      <c r="F180" s="66" t="s">
        <v>432</v>
      </c>
      <c r="G180" s="71" t="s">
        <v>282</v>
      </c>
      <c r="H180" s="67" t="s">
        <v>282</v>
      </c>
      <c r="I180" s="67" t="s">
        <v>18</v>
      </c>
      <c r="J180" s="67" t="s">
        <v>15</v>
      </c>
      <c r="K180" s="67" t="s">
        <v>329</v>
      </c>
      <c r="L180" s="67" t="s">
        <v>282</v>
      </c>
      <c r="M180" s="67" t="s">
        <v>282</v>
      </c>
      <c r="N180" s="67" t="s">
        <v>282</v>
      </c>
      <c r="O180" s="68" t="s">
        <v>20</v>
      </c>
      <c r="P180" s="68" t="s">
        <v>20</v>
      </c>
      <c r="Q180" s="68" t="s">
        <v>15</v>
      </c>
      <c r="R180" s="68" t="s">
        <v>15</v>
      </c>
      <c r="S180" s="68" t="s">
        <v>16</v>
      </c>
      <c r="T180" s="68" t="s">
        <v>329</v>
      </c>
      <c r="U180" s="68" t="s">
        <v>249</v>
      </c>
      <c r="V180" s="68" t="s">
        <v>282</v>
      </c>
      <c r="W180" s="69" t="s">
        <v>282</v>
      </c>
      <c r="X180" s="69" t="s">
        <v>282</v>
      </c>
      <c r="Y180" s="70" t="s">
        <v>282</v>
      </c>
    </row>
    <row r="181" spans="1:25">
      <c r="A181" s="64">
        <v>4</v>
      </c>
      <c r="B181" s="65" t="str">
        <f>VLOOKUP(Tabel10[[#This Row],[Code]],Ruimtegroepen[[Code]:[Ruimte omschrijving]],2,FALSE)</f>
        <v>Vergader/spreekkamers</v>
      </c>
      <c r="C181" s="66" t="s">
        <v>429</v>
      </c>
      <c r="D181" s="65" t="s">
        <v>21</v>
      </c>
      <c r="E181" s="66" t="s">
        <v>102</v>
      </c>
      <c r="F181" s="66" t="s">
        <v>433</v>
      </c>
      <c r="G181" s="71" t="s">
        <v>282</v>
      </c>
      <c r="H181" s="67" t="s">
        <v>282</v>
      </c>
      <c r="I181" s="67" t="s">
        <v>18</v>
      </c>
      <c r="J181" s="67" t="s">
        <v>15</v>
      </c>
      <c r="K181" s="67" t="s">
        <v>329</v>
      </c>
      <c r="L181" s="67" t="s">
        <v>282</v>
      </c>
      <c r="M181" s="67" t="s">
        <v>282</v>
      </c>
      <c r="N181" s="67" t="s">
        <v>282</v>
      </c>
      <c r="O181" s="68" t="s">
        <v>20</v>
      </c>
      <c r="P181" s="68" t="s">
        <v>20</v>
      </c>
      <c r="Q181" s="68" t="s">
        <v>15</v>
      </c>
      <c r="R181" s="68" t="s">
        <v>15</v>
      </c>
      <c r="S181" s="68" t="s">
        <v>16</v>
      </c>
      <c r="T181" s="68" t="s">
        <v>329</v>
      </c>
      <c r="U181" s="68" t="s">
        <v>249</v>
      </c>
      <c r="V181" s="68" t="s">
        <v>282</v>
      </c>
      <c r="W181" s="69" t="s">
        <v>282</v>
      </c>
      <c r="X181" s="69" t="s">
        <v>282</v>
      </c>
      <c r="Y181" s="70" t="s">
        <v>282</v>
      </c>
    </row>
    <row r="182" spans="1:25">
      <c r="A182" s="64">
        <v>4</v>
      </c>
      <c r="B182" s="65" t="str">
        <f>VLOOKUP(Tabel10[[#This Row],[Code]],Ruimtegroepen[[Code]:[Ruimte omschrijving]],2,FALSE)</f>
        <v>Vergader/spreekkamers</v>
      </c>
      <c r="C182" s="66" t="s">
        <v>429</v>
      </c>
      <c r="D182" s="65" t="s">
        <v>21</v>
      </c>
      <c r="E182" s="66" t="s">
        <v>99</v>
      </c>
      <c r="F182" s="66" t="s">
        <v>431</v>
      </c>
      <c r="G182" s="67" t="s">
        <v>18</v>
      </c>
      <c r="H182" s="67" t="s">
        <v>15</v>
      </c>
      <c r="I182" s="67" t="s">
        <v>282</v>
      </c>
      <c r="J182" s="67" t="s">
        <v>282</v>
      </c>
      <c r="K182" s="67" t="s">
        <v>282</v>
      </c>
      <c r="L182" s="67" t="s">
        <v>282</v>
      </c>
      <c r="M182" s="67" t="s">
        <v>282</v>
      </c>
      <c r="N182" s="67" t="s">
        <v>282</v>
      </c>
      <c r="O182" s="68" t="s">
        <v>20</v>
      </c>
      <c r="P182" s="68" t="s">
        <v>20</v>
      </c>
      <c r="Q182" s="68" t="s">
        <v>15</v>
      </c>
      <c r="R182" s="68" t="s">
        <v>15</v>
      </c>
      <c r="S182" s="68" t="s">
        <v>16</v>
      </c>
      <c r="T182" s="68" t="s">
        <v>329</v>
      </c>
      <c r="U182" s="68" t="s">
        <v>249</v>
      </c>
      <c r="V182" s="68" t="s">
        <v>282</v>
      </c>
      <c r="W182" s="69" t="s">
        <v>282</v>
      </c>
      <c r="X182" s="69" t="s">
        <v>282</v>
      </c>
      <c r="Y182" s="70" t="s">
        <v>282</v>
      </c>
    </row>
    <row r="183" spans="1:25">
      <c r="A183" s="64">
        <v>4</v>
      </c>
      <c r="B183" s="65" t="str">
        <f>VLOOKUP(Tabel10[[#This Row],[Code]],Ruimtegroepen[[Code]:[Ruimte omschrijving]],2,FALSE)</f>
        <v>Vergader/spreekkamers</v>
      </c>
      <c r="C183" s="66" t="s">
        <v>429</v>
      </c>
      <c r="D183" s="65" t="s">
        <v>21</v>
      </c>
      <c r="E183" s="66" t="s">
        <v>1309</v>
      </c>
      <c r="F183" s="66" t="s">
        <v>1443</v>
      </c>
      <c r="G183" s="71" t="s">
        <v>282</v>
      </c>
      <c r="H183" s="67" t="s">
        <v>282</v>
      </c>
      <c r="I183" s="67" t="s">
        <v>18</v>
      </c>
      <c r="J183" s="67" t="s">
        <v>15</v>
      </c>
      <c r="K183" s="67" t="s">
        <v>329</v>
      </c>
      <c r="L183" s="67" t="s">
        <v>282</v>
      </c>
      <c r="M183" s="67" t="s">
        <v>282</v>
      </c>
      <c r="N183" s="67" t="s">
        <v>282</v>
      </c>
      <c r="O183" s="68" t="s">
        <v>20</v>
      </c>
      <c r="P183" s="68" t="s">
        <v>20</v>
      </c>
      <c r="Q183" s="68" t="s">
        <v>15</v>
      </c>
      <c r="R183" s="68" t="s">
        <v>15</v>
      </c>
      <c r="S183" s="68" t="s">
        <v>16</v>
      </c>
      <c r="T183" s="68" t="s">
        <v>329</v>
      </c>
      <c r="U183" s="68" t="s">
        <v>249</v>
      </c>
      <c r="V183" s="68" t="s">
        <v>282</v>
      </c>
      <c r="W183" s="69" t="s">
        <v>282</v>
      </c>
      <c r="X183" s="69" t="s">
        <v>282</v>
      </c>
      <c r="Y183" s="70" t="s">
        <v>282</v>
      </c>
    </row>
    <row r="184" spans="1:25">
      <c r="A184" s="64">
        <v>4</v>
      </c>
      <c r="B184" s="65" t="str">
        <f>VLOOKUP(Tabel10[[#This Row],[Code]],Ruimtegroepen[[Code]:[Ruimte omschrijving]],2,FALSE)</f>
        <v>Vergader/spreekkamers</v>
      </c>
      <c r="C184" s="66" t="s">
        <v>434</v>
      </c>
      <c r="D184" s="65" t="s">
        <v>12</v>
      </c>
      <c r="E184" s="66" t="s">
        <v>100</v>
      </c>
      <c r="F184" s="66" t="s">
        <v>435</v>
      </c>
      <c r="G184" s="71" t="s">
        <v>282</v>
      </c>
      <c r="H184" s="67" t="s">
        <v>282</v>
      </c>
      <c r="I184" s="67" t="s">
        <v>17</v>
      </c>
      <c r="J184" s="67" t="s">
        <v>15</v>
      </c>
      <c r="K184" s="67" t="s">
        <v>282</v>
      </c>
      <c r="L184" s="67" t="s">
        <v>282</v>
      </c>
      <c r="M184" s="67" t="s">
        <v>282</v>
      </c>
      <c r="N184" s="67" t="s">
        <v>282</v>
      </c>
      <c r="O184" s="68" t="s">
        <v>18</v>
      </c>
      <c r="P184" s="68" t="s">
        <v>18</v>
      </c>
      <c r="Q184" s="68" t="s">
        <v>15</v>
      </c>
      <c r="R184" s="68" t="s">
        <v>15</v>
      </c>
      <c r="S184" s="68" t="s">
        <v>16</v>
      </c>
      <c r="T184" s="68" t="s">
        <v>329</v>
      </c>
      <c r="U184" s="68" t="s">
        <v>249</v>
      </c>
      <c r="V184" s="68" t="s">
        <v>282</v>
      </c>
      <c r="W184" s="69" t="s">
        <v>282</v>
      </c>
      <c r="X184" s="69" t="s">
        <v>282</v>
      </c>
      <c r="Y184" s="70" t="s">
        <v>282</v>
      </c>
    </row>
    <row r="185" spans="1:25">
      <c r="A185" s="64">
        <v>4</v>
      </c>
      <c r="B185" s="65" t="str">
        <f>VLOOKUP(Tabel10[[#This Row],[Code]],Ruimtegroepen[[Code]:[Ruimte omschrijving]],2,FALSE)</f>
        <v>Vergader/spreekkamers</v>
      </c>
      <c r="C185" s="66" t="s">
        <v>434</v>
      </c>
      <c r="D185" s="65" t="s">
        <v>12</v>
      </c>
      <c r="E185" s="66" t="s">
        <v>99</v>
      </c>
      <c r="F185" s="66" t="s">
        <v>436</v>
      </c>
      <c r="G185" s="67" t="s">
        <v>17</v>
      </c>
      <c r="H185" s="67" t="s">
        <v>15</v>
      </c>
      <c r="I185" s="67" t="s">
        <v>282</v>
      </c>
      <c r="J185" s="67" t="s">
        <v>282</v>
      </c>
      <c r="K185" s="67" t="s">
        <v>282</v>
      </c>
      <c r="L185" s="67" t="s">
        <v>282</v>
      </c>
      <c r="M185" s="67" t="s">
        <v>282</v>
      </c>
      <c r="N185" s="67" t="s">
        <v>282</v>
      </c>
      <c r="O185" s="68" t="s">
        <v>18</v>
      </c>
      <c r="P185" s="68" t="s">
        <v>18</v>
      </c>
      <c r="Q185" s="68" t="s">
        <v>15</v>
      </c>
      <c r="R185" s="68" t="s">
        <v>15</v>
      </c>
      <c r="S185" s="68" t="s">
        <v>16</v>
      </c>
      <c r="T185" s="68" t="s">
        <v>329</v>
      </c>
      <c r="U185" s="68" t="s">
        <v>249</v>
      </c>
      <c r="V185" s="68" t="s">
        <v>282</v>
      </c>
      <c r="W185" s="69" t="s">
        <v>282</v>
      </c>
      <c r="X185" s="69" t="s">
        <v>282</v>
      </c>
      <c r="Y185" s="70" t="s">
        <v>282</v>
      </c>
    </row>
    <row r="186" spans="1:25">
      <c r="A186" s="64">
        <v>4</v>
      </c>
      <c r="B186" s="65" t="str">
        <f>VLOOKUP(Tabel10[[#This Row],[Code]],Ruimtegroepen[[Code]:[Ruimte omschrijving]],2,FALSE)</f>
        <v>Vergader/spreekkamers</v>
      </c>
      <c r="C186" s="66" t="s">
        <v>434</v>
      </c>
      <c r="D186" s="65" t="s">
        <v>12</v>
      </c>
      <c r="E186" s="66" t="s">
        <v>101</v>
      </c>
      <c r="F186" s="66" t="s">
        <v>437</v>
      </c>
      <c r="G186" s="71" t="s">
        <v>282</v>
      </c>
      <c r="H186" s="67" t="s">
        <v>282</v>
      </c>
      <c r="I186" s="67" t="s">
        <v>17</v>
      </c>
      <c r="J186" s="67" t="s">
        <v>15</v>
      </c>
      <c r="K186" s="67" t="s">
        <v>329</v>
      </c>
      <c r="L186" s="67" t="s">
        <v>282</v>
      </c>
      <c r="M186" s="67" t="s">
        <v>282</v>
      </c>
      <c r="N186" s="67" t="s">
        <v>282</v>
      </c>
      <c r="O186" s="68" t="s">
        <v>18</v>
      </c>
      <c r="P186" s="68" t="s">
        <v>18</v>
      </c>
      <c r="Q186" s="68" t="s">
        <v>15</v>
      </c>
      <c r="R186" s="68" t="s">
        <v>15</v>
      </c>
      <c r="S186" s="68" t="s">
        <v>16</v>
      </c>
      <c r="T186" s="68" t="s">
        <v>329</v>
      </c>
      <c r="U186" s="68" t="s">
        <v>249</v>
      </c>
      <c r="V186" s="68" t="s">
        <v>282</v>
      </c>
      <c r="W186" s="69" t="s">
        <v>282</v>
      </c>
      <c r="X186" s="69" t="s">
        <v>282</v>
      </c>
      <c r="Y186" s="70" t="s">
        <v>282</v>
      </c>
    </row>
    <row r="187" spans="1:25">
      <c r="A187" s="64">
        <v>4</v>
      </c>
      <c r="B187" s="65" t="str">
        <f>VLOOKUP(Tabel10[[#This Row],[Code]],Ruimtegroepen[[Code]:[Ruimte omschrijving]],2,FALSE)</f>
        <v>Vergader/spreekkamers</v>
      </c>
      <c r="C187" s="66" t="s">
        <v>434</v>
      </c>
      <c r="D187" s="65" t="s">
        <v>12</v>
      </c>
      <c r="E187" s="66" t="s">
        <v>102</v>
      </c>
      <c r="F187" s="66" t="s">
        <v>438</v>
      </c>
      <c r="G187" s="71" t="s">
        <v>282</v>
      </c>
      <c r="H187" s="67" t="s">
        <v>282</v>
      </c>
      <c r="I187" s="67" t="s">
        <v>17</v>
      </c>
      <c r="J187" s="67" t="s">
        <v>15</v>
      </c>
      <c r="K187" s="67" t="s">
        <v>329</v>
      </c>
      <c r="L187" s="67" t="s">
        <v>282</v>
      </c>
      <c r="M187" s="67" t="s">
        <v>282</v>
      </c>
      <c r="N187" s="67" t="s">
        <v>282</v>
      </c>
      <c r="O187" s="68" t="s">
        <v>18</v>
      </c>
      <c r="P187" s="68" t="s">
        <v>18</v>
      </c>
      <c r="Q187" s="68" t="s">
        <v>15</v>
      </c>
      <c r="R187" s="68" t="s">
        <v>15</v>
      </c>
      <c r="S187" s="68" t="s">
        <v>16</v>
      </c>
      <c r="T187" s="68" t="s">
        <v>329</v>
      </c>
      <c r="U187" s="68" t="s">
        <v>249</v>
      </c>
      <c r="V187" s="68" t="s">
        <v>282</v>
      </c>
      <c r="W187" s="69" t="s">
        <v>282</v>
      </c>
      <c r="X187" s="69" t="s">
        <v>282</v>
      </c>
      <c r="Y187" s="70" t="s">
        <v>282</v>
      </c>
    </row>
    <row r="188" spans="1:25">
      <c r="A188" s="64">
        <v>4</v>
      </c>
      <c r="B188" s="65" t="str">
        <f>VLOOKUP(Tabel10[[#This Row],[Code]],Ruimtegroepen[[Code]:[Ruimte omschrijving]],2,FALSE)</f>
        <v>Vergader/spreekkamers</v>
      </c>
      <c r="C188" s="66" t="s">
        <v>434</v>
      </c>
      <c r="D188" s="65" t="s">
        <v>12</v>
      </c>
      <c r="E188" s="66" t="s">
        <v>99</v>
      </c>
      <c r="F188" s="66" t="s">
        <v>436</v>
      </c>
      <c r="G188" s="67" t="s">
        <v>17</v>
      </c>
      <c r="H188" s="67" t="s">
        <v>15</v>
      </c>
      <c r="I188" s="67" t="s">
        <v>282</v>
      </c>
      <c r="J188" s="67" t="s">
        <v>282</v>
      </c>
      <c r="K188" s="67" t="s">
        <v>282</v>
      </c>
      <c r="L188" s="67" t="s">
        <v>282</v>
      </c>
      <c r="M188" s="67" t="s">
        <v>282</v>
      </c>
      <c r="N188" s="67" t="s">
        <v>282</v>
      </c>
      <c r="O188" s="68" t="s">
        <v>18</v>
      </c>
      <c r="P188" s="68" t="s">
        <v>18</v>
      </c>
      <c r="Q188" s="68" t="s">
        <v>15</v>
      </c>
      <c r="R188" s="68" t="s">
        <v>15</v>
      </c>
      <c r="S188" s="68" t="s">
        <v>16</v>
      </c>
      <c r="T188" s="68" t="s">
        <v>329</v>
      </c>
      <c r="U188" s="68" t="s">
        <v>249</v>
      </c>
      <c r="V188" s="68" t="s">
        <v>282</v>
      </c>
      <c r="W188" s="69" t="s">
        <v>282</v>
      </c>
      <c r="X188" s="69" t="s">
        <v>282</v>
      </c>
      <c r="Y188" s="70" t="s">
        <v>282</v>
      </c>
    </row>
    <row r="189" spans="1:25">
      <c r="A189" s="64">
        <v>4</v>
      </c>
      <c r="B189" s="65" t="str">
        <f>VLOOKUP(Tabel10[[#This Row],[Code]],Ruimtegroepen[[Code]:[Ruimte omschrijving]],2,FALSE)</f>
        <v>Vergader/spreekkamers</v>
      </c>
      <c r="C189" s="66" t="s">
        <v>434</v>
      </c>
      <c r="D189" s="65" t="s">
        <v>12</v>
      </c>
      <c r="E189" s="66" t="s">
        <v>1309</v>
      </c>
      <c r="F189" s="66" t="s">
        <v>1426</v>
      </c>
      <c r="G189" s="71" t="s">
        <v>282</v>
      </c>
      <c r="H189" s="67" t="s">
        <v>282</v>
      </c>
      <c r="I189" s="67" t="s">
        <v>17</v>
      </c>
      <c r="J189" s="67" t="s">
        <v>15</v>
      </c>
      <c r="K189" s="67" t="s">
        <v>329</v>
      </c>
      <c r="L189" s="67" t="s">
        <v>282</v>
      </c>
      <c r="M189" s="67" t="s">
        <v>282</v>
      </c>
      <c r="N189" s="67" t="s">
        <v>282</v>
      </c>
      <c r="O189" s="68" t="s">
        <v>18</v>
      </c>
      <c r="P189" s="68" t="s">
        <v>18</v>
      </c>
      <c r="Q189" s="68" t="s">
        <v>15</v>
      </c>
      <c r="R189" s="68" t="s">
        <v>15</v>
      </c>
      <c r="S189" s="68" t="s">
        <v>16</v>
      </c>
      <c r="T189" s="68" t="s">
        <v>329</v>
      </c>
      <c r="U189" s="68" t="s">
        <v>249</v>
      </c>
      <c r="V189" s="68" t="s">
        <v>282</v>
      </c>
      <c r="W189" s="69" t="s">
        <v>282</v>
      </c>
      <c r="X189" s="69" t="s">
        <v>282</v>
      </c>
      <c r="Y189" s="70" t="s">
        <v>282</v>
      </c>
    </row>
    <row r="190" spans="1:25">
      <c r="A190" s="64">
        <v>4</v>
      </c>
      <c r="B190" s="65" t="str">
        <f>VLOOKUP(Tabel10[[#This Row],[Code]],Ruimtegroepen[[Code]:[Ruimte omschrijving]],2,FALSE)</f>
        <v>Vergader/spreekkamers</v>
      </c>
      <c r="C190" s="66" t="s">
        <v>439</v>
      </c>
      <c r="D190" s="65" t="s">
        <v>14</v>
      </c>
      <c r="E190" s="66" t="s">
        <v>100</v>
      </c>
      <c r="F190" s="66" t="s">
        <v>440</v>
      </c>
      <c r="G190" s="71" t="s">
        <v>282</v>
      </c>
      <c r="H190" s="67" t="s">
        <v>282</v>
      </c>
      <c r="I190" s="67" t="s">
        <v>15</v>
      </c>
      <c r="J190" s="67" t="s">
        <v>15</v>
      </c>
      <c r="K190" s="67" t="s">
        <v>282</v>
      </c>
      <c r="L190" s="67" t="s">
        <v>282</v>
      </c>
      <c r="M190" s="67" t="s">
        <v>282</v>
      </c>
      <c r="N190" s="67" t="s">
        <v>282</v>
      </c>
      <c r="O190" s="68" t="s">
        <v>17</v>
      </c>
      <c r="P190" s="68" t="s">
        <v>17</v>
      </c>
      <c r="Q190" s="68" t="s">
        <v>15</v>
      </c>
      <c r="R190" s="68" t="s">
        <v>15</v>
      </c>
      <c r="S190" s="68" t="s">
        <v>16</v>
      </c>
      <c r="T190" s="68" t="s">
        <v>329</v>
      </c>
      <c r="U190" s="68" t="s">
        <v>249</v>
      </c>
      <c r="V190" s="68" t="s">
        <v>282</v>
      </c>
      <c r="W190" s="69" t="s">
        <v>282</v>
      </c>
      <c r="X190" s="69" t="s">
        <v>282</v>
      </c>
      <c r="Y190" s="70" t="s">
        <v>282</v>
      </c>
    </row>
    <row r="191" spans="1:25">
      <c r="A191" s="64">
        <v>4</v>
      </c>
      <c r="B191" s="65" t="str">
        <f>VLOOKUP(Tabel10[[#This Row],[Code]],Ruimtegroepen[[Code]:[Ruimte omschrijving]],2,FALSE)</f>
        <v>Vergader/spreekkamers</v>
      </c>
      <c r="C191" s="66" t="s">
        <v>439</v>
      </c>
      <c r="D191" s="65" t="s">
        <v>14</v>
      </c>
      <c r="E191" s="66" t="s">
        <v>99</v>
      </c>
      <c r="F191" s="66" t="s">
        <v>441</v>
      </c>
      <c r="G191" s="67" t="s">
        <v>15</v>
      </c>
      <c r="H191" s="67" t="s">
        <v>15</v>
      </c>
      <c r="I191" s="67" t="s">
        <v>282</v>
      </c>
      <c r="J191" s="67" t="s">
        <v>282</v>
      </c>
      <c r="K191" s="67" t="s">
        <v>282</v>
      </c>
      <c r="L191" s="67" t="s">
        <v>282</v>
      </c>
      <c r="M191" s="67" t="s">
        <v>282</v>
      </c>
      <c r="N191" s="67" t="s">
        <v>282</v>
      </c>
      <c r="O191" s="68" t="s">
        <v>17</v>
      </c>
      <c r="P191" s="68" t="s">
        <v>17</v>
      </c>
      <c r="Q191" s="68" t="s">
        <v>15</v>
      </c>
      <c r="R191" s="68" t="s">
        <v>15</v>
      </c>
      <c r="S191" s="68" t="s">
        <v>16</v>
      </c>
      <c r="T191" s="68" t="s">
        <v>329</v>
      </c>
      <c r="U191" s="68" t="s">
        <v>249</v>
      </c>
      <c r="V191" s="68" t="s">
        <v>282</v>
      </c>
      <c r="W191" s="69" t="s">
        <v>282</v>
      </c>
      <c r="X191" s="69" t="s">
        <v>282</v>
      </c>
      <c r="Y191" s="70" t="s">
        <v>282</v>
      </c>
    </row>
    <row r="192" spans="1:25">
      <c r="A192" s="64">
        <v>4</v>
      </c>
      <c r="B192" s="65" t="str">
        <f>VLOOKUP(Tabel10[[#This Row],[Code]],Ruimtegroepen[[Code]:[Ruimte omschrijving]],2,FALSE)</f>
        <v>Vergader/spreekkamers</v>
      </c>
      <c r="C192" s="66" t="s">
        <v>439</v>
      </c>
      <c r="D192" s="65" t="s">
        <v>14</v>
      </c>
      <c r="E192" s="66" t="s">
        <v>101</v>
      </c>
      <c r="F192" s="66" t="s">
        <v>442</v>
      </c>
      <c r="G192" s="71" t="s">
        <v>282</v>
      </c>
      <c r="H192" s="67" t="s">
        <v>282</v>
      </c>
      <c r="I192" s="67" t="s">
        <v>15</v>
      </c>
      <c r="J192" s="67" t="s">
        <v>15</v>
      </c>
      <c r="K192" s="67" t="s">
        <v>329</v>
      </c>
      <c r="L192" s="67" t="s">
        <v>282</v>
      </c>
      <c r="M192" s="67" t="s">
        <v>282</v>
      </c>
      <c r="N192" s="67" t="s">
        <v>282</v>
      </c>
      <c r="O192" s="68" t="s">
        <v>17</v>
      </c>
      <c r="P192" s="68" t="s">
        <v>17</v>
      </c>
      <c r="Q192" s="68" t="s">
        <v>15</v>
      </c>
      <c r="R192" s="68" t="s">
        <v>15</v>
      </c>
      <c r="S192" s="68" t="s">
        <v>16</v>
      </c>
      <c r="T192" s="68" t="s">
        <v>329</v>
      </c>
      <c r="U192" s="68" t="s">
        <v>249</v>
      </c>
      <c r="V192" s="68" t="s">
        <v>282</v>
      </c>
      <c r="W192" s="69" t="s">
        <v>282</v>
      </c>
      <c r="X192" s="69" t="s">
        <v>282</v>
      </c>
      <c r="Y192" s="70" t="s">
        <v>282</v>
      </c>
    </row>
    <row r="193" spans="1:25">
      <c r="A193" s="64">
        <v>4</v>
      </c>
      <c r="B193" s="65" t="str">
        <f>VLOOKUP(Tabel10[[#This Row],[Code]],Ruimtegroepen[[Code]:[Ruimte omschrijving]],2,FALSE)</f>
        <v>Vergader/spreekkamers</v>
      </c>
      <c r="C193" s="66" t="s">
        <v>439</v>
      </c>
      <c r="D193" s="65" t="s">
        <v>14</v>
      </c>
      <c r="E193" s="66" t="s">
        <v>102</v>
      </c>
      <c r="F193" s="66" t="s">
        <v>443</v>
      </c>
      <c r="G193" s="71" t="s">
        <v>282</v>
      </c>
      <c r="H193" s="67" t="s">
        <v>282</v>
      </c>
      <c r="I193" s="67" t="s">
        <v>15</v>
      </c>
      <c r="J193" s="67" t="s">
        <v>15</v>
      </c>
      <c r="K193" s="67" t="s">
        <v>329</v>
      </c>
      <c r="L193" s="67" t="s">
        <v>282</v>
      </c>
      <c r="M193" s="67" t="s">
        <v>282</v>
      </c>
      <c r="N193" s="67" t="s">
        <v>282</v>
      </c>
      <c r="O193" s="68" t="s">
        <v>17</v>
      </c>
      <c r="P193" s="68" t="s">
        <v>17</v>
      </c>
      <c r="Q193" s="68" t="s">
        <v>15</v>
      </c>
      <c r="R193" s="68" t="s">
        <v>15</v>
      </c>
      <c r="S193" s="68" t="s">
        <v>16</v>
      </c>
      <c r="T193" s="68" t="s">
        <v>329</v>
      </c>
      <c r="U193" s="68" t="s">
        <v>249</v>
      </c>
      <c r="V193" s="68" t="s">
        <v>282</v>
      </c>
      <c r="W193" s="69" t="s">
        <v>282</v>
      </c>
      <c r="X193" s="69" t="s">
        <v>282</v>
      </c>
      <c r="Y193" s="70" t="s">
        <v>282</v>
      </c>
    </row>
    <row r="194" spans="1:25">
      <c r="A194" s="64">
        <v>4</v>
      </c>
      <c r="B194" s="65" t="str">
        <f>VLOOKUP(Tabel10[[#This Row],[Code]],Ruimtegroepen[[Code]:[Ruimte omschrijving]],2,FALSE)</f>
        <v>Vergader/spreekkamers</v>
      </c>
      <c r="C194" s="66" t="s">
        <v>439</v>
      </c>
      <c r="D194" s="65" t="s">
        <v>14</v>
      </c>
      <c r="E194" s="66" t="s">
        <v>99</v>
      </c>
      <c r="F194" s="66" t="s">
        <v>441</v>
      </c>
      <c r="G194" s="67" t="s">
        <v>15</v>
      </c>
      <c r="H194" s="67" t="s">
        <v>15</v>
      </c>
      <c r="I194" s="67" t="s">
        <v>282</v>
      </c>
      <c r="J194" s="67" t="s">
        <v>282</v>
      </c>
      <c r="K194" s="67" t="s">
        <v>282</v>
      </c>
      <c r="L194" s="67" t="s">
        <v>282</v>
      </c>
      <c r="M194" s="67" t="s">
        <v>282</v>
      </c>
      <c r="N194" s="67" t="s">
        <v>282</v>
      </c>
      <c r="O194" s="68" t="s">
        <v>17</v>
      </c>
      <c r="P194" s="68" t="s">
        <v>17</v>
      </c>
      <c r="Q194" s="68" t="s">
        <v>15</v>
      </c>
      <c r="R194" s="68" t="s">
        <v>15</v>
      </c>
      <c r="S194" s="68" t="s">
        <v>16</v>
      </c>
      <c r="T194" s="68" t="s">
        <v>329</v>
      </c>
      <c r="U194" s="68" t="s">
        <v>249</v>
      </c>
      <c r="V194" s="68" t="s">
        <v>282</v>
      </c>
      <c r="W194" s="69" t="s">
        <v>282</v>
      </c>
      <c r="X194" s="69" t="s">
        <v>282</v>
      </c>
      <c r="Y194" s="70" t="s">
        <v>282</v>
      </c>
    </row>
    <row r="195" spans="1:25">
      <c r="A195" s="64">
        <v>4</v>
      </c>
      <c r="B195" s="65" t="str">
        <f>VLOOKUP(Tabel10[[#This Row],[Code]],Ruimtegroepen[[Code]:[Ruimte omschrijving]],2,FALSE)</f>
        <v>Vergader/spreekkamers</v>
      </c>
      <c r="C195" s="66" t="s">
        <v>439</v>
      </c>
      <c r="D195" s="65" t="s">
        <v>14</v>
      </c>
      <c r="E195" s="66" t="s">
        <v>1309</v>
      </c>
      <c r="F195" s="66" t="s">
        <v>1393</v>
      </c>
      <c r="G195" s="71" t="s">
        <v>282</v>
      </c>
      <c r="H195" s="67" t="s">
        <v>282</v>
      </c>
      <c r="I195" s="67" t="s">
        <v>15</v>
      </c>
      <c r="J195" s="67" t="s">
        <v>15</v>
      </c>
      <c r="K195" s="67" t="s">
        <v>329</v>
      </c>
      <c r="L195" s="67" t="s">
        <v>282</v>
      </c>
      <c r="M195" s="67" t="s">
        <v>282</v>
      </c>
      <c r="N195" s="67" t="s">
        <v>282</v>
      </c>
      <c r="O195" s="68" t="s">
        <v>17</v>
      </c>
      <c r="P195" s="68" t="s">
        <v>17</v>
      </c>
      <c r="Q195" s="68" t="s">
        <v>15</v>
      </c>
      <c r="R195" s="68" t="s">
        <v>15</v>
      </c>
      <c r="S195" s="68" t="s">
        <v>16</v>
      </c>
      <c r="T195" s="68" t="s">
        <v>329</v>
      </c>
      <c r="U195" s="68" t="s">
        <v>249</v>
      </c>
      <c r="V195" s="68" t="s">
        <v>282</v>
      </c>
      <c r="W195" s="69" t="s">
        <v>282</v>
      </c>
      <c r="X195" s="69" t="s">
        <v>282</v>
      </c>
      <c r="Y195" s="70" t="s">
        <v>282</v>
      </c>
    </row>
    <row r="196" spans="1:25">
      <c r="A196" s="64">
        <v>4</v>
      </c>
      <c r="B196" s="65" t="str">
        <f>VLOOKUP(Tabel10[[#This Row],[Code]],Ruimtegroepen[[Code]:[Ruimte omschrijving]],2,FALSE)</f>
        <v>Vergader/spreekkamers</v>
      </c>
      <c r="C196" s="66" t="s">
        <v>444</v>
      </c>
      <c r="D196" s="65" t="s">
        <v>13</v>
      </c>
      <c r="E196" s="66" t="s">
        <v>100</v>
      </c>
      <c r="F196" s="66" t="s">
        <v>445</v>
      </c>
      <c r="G196" s="71" t="s">
        <v>282</v>
      </c>
      <c r="H196" s="67" t="s">
        <v>282</v>
      </c>
      <c r="I196" s="67" t="s">
        <v>282</v>
      </c>
      <c r="J196" s="67" t="s">
        <v>15</v>
      </c>
      <c r="K196" s="67" t="s">
        <v>282</v>
      </c>
      <c r="L196" s="67" t="s">
        <v>282</v>
      </c>
      <c r="M196" s="67" t="s">
        <v>282</v>
      </c>
      <c r="N196" s="67" t="s">
        <v>282</v>
      </c>
      <c r="O196" s="68" t="s">
        <v>15</v>
      </c>
      <c r="P196" s="68" t="s">
        <v>15</v>
      </c>
      <c r="Q196" s="68" t="s">
        <v>15</v>
      </c>
      <c r="R196" s="68" t="s">
        <v>15</v>
      </c>
      <c r="S196" s="68" t="s">
        <v>16</v>
      </c>
      <c r="T196" s="68" t="s">
        <v>329</v>
      </c>
      <c r="U196" s="68" t="s">
        <v>249</v>
      </c>
      <c r="V196" s="68" t="s">
        <v>282</v>
      </c>
      <c r="W196" s="69" t="s">
        <v>282</v>
      </c>
      <c r="X196" s="69" t="s">
        <v>282</v>
      </c>
      <c r="Y196" s="70" t="s">
        <v>282</v>
      </c>
    </row>
    <row r="197" spans="1:25">
      <c r="A197" s="64">
        <v>4</v>
      </c>
      <c r="B197" s="65" t="str">
        <f>VLOOKUP(Tabel10[[#This Row],[Code]],Ruimtegroepen[[Code]:[Ruimte omschrijving]],2,FALSE)</f>
        <v>Vergader/spreekkamers</v>
      </c>
      <c r="C197" s="66" t="s">
        <v>444</v>
      </c>
      <c r="D197" s="65" t="s">
        <v>13</v>
      </c>
      <c r="E197" s="66" t="s">
        <v>99</v>
      </c>
      <c r="F197" s="66" t="s">
        <v>446</v>
      </c>
      <c r="G197" s="71" t="s">
        <v>282</v>
      </c>
      <c r="H197" s="67" t="s">
        <v>15</v>
      </c>
      <c r="I197" s="67" t="s">
        <v>282</v>
      </c>
      <c r="J197" s="67" t="s">
        <v>282</v>
      </c>
      <c r="K197" s="67" t="s">
        <v>282</v>
      </c>
      <c r="L197" s="67" t="s">
        <v>282</v>
      </c>
      <c r="M197" s="67" t="s">
        <v>282</v>
      </c>
      <c r="N197" s="67" t="s">
        <v>282</v>
      </c>
      <c r="O197" s="68" t="s">
        <v>15</v>
      </c>
      <c r="P197" s="68" t="s">
        <v>15</v>
      </c>
      <c r="Q197" s="68" t="s">
        <v>15</v>
      </c>
      <c r="R197" s="68" t="s">
        <v>15</v>
      </c>
      <c r="S197" s="68" t="s">
        <v>16</v>
      </c>
      <c r="T197" s="68" t="s">
        <v>329</v>
      </c>
      <c r="U197" s="68" t="s">
        <v>249</v>
      </c>
      <c r="V197" s="68" t="s">
        <v>282</v>
      </c>
      <c r="W197" s="69" t="s">
        <v>282</v>
      </c>
      <c r="X197" s="69" t="s">
        <v>282</v>
      </c>
      <c r="Y197" s="70" t="s">
        <v>282</v>
      </c>
    </row>
    <row r="198" spans="1:25">
      <c r="A198" s="64">
        <v>4</v>
      </c>
      <c r="B198" s="65" t="str">
        <f>VLOOKUP(Tabel10[[#This Row],[Code]],Ruimtegroepen[[Code]:[Ruimte omschrijving]],2,FALSE)</f>
        <v>Vergader/spreekkamers</v>
      </c>
      <c r="C198" s="66" t="s">
        <v>444</v>
      </c>
      <c r="D198" s="65" t="s">
        <v>13</v>
      </c>
      <c r="E198" s="66" t="s">
        <v>101</v>
      </c>
      <c r="F198" s="66" t="s">
        <v>447</v>
      </c>
      <c r="G198" s="71" t="s">
        <v>282</v>
      </c>
      <c r="H198" s="67" t="s">
        <v>282</v>
      </c>
      <c r="I198" s="67" t="s">
        <v>282</v>
      </c>
      <c r="J198" s="67" t="s">
        <v>15</v>
      </c>
      <c r="K198" s="67" t="s">
        <v>329</v>
      </c>
      <c r="L198" s="67" t="s">
        <v>282</v>
      </c>
      <c r="M198" s="67" t="s">
        <v>282</v>
      </c>
      <c r="N198" s="67" t="s">
        <v>282</v>
      </c>
      <c r="O198" s="68" t="s">
        <v>15</v>
      </c>
      <c r="P198" s="68" t="s">
        <v>15</v>
      </c>
      <c r="Q198" s="68" t="s">
        <v>15</v>
      </c>
      <c r="R198" s="68" t="s">
        <v>15</v>
      </c>
      <c r="S198" s="68" t="s">
        <v>16</v>
      </c>
      <c r="T198" s="68" t="s">
        <v>329</v>
      </c>
      <c r="U198" s="68" t="s">
        <v>249</v>
      </c>
      <c r="V198" s="68" t="s">
        <v>282</v>
      </c>
      <c r="W198" s="69" t="s">
        <v>282</v>
      </c>
      <c r="X198" s="69" t="s">
        <v>282</v>
      </c>
      <c r="Y198" s="70" t="s">
        <v>282</v>
      </c>
    </row>
    <row r="199" spans="1:25">
      <c r="A199" s="64">
        <v>4</v>
      </c>
      <c r="B199" s="65" t="str">
        <f>VLOOKUP(Tabel10[[#This Row],[Code]],Ruimtegroepen[[Code]:[Ruimte omschrijving]],2,FALSE)</f>
        <v>Vergader/spreekkamers</v>
      </c>
      <c r="C199" s="66" t="s">
        <v>444</v>
      </c>
      <c r="D199" s="65" t="s">
        <v>13</v>
      </c>
      <c r="E199" s="66" t="s">
        <v>102</v>
      </c>
      <c r="F199" s="66" t="s">
        <v>448</v>
      </c>
      <c r="G199" s="71" t="s">
        <v>282</v>
      </c>
      <c r="H199" s="67" t="s">
        <v>282</v>
      </c>
      <c r="I199" s="67" t="s">
        <v>282</v>
      </c>
      <c r="J199" s="67" t="s">
        <v>15</v>
      </c>
      <c r="K199" s="67" t="s">
        <v>329</v>
      </c>
      <c r="L199" s="67" t="s">
        <v>282</v>
      </c>
      <c r="M199" s="67" t="s">
        <v>282</v>
      </c>
      <c r="N199" s="67" t="s">
        <v>282</v>
      </c>
      <c r="O199" s="68" t="s">
        <v>15</v>
      </c>
      <c r="P199" s="68" t="s">
        <v>15</v>
      </c>
      <c r="Q199" s="68" t="s">
        <v>15</v>
      </c>
      <c r="R199" s="68" t="s">
        <v>15</v>
      </c>
      <c r="S199" s="68" t="s">
        <v>16</v>
      </c>
      <c r="T199" s="68" t="s">
        <v>329</v>
      </c>
      <c r="U199" s="68" t="s">
        <v>249</v>
      </c>
      <c r="V199" s="68" t="s">
        <v>282</v>
      </c>
      <c r="W199" s="69" t="s">
        <v>282</v>
      </c>
      <c r="X199" s="69" t="s">
        <v>282</v>
      </c>
      <c r="Y199" s="70" t="s">
        <v>282</v>
      </c>
    </row>
    <row r="200" spans="1:25">
      <c r="A200" s="64">
        <v>4</v>
      </c>
      <c r="B200" s="65" t="str">
        <f>VLOOKUP(Tabel10[[#This Row],[Code]],Ruimtegroepen[[Code]:[Ruimte omschrijving]],2,FALSE)</f>
        <v>Vergader/spreekkamers</v>
      </c>
      <c r="C200" s="66" t="s">
        <v>444</v>
      </c>
      <c r="D200" s="65" t="s">
        <v>13</v>
      </c>
      <c r="E200" s="66" t="s">
        <v>99</v>
      </c>
      <c r="F200" s="66" t="s">
        <v>446</v>
      </c>
      <c r="G200" s="71" t="s">
        <v>282</v>
      </c>
      <c r="H200" s="67" t="s">
        <v>15</v>
      </c>
      <c r="I200" s="67" t="s">
        <v>282</v>
      </c>
      <c r="J200" s="67" t="s">
        <v>282</v>
      </c>
      <c r="K200" s="67" t="s">
        <v>282</v>
      </c>
      <c r="L200" s="67" t="s">
        <v>282</v>
      </c>
      <c r="M200" s="67" t="s">
        <v>282</v>
      </c>
      <c r="N200" s="67" t="s">
        <v>282</v>
      </c>
      <c r="O200" s="68" t="s">
        <v>15</v>
      </c>
      <c r="P200" s="68" t="s">
        <v>15</v>
      </c>
      <c r="Q200" s="68" t="s">
        <v>15</v>
      </c>
      <c r="R200" s="68" t="s">
        <v>15</v>
      </c>
      <c r="S200" s="68" t="s">
        <v>16</v>
      </c>
      <c r="T200" s="68" t="s">
        <v>329</v>
      </c>
      <c r="U200" s="68" t="s">
        <v>249</v>
      </c>
      <c r="V200" s="68" t="s">
        <v>282</v>
      </c>
      <c r="W200" s="69" t="s">
        <v>282</v>
      </c>
      <c r="X200" s="69" t="s">
        <v>282</v>
      </c>
      <c r="Y200" s="70" t="s">
        <v>282</v>
      </c>
    </row>
    <row r="201" spans="1:25">
      <c r="A201" s="64">
        <v>4</v>
      </c>
      <c r="B201" s="65" t="str">
        <f>VLOOKUP(Tabel10[[#This Row],[Code]],Ruimtegroepen[[Code]:[Ruimte omschrijving]],2,FALSE)</f>
        <v>Vergader/spreekkamers</v>
      </c>
      <c r="C201" s="66" t="s">
        <v>444</v>
      </c>
      <c r="D201" s="65" t="s">
        <v>13</v>
      </c>
      <c r="E201" s="66" t="s">
        <v>1309</v>
      </c>
      <c r="F201" s="66" t="s">
        <v>1360</v>
      </c>
      <c r="G201" s="71" t="s">
        <v>282</v>
      </c>
      <c r="H201" s="67" t="s">
        <v>282</v>
      </c>
      <c r="I201" s="67" t="s">
        <v>282</v>
      </c>
      <c r="J201" s="67" t="s">
        <v>15</v>
      </c>
      <c r="K201" s="67" t="s">
        <v>329</v>
      </c>
      <c r="L201" s="67" t="s">
        <v>282</v>
      </c>
      <c r="M201" s="67" t="s">
        <v>282</v>
      </c>
      <c r="N201" s="67" t="s">
        <v>282</v>
      </c>
      <c r="O201" s="68" t="s">
        <v>15</v>
      </c>
      <c r="P201" s="68" t="s">
        <v>15</v>
      </c>
      <c r="Q201" s="68" t="s">
        <v>15</v>
      </c>
      <c r="R201" s="68" t="s">
        <v>15</v>
      </c>
      <c r="S201" s="68" t="s">
        <v>16</v>
      </c>
      <c r="T201" s="68" t="s">
        <v>329</v>
      </c>
      <c r="U201" s="68" t="s">
        <v>249</v>
      </c>
      <c r="V201" s="68" t="s">
        <v>282</v>
      </c>
      <c r="W201" s="69" t="s">
        <v>282</v>
      </c>
      <c r="X201" s="69" t="s">
        <v>282</v>
      </c>
      <c r="Y201" s="70" t="s">
        <v>282</v>
      </c>
    </row>
    <row r="202" spans="1:25">
      <c r="A202" s="64">
        <v>4</v>
      </c>
      <c r="B202" s="65" t="str">
        <f>VLOOKUP(Tabel10[[#This Row],[Code]],Ruimtegroepen[[Code]:[Ruimte omschrijving]],2,FALSE)</f>
        <v>Vergader/spreekkamers</v>
      </c>
      <c r="C202" s="66" t="s">
        <v>449</v>
      </c>
      <c r="D202" s="65" t="s">
        <v>0</v>
      </c>
      <c r="E202" s="66" t="s">
        <v>100</v>
      </c>
      <c r="F202" s="66" t="s">
        <v>450</v>
      </c>
      <c r="G202" s="71" t="s">
        <v>282</v>
      </c>
      <c r="H202" s="67" t="s">
        <v>282</v>
      </c>
      <c r="I202" s="67" t="s">
        <v>16</v>
      </c>
      <c r="J202" s="67" t="s">
        <v>282</v>
      </c>
      <c r="K202" s="67" t="s">
        <v>282</v>
      </c>
      <c r="L202" s="67" t="s">
        <v>282</v>
      </c>
      <c r="M202" s="67" t="s">
        <v>282</v>
      </c>
      <c r="N202" s="67" t="s">
        <v>282</v>
      </c>
      <c r="O202" s="68" t="s">
        <v>16</v>
      </c>
      <c r="P202" s="68" t="s">
        <v>16</v>
      </c>
      <c r="Q202" s="68" t="s">
        <v>16</v>
      </c>
      <c r="R202" s="68" t="s">
        <v>16</v>
      </c>
      <c r="S202" s="68" t="s">
        <v>16</v>
      </c>
      <c r="T202" s="68" t="s">
        <v>329</v>
      </c>
      <c r="U202" s="68" t="s">
        <v>249</v>
      </c>
      <c r="V202" s="68" t="s">
        <v>282</v>
      </c>
      <c r="W202" s="69" t="s">
        <v>282</v>
      </c>
      <c r="X202" s="69" t="s">
        <v>282</v>
      </c>
      <c r="Y202" s="70" t="s">
        <v>282</v>
      </c>
    </row>
    <row r="203" spans="1:25">
      <c r="A203" s="64">
        <v>4</v>
      </c>
      <c r="B203" s="65" t="str">
        <f>VLOOKUP(Tabel10[[#This Row],[Code]],Ruimtegroepen[[Code]:[Ruimte omschrijving]],2,FALSE)</f>
        <v>Vergader/spreekkamers</v>
      </c>
      <c r="C203" s="66" t="s">
        <v>449</v>
      </c>
      <c r="D203" s="65" t="s">
        <v>0</v>
      </c>
      <c r="E203" s="66" t="s">
        <v>99</v>
      </c>
      <c r="F203" s="66" t="s">
        <v>451</v>
      </c>
      <c r="G203" s="71" t="s">
        <v>282</v>
      </c>
      <c r="H203" s="67" t="s">
        <v>16</v>
      </c>
      <c r="I203" s="67" t="s">
        <v>282</v>
      </c>
      <c r="J203" s="67" t="s">
        <v>282</v>
      </c>
      <c r="K203" s="67" t="s">
        <v>282</v>
      </c>
      <c r="L203" s="67" t="s">
        <v>282</v>
      </c>
      <c r="M203" s="67" t="s">
        <v>282</v>
      </c>
      <c r="N203" s="67" t="s">
        <v>282</v>
      </c>
      <c r="O203" s="68" t="s">
        <v>16</v>
      </c>
      <c r="P203" s="68" t="s">
        <v>16</v>
      </c>
      <c r="Q203" s="68" t="s">
        <v>16</v>
      </c>
      <c r="R203" s="68" t="s">
        <v>16</v>
      </c>
      <c r="S203" s="68" t="s">
        <v>16</v>
      </c>
      <c r="T203" s="68" t="s">
        <v>329</v>
      </c>
      <c r="U203" s="68" t="s">
        <v>249</v>
      </c>
      <c r="V203" s="68" t="s">
        <v>282</v>
      </c>
      <c r="W203" s="69" t="s">
        <v>282</v>
      </c>
      <c r="X203" s="69" t="s">
        <v>282</v>
      </c>
      <c r="Y203" s="70" t="s">
        <v>282</v>
      </c>
    </row>
    <row r="204" spans="1:25">
      <c r="A204" s="64">
        <v>4</v>
      </c>
      <c r="B204" s="65" t="str">
        <f>VLOOKUP(Tabel10[[#This Row],[Code]],Ruimtegroepen[[Code]:[Ruimte omschrijving]],2,FALSE)</f>
        <v>Vergader/spreekkamers</v>
      </c>
      <c r="C204" s="66" t="s">
        <v>449</v>
      </c>
      <c r="D204" s="65" t="s">
        <v>0</v>
      </c>
      <c r="E204" s="66" t="s">
        <v>101</v>
      </c>
      <c r="F204" s="66" t="s">
        <v>452</v>
      </c>
      <c r="G204" s="71" t="s">
        <v>282</v>
      </c>
      <c r="H204" s="67" t="s">
        <v>282</v>
      </c>
      <c r="I204" s="67" t="s">
        <v>282</v>
      </c>
      <c r="J204" s="67" t="s">
        <v>16</v>
      </c>
      <c r="K204" s="67" t="s">
        <v>329</v>
      </c>
      <c r="L204" s="67" t="s">
        <v>282</v>
      </c>
      <c r="M204" s="67" t="s">
        <v>282</v>
      </c>
      <c r="N204" s="67" t="s">
        <v>282</v>
      </c>
      <c r="O204" s="68" t="s">
        <v>16</v>
      </c>
      <c r="P204" s="68" t="s">
        <v>16</v>
      </c>
      <c r="Q204" s="68" t="s">
        <v>16</v>
      </c>
      <c r="R204" s="68" t="s">
        <v>16</v>
      </c>
      <c r="S204" s="68" t="s">
        <v>16</v>
      </c>
      <c r="T204" s="68" t="s">
        <v>329</v>
      </c>
      <c r="U204" s="68" t="s">
        <v>249</v>
      </c>
      <c r="V204" s="68" t="s">
        <v>282</v>
      </c>
      <c r="W204" s="69" t="s">
        <v>282</v>
      </c>
      <c r="X204" s="69" t="s">
        <v>282</v>
      </c>
      <c r="Y204" s="70" t="s">
        <v>282</v>
      </c>
    </row>
    <row r="205" spans="1:25">
      <c r="A205" s="64">
        <v>4</v>
      </c>
      <c r="B205" s="65" t="str">
        <f>VLOOKUP(Tabel10[[#This Row],[Code]],Ruimtegroepen[[Code]:[Ruimte omschrijving]],2,FALSE)</f>
        <v>Vergader/spreekkamers</v>
      </c>
      <c r="C205" s="66" t="s">
        <v>449</v>
      </c>
      <c r="D205" s="65" t="s">
        <v>0</v>
      </c>
      <c r="E205" s="66" t="s">
        <v>102</v>
      </c>
      <c r="F205" s="66" t="s">
        <v>453</v>
      </c>
      <c r="G205" s="71" t="s">
        <v>282</v>
      </c>
      <c r="H205" s="67" t="s">
        <v>282</v>
      </c>
      <c r="I205" s="67" t="s">
        <v>16</v>
      </c>
      <c r="J205" s="67" t="s">
        <v>282</v>
      </c>
      <c r="K205" s="67" t="s">
        <v>329</v>
      </c>
      <c r="L205" s="67" t="s">
        <v>282</v>
      </c>
      <c r="M205" s="67" t="s">
        <v>282</v>
      </c>
      <c r="N205" s="67" t="s">
        <v>282</v>
      </c>
      <c r="O205" s="68" t="s">
        <v>16</v>
      </c>
      <c r="P205" s="68" t="s">
        <v>16</v>
      </c>
      <c r="Q205" s="68" t="s">
        <v>16</v>
      </c>
      <c r="R205" s="68" t="s">
        <v>16</v>
      </c>
      <c r="S205" s="68" t="s">
        <v>16</v>
      </c>
      <c r="T205" s="68" t="s">
        <v>329</v>
      </c>
      <c r="U205" s="68" t="s">
        <v>249</v>
      </c>
      <c r="V205" s="68" t="s">
        <v>282</v>
      </c>
      <c r="W205" s="69" t="s">
        <v>282</v>
      </c>
      <c r="X205" s="69" t="s">
        <v>282</v>
      </c>
      <c r="Y205" s="70" t="s">
        <v>282</v>
      </c>
    </row>
    <row r="206" spans="1:25">
      <c r="A206" s="64">
        <v>4</v>
      </c>
      <c r="B206" s="65" t="str">
        <f>VLOOKUP(Tabel10[[#This Row],[Code]],Ruimtegroepen[[Code]:[Ruimte omschrijving]],2,FALSE)</f>
        <v>Vergader/spreekkamers</v>
      </c>
      <c r="C206" s="66" t="s">
        <v>449</v>
      </c>
      <c r="D206" s="65" t="s">
        <v>0</v>
      </c>
      <c r="E206" s="66" t="s">
        <v>99</v>
      </c>
      <c r="F206" s="66" t="s">
        <v>451</v>
      </c>
      <c r="G206" s="71" t="s">
        <v>282</v>
      </c>
      <c r="H206" s="67" t="s">
        <v>16</v>
      </c>
      <c r="I206" s="67" t="s">
        <v>282</v>
      </c>
      <c r="J206" s="67" t="s">
        <v>282</v>
      </c>
      <c r="K206" s="67" t="s">
        <v>282</v>
      </c>
      <c r="L206" s="67" t="s">
        <v>282</v>
      </c>
      <c r="M206" s="67" t="s">
        <v>282</v>
      </c>
      <c r="N206" s="67" t="s">
        <v>282</v>
      </c>
      <c r="O206" s="68" t="s">
        <v>16</v>
      </c>
      <c r="P206" s="68" t="s">
        <v>16</v>
      </c>
      <c r="Q206" s="68" t="s">
        <v>16</v>
      </c>
      <c r="R206" s="68" t="s">
        <v>16</v>
      </c>
      <c r="S206" s="68" t="s">
        <v>16</v>
      </c>
      <c r="T206" s="68" t="s">
        <v>329</v>
      </c>
      <c r="U206" s="68" t="s">
        <v>249</v>
      </c>
      <c r="V206" s="68" t="s">
        <v>282</v>
      </c>
      <c r="W206" s="69" t="s">
        <v>282</v>
      </c>
      <c r="X206" s="69" t="s">
        <v>282</v>
      </c>
      <c r="Y206" s="70" t="s">
        <v>282</v>
      </c>
    </row>
    <row r="207" spans="1:25">
      <c r="A207" s="64">
        <v>4</v>
      </c>
      <c r="B207" s="65" t="str">
        <f>VLOOKUP(Tabel10[[#This Row],[Code]],Ruimtegroepen[[Code]:[Ruimte omschrijving]],2,FALSE)</f>
        <v>Vergader/spreekkamers</v>
      </c>
      <c r="C207" s="66" t="s">
        <v>449</v>
      </c>
      <c r="D207" s="65" t="s">
        <v>0</v>
      </c>
      <c r="E207" s="66" t="s">
        <v>1309</v>
      </c>
      <c r="F207" s="66" t="s">
        <v>1344</v>
      </c>
      <c r="G207" s="71" t="s">
        <v>282</v>
      </c>
      <c r="H207" s="67" t="s">
        <v>282</v>
      </c>
      <c r="I207" s="67" t="s">
        <v>16</v>
      </c>
      <c r="J207" s="67" t="s">
        <v>282</v>
      </c>
      <c r="K207" s="67" t="s">
        <v>329</v>
      </c>
      <c r="L207" s="67" t="s">
        <v>282</v>
      </c>
      <c r="M207" s="67" t="s">
        <v>282</v>
      </c>
      <c r="N207" s="67" t="s">
        <v>282</v>
      </c>
      <c r="O207" s="68" t="s">
        <v>16</v>
      </c>
      <c r="P207" s="68" t="s">
        <v>16</v>
      </c>
      <c r="Q207" s="68" t="s">
        <v>16</v>
      </c>
      <c r="R207" s="68" t="s">
        <v>16</v>
      </c>
      <c r="S207" s="68" t="s">
        <v>16</v>
      </c>
      <c r="T207" s="68" t="s">
        <v>329</v>
      </c>
      <c r="U207" s="68" t="s">
        <v>249</v>
      </c>
      <c r="V207" s="68" t="s">
        <v>282</v>
      </c>
      <c r="W207" s="69" t="s">
        <v>282</v>
      </c>
      <c r="X207" s="69" t="s">
        <v>282</v>
      </c>
      <c r="Y207" s="70" t="s">
        <v>282</v>
      </c>
    </row>
    <row r="208" spans="1:25">
      <c r="A208" s="64">
        <v>4</v>
      </c>
      <c r="B208" s="65" t="str">
        <f>VLOOKUP(Tabel10[[#This Row],[Code]],Ruimtegroepen[[Code]:[Ruimte omschrijving]],2,FALSE)</f>
        <v>Vergader/spreekkamers</v>
      </c>
      <c r="C208" s="66" t="s">
        <v>454</v>
      </c>
      <c r="D208" s="65" t="s">
        <v>27</v>
      </c>
      <c r="E208" s="66" t="s">
        <v>100</v>
      </c>
      <c r="F208" s="66" t="s">
        <v>455</v>
      </c>
      <c r="G208" s="71" t="s">
        <v>282</v>
      </c>
      <c r="H208" s="67" t="s">
        <v>282</v>
      </c>
      <c r="I208" s="67" t="s">
        <v>15</v>
      </c>
      <c r="J208" s="67" t="s">
        <v>282</v>
      </c>
      <c r="K208" s="67" t="s">
        <v>282</v>
      </c>
      <c r="L208" s="67" t="s">
        <v>282</v>
      </c>
      <c r="M208" s="67" t="s">
        <v>282</v>
      </c>
      <c r="N208" s="67" t="s">
        <v>282</v>
      </c>
      <c r="O208" s="68" t="s">
        <v>15</v>
      </c>
      <c r="P208" s="68" t="s">
        <v>15</v>
      </c>
      <c r="Q208" s="68" t="s">
        <v>15</v>
      </c>
      <c r="R208" s="68" t="s">
        <v>282</v>
      </c>
      <c r="S208" s="68" t="s">
        <v>282</v>
      </c>
      <c r="T208" s="68" t="s">
        <v>282</v>
      </c>
      <c r="U208" s="68" t="s">
        <v>282</v>
      </c>
      <c r="V208" s="68" t="s">
        <v>282</v>
      </c>
      <c r="W208" s="69" t="s">
        <v>282</v>
      </c>
      <c r="X208" s="69" t="s">
        <v>282</v>
      </c>
      <c r="Y208" s="70" t="s">
        <v>282</v>
      </c>
    </row>
    <row r="209" spans="1:25">
      <c r="A209" s="64">
        <v>4</v>
      </c>
      <c r="B209" s="65" t="str">
        <f>VLOOKUP(Tabel10[[#This Row],[Code]],Ruimtegroepen[[Code]:[Ruimte omschrijving]],2,FALSE)</f>
        <v>Vergader/spreekkamers</v>
      </c>
      <c r="C209" s="66" t="s">
        <v>454</v>
      </c>
      <c r="D209" s="65" t="s">
        <v>27</v>
      </c>
      <c r="E209" s="66" t="s">
        <v>99</v>
      </c>
      <c r="F209" s="66" t="s">
        <v>456</v>
      </c>
      <c r="G209" s="71" t="s">
        <v>282</v>
      </c>
      <c r="H209" s="67" t="s">
        <v>15</v>
      </c>
      <c r="I209" s="67" t="s">
        <v>282</v>
      </c>
      <c r="J209" s="67" t="s">
        <v>282</v>
      </c>
      <c r="K209" s="67" t="s">
        <v>282</v>
      </c>
      <c r="L209" s="67" t="s">
        <v>282</v>
      </c>
      <c r="M209" s="67" t="s">
        <v>282</v>
      </c>
      <c r="N209" s="67" t="s">
        <v>282</v>
      </c>
      <c r="O209" s="68" t="s">
        <v>15</v>
      </c>
      <c r="P209" s="68" t="s">
        <v>15</v>
      </c>
      <c r="Q209" s="68" t="s">
        <v>15</v>
      </c>
      <c r="R209" s="68" t="s">
        <v>282</v>
      </c>
      <c r="S209" s="68" t="s">
        <v>282</v>
      </c>
      <c r="T209" s="68" t="s">
        <v>282</v>
      </c>
      <c r="U209" s="68" t="s">
        <v>282</v>
      </c>
      <c r="V209" s="68" t="s">
        <v>282</v>
      </c>
      <c r="W209" s="69" t="s">
        <v>282</v>
      </c>
      <c r="X209" s="69" t="s">
        <v>282</v>
      </c>
      <c r="Y209" s="70" t="s">
        <v>282</v>
      </c>
    </row>
    <row r="210" spans="1:25">
      <c r="A210" s="64">
        <v>4</v>
      </c>
      <c r="B210" s="65" t="str">
        <f>VLOOKUP(Tabel10[[#This Row],[Code]],Ruimtegroepen[[Code]:[Ruimte omschrijving]],2,FALSE)</f>
        <v>Vergader/spreekkamers</v>
      </c>
      <c r="C210" s="66" t="s">
        <v>454</v>
      </c>
      <c r="D210" s="65" t="s">
        <v>27</v>
      </c>
      <c r="E210" s="66" t="s">
        <v>101</v>
      </c>
      <c r="F210" s="66" t="s">
        <v>457</v>
      </c>
      <c r="G210" s="71" t="s">
        <v>282</v>
      </c>
      <c r="H210" s="67" t="s">
        <v>282</v>
      </c>
      <c r="I210" s="67" t="s">
        <v>15</v>
      </c>
      <c r="J210" s="67" t="s">
        <v>282</v>
      </c>
      <c r="K210" s="67" t="s">
        <v>282</v>
      </c>
      <c r="L210" s="67" t="s">
        <v>282</v>
      </c>
      <c r="M210" s="67" t="s">
        <v>282</v>
      </c>
      <c r="N210" s="67" t="s">
        <v>282</v>
      </c>
      <c r="O210" s="68" t="s">
        <v>15</v>
      </c>
      <c r="P210" s="68" t="s">
        <v>15</v>
      </c>
      <c r="Q210" s="68" t="s">
        <v>15</v>
      </c>
      <c r="R210" s="68" t="s">
        <v>282</v>
      </c>
      <c r="S210" s="68" t="s">
        <v>282</v>
      </c>
      <c r="T210" s="68" t="s">
        <v>282</v>
      </c>
      <c r="U210" s="68" t="s">
        <v>282</v>
      </c>
      <c r="V210" s="68" t="s">
        <v>282</v>
      </c>
      <c r="W210" s="69" t="s">
        <v>282</v>
      </c>
      <c r="X210" s="69" t="s">
        <v>282</v>
      </c>
      <c r="Y210" s="70" t="s">
        <v>282</v>
      </c>
    </row>
    <row r="211" spans="1:25">
      <c r="A211" s="64">
        <v>4</v>
      </c>
      <c r="B211" s="65" t="str">
        <f>VLOOKUP(Tabel10[[#This Row],[Code]],Ruimtegroepen[[Code]:[Ruimte omschrijving]],2,FALSE)</f>
        <v>Vergader/spreekkamers</v>
      </c>
      <c r="C211" s="66" t="s">
        <v>454</v>
      </c>
      <c r="D211" s="65" t="s">
        <v>27</v>
      </c>
      <c r="E211" s="66" t="s">
        <v>102</v>
      </c>
      <c r="F211" s="66" t="s">
        <v>458</v>
      </c>
      <c r="G211" s="71" t="s">
        <v>282</v>
      </c>
      <c r="H211" s="67" t="s">
        <v>282</v>
      </c>
      <c r="I211" s="67" t="s">
        <v>15</v>
      </c>
      <c r="J211" s="67" t="s">
        <v>282</v>
      </c>
      <c r="K211" s="67" t="s">
        <v>282</v>
      </c>
      <c r="L211" s="67" t="s">
        <v>282</v>
      </c>
      <c r="M211" s="67" t="s">
        <v>282</v>
      </c>
      <c r="N211" s="67" t="s">
        <v>282</v>
      </c>
      <c r="O211" s="68" t="s">
        <v>15</v>
      </c>
      <c r="P211" s="68" t="s">
        <v>15</v>
      </c>
      <c r="Q211" s="68" t="s">
        <v>15</v>
      </c>
      <c r="R211" s="68" t="s">
        <v>282</v>
      </c>
      <c r="S211" s="68" t="s">
        <v>282</v>
      </c>
      <c r="T211" s="68" t="s">
        <v>282</v>
      </c>
      <c r="U211" s="68" t="s">
        <v>282</v>
      </c>
      <c r="V211" s="68" t="s">
        <v>282</v>
      </c>
      <c r="W211" s="69" t="s">
        <v>282</v>
      </c>
      <c r="X211" s="69" t="s">
        <v>282</v>
      </c>
      <c r="Y211" s="70" t="s">
        <v>282</v>
      </c>
    </row>
    <row r="212" spans="1:25">
      <c r="A212" s="64">
        <v>4</v>
      </c>
      <c r="B212" s="65" t="str">
        <f>VLOOKUP(Tabel10[[#This Row],[Code]],Ruimtegroepen[[Code]:[Ruimte omschrijving]],2,FALSE)</f>
        <v>Vergader/spreekkamers</v>
      </c>
      <c r="C212" s="66" t="s">
        <v>454</v>
      </c>
      <c r="D212" s="65" t="s">
        <v>27</v>
      </c>
      <c r="E212" s="66" t="s">
        <v>99</v>
      </c>
      <c r="F212" s="66" t="s">
        <v>456</v>
      </c>
      <c r="G212" s="71" t="s">
        <v>282</v>
      </c>
      <c r="H212" s="67" t="s">
        <v>15</v>
      </c>
      <c r="I212" s="67" t="s">
        <v>282</v>
      </c>
      <c r="J212" s="67" t="s">
        <v>282</v>
      </c>
      <c r="K212" s="67" t="s">
        <v>282</v>
      </c>
      <c r="L212" s="67" t="s">
        <v>282</v>
      </c>
      <c r="M212" s="67" t="s">
        <v>282</v>
      </c>
      <c r="N212" s="67" t="s">
        <v>282</v>
      </c>
      <c r="O212" s="68" t="s">
        <v>15</v>
      </c>
      <c r="P212" s="68" t="s">
        <v>15</v>
      </c>
      <c r="Q212" s="68" t="s">
        <v>15</v>
      </c>
      <c r="R212" s="68" t="s">
        <v>282</v>
      </c>
      <c r="S212" s="68" t="s">
        <v>282</v>
      </c>
      <c r="T212" s="68" t="s">
        <v>282</v>
      </c>
      <c r="U212" s="68" t="s">
        <v>282</v>
      </c>
      <c r="V212" s="68" t="s">
        <v>282</v>
      </c>
      <c r="W212" s="69" t="s">
        <v>282</v>
      </c>
      <c r="X212" s="69" t="s">
        <v>282</v>
      </c>
      <c r="Y212" s="70" t="s">
        <v>282</v>
      </c>
    </row>
    <row r="213" spans="1:25">
      <c r="A213" s="64">
        <v>4</v>
      </c>
      <c r="B213" s="65" t="str">
        <f>VLOOKUP(Tabel10[[#This Row],[Code]],Ruimtegroepen[[Code]:[Ruimte omschrijving]],2,FALSE)</f>
        <v>Vergader/spreekkamers</v>
      </c>
      <c r="C213" s="66" t="s">
        <v>454</v>
      </c>
      <c r="D213" s="65" t="s">
        <v>27</v>
      </c>
      <c r="E213" s="66" t="s">
        <v>1309</v>
      </c>
      <c r="F213" s="66" t="s">
        <v>1377</v>
      </c>
      <c r="G213" s="71" t="s">
        <v>282</v>
      </c>
      <c r="H213" s="67" t="s">
        <v>282</v>
      </c>
      <c r="I213" s="67" t="s">
        <v>15</v>
      </c>
      <c r="J213" s="67" t="s">
        <v>282</v>
      </c>
      <c r="K213" s="67" t="s">
        <v>282</v>
      </c>
      <c r="L213" s="67" t="s">
        <v>282</v>
      </c>
      <c r="M213" s="67" t="s">
        <v>282</v>
      </c>
      <c r="N213" s="67" t="s">
        <v>282</v>
      </c>
      <c r="O213" s="68" t="s">
        <v>15</v>
      </c>
      <c r="P213" s="68" t="s">
        <v>15</v>
      </c>
      <c r="Q213" s="68" t="s">
        <v>15</v>
      </c>
      <c r="R213" s="68" t="s">
        <v>282</v>
      </c>
      <c r="S213" s="68" t="s">
        <v>282</v>
      </c>
      <c r="T213" s="68" t="s">
        <v>282</v>
      </c>
      <c r="U213" s="68" t="s">
        <v>282</v>
      </c>
      <c r="V213" s="68" t="s">
        <v>282</v>
      </c>
      <c r="W213" s="69" t="s">
        <v>282</v>
      </c>
      <c r="X213" s="69" t="s">
        <v>282</v>
      </c>
      <c r="Y213" s="70" t="s">
        <v>282</v>
      </c>
    </row>
    <row r="214" spans="1:25">
      <c r="A214" s="64">
        <v>4</v>
      </c>
      <c r="B214" s="65" t="str">
        <f>VLOOKUP(Tabel10[[#This Row],[Code]],Ruimtegroepen[[Code]:[Ruimte omschrijving]],2,FALSE)</f>
        <v>Vergader/spreekkamers</v>
      </c>
      <c r="C214" s="66" t="s">
        <v>459</v>
      </c>
      <c r="D214" s="65" t="s">
        <v>28</v>
      </c>
      <c r="E214" s="66" t="s">
        <v>100</v>
      </c>
      <c r="F214" s="66" t="s">
        <v>460</v>
      </c>
      <c r="G214" s="71" t="s">
        <v>282</v>
      </c>
      <c r="H214" s="67" t="s">
        <v>282</v>
      </c>
      <c r="I214" s="67" t="s">
        <v>17</v>
      </c>
      <c r="J214" s="67" t="s">
        <v>282</v>
      </c>
      <c r="K214" s="67" t="s">
        <v>282</v>
      </c>
      <c r="L214" s="67" t="s">
        <v>282</v>
      </c>
      <c r="M214" s="67" t="s">
        <v>282</v>
      </c>
      <c r="N214" s="67" t="s">
        <v>282</v>
      </c>
      <c r="O214" s="68" t="s">
        <v>17</v>
      </c>
      <c r="P214" s="68" t="s">
        <v>17</v>
      </c>
      <c r="Q214" s="68" t="s">
        <v>15</v>
      </c>
      <c r="R214" s="68" t="s">
        <v>282</v>
      </c>
      <c r="S214" s="68" t="s">
        <v>282</v>
      </c>
      <c r="T214" s="68" t="s">
        <v>282</v>
      </c>
      <c r="U214" s="68" t="s">
        <v>282</v>
      </c>
      <c r="V214" s="68" t="s">
        <v>282</v>
      </c>
      <c r="W214" s="69" t="s">
        <v>282</v>
      </c>
      <c r="X214" s="69" t="s">
        <v>282</v>
      </c>
      <c r="Y214" s="70" t="s">
        <v>282</v>
      </c>
    </row>
    <row r="215" spans="1:25">
      <c r="A215" s="64">
        <v>4</v>
      </c>
      <c r="B215" s="65" t="str">
        <f>VLOOKUP(Tabel10[[#This Row],[Code]],Ruimtegroepen[[Code]:[Ruimte omschrijving]],2,FALSE)</f>
        <v>Vergader/spreekkamers</v>
      </c>
      <c r="C215" s="66" t="s">
        <v>459</v>
      </c>
      <c r="D215" s="65" t="s">
        <v>28</v>
      </c>
      <c r="E215" s="66" t="s">
        <v>99</v>
      </c>
      <c r="F215" s="66" t="s">
        <v>461</v>
      </c>
      <c r="G215" s="71" t="s">
        <v>282</v>
      </c>
      <c r="H215" s="67" t="s">
        <v>17</v>
      </c>
      <c r="I215" s="67" t="s">
        <v>282</v>
      </c>
      <c r="J215" s="67" t="s">
        <v>282</v>
      </c>
      <c r="K215" s="67" t="s">
        <v>282</v>
      </c>
      <c r="L215" s="67" t="s">
        <v>282</v>
      </c>
      <c r="M215" s="67" t="s">
        <v>282</v>
      </c>
      <c r="N215" s="67" t="s">
        <v>282</v>
      </c>
      <c r="O215" s="68" t="s">
        <v>17</v>
      </c>
      <c r="P215" s="68" t="s">
        <v>17</v>
      </c>
      <c r="Q215" s="68" t="s">
        <v>15</v>
      </c>
      <c r="R215" s="68" t="s">
        <v>282</v>
      </c>
      <c r="S215" s="68" t="s">
        <v>282</v>
      </c>
      <c r="T215" s="68" t="s">
        <v>282</v>
      </c>
      <c r="U215" s="68" t="s">
        <v>282</v>
      </c>
      <c r="V215" s="68" t="s">
        <v>282</v>
      </c>
      <c r="W215" s="69" t="s">
        <v>282</v>
      </c>
      <c r="X215" s="69" t="s">
        <v>282</v>
      </c>
      <c r="Y215" s="70" t="s">
        <v>282</v>
      </c>
    </row>
    <row r="216" spans="1:25">
      <c r="A216" s="64">
        <v>4</v>
      </c>
      <c r="B216" s="65" t="str">
        <f>VLOOKUP(Tabel10[[#This Row],[Code]],Ruimtegroepen[[Code]:[Ruimte omschrijving]],2,FALSE)</f>
        <v>Vergader/spreekkamers</v>
      </c>
      <c r="C216" s="66" t="s">
        <v>459</v>
      </c>
      <c r="D216" s="65" t="s">
        <v>28</v>
      </c>
      <c r="E216" s="66" t="s">
        <v>101</v>
      </c>
      <c r="F216" s="66" t="s">
        <v>462</v>
      </c>
      <c r="G216" s="71" t="s">
        <v>282</v>
      </c>
      <c r="H216" s="67" t="s">
        <v>282</v>
      </c>
      <c r="I216" s="67" t="s">
        <v>17</v>
      </c>
      <c r="J216" s="67" t="s">
        <v>282</v>
      </c>
      <c r="K216" s="67" t="s">
        <v>282</v>
      </c>
      <c r="L216" s="67" t="s">
        <v>282</v>
      </c>
      <c r="M216" s="67" t="s">
        <v>282</v>
      </c>
      <c r="N216" s="67" t="s">
        <v>282</v>
      </c>
      <c r="O216" s="68" t="s">
        <v>17</v>
      </c>
      <c r="P216" s="68" t="s">
        <v>17</v>
      </c>
      <c r="Q216" s="68" t="s">
        <v>15</v>
      </c>
      <c r="R216" s="68" t="s">
        <v>282</v>
      </c>
      <c r="S216" s="68" t="s">
        <v>282</v>
      </c>
      <c r="T216" s="68" t="s">
        <v>282</v>
      </c>
      <c r="U216" s="68" t="s">
        <v>282</v>
      </c>
      <c r="V216" s="68" t="s">
        <v>282</v>
      </c>
      <c r="W216" s="69" t="s">
        <v>282</v>
      </c>
      <c r="X216" s="69" t="s">
        <v>282</v>
      </c>
      <c r="Y216" s="70" t="s">
        <v>282</v>
      </c>
    </row>
    <row r="217" spans="1:25">
      <c r="A217" s="64">
        <v>4</v>
      </c>
      <c r="B217" s="65" t="str">
        <f>VLOOKUP(Tabel10[[#This Row],[Code]],Ruimtegroepen[[Code]:[Ruimte omschrijving]],2,FALSE)</f>
        <v>Vergader/spreekkamers</v>
      </c>
      <c r="C217" s="66" t="s">
        <v>459</v>
      </c>
      <c r="D217" s="65" t="s">
        <v>28</v>
      </c>
      <c r="E217" s="66" t="s">
        <v>102</v>
      </c>
      <c r="F217" s="66" t="s">
        <v>463</v>
      </c>
      <c r="G217" s="71" t="s">
        <v>282</v>
      </c>
      <c r="H217" s="67" t="s">
        <v>282</v>
      </c>
      <c r="I217" s="67" t="s">
        <v>17</v>
      </c>
      <c r="J217" s="67" t="s">
        <v>282</v>
      </c>
      <c r="K217" s="67" t="s">
        <v>282</v>
      </c>
      <c r="L217" s="67" t="s">
        <v>282</v>
      </c>
      <c r="M217" s="67" t="s">
        <v>282</v>
      </c>
      <c r="N217" s="67" t="s">
        <v>282</v>
      </c>
      <c r="O217" s="68" t="s">
        <v>17</v>
      </c>
      <c r="P217" s="68" t="s">
        <v>17</v>
      </c>
      <c r="Q217" s="68" t="s">
        <v>15</v>
      </c>
      <c r="R217" s="68" t="s">
        <v>282</v>
      </c>
      <c r="S217" s="68" t="s">
        <v>282</v>
      </c>
      <c r="T217" s="68" t="s">
        <v>282</v>
      </c>
      <c r="U217" s="68" t="s">
        <v>282</v>
      </c>
      <c r="V217" s="68" t="s">
        <v>282</v>
      </c>
      <c r="W217" s="69" t="s">
        <v>282</v>
      </c>
      <c r="X217" s="69" t="s">
        <v>282</v>
      </c>
      <c r="Y217" s="70" t="s">
        <v>282</v>
      </c>
    </row>
    <row r="218" spans="1:25">
      <c r="A218" s="64">
        <v>4</v>
      </c>
      <c r="B218" s="65" t="str">
        <f>VLOOKUP(Tabel10[[#This Row],[Code]],Ruimtegroepen[[Code]:[Ruimte omschrijving]],2,FALSE)</f>
        <v>Vergader/spreekkamers</v>
      </c>
      <c r="C218" s="66" t="s">
        <v>459</v>
      </c>
      <c r="D218" s="65" t="s">
        <v>28</v>
      </c>
      <c r="E218" s="66" t="s">
        <v>99</v>
      </c>
      <c r="F218" s="66" t="s">
        <v>461</v>
      </c>
      <c r="G218" s="71" t="s">
        <v>282</v>
      </c>
      <c r="H218" s="67" t="s">
        <v>17</v>
      </c>
      <c r="I218" s="67" t="s">
        <v>282</v>
      </c>
      <c r="J218" s="67" t="s">
        <v>282</v>
      </c>
      <c r="K218" s="67" t="s">
        <v>282</v>
      </c>
      <c r="L218" s="67" t="s">
        <v>282</v>
      </c>
      <c r="M218" s="67" t="s">
        <v>282</v>
      </c>
      <c r="N218" s="67" t="s">
        <v>282</v>
      </c>
      <c r="O218" s="68" t="s">
        <v>17</v>
      </c>
      <c r="P218" s="68" t="s">
        <v>17</v>
      </c>
      <c r="Q218" s="68" t="s">
        <v>15</v>
      </c>
      <c r="R218" s="68" t="s">
        <v>282</v>
      </c>
      <c r="S218" s="68" t="s">
        <v>282</v>
      </c>
      <c r="T218" s="68" t="s">
        <v>282</v>
      </c>
      <c r="U218" s="68" t="s">
        <v>282</v>
      </c>
      <c r="V218" s="68" t="s">
        <v>282</v>
      </c>
      <c r="W218" s="69" t="s">
        <v>282</v>
      </c>
      <c r="X218" s="69" t="s">
        <v>282</v>
      </c>
      <c r="Y218" s="70" t="s">
        <v>282</v>
      </c>
    </row>
    <row r="219" spans="1:25">
      <c r="A219" s="64">
        <v>4</v>
      </c>
      <c r="B219" s="65" t="str">
        <f>VLOOKUP(Tabel10[[#This Row],[Code]],Ruimtegroepen[[Code]:[Ruimte omschrijving]],2,FALSE)</f>
        <v>Vergader/spreekkamers</v>
      </c>
      <c r="C219" s="66" t="s">
        <v>459</v>
      </c>
      <c r="D219" s="65" t="s">
        <v>28</v>
      </c>
      <c r="E219" s="66" t="s">
        <v>1309</v>
      </c>
      <c r="F219" s="66" t="s">
        <v>1410</v>
      </c>
      <c r="G219" s="71" t="s">
        <v>282</v>
      </c>
      <c r="H219" s="67" t="s">
        <v>282</v>
      </c>
      <c r="I219" s="67" t="s">
        <v>17</v>
      </c>
      <c r="J219" s="67" t="s">
        <v>282</v>
      </c>
      <c r="K219" s="67" t="s">
        <v>282</v>
      </c>
      <c r="L219" s="67" t="s">
        <v>282</v>
      </c>
      <c r="M219" s="67" t="s">
        <v>282</v>
      </c>
      <c r="N219" s="67" t="s">
        <v>282</v>
      </c>
      <c r="O219" s="68" t="s">
        <v>17</v>
      </c>
      <c r="P219" s="68" t="s">
        <v>17</v>
      </c>
      <c r="Q219" s="68" t="s">
        <v>15</v>
      </c>
      <c r="R219" s="68" t="s">
        <v>282</v>
      </c>
      <c r="S219" s="68" t="s">
        <v>282</v>
      </c>
      <c r="T219" s="68" t="s">
        <v>282</v>
      </c>
      <c r="U219" s="68" t="s">
        <v>282</v>
      </c>
      <c r="V219" s="68" t="s">
        <v>282</v>
      </c>
      <c r="W219" s="69" t="s">
        <v>282</v>
      </c>
      <c r="X219" s="69" t="s">
        <v>282</v>
      </c>
      <c r="Y219" s="70" t="s">
        <v>282</v>
      </c>
    </row>
    <row r="220" spans="1:25">
      <c r="A220" s="64">
        <v>5</v>
      </c>
      <c r="B220" s="65" t="str">
        <f>VLOOKUP(Tabel10[[#This Row],[Code]],Ruimtegroepen[[Code]:[Ruimte omschrijving]],2,FALSE)</f>
        <v>Sanitair</v>
      </c>
      <c r="C220" s="66" t="s">
        <v>464</v>
      </c>
      <c r="D220" s="65" t="s">
        <v>29</v>
      </c>
      <c r="E220" s="66" t="s">
        <v>100</v>
      </c>
      <c r="F220" s="66" t="s">
        <v>465</v>
      </c>
      <c r="G220" s="71" t="s">
        <v>282</v>
      </c>
      <c r="H220" s="67" t="s">
        <v>282</v>
      </c>
      <c r="I220" s="67" t="s">
        <v>282</v>
      </c>
      <c r="J220" s="67" t="s">
        <v>20</v>
      </c>
      <c r="K220" s="67" t="s">
        <v>15</v>
      </c>
      <c r="L220" s="67" t="s">
        <v>282</v>
      </c>
      <c r="M220" s="67" t="s">
        <v>282</v>
      </c>
      <c r="N220" s="67" t="s">
        <v>2</v>
      </c>
      <c r="O220" s="68" t="s">
        <v>282</v>
      </c>
      <c r="P220" s="68" t="s">
        <v>282</v>
      </c>
      <c r="Q220" s="68" t="s">
        <v>282</v>
      </c>
      <c r="R220" s="68" t="s">
        <v>282</v>
      </c>
      <c r="S220" s="68" t="s">
        <v>282</v>
      </c>
      <c r="T220" s="68" t="s">
        <v>282</v>
      </c>
      <c r="U220" s="68" t="s">
        <v>282</v>
      </c>
      <c r="V220" s="68" t="s">
        <v>282</v>
      </c>
      <c r="W220" s="69" t="s">
        <v>20</v>
      </c>
      <c r="X220" s="69" t="s">
        <v>15</v>
      </c>
      <c r="Y220" s="70" t="s">
        <v>2</v>
      </c>
    </row>
    <row r="221" spans="1:25">
      <c r="A221" s="64">
        <v>5</v>
      </c>
      <c r="B221" s="65" t="str">
        <f>VLOOKUP(Tabel10[[#This Row],[Code]],Ruimtegroepen[[Code]:[Ruimte omschrijving]],2,FALSE)</f>
        <v>Sanitair</v>
      </c>
      <c r="C221" s="66" t="s">
        <v>464</v>
      </c>
      <c r="D221" s="65" t="s">
        <v>29</v>
      </c>
      <c r="E221" s="66" t="s">
        <v>99</v>
      </c>
      <c r="F221" s="66" t="s">
        <v>466</v>
      </c>
      <c r="G221" s="71" t="s">
        <v>282</v>
      </c>
      <c r="H221" s="67" t="s">
        <v>282</v>
      </c>
      <c r="I221" s="67" t="s">
        <v>282</v>
      </c>
      <c r="J221" s="67" t="s">
        <v>282</v>
      </c>
      <c r="K221" s="67" t="s">
        <v>282</v>
      </c>
      <c r="L221" s="67" t="s">
        <v>282</v>
      </c>
      <c r="M221" s="67" t="s">
        <v>282</v>
      </c>
      <c r="N221" s="67" t="s">
        <v>282</v>
      </c>
      <c r="O221" s="68" t="s">
        <v>282</v>
      </c>
      <c r="P221" s="68" t="s">
        <v>282</v>
      </c>
      <c r="Q221" s="68" t="s">
        <v>282</v>
      </c>
      <c r="R221" s="68" t="s">
        <v>282</v>
      </c>
      <c r="S221" s="68" t="s">
        <v>282</v>
      </c>
      <c r="T221" s="68" t="s">
        <v>282</v>
      </c>
      <c r="U221" s="68" t="s">
        <v>282</v>
      </c>
      <c r="V221" s="68" t="s">
        <v>282</v>
      </c>
      <c r="W221" s="69" t="s">
        <v>282</v>
      </c>
      <c r="X221" s="69" t="s">
        <v>282</v>
      </c>
      <c r="Y221" s="70" t="s">
        <v>282</v>
      </c>
    </row>
    <row r="222" spans="1:25">
      <c r="A222" s="64">
        <v>5</v>
      </c>
      <c r="B222" s="65" t="str">
        <f>VLOOKUP(Tabel10[[#This Row],[Code]],Ruimtegroepen[[Code]:[Ruimte omschrijving]],2,FALSE)</f>
        <v>Sanitair</v>
      </c>
      <c r="C222" s="66" t="s">
        <v>464</v>
      </c>
      <c r="D222" s="65" t="s">
        <v>29</v>
      </c>
      <c r="E222" s="66" t="s">
        <v>101</v>
      </c>
      <c r="F222" s="66" t="s">
        <v>467</v>
      </c>
      <c r="G222" s="71" t="s">
        <v>282</v>
      </c>
      <c r="H222" s="67" t="s">
        <v>282</v>
      </c>
      <c r="I222" s="67" t="s">
        <v>282</v>
      </c>
      <c r="J222" s="67" t="s">
        <v>20</v>
      </c>
      <c r="K222" s="67" t="s">
        <v>15</v>
      </c>
      <c r="L222" s="67" t="s">
        <v>282</v>
      </c>
      <c r="M222" s="67" t="s">
        <v>282</v>
      </c>
      <c r="N222" s="67" t="s">
        <v>2</v>
      </c>
      <c r="O222" s="68" t="s">
        <v>282</v>
      </c>
      <c r="P222" s="68" t="s">
        <v>282</v>
      </c>
      <c r="Q222" s="68" t="s">
        <v>282</v>
      </c>
      <c r="R222" s="68" t="s">
        <v>282</v>
      </c>
      <c r="S222" s="68" t="s">
        <v>282</v>
      </c>
      <c r="T222" s="68" t="s">
        <v>282</v>
      </c>
      <c r="U222" s="68" t="s">
        <v>282</v>
      </c>
      <c r="V222" s="68" t="s">
        <v>282</v>
      </c>
      <c r="W222" s="69" t="s">
        <v>20</v>
      </c>
      <c r="X222" s="69" t="s">
        <v>15</v>
      </c>
      <c r="Y222" s="70" t="s">
        <v>2</v>
      </c>
    </row>
    <row r="223" spans="1:25">
      <c r="A223" s="64">
        <v>5</v>
      </c>
      <c r="B223" s="65" t="str">
        <f>VLOOKUP(Tabel10[[#This Row],[Code]],Ruimtegroepen[[Code]:[Ruimte omschrijving]],2,FALSE)</f>
        <v>Sanitair</v>
      </c>
      <c r="C223" s="66" t="s">
        <v>464</v>
      </c>
      <c r="D223" s="65" t="s">
        <v>29</v>
      </c>
      <c r="E223" s="66" t="s">
        <v>102</v>
      </c>
      <c r="F223" s="66" t="s">
        <v>468</v>
      </c>
      <c r="G223" s="71" t="s">
        <v>282</v>
      </c>
      <c r="H223" s="67" t="s">
        <v>282</v>
      </c>
      <c r="I223" s="67" t="s">
        <v>282</v>
      </c>
      <c r="J223" s="67" t="s">
        <v>20</v>
      </c>
      <c r="K223" s="67" t="s">
        <v>15</v>
      </c>
      <c r="L223" s="67" t="s">
        <v>282</v>
      </c>
      <c r="M223" s="67" t="s">
        <v>282</v>
      </c>
      <c r="N223" s="67" t="s">
        <v>2</v>
      </c>
      <c r="O223" s="68" t="s">
        <v>282</v>
      </c>
      <c r="P223" s="68" t="s">
        <v>282</v>
      </c>
      <c r="Q223" s="68" t="s">
        <v>282</v>
      </c>
      <c r="R223" s="68" t="s">
        <v>282</v>
      </c>
      <c r="S223" s="68" t="s">
        <v>282</v>
      </c>
      <c r="T223" s="68" t="s">
        <v>282</v>
      </c>
      <c r="U223" s="68" t="s">
        <v>282</v>
      </c>
      <c r="V223" s="68" t="s">
        <v>282</v>
      </c>
      <c r="W223" s="69" t="s">
        <v>20</v>
      </c>
      <c r="X223" s="69" t="s">
        <v>15</v>
      </c>
      <c r="Y223" s="70" t="s">
        <v>2</v>
      </c>
    </row>
    <row r="224" spans="1:25">
      <c r="A224" s="64">
        <v>5</v>
      </c>
      <c r="B224" s="65" t="str">
        <f>VLOOKUP(Tabel10[[#This Row],[Code]],Ruimtegroepen[[Code]:[Ruimte omschrijving]],2,FALSE)</f>
        <v>Sanitair</v>
      </c>
      <c r="C224" s="66" t="s">
        <v>464</v>
      </c>
      <c r="D224" s="65" t="s">
        <v>29</v>
      </c>
      <c r="E224" s="66" t="s">
        <v>99</v>
      </c>
      <c r="F224" s="66" t="s">
        <v>466</v>
      </c>
      <c r="G224" s="71" t="s">
        <v>282</v>
      </c>
      <c r="H224" s="67" t="s">
        <v>282</v>
      </c>
      <c r="I224" s="67" t="s">
        <v>282</v>
      </c>
      <c r="J224" s="67" t="s">
        <v>282</v>
      </c>
      <c r="K224" s="67" t="s">
        <v>282</v>
      </c>
      <c r="L224" s="67" t="s">
        <v>282</v>
      </c>
      <c r="M224" s="67" t="s">
        <v>282</v>
      </c>
      <c r="N224" s="67" t="s">
        <v>282</v>
      </c>
      <c r="O224" s="68" t="s">
        <v>282</v>
      </c>
      <c r="P224" s="68" t="s">
        <v>282</v>
      </c>
      <c r="Q224" s="68" t="s">
        <v>282</v>
      </c>
      <c r="R224" s="68" t="s">
        <v>282</v>
      </c>
      <c r="S224" s="68" t="s">
        <v>282</v>
      </c>
      <c r="T224" s="68" t="s">
        <v>282</v>
      </c>
      <c r="U224" s="68" t="s">
        <v>282</v>
      </c>
      <c r="V224" s="68" t="s">
        <v>282</v>
      </c>
      <c r="W224" s="69" t="s">
        <v>282</v>
      </c>
      <c r="X224" s="69" t="s">
        <v>282</v>
      </c>
      <c r="Y224" s="70" t="s">
        <v>282</v>
      </c>
    </row>
    <row r="225" spans="1:25">
      <c r="A225" s="64">
        <v>5</v>
      </c>
      <c r="B225" s="65" t="str">
        <f>VLOOKUP(Tabel10[[#This Row],[Code]],Ruimtegroepen[[Code]:[Ruimte omschrijving]],2,FALSE)</f>
        <v>Sanitair</v>
      </c>
      <c r="C225" s="66" t="s">
        <v>464</v>
      </c>
      <c r="D225" s="65" t="s">
        <v>29</v>
      </c>
      <c r="E225" s="66" t="s">
        <v>1309</v>
      </c>
      <c r="F225" s="66" t="s">
        <v>1478</v>
      </c>
      <c r="G225" s="71" t="s">
        <v>282</v>
      </c>
      <c r="H225" s="67" t="s">
        <v>282</v>
      </c>
      <c r="I225" s="67" t="s">
        <v>282</v>
      </c>
      <c r="J225" s="67" t="s">
        <v>20</v>
      </c>
      <c r="K225" s="67" t="s">
        <v>15</v>
      </c>
      <c r="L225" s="67" t="s">
        <v>282</v>
      </c>
      <c r="M225" s="67" t="s">
        <v>282</v>
      </c>
      <c r="N225" s="67" t="s">
        <v>2</v>
      </c>
      <c r="O225" s="68" t="s">
        <v>282</v>
      </c>
      <c r="P225" s="68" t="s">
        <v>282</v>
      </c>
      <c r="Q225" s="68" t="s">
        <v>282</v>
      </c>
      <c r="R225" s="68" t="s">
        <v>282</v>
      </c>
      <c r="S225" s="68" t="s">
        <v>282</v>
      </c>
      <c r="T225" s="68" t="s">
        <v>282</v>
      </c>
      <c r="U225" s="68" t="s">
        <v>282</v>
      </c>
      <c r="V225" s="68" t="s">
        <v>282</v>
      </c>
      <c r="W225" s="69" t="s">
        <v>20</v>
      </c>
      <c r="X225" s="69" t="s">
        <v>15</v>
      </c>
      <c r="Y225" s="70" t="s">
        <v>2</v>
      </c>
    </row>
    <row r="226" spans="1:25">
      <c r="A226" s="64">
        <v>5</v>
      </c>
      <c r="B226" s="65" t="str">
        <f>VLOOKUP(Tabel10[[#This Row],[Code]],Ruimtegroepen[[Code]:[Ruimte omschrijving]],2,FALSE)</f>
        <v>Sanitair</v>
      </c>
      <c r="C226" s="66" t="s">
        <v>469</v>
      </c>
      <c r="D226" s="65" t="s">
        <v>1</v>
      </c>
      <c r="E226" s="66" t="s">
        <v>100</v>
      </c>
      <c r="F226" s="66" t="s">
        <v>470</v>
      </c>
      <c r="G226" s="71" t="s">
        <v>282</v>
      </c>
      <c r="H226" s="67" t="s">
        <v>282</v>
      </c>
      <c r="I226" s="67" t="s">
        <v>282</v>
      </c>
      <c r="J226" s="67" t="s">
        <v>20</v>
      </c>
      <c r="K226" s="67" t="s">
        <v>15</v>
      </c>
      <c r="L226" s="67" t="s">
        <v>282</v>
      </c>
      <c r="M226" s="67" t="s">
        <v>282</v>
      </c>
      <c r="N226" s="67" t="s">
        <v>282</v>
      </c>
      <c r="O226" s="68" t="s">
        <v>282</v>
      </c>
      <c r="P226" s="68" t="s">
        <v>282</v>
      </c>
      <c r="Q226" s="68" t="s">
        <v>282</v>
      </c>
      <c r="R226" s="68" t="s">
        <v>282</v>
      </c>
      <c r="S226" s="68" t="s">
        <v>282</v>
      </c>
      <c r="T226" s="68" t="s">
        <v>282</v>
      </c>
      <c r="U226" s="68" t="s">
        <v>282</v>
      </c>
      <c r="V226" s="68" t="s">
        <v>282</v>
      </c>
      <c r="W226" s="69" t="s">
        <v>20</v>
      </c>
      <c r="X226" s="69" t="s">
        <v>15</v>
      </c>
      <c r="Y226" s="70" t="s">
        <v>282</v>
      </c>
    </row>
    <row r="227" spans="1:25">
      <c r="A227" s="64">
        <v>5</v>
      </c>
      <c r="B227" s="65" t="str">
        <f>VLOOKUP(Tabel10[[#This Row],[Code]],Ruimtegroepen[[Code]:[Ruimte omschrijving]],2,FALSE)</f>
        <v>Sanitair</v>
      </c>
      <c r="C227" s="66" t="s">
        <v>469</v>
      </c>
      <c r="D227" s="65" t="s">
        <v>1</v>
      </c>
      <c r="E227" s="66" t="s">
        <v>99</v>
      </c>
      <c r="F227" s="66" t="s">
        <v>471</v>
      </c>
      <c r="G227" s="71" t="s">
        <v>282</v>
      </c>
      <c r="H227" s="67" t="s">
        <v>282</v>
      </c>
      <c r="I227" s="67" t="s">
        <v>282</v>
      </c>
      <c r="J227" s="67" t="s">
        <v>282</v>
      </c>
      <c r="K227" s="67" t="s">
        <v>282</v>
      </c>
      <c r="L227" s="67" t="s">
        <v>282</v>
      </c>
      <c r="M227" s="67" t="s">
        <v>282</v>
      </c>
      <c r="N227" s="67" t="s">
        <v>282</v>
      </c>
      <c r="O227" s="68" t="s">
        <v>282</v>
      </c>
      <c r="P227" s="68" t="s">
        <v>282</v>
      </c>
      <c r="Q227" s="68" t="s">
        <v>282</v>
      </c>
      <c r="R227" s="68" t="s">
        <v>282</v>
      </c>
      <c r="S227" s="68" t="s">
        <v>282</v>
      </c>
      <c r="T227" s="68" t="s">
        <v>282</v>
      </c>
      <c r="U227" s="68" t="s">
        <v>282</v>
      </c>
      <c r="V227" s="68" t="s">
        <v>282</v>
      </c>
      <c r="W227" s="69" t="s">
        <v>282</v>
      </c>
      <c r="X227" s="69" t="s">
        <v>282</v>
      </c>
      <c r="Y227" s="70" t="s">
        <v>282</v>
      </c>
    </row>
    <row r="228" spans="1:25">
      <c r="A228" s="64">
        <v>5</v>
      </c>
      <c r="B228" s="65" t="str">
        <f>VLOOKUP(Tabel10[[#This Row],[Code]],Ruimtegroepen[[Code]:[Ruimte omschrijving]],2,FALSE)</f>
        <v>Sanitair</v>
      </c>
      <c r="C228" s="66" t="s">
        <v>469</v>
      </c>
      <c r="D228" s="65" t="s">
        <v>1</v>
      </c>
      <c r="E228" s="66" t="s">
        <v>101</v>
      </c>
      <c r="F228" s="66" t="s">
        <v>472</v>
      </c>
      <c r="G228" s="71" t="s">
        <v>282</v>
      </c>
      <c r="H228" s="67" t="s">
        <v>282</v>
      </c>
      <c r="I228" s="67" t="s">
        <v>282</v>
      </c>
      <c r="J228" s="67" t="s">
        <v>20</v>
      </c>
      <c r="K228" s="67" t="s">
        <v>15</v>
      </c>
      <c r="L228" s="67" t="s">
        <v>282</v>
      </c>
      <c r="M228" s="67" t="s">
        <v>282</v>
      </c>
      <c r="N228" s="67" t="s">
        <v>282</v>
      </c>
      <c r="O228" s="68" t="s">
        <v>282</v>
      </c>
      <c r="P228" s="68" t="s">
        <v>282</v>
      </c>
      <c r="Q228" s="68" t="s">
        <v>282</v>
      </c>
      <c r="R228" s="68" t="s">
        <v>282</v>
      </c>
      <c r="S228" s="68" t="s">
        <v>282</v>
      </c>
      <c r="T228" s="68" t="s">
        <v>282</v>
      </c>
      <c r="U228" s="68" t="s">
        <v>282</v>
      </c>
      <c r="V228" s="68" t="s">
        <v>282</v>
      </c>
      <c r="W228" s="69" t="s">
        <v>20</v>
      </c>
      <c r="X228" s="69" t="s">
        <v>15</v>
      </c>
      <c r="Y228" s="70" t="s">
        <v>282</v>
      </c>
    </row>
    <row r="229" spans="1:25">
      <c r="A229" s="64">
        <v>5</v>
      </c>
      <c r="B229" s="65" t="str">
        <f>VLOOKUP(Tabel10[[#This Row],[Code]],Ruimtegroepen[[Code]:[Ruimte omschrijving]],2,FALSE)</f>
        <v>Sanitair</v>
      </c>
      <c r="C229" s="66" t="s">
        <v>469</v>
      </c>
      <c r="D229" s="65" t="s">
        <v>1</v>
      </c>
      <c r="E229" s="66" t="s">
        <v>102</v>
      </c>
      <c r="F229" s="66" t="s">
        <v>473</v>
      </c>
      <c r="G229" s="71" t="s">
        <v>282</v>
      </c>
      <c r="H229" s="67" t="s">
        <v>282</v>
      </c>
      <c r="I229" s="67" t="s">
        <v>282</v>
      </c>
      <c r="J229" s="67" t="s">
        <v>20</v>
      </c>
      <c r="K229" s="67" t="s">
        <v>15</v>
      </c>
      <c r="L229" s="67" t="s">
        <v>282</v>
      </c>
      <c r="M229" s="67" t="s">
        <v>282</v>
      </c>
      <c r="N229" s="67" t="s">
        <v>282</v>
      </c>
      <c r="O229" s="68" t="s">
        <v>282</v>
      </c>
      <c r="P229" s="68" t="s">
        <v>282</v>
      </c>
      <c r="Q229" s="68" t="s">
        <v>282</v>
      </c>
      <c r="R229" s="68" t="s">
        <v>282</v>
      </c>
      <c r="S229" s="68" t="s">
        <v>282</v>
      </c>
      <c r="T229" s="68" t="s">
        <v>282</v>
      </c>
      <c r="U229" s="68" t="s">
        <v>282</v>
      </c>
      <c r="V229" s="68" t="s">
        <v>282</v>
      </c>
      <c r="W229" s="69" t="s">
        <v>20</v>
      </c>
      <c r="X229" s="69" t="s">
        <v>15</v>
      </c>
      <c r="Y229" s="70" t="s">
        <v>282</v>
      </c>
    </row>
    <row r="230" spans="1:25">
      <c r="A230" s="64">
        <v>5</v>
      </c>
      <c r="B230" s="65" t="str">
        <f>VLOOKUP(Tabel10[[#This Row],[Code]],Ruimtegroepen[[Code]:[Ruimte omschrijving]],2,FALSE)</f>
        <v>Sanitair</v>
      </c>
      <c r="C230" s="66" t="s">
        <v>469</v>
      </c>
      <c r="D230" s="65" t="s">
        <v>1</v>
      </c>
      <c r="E230" s="66" t="s">
        <v>99</v>
      </c>
      <c r="F230" s="66" t="s">
        <v>471</v>
      </c>
      <c r="G230" s="71" t="s">
        <v>282</v>
      </c>
      <c r="H230" s="67" t="s">
        <v>282</v>
      </c>
      <c r="I230" s="67" t="s">
        <v>282</v>
      </c>
      <c r="J230" s="67" t="s">
        <v>282</v>
      </c>
      <c r="K230" s="67" t="s">
        <v>282</v>
      </c>
      <c r="L230" s="67" t="s">
        <v>282</v>
      </c>
      <c r="M230" s="67" t="s">
        <v>282</v>
      </c>
      <c r="N230" s="67" t="s">
        <v>282</v>
      </c>
      <c r="O230" s="68" t="s">
        <v>282</v>
      </c>
      <c r="P230" s="68" t="s">
        <v>282</v>
      </c>
      <c r="Q230" s="68" t="s">
        <v>282</v>
      </c>
      <c r="R230" s="68" t="s">
        <v>282</v>
      </c>
      <c r="S230" s="68" t="s">
        <v>282</v>
      </c>
      <c r="T230" s="68" t="s">
        <v>282</v>
      </c>
      <c r="U230" s="68" t="s">
        <v>282</v>
      </c>
      <c r="V230" s="68" t="s">
        <v>282</v>
      </c>
      <c r="W230" s="69" t="s">
        <v>282</v>
      </c>
      <c r="X230" s="69" t="s">
        <v>282</v>
      </c>
      <c r="Y230" s="70" t="s">
        <v>282</v>
      </c>
    </row>
    <row r="231" spans="1:25">
      <c r="A231" s="64">
        <v>5</v>
      </c>
      <c r="B231" s="65" t="str">
        <f>VLOOKUP(Tabel10[[#This Row],[Code]],Ruimtegroepen[[Code]:[Ruimte omschrijving]],2,FALSE)</f>
        <v>Sanitair</v>
      </c>
      <c r="C231" s="66" t="s">
        <v>469</v>
      </c>
      <c r="D231" s="65" t="s">
        <v>1</v>
      </c>
      <c r="E231" s="66" t="s">
        <v>1309</v>
      </c>
      <c r="F231" s="66" t="s">
        <v>1444</v>
      </c>
      <c r="G231" s="71" t="s">
        <v>282</v>
      </c>
      <c r="H231" s="67" t="s">
        <v>282</v>
      </c>
      <c r="I231" s="67" t="s">
        <v>282</v>
      </c>
      <c r="J231" s="67" t="s">
        <v>20</v>
      </c>
      <c r="K231" s="67" t="s">
        <v>15</v>
      </c>
      <c r="L231" s="67" t="s">
        <v>282</v>
      </c>
      <c r="M231" s="67" t="s">
        <v>282</v>
      </c>
      <c r="N231" s="67" t="s">
        <v>282</v>
      </c>
      <c r="O231" s="68" t="s">
        <v>282</v>
      </c>
      <c r="P231" s="68" t="s">
        <v>282</v>
      </c>
      <c r="Q231" s="68" t="s">
        <v>282</v>
      </c>
      <c r="R231" s="68" t="s">
        <v>282</v>
      </c>
      <c r="S231" s="68" t="s">
        <v>282</v>
      </c>
      <c r="T231" s="68" t="s">
        <v>282</v>
      </c>
      <c r="U231" s="68" t="s">
        <v>282</v>
      </c>
      <c r="V231" s="68" t="s">
        <v>282</v>
      </c>
      <c r="W231" s="69" t="s">
        <v>20</v>
      </c>
      <c r="X231" s="69" t="s">
        <v>15</v>
      </c>
      <c r="Y231" s="70" t="s">
        <v>282</v>
      </c>
    </row>
    <row r="232" spans="1:25">
      <c r="A232" s="64">
        <v>5</v>
      </c>
      <c r="B232" s="65" t="str">
        <f>VLOOKUP(Tabel10[[#This Row],[Code]],Ruimtegroepen[[Code]:[Ruimte omschrijving]],2,FALSE)</f>
        <v>Sanitair</v>
      </c>
      <c r="C232" s="66" t="s">
        <v>474</v>
      </c>
      <c r="D232" s="65" t="s">
        <v>475</v>
      </c>
      <c r="E232" s="66" t="s">
        <v>100</v>
      </c>
      <c r="F232" s="66" t="s">
        <v>476</v>
      </c>
      <c r="G232" s="71" t="s">
        <v>282</v>
      </c>
      <c r="H232" s="67" t="s">
        <v>282</v>
      </c>
      <c r="I232" s="67" t="s">
        <v>282</v>
      </c>
      <c r="J232" s="67" t="s">
        <v>477</v>
      </c>
      <c r="K232" s="67" t="s">
        <v>15</v>
      </c>
      <c r="L232" s="67" t="s">
        <v>282</v>
      </c>
      <c r="M232" s="67" t="s">
        <v>282</v>
      </c>
      <c r="N232" s="67" t="s">
        <v>282</v>
      </c>
      <c r="O232" s="68" t="s">
        <v>282</v>
      </c>
      <c r="P232" s="68" t="s">
        <v>282</v>
      </c>
      <c r="Q232" s="68" t="s">
        <v>282</v>
      </c>
      <c r="R232" s="68" t="s">
        <v>282</v>
      </c>
      <c r="S232" s="68" t="s">
        <v>282</v>
      </c>
      <c r="T232" s="68" t="s">
        <v>282</v>
      </c>
      <c r="U232" s="68" t="s">
        <v>282</v>
      </c>
      <c r="V232" s="68" t="s">
        <v>282</v>
      </c>
      <c r="W232" s="69" t="s">
        <v>477</v>
      </c>
      <c r="X232" s="69" t="s">
        <v>15</v>
      </c>
      <c r="Y232" s="70" t="s">
        <v>282</v>
      </c>
    </row>
    <row r="233" spans="1:25">
      <c r="A233" s="64">
        <v>5</v>
      </c>
      <c r="B233" s="65" t="str">
        <f>VLOOKUP(Tabel10[[#This Row],[Code]],Ruimtegroepen[[Code]:[Ruimte omschrijving]],2,FALSE)</f>
        <v>Sanitair</v>
      </c>
      <c r="C233" s="66" t="s">
        <v>474</v>
      </c>
      <c r="D233" s="65" t="s">
        <v>475</v>
      </c>
      <c r="E233" s="66" t="s">
        <v>99</v>
      </c>
      <c r="F233" s="66" t="s">
        <v>478</v>
      </c>
      <c r="G233" s="71" t="s">
        <v>282</v>
      </c>
      <c r="H233" s="67" t="s">
        <v>282</v>
      </c>
      <c r="I233" s="67" t="s">
        <v>282</v>
      </c>
      <c r="J233" s="67" t="s">
        <v>282</v>
      </c>
      <c r="K233" s="67" t="s">
        <v>282</v>
      </c>
      <c r="L233" s="67" t="s">
        <v>282</v>
      </c>
      <c r="M233" s="67" t="s">
        <v>282</v>
      </c>
      <c r="N233" s="67" t="s">
        <v>282</v>
      </c>
      <c r="O233" s="68" t="s">
        <v>282</v>
      </c>
      <c r="P233" s="68" t="s">
        <v>282</v>
      </c>
      <c r="Q233" s="68" t="s">
        <v>282</v>
      </c>
      <c r="R233" s="68" t="s">
        <v>282</v>
      </c>
      <c r="S233" s="68" t="s">
        <v>282</v>
      </c>
      <c r="T233" s="68" t="s">
        <v>282</v>
      </c>
      <c r="U233" s="68" t="s">
        <v>282</v>
      </c>
      <c r="V233" s="68" t="s">
        <v>282</v>
      </c>
      <c r="W233" s="69" t="s">
        <v>282</v>
      </c>
      <c r="X233" s="69" t="s">
        <v>282</v>
      </c>
      <c r="Y233" s="70" t="s">
        <v>282</v>
      </c>
    </row>
    <row r="234" spans="1:25">
      <c r="A234" s="64">
        <v>5</v>
      </c>
      <c r="B234" s="65" t="str">
        <f>VLOOKUP(Tabel10[[#This Row],[Code]],Ruimtegroepen[[Code]:[Ruimte omschrijving]],2,FALSE)</f>
        <v>Sanitair</v>
      </c>
      <c r="C234" s="66" t="s">
        <v>474</v>
      </c>
      <c r="D234" s="65" t="s">
        <v>475</v>
      </c>
      <c r="E234" s="66" t="s">
        <v>101</v>
      </c>
      <c r="F234" s="66" t="s">
        <v>479</v>
      </c>
      <c r="G234" s="71" t="s">
        <v>282</v>
      </c>
      <c r="H234" s="67" t="s">
        <v>282</v>
      </c>
      <c r="I234" s="67" t="s">
        <v>282</v>
      </c>
      <c r="J234" s="67" t="s">
        <v>477</v>
      </c>
      <c r="K234" s="67" t="s">
        <v>15</v>
      </c>
      <c r="L234" s="67" t="s">
        <v>282</v>
      </c>
      <c r="M234" s="67" t="s">
        <v>282</v>
      </c>
      <c r="N234" s="67" t="s">
        <v>282</v>
      </c>
      <c r="O234" s="68" t="s">
        <v>282</v>
      </c>
      <c r="P234" s="68" t="s">
        <v>282</v>
      </c>
      <c r="Q234" s="68" t="s">
        <v>282</v>
      </c>
      <c r="R234" s="68" t="s">
        <v>282</v>
      </c>
      <c r="S234" s="68" t="s">
        <v>282</v>
      </c>
      <c r="T234" s="68" t="s">
        <v>282</v>
      </c>
      <c r="U234" s="68" t="s">
        <v>282</v>
      </c>
      <c r="V234" s="68" t="s">
        <v>282</v>
      </c>
      <c r="W234" s="69" t="s">
        <v>477</v>
      </c>
      <c r="X234" s="69" t="s">
        <v>15</v>
      </c>
      <c r="Y234" s="70" t="s">
        <v>282</v>
      </c>
    </row>
    <row r="235" spans="1:25">
      <c r="A235" s="64">
        <v>5</v>
      </c>
      <c r="B235" s="65" t="str">
        <f>VLOOKUP(Tabel10[[#This Row],[Code]],Ruimtegroepen[[Code]:[Ruimte omschrijving]],2,FALSE)</f>
        <v>Sanitair</v>
      </c>
      <c r="C235" s="66" t="s">
        <v>474</v>
      </c>
      <c r="D235" s="65" t="s">
        <v>475</v>
      </c>
      <c r="E235" s="66" t="s">
        <v>102</v>
      </c>
      <c r="F235" s="66" t="s">
        <v>480</v>
      </c>
      <c r="G235" s="71" t="s">
        <v>282</v>
      </c>
      <c r="H235" s="67" t="s">
        <v>282</v>
      </c>
      <c r="I235" s="67" t="s">
        <v>282</v>
      </c>
      <c r="J235" s="67" t="s">
        <v>477</v>
      </c>
      <c r="K235" s="67" t="s">
        <v>15</v>
      </c>
      <c r="L235" s="67" t="s">
        <v>282</v>
      </c>
      <c r="M235" s="67" t="s">
        <v>282</v>
      </c>
      <c r="N235" s="67" t="s">
        <v>282</v>
      </c>
      <c r="O235" s="68" t="s">
        <v>282</v>
      </c>
      <c r="P235" s="68" t="s">
        <v>282</v>
      </c>
      <c r="Q235" s="68" t="s">
        <v>282</v>
      </c>
      <c r="R235" s="68" t="s">
        <v>282</v>
      </c>
      <c r="S235" s="68" t="s">
        <v>282</v>
      </c>
      <c r="T235" s="68" t="s">
        <v>282</v>
      </c>
      <c r="U235" s="68" t="s">
        <v>282</v>
      </c>
      <c r="V235" s="68" t="s">
        <v>282</v>
      </c>
      <c r="W235" s="69" t="s">
        <v>477</v>
      </c>
      <c r="X235" s="69" t="s">
        <v>15</v>
      </c>
      <c r="Y235" s="70" t="s">
        <v>282</v>
      </c>
    </row>
    <row r="236" spans="1:25">
      <c r="A236" s="64">
        <v>5</v>
      </c>
      <c r="B236" s="65" t="str">
        <f>VLOOKUP(Tabel10[[#This Row],[Code]],Ruimtegroepen[[Code]:[Ruimte omschrijving]],2,FALSE)</f>
        <v>Sanitair</v>
      </c>
      <c r="C236" s="66" t="s">
        <v>474</v>
      </c>
      <c r="D236" s="65" t="s">
        <v>475</v>
      </c>
      <c r="E236" s="66" t="s">
        <v>99</v>
      </c>
      <c r="F236" s="66" t="s">
        <v>478</v>
      </c>
      <c r="G236" s="71" t="s">
        <v>282</v>
      </c>
      <c r="H236" s="67" t="s">
        <v>282</v>
      </c>
      <c r="I236" s="67" t="s">
        <v>282</v>
      </c>
      <c r="J236" s="67" t="s">
        <v>282</v>
      </c>
      <c r="K236" s="67" t="s">
        <v>282</v>
      </c>
      <c r="L236" s="67" t="s">
        <v>282</v>
      </c>
      <c r="M236" s="67" t="s">
        <v>282</v>
      </c>
      <c r="N236" s="67" t="s">
        <v>282</v>
      </c>
      <c r="O236" s="68" t="s">
        <v>282</v>
      </c>
      <c r="P236" s="68" t="s">
        <v>282</v>
      </c>
      <c r="Q236" s="68" t="s">
        <v>282</v>
      </c>
      <c r="R236" s="68" t="s">
        <v>282</v>
      </c>
      <c r="S236" s="68" t="s">
        <v>282</v>
      </c>
      <c r="T236" s="68" t="s">
        <v>282</v>
      </c>
      <c r="U236" s="68" t="s">
        <v>282</v>
      </c>
      <c r="V236" s="68" t="s">
        <v>282</v>
      </c>
      <c r="W236" s="69" t="s">
        <v>282</v>
      </c>
      <c r="X236" s="69" t="s">
        <v>282</v>
      </c>
      <c r="Y236" s="70" t="s">
        <v>282</v>
      </c>
    </row>
    <row r="237" spans="1:25">
      <c r="A237" s="64">
        <v>5</v>
      </c>
      <c r="B237" s="65" t="str">
        <f>VLOOKUP(Tabel10[[#This Row],[Code]],Ruimtegroepen[[Code]:[Ruimte omschrijving]],2,FALSE)</f>
        <v>Sanitair</v>
      </c>
      <c r="C237" s="66" t="s">
        <v>474</v>
      </c>
      <c r="D237" s="65" t="s">
        <v>475</v>
      </c>
      <c r="E237" s="66" t="s">
        <v>1309</v>
      </c>
      <c r="F237" s="66" t="s">
        <v>1461</v>
      </c>
      <c r="G237" s="71" t="s">
        <v>282</v>
      </c>
      <c r="H237" s="67" t="s">
        <v>282</v>
      </c>
      <c r="I237" s="67" t="s">
        <v>282</v>
      </c>
      <c r="J237" s="67" t="s">
        <v>477</v>
      </c>
      <c r="K237" s="67" t="s">
        <v>15</v>
      </c>
      <c r="L237" s="67" t="s">
        <v>282</v>
      </c>
      <c r="M237" s="67" t="s">
        <v>282</v>
      </c>
      <c r="N237" s="67" t="s">
        <v>282</v>
      </c>
      <c r="O237" s="68" t="s">
        <v>282</v>
      </c>
      <c r="P237" s="68" t="s">
        <v>282</v>
      </c>
      <c r="Q237" s="68" t="s">
        <v>282</v>
      </c>
      <c r="R237" s="68" t="s">
        <v>282</v>
      </c>
      <c r="S237" s="68" t="s">
        <v>282</v>
      </c>
      <c r="T237" s="68" t="s">
        <v>282</v>
      </c>
      <c r="U237" s="68" t="s">
        <v>282</v>
      </c>
      <c r="V237" s="68" t="s">
        <v>282</v>
      </c>
      <c r="W237" s="69" t="s">
        <v>477</v>
      </c>
      <c r="X237" s="69" t="s">
        <v>15</v>
      </c>
      <c r="Y237" s="70" t="s">
        <v>282</v>
      </c>
    </row>
    <row r="238" spans="1:25">
      <c r="A238" s="64">
        <v>5</v>
      </c>
      <c r="B238" s="65" t="str">
        <f>VLOOKUP(Tabel10[[#This Row],[Code]],Ruimtegroepen[[Code]:[Ruimte omschrijving]],2,FALSE)</f>
        <v>Sanitair</v>
      </c>
      <c r="C238" s="66" t="s">
        <v>1262</v>
      </c>
      <c r="D238" s="65" t="s">
        <v>481</v>
      </c>
      <c r="E238" s="66" t="s">
        <v>100</v>
      </c>
      <c r="F238" s="66" t="s">
        <v>482</v>
      </c>
      <c r="G238" s="71" t="s">
        <v>282</v>
      </c>
      <c r="H238" s="67" t="s">
        <v>282</v>
      </c>
      <c r="I238" s="67" t="s">
        <v>282</v>
      </c>
      <c r="J238" s="67" t="s">
        <v>477</v>
      </c>
      <c r="K238" s="67" t="s">
        <v>15</v>
      </c>
      <c r="L238" s="67" t="s">
        <v>282</v>
      </c>
      <c r="M238" s="67" t="s">
        <v>282</v>
      </c>
      <c r="N238" s="67" t="s">
        <v>1261</v>
      </c>
      <c r="O238" s="68" t="s">
        <v>282</v>
      </c>
      <c r="P238" s="68" t="s">
        <v>282</v>
      </c>
      <c r="Q238" s="68" t="s">
        <v>282</v>
      </c>
      <c r="R238" s="68" t="s">
        <v>282</v>
      </c>
      <c r="S238" s="68" t="s">
        <v>282</v>
      </c>
      <c r="T238" s="68" t="s">
        <v>282</v>
      </c>
      <c r="U238" s="68" t="s">
        <v>282</v>
      </c>
      <c r="V238" s="68" t="s">
        <v>282</v>
      </c>
      <c r="W238" s="69" t="s">
        <v>477</v>
      </c>
      <c r="X238" s="69" t="s">
        <v>15</v>
      </c>
      <c r="Y238" s="70" t="s">
        <v>1261</v>
      </c>
    </row>
    <row r="239" spans="1:25">
      <c r="A239" s="64">
        <v>5</v>
      </c>
      <c r="B239" s="65" t="str">
        <f>VLOOKUP(Tabel10[[#This Row],[Code]],Ruimtegroepen[[Code]:[Ruimte omschrijving]],2,FALSE)</f>
        <v>Sanitair</v>
      </c>
      <c r="C239" s="66" t="s">
        <v>1262</v>
      </c>
      <c r="D239" s="65" t="s">
        <v>481</v>
      </c>
      <c r="E239" s="66" t="s">
        <v>99</v>
      </c>
      <c r="F239" s="66" t="s">
        <v>483</v>
      </c>
      <c r="G239" s="71" t="s">
        <v>282</v>
      </c>
      <c r="H239" s="67" t="s">
        <v>282</v>
      </c>
      <c r="I239" s="67" t="s">
        <v>282</v>
      </c>
      <c r="J239" s="67" t="s">
        <v>282</v>
      </c>
      <c r="K239" s="67" t="s">
        <v>282</v>
      </c>
      <c r="L239" s="67" t="s">
        <v>282</v>
      </c>
      <c r="M239" s="67" t="s">
        <v>282</v>
      </c>
      <c r="N239" s="67" t="s">
        <v>282</v>
      </c>
      <c r="O239" s="68" t="s">
        <v>282</v>
      </c>
      <c r="P239" s="68" t="s">
        <v>282</v>
      </c>
      <c r="Q239" s="68" t="s">
        <v>282</v>
      </c>
      <c r="R239" s="68" t="s">
        <v>282</v>
      </c>
      <c r="S239" s="68" t="s">
        <v>282</v>
      </c>
      <c r="T239" s="68" t="s">
        <v>282</v>
      </c>
      <c r="U239" s="68" t="s">
        <v>282</v>
      </c>
      <c r="V239" s="68" t="s">
        <v>282</v>
      </c>
      <c r="W239" s="69" t="s">
        <v>282</v>
      </c>
      <c r="X239" s="69" t="s">
        <v>282</v>
      </c>
      <c r="Y239" s="70" t="s">
        <v>282</v>
      </c>
    </row>
    <row r="240" spans="1:25">
      <c r="A240" s="64">
        <v>5</v>
      </c>
      <c r="B240" s="65" t="str">
        <f>VLOOKUP(Tabel10[[#This Row],[Code]],Ruimtegroepen[[Code]:[Ruimte omschrijving]],2,FALSE)</f>
        <v>Sanitair</v>
      </c>
      <c r="C240" s="66" t="s">
        <v>1262</v>
      </c>
      <c r="D240" s="65" t="s">
        <v>481</v>
      </c>
      <c r="E240" s="66" t="s">
        <v>101</v>
      </c>
      <c r="F240" s="66" t="s">
        <v>484</v>
      </c>
      <c r="G240" s="71" t="s">
        <v>282</v>
      </c>
      <c r="H240" s="67" t="s">
        <v>282</v>
      </c>
      <c r="I240" s="67" t="s">
        <v>282</v>
      </c>
      <c r="J240" s="67" t="s">
        <v>477</v>
      </c>
      <c r="K240" s="67" t="s">
        <v>15</v>
      </c>
      <c r="L240" s="67" t="s">
        <v>282</v>
      </c>
      <c r="M240" s="67" t="s">
        <v>282</v>
      </c>
      <c r="N240" s="67" t="s">
        <v>1261</v>
      </c>
      <c r="O240" s="68" t="s">
        <v>282</v>
      </c>
      <c r="P240" s="68" t="s">
        <v>282</v>
      </c>
      <c r="Q240" s="68" t="s">
        <v>282</v>
      </c>
      <c r="R240" s="68" t="s">
        <v>282</v>
      </c>
      <c r="S240" s="68" t="s">
        <v>282</v>
      </c>
      <c r="T240" s="68" t="s">
        <v>282</v>
      </c>
      <c r="U240" s="68" t="s">
        <v>282</v>
      </c>
      <c r="V240" s="68" t="s">
        <v>282</v>
      </c>
      <c r="W240" s="69" t="s">
        <v>477</v>
      </c>
      <c r="X240" s="69" t="s">
        <v>15</v>
      </c>
      <c r="Y240" s="70" t="s">
        <v>1261</v>
      </c>
    </row>
    <row r="241" spans="1:25">
      <c r="A241" s="64">
        <v>5</v>
      </c>
      <c r="B241" s="65" t="str">
        <f>VLOOKUP(Tabel10[[#This Row],[Code]],Ruimtegroepen[[Code]:[Ruimte omschrijving]],2,FALSE)</f>
        <v>Sanitair</v>
      </c>
      <c r="C241" s="66" t="s">
        <v>1262</v>
      </c>
      <c r="D241" s="65" t="s">
        <v>481</v>
      </c>
      <c r="E241" s="66" t="s">
        <v>102</v>
      </c>
      <c r="F241" s="66" t="s">
        <v>485</v>
      </c>
      <c r="G241" s="71" t="s">
        <v>282</v>
      </c>
      <c r="H241" s="67" t="s">
        <v>282</v>
      </c>
      <c r="I241" s="67" t="s">
        <v>282</v>
      </c>
      <c r="J241" s="67" t="s">
        <v>477</v>
      </c>
      <c r="K241" s="67" t="s">
        <v>15</v>
      </c>
      <c r="L241" s="67" t="s">
        <v>282</v>
      </c>
      <c r="M241" s="67" t="s">
        <v>282</v>
      </c>
      <c r="N241" s="67" t="s">
        <v>1261</v>
      </c>
      <c r="O241" s="68" t="s">
        <v>282</v>
      </c>
      <c r="P241" s="68" t="s">
        <v>282</v>
      </c>
      <c r="Q241" s="68" t="s">
        <v>282</v>
      </c>
      <c r="R241" s="68" t="s">
        <v>282</v>
      </c>
      <c r="S241" s="68" t="s">
        <v>282</v>
      </c>
      <c r="T241" s="68" t="s">
        <v>282</v>
      </c>
      <c r="U241" s="68" t="s">
        <v>282</v>
      </c>
      <c r="V241" s="68" t="s">
        <v>282</v>
      </c>
      <c r="W241" s="69" t="s">
        <v>477</v>
      </c>
      <c r="X241" s="69" t="s">
        <v>15</v>
      </c>
      <c r="Y241" s="70" t="s">
        <v>1261</v>
      </c>
    </row>
    <row r="242" spans="1:25">
      <c r="A242" s="64">
        <v>5</v>
      </c>
      <c r="B242" s="65" t="str">
        <f>VLOOKUP(Tabel10[[#This Row],[Code]],Ruimtegroepen[[Code]:[Ruimte omschrijving]],2,FALSE)</f>
        <v>Sanitair</v>
      </c>
      <c r="C242" s="66" t="s">
        <v>1262</v>
      </c>
      <c r="D242" s="65" t="s">
        <v>481</v>
      </c>
      <c r="E242" s="66" t="s">
        <v>99</v>
      </c>
      <c r="F242" s="66" t="s">
        <v>483</v>
      </c>
      <c r="G242" s="71" t="s">
        <v>282</v>
      </c>
      <c r="H242" s="67" t="s">
        <v>282</v>
      </c>
      <c r="I242" s="67" t="s">
        <v>282</v>
      </c>
      <c r="J242" s="67" t="s">
        <v>282</v>
      </c>
      <c r="K242" s="67" t="s">
        <v>282</v>
      </c>
      <c r="L242" s="67" t="s">
        <v>282</v>
      </c>
      <c r="M242" s="67" t="s">
        <v>282</v>
      </c>
      <c r="N242" s="67" t="s">
        <v>282</v>
      </c>
      <c r="O242" s="68" t="s">
        <v>282</v>
      </c>
      <c r="P242" s="68" t="s">
        <v>282</v>
      </c>
      <c r="Q242" s="68" t="s">
        <v>282</v>
      </c>
      <c r="R242" s="68" t="s">
        <v>282</v>
      </c>
      <c r="S242" s="68" t="s">
        <v>282</v>
      </c>
      <c r="T242" s="68" t="s">
        <v>282</v>
      </c>
      <c r="U242" s="68" t="s">
        <v>282</v>
      </c>
      <c r="V242" s="68" t="s">
        <v>282</v>
      </c>
      <c r="W242" s="69" t="s">
        <v>282</v>
      </c>
      <c r="X242" s="69" t="s">
        <v>282</v>
      </c>
      <c r="Y242" s="70" t="s">
        <v>282</v>
      </c>
    </row>
    <row r="243" spans="1:25">
      <c r="A243" s="64">
        <v>5</v>
      </c>
      <c r="B243" s="65" t="str">
        <f>VLOOKUP(Tabel10[[#This Row],[Code]],Ruimtegroepen[[Code]:[Ruimte omschrijving]],2,FALSE)</f>
        <v>Sanitair</v>
      </c>
      <c r="C243" s="66" t="s">
        <v>1262</v>
      </c>
      <c r="D243" s="65" t="s">
        <v>481</v>
      </c>
      <c r="E243" s="66" t="s">
        <v>1309</v>
      </c>
      <c r="F243" s="66" t="s">
        <v>1442</v>
      </c>
      <c r="G243" s="71" t="s">
        <v>282</v>
      </c>
      <c r="H243" s="67" t="s">
        <v>282</v>
      </c>
      <c r="I243" s="67" t="s">
        <v>282</v>
      </c>
      <c r="J243" s="67" t="s">
        <v>477</v>
      </c>
      <c r="K243" s="67" t="s">
        <v>15</v>
      </c>
      <c r="L243" s="67" t="s">
        <v>282</v>
      </c>
      <c r="M243" s="67" t="s">
        <v>282</v>
      </c>
      <c r="N243" s="67" t="s">
        <v>1261</v>
      </c>
      <c r="O243" s="68" t="s">
        <v>282</v>
      </c>
      <c r="P243" s="68" t="s">
        <v>282</v>
      </c>
      <c r="Q243" s="68" t="s">
        <v>282</v>
      </c>
      <c r="R243" s="68" t="s">
        <v>282</v>
      </c>
      <c r="S243" s="68" t="s">
        <v>282</v>
      </c>
      <c r="T243" s="68" t="s">
        <v>282</v>
      </c>
      <c r="U243" s="68" t="s">
        <v>282</v>
      </c>
      <c r="V243" s="68" t="s">
        <v>282</v>
      </c>
      <c r="W243" s="69" t="s">
        <v>477</v>
      </c>
      <c r="X243" s="69" t="s">
        <v>15</v>
      </c>
      <c r="Y243" s="70" t="s">
        <v>1261</v>
      </c>
    </row>
    <row r="244" spans="1:25">
      <c r="A244" s="64">
        <v>5</v>
      </c>
      <c r="B244" s="65" t="str">
        <f>VLOOKUP(Tabel10[[#This Row],[Code]],Ruimtegroepen[[Code]:[Ruimte omschrijving]],2,FALSE)</f>
        <v>Sanitair</v>
      </c>
      <c r="C244" s="66" t="s">
        <v>486</v>
      </c>
      <c r="D244" s="65" t="s">
        <v>21</v>
      </c>
      <c r="E244" s="66" t="s">
        <v>100</v>
      </c>
      <c r="F244" s="66" t="s">
        <v>487</v>
      </c>
      <c r="G244" s="71" t="s">
        <v>282</v>
      </c>
      <c r="H244" s="67" t="s">
        <v>282</v>
      </c>
      <c r="I244" s="67" t="s">
        <v>282</v>
      </c>
      <c r="J244" s="67" t="s">
        <v>18</v>
      </c>
      <c r="K244" s="67" t="s">
        <v>15</v>
      </c>
      <c r="L244" s="67" t="s">
        <v>282</v>
      </c>
      <c r="M244" s="67" t="s">
        <v>282</v>
      </c>
      <c r="N244" s="67" t="s">
        <v>282</v>
      </c>
      <c r="O244" s="68" t="s">
        <v>282</v>
      </c>
      <c r="P244" s="68" t="s">
        <v>282</v>
      </c>
      <c r="Q244" s="68" t="s">
        <v>282</v>
      </c>
      <c r="R244" s="68" t="s">
        <v>282</v>
      </c>
      <c r="S244" s="68" t="s">
        <v>282</v>
      </c>
      <c r="T244" s="68" t="s">
        <v>282</v>
      </c>
      <c r="U244" s="68" t="s">
        <v>282</v>
      </c>
      <c r="V244" s="68" t="s">
        <v>282</v>
      </c>
      <c r="W244" s="69" t="s">
        <v>18</v>
      </c>
      <c r="X244" s="69" t="s">
        <v>15</v>
      </c>
      <c r="Y244" s="70" t="s">
        <v>282</v>
      </c>
    </row>
    <row r="245" spans="1:25">
      <c r="A245" s="64">
        <v>5</v>
      </c>
      <c r="B245" s="65" t="str">
        <f>VLOOKUP(Tabel10[[#This Row],[Code]],Ruimtegroepen[[Code]:[Ruimte omschrijving]],2,FALSE)</f>
        <v>Sanitair</v>
      </c>
      <c r="C245" s="66" t="s">
        <v>486</v>
      </c>
      <c r="D245" s="65" t="s">
        <v>21</v>
      </c>
      <c r="E245" s="66" t="s">
        <v>99</v>
      </c>
      <c r="F245" s="66" t="s">
        <v>488</v>
      </c>
      <c r="G245" s="71" t="s">
        <v>282</v>
      </c>
      <c r="H245" s="67" t="s">
        <v>282</v>
      </c>
      <c r="I245" s="67" t="s">
        <v>282</v>
      </c>
      <c r="J245" s="67" t="s">
        <v>282</v>
      </c>
      <c r="K245" s="67" t="s">
        <v>282</v>
      </c>
      <c r="L245" s="67" t="s">
        <v>282</v>
      </c>
      <c r="M245" s="67" t="s">
        <v>282</v>
      </c>
      <c r="N245" s="67" t="s">
        <v>282</v>
      </c>
      <c r="O245" s="68" t="s">
        <v>282</v>
      </c>
      <c r="P245" s="68" t="s">
        <v>282</v>
      </c>
      <c r="Q245" s="68" t="s">
        <v>282</v>
      </c>
      <c r="R245" s="68" t="s">
        <v>282</v>
      </c>
      <c r="S245" s="68" t="s">
        <v>282</v>
      </c>
      <c r="T245" s="68" t="s">
        <v>282</v>
      </c>
      <c r="U245" s="68" t="s">
        <v>282</v>
      </c>
      <c r="V245" s="68" t="s">
        <v>282</v>
      </c>
      <c r="W245" s="69" t="s">
        <v>282</v>
      </c>
      <c r="X245" s="69" t="s">
        <v>282</v>
      </c>
      <c r="Y245" s="70" t="s">
        <v>282</v>
      </c>
    </row>
    <row r="246" spans="1:25">
      <c r="A246" s="64">
        <v>5</v>
      </c>
      <c r="B246" s="65" t="str">
        <f>VLOOKUP(Tabel10[[#This Row],[Code]],Ruimtegroepen[[Code]:[Ruimte omschrijving]],2,FALSE)</f>
        <v>Sanitair</v>
      </c>
      <c r="C246" s="66" t="s">
        <v>486</v>
      </c>
      <c r="D246" s="65" t="s">
        <v>21</v>
      </c>
      <c r="E246" s="66" t="s">
        <v>101</v>
      </c>
      <c r="F246" s="66" t="s">
        <v>489</v>
      </c>
      <c r="G246" s="71" t="s">
        <v>282</v>
      </c>
      <c r="H246" s="67" t="s">
        <v>282</v>
      </c>
      <c r="I246" s="67" t="s">
        <v>282</v>
      </c>
      <c r="J246" s="67" t="s">
        <v>18</v>
      </c>
      <c r="K246" s="67" t="s">
        <v>15</v>
      </c>
      <c r="L246" s="67" t="s">
        <v>282</v>
      </c>
      <c r="M246" s="67" t="s">
        <v>282</v>
      </c>
      <c r="N246" s="67" t="s">
        <v>282</v>
      </c>
      <c r="O246" s="68" t="s">
        <v>282</v>
      </c>
      <c r="P246" s="68" t="s">
        <v>282</v>
      </c>
      <c r="Q246" s="68" t="s">
        <v>282</v>
      </c>
      <c r="R246" s="68" t="s">
        <v>282</v>
      </c>
      <c r="S246" s="68" t="s">
        <v>282</v>
      </c>
      <c r="T246" s="68" t="s">
        <v>282</v>
      </c>
      <c r="U246" s="68" t="s">
        <v>282</v>
      </c>
      <c r="V246" s="68" t="s">
        <v>282</v>
      </c>
      <c r="W246" s="69" t="s">
        <v>18</v>
      </c>
      <c r="X246" s="69" t="s">
        <v>15</v>
      </c>
      <c r="Y246" s="70" t="s">
        <v>282</v>
      </c>
    </row>
    <row r="247" spans="1:25">
      <c r="A247" s="64">
        <v>5</v>
      </c>
      <c r="B247" s="65" t="str">
        <f>VLOOKUP(Tabel10[[#This Row],[Code]],Ruimtegroepen[[Code]:[Ruimte omschrijving]],2,FALSE)</f>
        <v>Sanitair</v>
      </c>
      <c r="C247" s="66" t="s">
        <v>486</v>
      </c>
      <c r="D247" s="65" t="s">
        <v>21</v>
      </c>
      <c r="E247" s="66" t="s">
        <v>102</v>
      </c>
      <c r="F247" s="66" t="s">
        <v>490</v>
      </c>
      <c r="G247" s="71" t="s">
        <v>282</v>
      </c>
      <c r="H247" s="67" t="s">
        <v>282</v>
      </c>
      <c r="I247" s="67" t="s">
        <v>282</v>
      </c>
      <c r="J247" s="67" t="s">
        <v>18</v>
      </c>
      <c r="K247" s="67" t="s">
        <v>15</v>
      </c>
      <c r="L247" s="67" t="s">
        <v>282</v>
      </c>
      <c r="M247" s="67" t="s">
        <v>282</v>
      </c>
      <c r="N247" s="67" t="s">
        <v>282</v>
      </c>
      <c r="O247" s="68" t="s">
        <v>282</v>
      </c>
      <c r="P247" s="68" t="s">
        <v>282</v>
      </c>
      <c r="Q247" s="68" t="s">
        <v>282</v>
      </c>
      <c r="R247" s="68" t="s">
        <v>282</v>
      </c>
      <c r="S247" s="68" t="s">
        <v>282</v>
      </c>
      <c r="T247" s="68" t="s">
        <v>282</v>
      </c>
      <c r="U247" s="68" t="s">
        <v>282</v>
      </c>
      <c r="V247" s="68" t="s">
        <v>282</v>
      </c>
      <c r="W247" s="69" t="s">
        <v>18</v>
      </c>
      <c r="X247" s="69" t="s">
        <v>15</v>
      </c>
      <c r="Y247" s="70" t="s">
        <v>282</v>
      </c>
    </row>
    <row r="248" spans="1:25">
      <c r="A248" s="64">
        <v>5</v>
      </c>
      <c r="B248" s="65" t="str">
        <f>VLOOKUP(Tabel10[[#This Row],[Code]],Ruimtegroepen[[Code]:[Ruimte omschrijving]],2,FALSE)</f>
        <v>Sanitair</v>
      </c>
      <c r="C248" s="66" t="s">
        <v>486</v>
      </c>
      <c r="D248" s="65" t="s">
        <v>21</v>
      </c>
      <c r="E248" s="66" t="s">
        <v>99</v>
      </c>
      <c r="F248" s="66" t="s">
        <v>488</v>
      </c>
      <c r="G248" s="71" t="s">
        <v>282</v>
      </c>
      <c r="H248" s="67" t="s">
        <v>282</v>
      </c>
      <c r="I248" s="67" t="s">
        <v>282</v>
      </c>
      <c r="J248" s="67" t="s">
        <v>282</v>
      </c>
      <c r="K248" s="67" t="s">
        <v>282</v>
      </c>
      <c r="L248" s="67" t="s">
        <v>282</v>
      </c>
      <c r="M248" s="67" t="s">
        <v>282</v>
      </c>
      <c r="N248" s="67" t="s">
        <v>282</v>
      </c>
      <c r="O248" s="68" t="s">
        <v>282</v>
      </c>
      <c r="P248" s="68" t="s">
        <v>282</v>
      </c>
      <c r="Q248" s="68" t="s">
        <v>282</v>
      </c>
      <c r="R248" s="68" t="s">
        <v>282</v>
      </c>
      <c r="S248" s="68" t="s">
        <v>282</v>
      </c>
      <c r="T248" s="68" t="s">
        <v>282</v>
      </c>
      <c r="U248" s="68" t="s">
        <v>282</v>
      </c>
      <c r="V248" s="68" t="s">
        <v>282</v>
      </c>
      <c r="W248" s="69" t="s">
        <v>282</v>
      </c>
      <c r="X248" s="69" t="s">
        <v>282</v>
      </c>
      <c r="Y248" s="70" t="s">
        <v>282</v>
      </c>
    </row>
    <row r="249" spans="1:25">
      <c r="A249" s="64">
        <v>5</v>
      </c>
      <c r="B249" s="65" t="str">
        <f>VLOOKUP(Tabel10[[#This Row],[Code]],Ruimtegroepen[[Code]:[Ruimte omschrijving]],2,FALSE)</f>
        <v>Sanitair</v>
      </c>
      <c r="C249" s="66" t="s">
        <v>486</v>
      </c>
      <c r="D249" s="65" t="s">
        <v>21</v>
      </c>
      <c r="E249" s="66" t="s">
        <v>1309</v>
      </c>
      <c r="F249" s="66" t="s">
        <v>1445</v>
      </c>
      <c r="G249" s="71" t="s">
        <v>282</v>
      </c>
      <c r="H249" s="67" t="s">
        <v>282</v>
      </c>
      <c r="I249" s="67" t="s">
        <v>282</v>
      </c>
      <c r="J249" s="67" t="s">
        <v>18</v>
      </c>
      <c r="K249" s="67" t="s">
        <v>15</v>
      </c>
      <c r="L249" s="67" t="s">
        <v>282</v>
      </c>
      <c r="M249" s="67" t="s">
        <v>282</v>
      </c>
      <c r="N249" s="67" t="s">
        <v>282</v>
      </c>
      <c r="O249" s="68" t="s">
        <v>282</v>
      </c>
      <c r="P249" s="68" t="s">
        <v>282</v>
      </c>
      <c r="Q249" s="68" t="s">
        <v>282</v>
      </c>
      <c r="R249" s="68" t="s">
        <v>282</v>
      </c>
      <c r="S249" s="68" t="s">
        <v>282</v>
      </c>
      <c r="T249" s="68" t="s">
        <v>282</v>
      </c>
      <c r="U249" s="68" t="s">
        <v>282</v>
      </c>
      <c r="V249" s="68" t="s">
        <v>282</v>
      </c>
      <c r="W249" s="69" t="s">
        <v>18</v>
      </c>
      <c r="X249" s="69" t="s">
        <v>15</v>
      </c>
      <c r="Y249" s="70" t="s">
        <v>282</v>
      </c>
    </row>
    <row r="250" spans="1:25">
      <c r="A250" s="64">
        <v>5</v>
      </c>
      <c r="B250" s="65" t="str">
        <f>VLOOKUP(Tabel10[[#This Row],[Code]],Ruimtegroepen[[Code]:[Ruimte omschrijving]],2,FALSE)</f>
        <v>Sanitair</v>
      </c>
      <c r="C250" s="66" t="s">
        <v>491</v>
      </c>
      <c r="D250" s="65" t="s">
        <v>12</v>
      </c>
      <c r="E250" s="66" t="s">
        <v>100</v>
      </c>
      <c r="F250" s="66" t="s">
        <v>492</v>
      </c>
      <c r="G250" s="71" t="s">
        <v>282</v>
      </c>
      <c r="H250" s="67" t="s">
        <v>282</v>
      </c>
      <c r="I250" s="67" t="s">
        <v>282</v>
      </c>
      <c r="J250" s="67" t="s">
        <v>17</v>
      </c>
      <c r="K250" s="67" t="s">
        <v>15</v>
      </c>
      <c r="L250" s="67" t="s">
        <v>282</v>
      </c>
      <c r="M250" s="67" t="s">
        <v>282</v>
      </c>
      <c r="N250" s="67" t="s">
        <v>282</v>
      </c>
      <c r="O250" s="68" t="s">
        <v>282</v>
      </c>
      <c r="P250" s="68" t="s">
        <v>282</v>
      </c>
      <c r="Q250" s="68" t="s">
        <v>282</v>
      </c>
      <c r="R250" s="68" t="s">
        <v>282</v>
      </c>
      <c r="S250" s="68" t="s">
        <v>282</v>
      </c>
      <c r="T250" s="68" t="s">
        <v>282</v>
      </c>
      <c r="U250" s="68" t="s">
        <v>282</v>
      </c>
      <c r="V250" s="68" t="s">
        <v>282</v>
      </c>
      <c r="W250" s="69" t="s">
        <v>17</v>
      </c>
      <c r="X250" s="69" t="s">
        <v>15</v>
      </c>
      <c r="Y250" s="70" t="s">
        <v>282</v>
      </c>
    </row>
    <row r="251" spans="1:25">
      <c r="A251" s="64">
        <v>5</v>
      </c>
      <c r="B251" s="65" t="str">
        <f>VLOOKUP(Tabel10[[#This Row],[Code]],Ruimtegroepen[[Code]:[Ruimte omschrijving]],2,FALSE)</f>
        <v>Sanitair</v>
      </c>
      <c r="C251" s="66" t="s">
        <v>491</v>
      </c>
      <c r="D251" s="65" t="s">
        <v>12</v>
      </c>
      <c r="E251" s="66" t="s">
        <v>99</v>
      </c>
      <c r="F251" s="66" t="s">
        <v>493</v>
      </c>
      <c r="G251" s="71" t="s">
        <v>282</v>
      </c>
      <c r="H251" s="67" t="s">
        <v>282</v>
      </c>
      <c r="I251" s="67" t="s">
        <v>282</v>
      </c>
      <c r="J251" s="67" t="s">
        <v>282</v>
      </c>
      <c r="K251" s="67" t="s">
        <v>282</v>
      </c>
      <c r="L251" s="67" t="s">
        <v>282</v>
      </c>
      <c r="M251" s="67" t="s">
        <v>282</v>
      </c>
      <c r="N251" s="67" t="s">
        <v>282</v>
      </c>
      <c r="O251" s="68" t="s">
        <v>282</v>
      </c>
      <c r="P251" s="68" t="s">
        <v>282</v>
      </c>
      <c r="Q251" s="68" t="s">
        <v>282</v>
      </c>
      <c r="R251" s="68" t="s">
        <v>282</v>
      </c>
      <c r="S251" s="68" t="s">
        <v>282</v>
      </c>
      <c r="T251" s="68" t="s">
        <v>282</v>
      </c>
      <c r="U251" s="68" t="s">
        <v>282</v>
      </c>
      <c r="V251" s="68" t="s">
        <v>282</v>
      </c>
      <c r="W251" s="69" t="s">
        <v>282</v>
      </c>
      <c r="X251" s="69" t="s">
        <v>282</v>
      </c>
      <c r="Y251" s="70" t="s">
        <v>282</v>
      </c>
    </row>
    <row r="252" spans="1:25">
      <c r="A252" s="64">
        <v>5</v>
      </c>
      <c r="B252" s="65" t="str">
        <f>VLOOKUP(Tabel10[[#This Row],[Code]],Ruimtegroepen[[Code]:[Ruimte omschrijving]],2,FALSE)</f>
        <v>Sanitair</v>
      </c>
      <c r="C252" s="66" t="s">
        <v>491</v>
      </c>
      <c r="D252" s="65" t="s">
        <v>12</v>
      </c>
      <c r="E252" s="66" t="s">
        <v>101</v>
      </c>
      <c r="F252" s="66" t="s">
        <v>494</v>
      </c>
      <c r="G252" s="71" t="s">
        <v>282</v>
      </c>
      <c r="H252" s="67" t="s">
        <v>282</v>
      </c>
      <c r="I252" s="67" t="s">
        <v>282</v>
      </c>
      <c r="J252" s="67" t="s">
        <v>17</v>
      </c>
      <c r="K252" s="67" t="s">
        <v>15</v>
      </c>
      <c r="L252" s="67" t="s">
        <v>282</v>
      </c>
      <c r="M252" s="67" t="s">
        <v>282</v>
      </c>
      <c r="N252" s="67" t="s">
        <v>282</v>
      </c>
      <c r="O252" s="68" t="s">
        <v>282</v>
      </c>
      <c r="P252" s="68" t="s">
        <v>282</v>
      </c>
      <c r="Q252" s="68" t="s">
        <v>282</v>
      </c>
      <c r="R252" s="68" t="s">
        <v>282</v>
      </c>
      <c r="S252" s="68" t="s">
        <v>282</v>
      </c>
      <c r="T252" s="68" t="s">
        <v>282</v>
      </c>
      <c r="U252" s="68" t="s">
        <v>282</v>
      </c>
      <c r="V252" s="68" t="s">
        <v>282</v>
      </c>
      <c r="W252" s="69" t="s">
        <v>17</v>
      </c>
      <c r="X252" s="69" t="s">
        <v>15</v>
      </c>
      <c r="Y252" s="70" t="s">
        <v>282</v>
      </c>
    </row>
    <row r="253" spans="1:25">
      <c r="A253" s="64">
        <v>5</v>
      </c>
      <c r="B253" s="65" t="str">
        <f>VLOOKUP(Tabel10[[#This Row],[Code]],Ruimtegroepen[[Code]:[Ruimte omschrijving]],2,FALSE)</f>
        <v>Sanitair</v>
      </c>
      <c r="C253" s="66" t="s">
        <v>491</v>
      </c>
      <c r="D253" s="65" t="s">
        <v>12</v>
      </c>
      <c r="E253" s="66" t="s">
        <v>102</v>
      </c>
      <c r="F253" s="66" t="s">
        <v>495</v>
      </c>
      <c r="G253" s="71" t="s">
        <v>282</v>
      </c>
      <c r="H253" s="67" t="s">
        <v>282</v>
      </c>
      <c r="I253" s="67" t="s">
        <v>282</v>
      </c>
      <c r="J253" s="67" t="s">
        <v>17</v>
      </c>
      <c r="K253" s="67" t="s">
        <v>15</v>
      </c>
      <c r="L253" s="67" t="s">
        <v>282</v>
      </c>
      <c r="M253" s="67" t="s">
        <v>282</v>
      </c>
      <c r="N253" s="67" t="s">
        <v>282</v>
      </c>
      <c r="O253" s="68" t="s">
        <v>282</v>
      </c>
      <c r="P253" s="68" t="s">
        <v>282</v>
      </c>
      <c r="Q253" s="68" t="s">
        <v>282</v>
      </c>
      <c r="R253" s="68" t="s">
        <v>282</v>
      </c>
      <c r="S253" s="68" t="s">
        <v>282</v>
      </c>
      <c r="T253" s="68" t="s">
        <v>282</v>
      </c>
      <c r="U253" s="68" t="s">
        <v>282</v>
      </c>
      <c r="V253" s="68" t="s">
        <v>282</v>
      </c>
      <c r="W253" s="69" t="s">
        <v>17</v>
      </c>
      <c r="X253" s="69" t="s">
        <v>15</v>
      </c>
      <c r="Y253" s="70" t="s">
        <v>282</v>
      </c>
    </row>
    <row r="254" spans="1:25">
      <c r="A254" s="64">
        <v>5</v>
      </c>
      <c r="B254" s="65" t="str">
        <f>VLOOKUP(Tabel10[[#This Row],[Code]],Ruimtegroepen[[Code]:[Ruimte omschrijving]],2,FALSE)</f>
        <v>Sanitair</v>
      </c>
      <c r="C254" s="66" t="s">
        <v>491</v>
      </c>
      <c r="D254" s="65" t="s">
        <v>12</v>
      </c>
      <c r="E254" s="66" t="s">
        <v>99</v>
      </c>
      <c r="F254" s="66" t="s">
        <v>493</v>
      </c>
      <c r="G254" s="71" t="s">
        <v>282</v>
      </c>
      <c r="H254" s="67" t="s">
        <v>282</v>
      </c>
      <c r="I254" s="67" t="s">
        <v>282</v>
      </c>
      <c r="J254" s="67" t="s">
        <v>282</v>
      </c>
      <c r="K254" s="67" t="s">
        <v>282</v>
      </c>
      <c r="L254" s="67" t="s">
        <v>282</v>
      </c>
      <c r="M254" s="67" t="s">
        <v>282</v>
      </c>
      <c r="N254" s="67" t="s">
        <v>282</v>
      </c>
      <c r="O254" s="68" t="s">
        <v>282</v>
      </c>
      <c r="P254" s="68" t="s">
        <v>282</v>
      </c>
      <c r="Q254" s="68" t="s">
        <v>282</v>
      </c>
      <c r="R254" s="68" t="s">
        <v>282</v>
      </c>
      <c r="S254" s="68" t="s">
        <v>282</v>
      </c>
      <c r="T254" s="68" t="s">
        <v>282</v>
      </c>
      <c r="U254" s="68" t="s">
        <v>282</v>
      </c>
      <c r="V254" s="68" t="s">
        <v>282</v>
      </c>
      <c r="W254" s="69" t="s">
        <v>282</v>
      </c>
      <c r="X254" s="69" t="s">
        <v>282</v>
      </c>
      <c r="Y254" s="70" t="s">
        <v>282</v>
      </c>
    </row>
    <row r="255" spans="1:25">
      <c r="A255" s="64">
        <v>5</v>
      </c>
      <c r="B255" s="65" t="str">
        <f>VLOOKUP(Tabel10[[#This Row],[Code]],Ruimtegroepen[[Code]:[Ruimte omschrijving]],2,FALSE)</f>
        <v>Sanitair</v>
      </c>
      <c r="C255" s="66" t="s">
        <v>491</v>
      </c>
      <c r="D255" s="65" t="s">
        <v>12</v>
      </c>
      <c r="E255" s="66" t="s">
        <v>1309</v>
      </c>
      <c r="F255" s="66" t="s">
        <v>1427</v>
      </c>
      <c r="G255" s="71" t="s">
        <v>282</v>
      </c>
      <c r="H255" s="67" t="s">
        <v>282</v>
      </c>
      <c r="I255" s="67" t="s">
        <v>282</v>
      </c>
      <c r="J255" s="67" t="s">
        <v>17</v>
      </c>
      <c r="K255" s="67" t="s">
        <v>15</v>
      </c>
      <c r="L255" s="67" t="s">
        <v>282</v>
      </c>
      <c r="M255" s="67" t="s">
        <v>282</v>
      </c>
      <c r="N255" s="67" t="s">
        <v>282</v>
      </c>
      <c r="O255" s="68" t="s">
        <v>282</v>
      </c>
      <c r="P255" s="68" t="s">
        <v>282</v>
      </c>
      <c r="Q255" s="68" t="s">
        <v>282</v>
      </c>
      <c r="R255" s="68" t="s">
        <v>282</v>
      </c>
      <c r="S255" s="68" t="s">
        <v>282</v>
      </c>
      <c r="T255" s="68" t="s">
        <v>282</v>
      </c>
      <c r="U255" s="68" t="s">
        <v>282</v>
      </c>
      <c r="V255" s="68" t="s">
        <v>282</v>
      </c>
      <c r="W255" s="69" t="s">
        <v>17</v>
      </c>
      <c r="X255" s="69" t="s">
        <v>15</v>
      </c>
      <c r="Y255" s="70" t="s">
        <v>282</v>
      </c>
    </row>
    <row r="256" spans="1:25">
      <c r="A256" s="64">
        <v>5</v>
      </c>
      <c r="B256" s="65" t="str">
        <f>VLOOKUP(Tabel10[[#This Row],[Code]],Ruimtegroepen[[Code]:[Ruimte omschrijving]],2,FALSE)</f>
        <v>Sanitair</v>
      </c>
      <c r="C256" s="66" t="s">
        <v>496</v>
      </c>
      <c r="D256" s="65" t="s">
        <v>14</v>
      </c>
      <c r="E256" s="66" t="s">
        <v>100</v>
      </c>
      <c r="F256" s="66" t="s">
        <v>497</v>
      </c>
      <c r="G256" s="71" t="s">
        <v>282</v>
      </c>
      <c r="H256" s="67" t="s">
        <v>282</v>
      </c>
      <c r="I256" s="67" t="s">
        <v>282</v>
      </c>
      <c r="J256" s="67" t="s">
        <v>15</v>
      </c>
      <c r="K256" s="67" t="s">
        <v>15</v>
      </c>
      <c r="L256" s="67" t="s">
        <v>282</v>
      </c>
      <c r="M256" s="67" t="s">
        <v>282</v>
      </c>
      <c r="N256" s="67" t="s">
        <v>282</v>
      </c>
      <c r="O256" s="68" t="s">
        <v>282</v>
      </c>
      <c r="P256" s="68" t="s">
        <v>282</v>
      </c>
      <c r="Q256" s="68" t="s">
        <v>282</v>
      </c>
      <c r="R256" s="68" t="s">
        <v>282</v>
      </c>
      <c r="S256" s="68" t="s">
        <v>282</v>
      </c>
      <c r="T256" s="68" t="s">
        <v>282</v>
      </c>
      <c r="U256" s="68" t="s">
        <v>282</v>
      </c>
      <c r="V256" s="68" t="s">
        <v>282</v>
      </c>
      <c r="W256" s="69" t="s">
        <v>15</v>
      </c>
      <c r="X256" s="69" t="s">
        <v>15</v>
      </c>
      <c r="Y256" s="70" t="s">
        <v>282</v>
      </c>
    </row>
    <row r="257" spans="1:25">
      <c r="A257" s="64">
        <v>5</v>
      </c>
      <c r="B257" s="65" t="str">
        <f>VLOOKUP(Tabel10[[#This Row],[Code]],Ruimtegroepen[[Code]:[Ruimte omschrijving]],2,FALSE)</f>
        <v>Sanitair</v>
      </c>
      <c r="C257" s="66" t="s">
        <v>496</v>
      </c>
      <c r="D257" s="65" t="s">
        <v>14</v>
      </c>
      <c r="E257" s="66" t="s">
        <v>99</v>
      </c>
      <c r="F257" s="66" t="s">
        <v>498</v>
      </c>
      <c r="G257" s="71" t="s">
        <v>282</v>
      </c>
      <c r="H257" s="67" t="s">
        <v>282</v>
      </c>
      <c r="I257" s="67" t="s">
        <v>282</v>
      </c>
      <c r="J257" s="67" t="s">
        <v>282</v>
      </c>
      <c r="K257" s="67" t="s">
        <v>282</v>
      </c>
      <c r="L257" s="67" t="s">
        <v>282</v>
      </c>
      <c r="M257" s="67" t="s">
        <v>282</v>
      </c>
      <c r="N257" s="67" t="s">
        <v>282</v>
      </c>
      <c r="O257" s="68" t="s">
        <v>282</v>
      </c>
      <c r="P257" s="68" t="s">
        <v>282</v>
      </c>
      <c r="Q257" s="68" t="s">
        <v>282</v>
      </c>
      <c r="R257" s="68" t="s">
        <v>282</v>
      </c>
      <c r="S257" s="68" t="s">
        <v>282</v>
      </c>
      <c r="T257" s="68" t="s">
        <v>282</v>
      </c>
      <c r="U257" s="68" t="s">
        <v>282</v>
      </c>
      <c r="V257" s="68" t="s">
        <v>282</v>
      </c>
      <c r="W257" s="69" t="s">
        <v>282</v>
      </c>
      <c r="X257" s="69" t="s">
        <v>282</v>
      </c>
      <c r="Y257" s="70" t="s">
        <v>282</v>
      </c>
    </row>
    <row r="258" spans="1:25">
      <c r="A258" s="64">
        <v>5</v>
      </c>
      <c r="B258" s="65" t="str">
        <f>VLOOKUP(Tabel10[[#This Row],[Code]],Ruimtegroepen[[Code]:[Ruimte omschrijving]],2,FALSE)</f>
        <v>Sanitair</v>
      </c>
      <c r="C258" s="66" t="s">
        <v>496</v>
      </c>
      <c r="D258" s="65" t="s">
        <v>14</v>
      </c>
      <c r="E258" s="66" t="s">
        <v>101</v>
      </c>
      <c r="F258" s="66" t="s">
        <v>499</v>
      </c>
      <c r="G258" s="71" t="s">
        <v>282</v>
      </c>
      <c r="H258" s="67" t="s">
        <v>282</v>
      </c>
      <c r="I258" s="67" t="s">
        <v>282</v>
      </c>
      <c r="J258" s="67" t="s">
        <v>15</v>
      </c>
      <c r="K258" s="67" t="s">
        <v>15</v>
      </c>
      <c r="L258" s="67" t="s">
        <v>282</v>
      </c>
      <c r="M258" s="67" t="s">
        <v>282</v>
      </c>
      <c r="N258" s="67" t="s">
        <v>282</v>
      </c>
      <c r="O258" s="68" t="s">
        <v>282</v>
      </c>
      <c r="P258" s="68" t="s">
        <v>282</v>
      </c>
      <c r="Q258" s="68" t="s">
        <v>282</v>
      </c>
      <c r="R258" s="68" t="s">
        <v>282</v>
      </c>
      <c r="S258" s="68" t="s">
        <v>282</v>
      </c>
      <c r="T258" s="68" t="s">
        <v>282</v>
      </c>
      <c r="U258" s="68" t="s">
        <v>282</v>
      </c>
      <c r="V258" s="68" t="s">
        <v>282</v>
      </c>
      <c r="W258" s="69" t="s">
        <v>15</v>
      </c>
      <c r="X258" s="69" t="s">
        <v>15</v>
      </c>
      <c r="Y258" s="70" t="s">
        <v>282</v>
      </c>
    </row>
    <row r="259" spans="1:25">
      <c r="A259" s="64">
        <v>5</v>
      </c>
      <c r="B259" s="65" t="str">
        <f>VLOOKUP(Tabel10[[#This Row],[Code]],Ruimtegroepen[[Code]:[Ruimte omschrijving]],2,FALSE)</f>
        <v>Sanitair</v>
      </c>
      <c r="C259" s="66" t="s">
        <v>496</v>
      </c>
      <c r="D259" s="65" t="s">
        <v>14</v>
      </c>
      <c r="E259" s="66" t="s">
        <v>102</v>
      </c>
      <c r="F259" s="66" t="s">
        <v>500</v>
      </c>
      <c r="G259" s="71" t="s">
        <v>282</v>
      </c>
      <c r="H259" s="67" t="s">
        <v>282</v>
      </c>
      <c r="I259" s="67" t="s">
        <v>282</v>
      </c>
      <c r="J259" s="67" t="s">
        <v>15</v>
      </c>
      <c r="K259" s="67" t="s">
        <v>15</v>
      </c>
      <c r="L259" s="67" t="s">
        <v>282</v>
      </c>
      <c r="M259" s="67" t="s">
        <v>282</v>
      </c>
      <c r="N259" s="67" t="s">
        <v>282</v>
      </c>
      <c r="O259" s="68" t="s">
        <v>282</v>
      </c>
      <c r="P259" s="68" t="s">
        <v>282</v>
      </c>
      <c r="Q259" s="68" t="s">
        <v>282</v>
      </c>
      <c r="R259" s="68" t="s">
        <v>282</v>
      </c>
      <c r="S259" s="68" t="s">
        <v>282</v>
      </c>
      <c r="T259" s="68" t="s">
        <v>282</v>
      </c>
      <c r="U259" s="68" t="s">
        <v>282</v>
      </c>
      <c r="V259" s="68" t="s">
        <v>282</v>
      </c>
      <c r="W259" s="69" t="s">
        <v>15</v>
      </c>
      <c r="X259" s="69" t="s">
        <v>15</v>
      </c>
      <c r="Y259" s="70" t="s">
        <v>282</v>
      </c>
    </row>
    <row r="260" spans="1:25">
      <c r="A260" s="64">
        <v>5</v>
      </c>
      <c r="B260" s="65" t="str">
        <f>VLOOKUP(Tabel10[[#This Row],[Code]],Ruimtegroepen[[Code]:[Ruimte omschrijving]],2,FALSE)</f>
        <v>Sanitair</v>
      </c>
      <c r="C260" s="66" t="s">
        <v>496</v>
      </c>
      <c r="D260" s="65" t="s">
        <v>14</v>
      </c>
      <c r="E260" s="66" t="s">
        <v>99</v>
      </c>
      <c r="F260" s="66" t="s">
        <v>498</v>
      </c>
      <c r="G260" s="71" t="s">
        <v>282</v>
      </c>
      <c r="H260" s="67" t="s">
        <v>282</v>
      </c>
      <c r="I260" s="67" t="s">
        <v>282</v>
      </c>
      <c r="J260" s="67" t="s">
        <v>282</v>
      </c>
      <c r="K260" s="67" t="s">
        <v>282</v>
      </c>
      <c r="L260" s="67" t="s">
        <v>282</v>
      </c>
      <c r="M260" s="67" t="s">
        <v>282</v>
      </c>
      <c r="N260" s="67" t="s">
        <v>282</v>
      </c>
      <c r="O260" s="68" t="s">
        <v>282</v>
      </c>
      <c r="P260" s="68" t="s">
        <v>282</v>
      </c>
      <c r="Q260" s="68" t="s">
        <v>282</v>
      </c>
      <c r="R260" s="68" t="s">
        <v>282</v>
      </c>
      <c r="S260" s="68" t="s">
        <v>282</v>
      </c>
      <c r="T260" s="68" t="s">
        <v>282</v>
      </c>
      <c r="U260" s="68" t="s">
        <v>282</v>
      </c>
      <c r="V260" s="68" t="s">
        <v>282</v>
      </c>
      <c r="W260" s="69" t="s">
        <v>282</v>
      </c>
      <c r="X260" s="69" t="s">
        <v>282</v>
      </c>
      <c r="Y260" s="70" t="s">
        <v>282</v>
      </c>
    </row>
    <row r="261" spans="1:25">
      <c r="A261" s="64">
        <v>5</v>
      </c>
      <c r="B261" s="65" t="str">
        <f>VLOOKUP(Tabel10[[#This Row],[Code]],Ruimtegroepen[[Code]:[Ruimte omschrijving]],2,FALSE)</f>
        <v>Sanitair</v>
      </c>
      <c r="C261" s="66" t="s">
        <v>496</v>
      </c>
      <c r="D261" s="65" t="s">
        <v>14</v>
      </c>
      <c r="E261" s="66" t="s">
        <v>1309</v>
      </c>
      <c r="F261" s="66" t="s">
        <v>1394</v>
      </c>
      <c r="G261" s="71" t="s">
        <v>282</v>
      </c>
      <c r="H261" s="67" t="s">
        <v>282</v>
      </c>
      <c r="I261" s="67" t="s">
        <v>282</v>
      </c>
      <c r="J261" s="67" t="s">
        <v>15</v>
      </c>
      <c r="K261" s="67" t="s">
        <v>15</v>
      </c>
      <c r="L261" s="67" t="s">
        <v>282</v>
      </c>
      <c r="M261" s="67" t="s">
        <v>282</v>
      </c>
      <c r="N261" s="67" t="s">
        <v>282</v>
      </c>
      <c r="O261" s="68" t="s">
        <v>282</v>
      </c>
      <c r="P261" s="68" t="s">
        <v>282</v>
      </c>
      <c r="Q261" s="68" t="s">
        <v>282</v>
      </c>
      <c r="R261" s="68" t="s">
        <v>282</v>
      </c>
      <c r="S261" s="68" t="s">
        <v>282</v>
      </c>
      <c r="T261" s="68" t="s">
        <v>282</v>
      </c>
      <c r="U261" s="68" t="s">
        <v>282</v>
      </c>
      <c r="V261" s="68" t="s">
        <v>282</v>
      </c>
      <c r="W261" s="69" t="s">
        <v>15</v>
      </c>
      <c r="X261" s="69" t="s">
        <v>15</v>
      </c>
      <c r="Y261" s="70" t="s">
        <v>282</v>
      </c>
    </row>
    <row r="262" spans="1:25">
      <c r="A262" s="64">
        <v>5</v>
      </c>
      <c r="B262" s="65" t="str">
        <f>VLOOKUP(Tabel10[[#This Row],[Code]],Ruimtegroepen[[Code]:[Ruimte omschrijving]],2,FALSE)</f>
        <v>Sanitair</v>
      </c>
      <c r="C262" s="66" t="s">
        <v>501</v>
      </c>
      <c r="D262" s="65" t="s">
        <v>13</v>
      </c>
      <c r="E262" s="66" t="s">
        <v>100</v>
      </c>
      <c r="F262" s="66" t="s">
        <v>502</v>
      </c>
      <c r="G262" s="71" t="s">
        <v>282</v>
      </c>
      <c r="H262" s="67" t="s">
        <v>282</v>
      </c>
      <c r="I262" s="67" t="s">
        <v>282</v>
      </c>
      <c r="J262" s="67" t="s">
        <v>282</v>
      </c>
      <c r="K262" s="67" t="s">
        <v>15</v>
      </c>
      <c r="L262" s="67" t="s">
        <v>282</v>
      </c>
      <c r="M262" s="67" t="s">
        <v>282</v>
      </c>
      <c r="N262" s="67" t="s">
        <v>282</v>
      </c>
      <c r="O262" s="68" t="s">
        <v>282</v>
      </c>
      <c r="P262" s="68" t="s">
        <v>282</v>
      </c>
      <c r="Q262" s="68" t="s">
        <v>282</v>
      </c>
      <c r="R262" s="68" t="s">
        <v>282</v>
      </c>
      <c r="S262" s="68" t="s">
        <v>282</v>
      </c>
      <c r="T262" s="68" t="s">
        <v>282</v>
      </c>
      <c r="U262" s="68" t="s">
        <v>282</v>
      </c>
      <c r="V262" s="68" t="s">
        <v>282</v>
      </c>
      <c r="W262" s="69" t="s">
        <v>282</v>
      </c>
      <c r="X262" s="69" t="s">
        <v>15</v>
      </c>
      <c r="Y262" s="70" t="s">
        <v>282</v>
      </c>
    </row>
    <row r="263" spans="1:25">
      <c r="A263" s="64">
        <v>5</v>
      </c>
      <c r="B263" s="65" t="str">
        <f>VLOOKUP(Tabel10[[#This Row],[Code]],Ruimtegroepen[[Code]:[Ruimte omschrijving]],2,FALSE)</f>
        <v>Sanitair</v>
      </c>
      <c r="C263" s="66" t="s">
        <v>501</v>
      </c>
      <c r="D263" s="65" t="s">
        <v>13</v>
      </c>
      <c r="E263" s="66" t="s">
        <v>99</v>
      </c>
      <c r="F263" s="66" t="s">
        <v>503</v>
      </c>
      <c r="G263" s="71" t="s">
        <v>282</v>
      </c>
      <c r="H263" s="67" t="s">
        <v>282</v>
      </c>
      <c r="I263" s="67" t="s">
        <v>282</v>
      </c>
      <c r="J263" s="67" t="s">
        <v>282</v>
      </c>
      <c r="K263" s="67" t="s">
        <v>282</v>
      </c>
      <c r="L263" s="67" t="s">
        <v>282</v>
      </c>
      <c r="M263" s="67" t="s">
        <v>282</v>
      </c>
      <c r="N263" s="67" t="s">
        <v>282</v>
      </c>
      <c r="O263" s="68" t="s">
        <v>282</v>
      </c>
      <c r="P263" s="68" t="s">
        <v>282</v>
      </c>
      <c r="Q263" s="68" t="s">
        <v>282</v>
      </c>
      <c r="R263" s="68" t="s">
        <v>282</v>
      </c>
      <c r="S263" s="68" t="s">
        <v>282</v>
      </c>
      <c r="T263" s="68" t="s">
        <v>282</v>
      </c>
      <c r="U263" s="68" t="s">
        <v>282</v>
      </c>
      <c r="V263" s="68" t="s">
        <v>282</v>
      </c>
      <c r="W263" s="69" t="s">
        <v>282</v>
      </c>
      <c r="X263" s="69" t="s">
        <v>282</v>
      </c>
      <c r="Y263" s="70" t="s">
        <v>282</v>
      </c>
    </row>
    <row r="264" spans="1:25">
      <c r="A264" s="64">
        <v>5</v>
      </c>
      <c r="B264" s="65" t="str">
        <f>VLOOKUP(Tabel10[[#This Row],[Code]],Ruimtegroepen[[Code]:[Ruimte omschrijving]],2,FALSE)</f>
        <v>Sanitair</v>
      </c>
      <c r="C264" s="66" t="s">
        <v>501</v>
      </c>
      <c r="D264" s="65" t="s">
        <v>13</v>
      </c>
      <c r="E264" s="66" t="s">
        <v>101</v>
      </c>
      <c r="F264" s="66" t="s">
        <v>504</v>
      </c>
      <c r="G264" s="71" t="s">
        <v>282</v>
      </c>
      <c r="H264" s="67" t="s">
        <v>282</v>
      </c>
      <c r="I264" s="67" t="s">
        <v>282</v>
      </c>
      <c r="J264" s="67" t="s">
        <v>282</v>
      </c>
      <c r="K264" s="67" t="s">
        <v>15</v>
      </c>
      <c r="L264" s="67" t="s">
        <v>282</v>
      </c>
      <c r="M264" s="67" t="s">
        <v>282</v>
      </c>
      <c r="N264" s="67" t="s">
        <v>282</v>
      </c>
      <c r="O264" s="68" t="s">
        <v>282</v>
      </c>
      <c r="P264" s="68" t="s">
        <v>282</v>
      </c>
      <c r="Q264" s="68" t="s">
        <v>282</v>
      </c>
      <c r="R264" s="68" t="s">
        <v>282</v>
      </c>
      <c r="S264" s="68" t="s">
        <v>282</v>
      </c>
      <c r="T264" s="68" t="s">
        <v>282</v>
      </c>
      <c r="U264" s="68" t="s">
        <v>282</v>
      </c>
      <c r="V264" s="68" t="s">
        <v>282</v>
      </c>
      <c r="W264" s="69" t="s">
        <v>282</v>
      </c>
      <c r="X264" s="69" t="s">
        <v>15</v>
      </c>
      <c r="Y264" s="70" t="s">
        <v>282</v>
      </c>
    </row>
    <row r="265" spans="1:25">
      <c r="A265" s="64">
        <v>5</v>
      </c>
      <c r="B265" s="65" t="str">
        <f>VLOOKUP(Tabel10[[#This Row],[Code]],Ruimtegroepen[[Code]:[Ruimte omschrijving]],2,FALSE)</f>
        <v>Sanitair</v>
      </c>
      <c r="C265" s="66" t="s">
        <v>501</v>
      </c>
      <c r="D265" s="65" t="s">
        <v>13</v>
      </c>
      <c r="E265" s="66" t="s">
        <v>102</v>
      </c>
      <c r="F265" s="66" t="s">
        <v>505</v>
      </c>
      <c r="G265" s="71" t="s">
        <v>282</v>
      </c>
      <c r="H265" s="67" t="s">
        <v>282</v>
      </c>
      <c r="I265" s="67" t="s">
        <v>282</v>
      </c>
      <c r="J265" s="67" t="s">
        <v>282</v>
      </c>
      <c r="K265" s="67" t="s">
        <v>15</v>
      </c>
      <c r="L265" s="67" t="s">
        <v>282</v>
      </c>
      <c r="M265" s="67" t="s">
        <v>282</v>
      </c>
      <c r="N265" s="67" t="s">
        <v>282</v>
      </c>
      <c r="O265" s="68" t="s">
        <v>282</v>
      </c>
      <c r="P265" s="68" t="s">
        <v>282</v>
      </c>
      <c r="Q265" s="68" t="s">
        <v>282</v>
      </c>
      <c r="R265" s="68" t="s">
        <v>282</v>
      </c>
      <c r="S265" s="68" t="s">
        <v>282</v>
      </c>
      <c r="T265" s="68" t="s">
        <v>282</v>
      </c>
      <c r="U265" s="68" t="s">
        <v>282</v>
      </c>
      <c r="V265" s="68" t="s">
        <v>282</v>
      </c>
      <c r="W265" s="69" t="s">
        <v>282</v>
      </c>
      <c r="X265" s="69" t="s">
        <v>15</v>
      </c>
      <c r="Y265" s="70" t="s">
        <v>282</v>
      </c>
    </row>
    <row r="266" spans="1:25">
      <c r="A266" s="64">
        <v>5</v>
      </c>
      <c r="B266" s="65" t="str">
        <f>VLOOKUP(Tabel10[[#This Row],[Code]],Ruimtegroepen[[Code]:[Ruimte omschrijving]],2,FALSE)</f>
        <v>Sanitair</v>
      </c>
      <c r="C266" s="66" t="s">
        <v>501</v>
      </c>
      <c r="D266" s="65" t="s">
        <v>13</v>
      </c>
      <c r="E266" s="66" t="s">
        <v>99</v>
      </c>
      <c r="F266" s="66" t="s">
        <v>503</v>
      </c>
      <c r="G266" s="71" t="s">
        <v>282</v>
      </c>
      <c r="H266" s="67" t="s">
        <v>282</v>
      </c>
      <c r="I266" s="67" t="s">
        <v>282</v>
      </c>
      <c r="J266" s="67" t="s">
        <v>282</v>
      </c>
      <c r="K266" s="67" t="s">
        <v>282</v>
      </c>
      <c r="L266" s="67" t="s">
        <v>282</v>
      </c>
      <c r="M266" s="67" t="s">
        <v>282</v>
      </c>
      <c r="N266" s="67" t="s">
        <v>282</v>
      </c>
      <c r="O266" s="68" t="s">
        <v>282</v>
      </c>
      <c r="P266" s="68" t="s">
        <v>282</v>
      </c>
      <c r="Q266" s="68" t="s">
        <v>282</v>
      </c>
      <c r="R266" s="68" t="s">
        <v>282</v>
      </c>
      <c r="S266" s="68" t="s">
        <v>282</v>
      </c>
      <c r="T266" s="68" t="s">
        <v>282</v>
      </c>
      <c r="U266" s="68" t="s">
        <v>282</v>
      </c>
      <c r="V266" s="68" t="s">
        <v>282</v>
      </c>
      <c r="W266" s="69" t="s">
        <v>282</v>
      </c>
      <c r="X266" s="69" t="s">
        <v>282</v>
      </c>
      <c r="Y266" s="70" t="s">
        <v>282</v>
      </c>
    </row>
    <row r="267" spans="1:25">
      <c r="A267" s="64">
        <v>5</v>
      </c>
      <c r="B267" s="65" t="str">
        <f>VLOOKUP(Tabel10[[#This Row],[Code]],Ruimtegroepen[[Code]:[Ruimte omschrijving]],2,FALSE)</f>
        <v>Sanitair</v>
      </c>
      <c r="C267" s="66" t="s">
        <v>501</v>
      </c>
      <c r="D267" s="65" t="s">
        <v>13</v>
      </c>
      <c r="E267" s="66" t="s">
        <v>1309</v>
      </c>
      <c r="F267" s="66" t="s">
        <v>1361</v>
      </c>
      <c r="G267" s="71" t="s">
        <v>282</v>
      </c>
      <c r="H267" s="67" t="s">
        <v>282</v>
      </c>
      <c r="I267" s="67" t="s">
        <v>282</v>
      </c>
      <c r="J267" s="67" t="s">
        <v>282</v>
      </c>
      <c r="K267" s="67" t="s">
        <v>15</v>
      </c>
      <c r="L267" s="67" t="s">
        <v>282</v>
      </c>
      <c r="M267" s="67" t="s">
        <v>282</v>
      </c>
      <c r="N267" s="67" t="s">
        <v>282</v>
      </c>
      <c r="O267" s="68" t="s">
        <v>282</v>
      </c>
      <c r="P267" s="68" t="s">
        <v>282</v>
      </c>
      <c r="Q267" s="68" t="s">
        <v>282</v>
      </c>
      <c r="R267" s="68" t="s">
        <v>282</v>
      </c>
      <c r="S267" s="68" t="s">
        <v>282</v>
      </c>
      <c r="T267" s="68" t="s">
        <v>282</v>
      </c>
      <c r="U267" s="68" t="s">
        <v>282</v>
      </c>
      <c r="V267" s="68" t="s">
        <v>282</v>
      </c>
      <c r="W267" s="69" t="s">
        <v>282</v>
      </c>
      <c r="X267" s="69" t="s">
        <v>15</v>
      </c>
      <c r="Y267" s="70" t="s">
        <v>282</v>
      </c>
    </row>
    <row r="268" spans="1:25">
      <c r="A268" s="64">
        <v>5</v>
      </c>
      <c r="B268" s="65" t="str">
        <f>VLOOKUP(Tabel10[[#This Row],[Code]],Ruimtegroepen[[Code]:[Ruimte omschrijving]],2,FALSE)</f>
        <v>Sanitair</v>
      </c>
      <c r="C268" s="66" t="s">
        <v>506</v>
      </c>
      <c r="D268" s="65" t="s">
        <v>0</v>
      </c>
      <c r="E268" s="66" t="s">
        <v>100</v>
      </c>
      <c r="F268" s="66" t="s">
        <v>507</v>
      </c>
      <c r="G268" s="71" t="s">
        <v>282</v>
      </c>
      <c r="H268" s="67" t="s">
        <v>282</v>
      </c>
      <c r="I268" s="67" t="s">
        <v>282</v>
      </c>
      <c r="J268" s="67" t="s">
        <v>282</v>
      </c>
      <c r="K268" s="67" t="s">
        <v>16</v>
      </c>
      <c r="L268" s="67" t="s">
        <v>282</v>
      </c>
      <c r="M268" s="67" t="s">
        <v>282</v>
      </c>
      <c r="N268" s="67" t="s">
        <v>282</v>
      </c>
      <c r="O268" s="68" t="s">
        <v>282</v>
      </c>
      <c r="P268" s="68" t="s">
        <v>282</v>
      </c>
      <c r="Q268" s="68" t="s">
        <v>282</v>
      </c>
      <c r="R268" s="68" t="s">
        <v>282</v>
      </c>
      <c r="S268" s="68" t="s">
        <v>282</v>
      </c>
      <c r="T268" s="68" t="s">
        <v>282</v>
      </c>
      <c r="U268" s="68" t="s">
        <v>282</v>
      </c>
      <c r="V268" s="68" t="s">
        <v>282</v>
      </c>
      <c r="W268" s="69" t="s">
        <v>282</v>
      </c>
      <c r="X268" s="69" t="s">
        <v>16</v>
      </c>
      <c r="Y268" s="70" t="s">
        <v>282</v>
      </c>
    </row>
    <row r="269" spans="1:25">
      <c r="A269" s="64">
        <v>5</v>
      </c>
      <c r="B269" s="65" t="str">
        <f>VLOOKUP(Tabel10[[#This Row],[Code]],Ruimtegroepen[[Code]:[Ruimte omschrijving]],2,FALSE)</f>
        <v>Sanitair</v>
      </c>
      <c r="C269" s="66" t="s">
        <v>506</v>
      </c>
      <c r="D269" s="65" t="s">
        <v>0</v>
      </c>
      <c r="E269" s="66" t="s">
        <v>99</v>
      </c>
      <c r="F269" s="66" t="s">
        <v>508</v>
      </c>
      <c r="G269" s="71" t="s">
        <v>282</v>
      </c>
      <c r="H269" s="67" t="s">
        <v>282</v>
      </c>
      <c r="I269" s="67" t="s">
        <v>282</v>
      </c>
      <c r="J269" s="67" t="s">
        <v>282</v>
      </c>
      <c r="K269" s="67" t="s">
        <v>282</v>
      </c>
      <c r="L269" s="67" t="s">
        <v>282</v>
      </c>
      <c r="M269" s="67" t="s">
        <v>282</v>
      </c>
      <c r="N269" s="67" t="s">
        <v>282</v>
      </c>
      <c r="O269" s="68" t="s">
        <v>282</v>
      </c>
      <c r="P269" s="68" t="s">
        <v>282</v>
      </c>
      <c r="Q269" s="68" t="s">
        <v>282</v>
      </c>
      <c r="R269" s="68" t="s">
        <v>282</v>
      </c>
      <c r="S269" s="68" t="s">
        <v>282</v>
      </c>
      <c r="T269" s="68" t="s">
        <v>282</v>
      </c>
      <c r="U269" s="68" t="s">
        <v>282</v>
      </c>
      <c r="V269" s="68" t="s">
        <v>282</v>
      </c>
      <c r="W269" s="69" t="s">
        <v>282</v>
      </c>
      <c r="X269" s="69" t="s">
        <v>282</v>
      </c>
      <c r="Y269" s="70" t="s">
        <v>282</v>
      </c>
    </row>
    <row r="270" spans="1:25">
      <c r="A270" s="64">
        <v>5</v>
      </c>
      <c r="B270" s="65" t="str">
        <f>VLOOKUP(Tabel10[[#This Row],[Code]],Ruimtegroepen[[Code]:[Ruimte omschrijving]],2,FALSE)</f>
        <v>Sanitair</v>
      </c>
      <c r="C270" s="66" t="s">
        <v>506</v>
      </c>
      <c r="D270" s="65" t="s">
        <v>0</v>
      </c>
      <c r="E270" s="66" t="s">
        <v>101</v>
      </c>
      <c r="F270" s="66" t="s">
        <v>509</v>
      </c>
      <c r="G270" s="71" t="s">
        <v>282</v>
      </c>
      <c r="H270" s="67" t="s">
        <v>282</v>
      </c>
      <c r="I270" s="67" t="s">
        <v>282</v>
      </c>
      <c r="J270" s="67" t="s">
        <v>282</v>
      </c>
      <c r="K270" s="67" t="s">
        <v>16</v>
      </c>
      <c r="L270" s="67" t="s">
        <v>282</v>
      </c>
      <c r="M270" s="67" t="s">
        <v>282</v>
      </c>
      <c r="N270" s="67" t="s">
        <v>282</v>
      </c>
      <c r="O270" s="68" t="s">
        <v>282</v>
      </c>
      <c r="P270" s="68" t="s">
        <v>282</v>
      </c>
      <c r="Q270" s="68" t="s">
        <v>282</v>
      </c>
      <c r="R270" s="68" t="s">
        <v>282</v>
      </c>
      <c r="S270" s="68" t="s">
        <v>282</v>
      </c>
      <c r="T270" s="68" t="s">
        <v>282</v>
      </c>
      <c r="U270" s="68" t="s">
        <v>282</v>
      </c>
      <c r="V270" s="68" t="s">
        <v>282</v>
      </c>
      <c r="W270" s="69" t="s">
        <v>282</v>
      </c>
      <c r="X270" s="69" t="s">
        <v>16</v>
      </c>
      <c r="Y270" s="70" t="s">
        <v>282</v>
      </c>
    </row>
    <row r="271" spans="1:25">
      <c r="A271" s="64">
        <v>5</v>
      </c>
      <c r="B271" s="65" t="str">
        <f>VLOOKUP(Tabel10[[#This Row],[Code]],Ruimtegroepen[[Code]:[Ruimte omschrijving]],2,FALSE)</f>
        <v>Sanitair</v>
      </c>
      <c r="C271" s="66" t="s">
        <v>506</v>
      </c>
      <c r="D271" s="65" t="s">
        <v>0</v>
      </c>
      <c r="E271" s="66" t="s">
        <v>102</v>
      </c>
      <c r="F271" s="66" t="s">
        <v>510</v>
      </c>
      <c r="G271" s="71" t="s">
        <v>282</v>
      </c>
      <c r="H271" s="67" t="s">
        <v>282</v>
      </c>
      <c r="I271" s="67" t="s">
        <v>282</v>
      </c>
      <c r="J271" s="67" t="s">
        <v>282</v>
      </c>
      <c r="K271" s="67" t="s">
        <v>16</v>
      </c>
      <c r="L271" s="67" t="s">
        <v>282</v>
      </c>
      <c r="M271" s="67" t="s">
        <v>282</v>
      </c>
      <c r="N271" s="67" t="s">
        <v>282</v>
      </c>
      <c r="O271" s="68" t="s">
        <v>282</v>
      </c>
      <c r="P271" s="68" t="s">
        <v>282</v>
      </c>
      <c r="Q271" s="68" t="s">
        <v>282</v>
      </c>
      <c r="R271" s="68" t="s">
        <v>282</v>
      </c>
      <c r="S271" s="68" t="s">
        <v>282</v>
      </c>
      <c r="T271" s="68" t="s">
        <v>282</v>
      </c>
      <c r="U271" s="68" t="s">
        <v>282</v>
      </c>
      <c r="V271" s="68" t="s">
        <v>282</v>
      </c>
      <c r="W271" s="69" t="s">
        <v>282</v>
      </c>
      <c r="X271" s="69" t="s">
        <v>16</v>
      </c>
      <c r="Y271" s="70" t="s">
        <v>282</v>
      </c>
    </row>
    <row r="272" spans="1:25">
      <c r="A272" s="64">
        <v>5</v>
      </c>
      <c r="B272" s="65" t="str">
        <f>VLOOKUP(Tabel10[[#This Row],[Code]],Ruimtegroepen[[Code]:[Ruimte omschrijving]],2,FALSE)</f>
        <v>Sanitair</v>
      </c>
      <c r="C272" s="66" t="s">
        <v>506</v>
      </c>
      <c r="D272" s="65" t="s">
        <v>0</v>
      </c>
      <c r="E272" s="66" t="s">
        <v>99</v>
      </c>
      <c r="F272" s="66" t="s">
        <v>508</v>
      </c>
      <c r="G272" s="71" t="s">
        <v>282</v>
      </c>
      <c r="H272" s="67" t="s">
        <v>282</v>
      </c>
      <c r="I272" s="67" t="s">
        <v>282</v>
      </c>
      <c r="J272" s="67" t="s">
        <v>282</v>
      </c>
      <c r="K272" s="67" t="s">
        <v>282</v>
      </c>
      <c r="L272" s="67" t="s">
        <v>282</v>
      </c>
      <c r="M272" s="67" t="s">
        <v>282</v>
      </c>
      <c r="N272" s="67" t="s">
        <v>282</v>
      </c>
      <c r="O272" s="68" t="s">
        <v>282</v>
      </c>
      <c r="P272" s="68" t="s">
        <v>282</v>
      </c>
      <c r="Q272" s="68" t="s">
        <v>282</v>
      </c>
      <c r="R272" s="68" t="s">
        <v>282</v>
      </c>
      <c r="S272" s="68" t="s">
        <v>282</v>
      </c>
      <c r="T272" s="68" t="s">
        <v>282</v>
      </c>
      <c r="U272" s="68" t="s">
        <v>282</v>
      </c>
      <c r="V272" s="68" t="s">
        <v>282</v>
      </c>
      <c r="W272" s="69" t="s">
        <v>282</v>
      </c>
      <c r="X272" s="69" t="s">
        <v>282</v>
      </c>
      <c r="Y272" s="70" t="s">
        <v>282</v>
      </c>
    </row>
    <row r="273" spans="1:25">
      <c r="A273" s="64">
        <v>5</v>
      </c>
      <c r="B273" s="65" t="str">
        <f>VLOOKUP(Tabel10[[#This Row],[Code]],Ruimtegroepen[[Code]:[Ruimte omschrijving]],2,FALSE)</f>
        <v>Sanitair</v>
      </c>
      <c r="C273" s="66" t="s">
        <v>506</v>
      </c>
      <c r="D273" s="65" t="s">
        <v>0</v>
      </c>
      <c r="E273" s="66" t="s">
        <v>1309</v>
      </c>
      <c r="F273" s="66" t="s">
        <v>1345</v>
      </c>
      <c r="G273" s="71" t="s">
        <v>282</v>
      </c>
      <c r="H273" s="67" t="s">
        <v>282</v>
      </c>
      <c r="I273" s="67" t="s">
        <v>282</v>
      </c>
      <c r="J273" s="67" t="s">
        <v>282</v>
      </c>
      <c r="K273" s="67" t="s">
        <v>16</v>
      </c>
      <c r="L273" s="67" t="s">
        <v>282</v>
      </c>
      <c r="M273" s="67" t="s">
        <v>282</v>
      </c>
      <c r="N273" s="67" t="s">
        <v>282</v>
      </c>
      <c r="O273" s="68" t="s">
        <v>282</v>
      </c>
      <c r="P273" s="68" t="s">
        <v>282</v>
      </c>
      <c r="Q273" s="68" t="s">
        <v>282</v>
      </c>
      <c r="R273" s="68" t="s">
        <v>282</v>
      </c>
      <c r="S273" s="68" t="s">
        <v>282</v>
      </c>
      <c r="T273" s="68" t="s">
        <v>282</v>
      </c>
      <c r="U273" s="68" t="s">
        <v>282</v>
      </c>
      <c r="V273" s="68" t="s">
        <v>282</v>
      </c>
      <c r="W273" s="69" t="s">
        <v>282</v>
      </c>
      <c r="X273" s="69" t="s">
        <v>16</v>
      </c>
      <c r="Y273" s="70" t="s">
        <v>282</v>
      </c>
    </row>
    <row r="274" spans="1:25">
      <c r="A274" s="64">
        <v>5</v>
      </c>
      <c r="B274" s="65" t="str">
        <f>VLOOKUP(Tabel10[[#This Row],[Code]],Ruimtegroepen[[Code]:[Ruimte omschrijving]],2,FALSE)</f>
        <v>Sanitair</v>
      </c>
      <c r="C274" s="66" t="s">
        <v>511</v>
      </c>
      <c r="D274" s="65" t="s">
        <v>27</v>
      </c>
      <c r="E274" s="66" t="s">
        <v>100</v>
      </c>
      <c r="F274" s="66" t="s">
        <v>512</v>
      </c>
      <c r="G274" s="71" t="s">
        <v>282</v>
      </c>
      <c r="H274" s="67" t="s">
        <v>282</v>
      </c>
      <c r="I274" s="67" t="s">
        <v>282</v>
      </c>
      <c r="J274" s="67" t="s">
        <v>15</v>
      </c>
      <c r="K274" s="67" t="s">
        <v>282</v>
      </c>
      <c r="L274" s="67" t="s">
        <v>282</v>
      </c>
      <c r="M274" s="67" t="s">
        <v>282</v>
      </c>
      <c r="N274" s="67" t="s">
        <v>282</v>
      </c>
      <c r="O274" s="68" t="s">
        <v>282</v>
      </c>
      <c r="P274" s="68" t="s">
        <v>282</v>
      </c>
      <c r="Q274" s="68" t="s">
        <v>282</v>
      </c>
      <c r="R274" s="68" t="s">
        <v>282</v>
      </c>
      <c r="S274" s="68" t="s">
        <v>282</v>
      </c>
      <c r="T274" s="68" t="s">
        <v>282</v>
      </c>
      <c r="U274" s="68" t="s">
        <v>282</v>
      </c>
      <c r="V274" s="68" t="s">
        <v>282</v>
      </c>
      <c r="W274" s="69" t="s">
        <v>15</v>
      </c>
      <c r="X274" s="69" t="s">
        <v>15</v>
      </c>
      <c r="Y274" s="70" t="s">
        <v>282</v>
      </c>
    </row>
    <row r="275" spans="1:25">
      <c r="A275" s="64">
        <v>5</v>
      </c>
      <c r="B275" s="65" t="str">
        <f>VLOOKUP(Tabel10[[#This Row],[Code]],Ruimtegroepen[[Code]:[Ruimte omschrijving]],2,FALSE)</f>
        <v>Sanitair</v>
      </c>
      <c r="C275" s="66" t="s">
        <v>511</v>
      </c>
      <c r="D275" s="65" t="s">
        <v>27</v>
      </c>
      <c r="E275" s="66" t="s">
        <v>99</v>
      </c>
      <c r="F275" s="66" t="s">
        <v>513</v>
      </c>
      <c r="G275" s="71" t="s">
        <v>282</v>
      </c>
      <c r="H275" s="67" t="s">
        <v>282</v>
      </c>
      <c r="I275" s="67" t="s">
        <v>282</v>
      </c>
      <c r="J275" s="67" t="s">
        <v>282</v>
      </c>
      <c r="K275" s="67" t="s">
        <v>282</v>
      </c>
      <c r="L275" s="67" t="s">
        <v>282</v>
      </c>
      <c r="M275" s="67" t="s">
        <v>282</v>
      </c>
      <c r="N275" s="67" t="s">
        <v>282</v>
      </c>
      <c r="O275" s="68" t="s">
        <v>282</v>
      </c>
      <c r="P275" s="68" t="s">
        <v>282</v>
      </c>
      <c r="Q275" s="68" t="s">
        <v>282</v>
      </c>
      <c r="R275" s="68" t="s">
        <v>282</v>
      </c>
      <c r="S275" s="68" t="s">
        <v>282</v>
      </c>
      <c r="T275" s="68" t="s">
        <v>282</v>
      </c>
      <c r="U275" s="68" t="s">
        <v>282</v>
      </c>
      <c r="V275" s="68" t="s">
        <v>282</v>
      </c>
      <c r="W275" s="69" t="s">
        <v>282</v>
      </c>
      <c r="X275" s="69" t="s">
        <v>282</v>
      </c>
      <c r="Y275" s="70" t="s">
        <v>282</v>
      </c>
    </row>
    <row r="276" spans="1:25">
      <c r="A276" s="64">
        <v>5</v>
      </c>
      <c r="B276" s="65" t="str">
        <f>VLOOKUP(Tabel10[[#This Row],[Code]],Ruimtegroepen[[Code]:[Ruimte omschrijving]],2,FALSE)</f>
        <v>Sanitair</v>
      </c>
      <c r="C276" s="66" t="s">
        <v>511</v>
      </c>
      <c r="D276" s="65" t="s">
        <v>27</v>
      </c>
      <c r="E276" s="66" t="s">
        <v>101</v>
      </c>
      <c r="F276" s="66" t="s">
        <v>514</v>
      </c>
      <c r="G276" s="71" t="s">
        <v>282</v>
      </c>
      <c r="H276" s="67" t="s">
        <v>282</v>
      </c>
      <c r="I276" s="67" t="s">
        <v>282</v>
      </c>
      <c r="J276" s="67" t="s">
        <v>15</v>
      </c>
      <c r="K276" s="67" t="s">
        <v>282</v>
      </c>
      <c r="L276" s="67" t="s">
        <v>282</v>
      </c>
      <c r="M276" s="67" t="s">
        <v>282</v>
      </c>
      <c r="N276" s="67" t="s">
        <v>282</v>
      </c>
      <c r="O276" s="68" t="s">
        <v>282</v>
      </c>
      <c r="P276" s="68" t="s">
        <v>282</v>
      </c>
      <c r="Q276" s="68" t="s">
        <v>282</v>
      </c>
      <c r="R276" s="68" t="s">
        <v>282</v>
      </c>
      <c r="S276" s="68" t="s">
        <v>282</v>
      </c>
      <c r="T276" s="68" t="s">
        <v>282</v>
      </c>
      <c r="U276" s="68" t="s">
        <v>282</v>
      </c>
      <c r="V276" s="68" t="s">
        <v>282</v>
      </c>
      <c r="W276" s="69" t="s">
        <v>15</v>
      </c>
      <c r="X276" s="69" t="s">
        <v>15</v>
      </c>
      <c r="Y276" s="70" t="s">
        <v>282</v>
      </c>
    </row>
    <row r="277" spans="1:25">
      <c r="A277" s="64">
        <v>5</v>
      </c>
      <c r="B277" s="65" t="str">
        <f>VLOOKUP(Tabel10[[#This Row],[Code]],Ruimtegroepen[[Code]:[Ruimte omschrijving]],2,FALSE)</f>
        <v>Sanitair</v>
      </c>
      <c r="C277" s="66" t="s">
        <v>511</v>
      </c>
      <c r="D277" s="65" t="s">
        <v>27</v>
      </c>
      <c r="E277" s="66" t="s">
        <v>102</v>
      </c>
      <c r="F277" s="66" t="s">
        <v>515</v>
      </c>
      <c r="G277" s="71" t="s">
        <v>282</v>
      </c>
      <c r="H277" s="67" t="s">
        <v>282</v>
      </c>
      <c r="I277" s="67" t="s">
        <v>282</v>
      </c>
      <c r="J277" s="67" t="s">
        <v>15</v>
      </c>
      <c r="K277" s="67" t="s">
        <v>282</v>
      </c>
      <c r="L277" s="67" t="s">
        <v>282</v>
      </c>
      <c r="M277" s="67" t="s">
        <v>282</v>
      </c>
      <c r="N277" s="67" t="s">
        <v>282</v>
      </c>
      <c r="O277" s="68" t="s">
        <v>282</v>
      </c>
      <c r="P277" s="68" t="s">
        <v>282</v>
      </c>
      <c r="Q277" s="68" t="s">
        <v>282</v>
      </c>
      <c r="R277" s="68" t="s">
        <v>282</v>
      </c>
      <c r="S277" s="68" t="s">
        <v>282</v>
      </c>
      <c r="T277" s="68" t="s">
        <v>282</v>
      </c>
      <c r="U277" s="68" t="s">
        <v>282</v>
      </c>
      <c r="V277" s="68" t="s">
        <v>282</v>
      </c>
      <c r="W277" s="69" t="s">
        <v>15</v>
      </c>
      <c r="X277" s="69" t="s">
        <v>15</v>
      </c>
      <c r="Y277" s="70" t="s">
        <v>282</v>
      </c>
    </row>
    <row r="278" spans="1:25">
      <c r="A278" s="64">
        <v>5</v>
      </c>
      <c r="B278" s="65" t="str">
        <f>VLOOKUP(Tabel10[[#This Row],[Code]],Ruimtegroepen[[Code]:[Ruimte omschrijving]],2,FALSE)</f>
        <v>Sanitair</v>
      </c>
      <c r="C278" s="66" t="s">
        <v>511</v>
      </c>
      <c r="D278" s="65" t="s">
        <v>27</v>
      </c>
      <c r="E278" s="66" t="s">
        <v>99</v>
      </c>
      <c r="F278" s="66" t="s">
        <v>513</v>
      </c>
      <c r="G278" s="71" t="s">
        <v>282</v>
      </c>
      <c r="H278" s="67" t="s">
        <v>282</v>
      </c>
      <c r="I278" s="67" t="s">
        <v>282</v>
      </c>
      <c r="J278" s="67" t="s">
        <v>282</v>
      </c>
      <c r="K278" s="67" t="s">
        <v>282</v>
      </c>
      <c r="L278" s="67" t="s">
        <v>282</v>
      </c>
      <c r="M278" s="67" t="s">
        <v>282</v>
      </c>
      <c r="N278" s="67" t="s">
        <v>282</v>
      </c>
      <c r="O278" s="68" t="s">
        <v>282</v>
      </c>
      <c r="P278" s="68" t="s">
        <v>282</v>
      </c>
      <c r="Q278" s="68" t="s">
        <v>282</v>
      </c>
      <c r="R278" s="68" t="s">
        <v>282</v>
      </c>
      <c r="S278" s="68" t="s">
        <v>282</v>
      </c>
      <c r="T278" s="68" t="s">
        <v>282</v>
      </c>
      <c r="U278" s="68" t="s">
        <v>282</v>
      </c>
      <c r="V278" s="68" t="s">
        <v>282</v>
      </c>
      <c r="W278" s="69" t="s">
        <v>282</v>
      </c>
      <c r="X278" s="69" t="s">
        <v>282</v>
      </c>
      <c r="Y278" s="70" t="s">
        <v>282</v>
      </c>
    </row>
    <row r="279" spans="1:25">
      <c r="A279" s="64">
        <v>5</v>
      </c>
      <c r="B279" s="65" t="str">
        <f>VLOOKUP(Tabel10[[#This Row],[Code]],Ruimtegroepen[[Code]:[Ruimte omschrijving]],2,FALSE)</f>
        <v>Sanitair</v>
      </c>
      <c r="C279" s="66" t="s">
        <v>511</v>
      </c>
      <c r="D279" s="65" t="s">
        <v>27</v>
      </c>
      <c r="E279" s="66" t="s">
        <v>1309</v>
      </c>
      <c r="F279" s="66" t="s">
        <v>1378</v>
      </c>
      <c r="G279" s="71" t="s">
        <v>282</v>
      </c>
      <c r="H279" s="67" t="s">
        <v>282</v>
      </c>
      <c r="I279" s="67" t="s">
        <v>282</v>
      </c>
      <c r="J279" s="67" t="s">
        <v>15</v>
      </c>
      <c r="K279" s="67" t="s">
        <v>282</v>
      </c>
      <c r="L279" s="67" t="s">
        <v>282</v>
      </c>
      <c r="M279" s="67" t="s">
        <v>282</v>
      </c>
      <c r="N279" s="67" t="s">
        <v>282</v>
      </c>
      <c r="O279" s="68" t="s">
        <v>282</v>
      </c>
      <c r="P279" s="68" t="s">
        <v>282</v>
      </c>
      <c r="Q279" s="68" t="s">
        <v>282</v>
      </c>
      <c r="R279" s="68" t="s">
        <v>282</v>
      </c>
      <c r="S279" s="68" t="s">
        <v>282</v>
      </c>
      <c r="T279" s="68" t="s">
        <v>282</v>
      </c>
      <c r="U279" s="68" t="s">
        <v>282</v>
      </c>
      <c r="V279" s="68" t="s">
        <v>282</v>
      </c>
      <c r="W279" s="69" t="s">
        <v>15</v>
      </c>
      <c r="X279" s="69" t="s">
        <v>15</v>
      </c>
      <c r="Y279" s="70" t="s">
        <v>282</v>
      </c>
    </row>
    <row r="280" spans="1:25">
      <c r="A280" s="64">
        <v>5</v>
      </c>
      <c r="B280" s="65" t="str">
        <f>VLOOKUP(Tabel10[[#This Row],[Code]],Ruimtegroepen[[Code]:[Ruimte omschrijving]],2,FALSE)</f>
        <v>Sanitair</v>
      </c>
      <c r="C280" s="66" t="s">
        <v>516</v>
      </c>
      <c r="D280" s="65" t="s">
        <v>28</v>
      </c>
      <c r="E280" s="66" t="s">
        <v>100</v>
      </c>
      <c r="F280" s="66" t="s">
        <v>517</v>
      </c>
      <c r="G280" s="71" t="s">
        <v>282</v>
      </c>
      <c r="H280" s="67" t="s">
        <v>282</v>
      </c>
      <c r="I280" s="67" t="s">
        <v>282</v>
      </c>
      <c r="J280" s="67" t="s">
        <v>17</v>
      </c>
      <c r="K280" s="67" t="s">
        <v>282</v>
      </c>
      <c r="L280" s="67" t="s">
        <v>282</v>
      </c>
      <c r="M280" s="67" t="s">
        <v>282</v>
      </c>
      <c r="N280" s="67" t="s">
        <v>282</v>
      </c>
      <c r="O280" s="68" t="s">
        <v>282</v>
      </c>
      <c r="P280" s="68" t="s">
        <v>282</v>
      </c>
      <c r="Q280" s="68" t="s">
        <v>282</v>
      </c>
      <c r="R280" s="68" t="s">
        <v>282</v>
      </c>
      <c r="S280" s="68" t="s">
        <v>282</v>
      </c>
      <c r="T280" s="68" t="s">
        <v>282</v>
      </c>
      <c r="U280" s="68" t="s">
        <v>282</v>
      </c>
      <c r="V280" s="68" t="s">
        <v>282</v>
      </c>
      <c r="W280" s="69" t="s">
        <v>17</v>
      </c>
      <c r="X280" s="69" t="s">
        <v>17</v>
      </c>
      <c r="Y280" s="70" t="s">
        <v>282</v>
      </c>
    </row>
    <row r="281" spans="1:25">
      <c r="A281" s="64">
        <v>5</v>
      </c>
      <c r="B281" s="65" t="str">
        <f>VLOOKUP(Tabel10[[#This Row],[Code]],Ruimtegroepen[[Code]:[Ruimte omschrijving]],2,FALSE)</f>
        <v>Sanitair</v>
      </c>
      <c r="C281" s="66" t="s">
        <v>516</v>
      </c>
      <c r="D281" s="65" t="s">
        <v>28</v>
      </c>
      <c r="E281" s="66" t="s">
        <v>99</v>
      </c>
      <c r="F281" s="66" t="s">
        <v>518</v>
      </c>
      <c r="G281" s="71" t="s">
        <v>282</v>
      </c>
      <c r="H281" s="67" t="s">
        <v>282</v>
      </c>
      <c r="I281" s="67" t="s">
        <v>282</v>
      </c>
      <c r="J281" s="67" t="s">
        <v>282</v>
      </c>
      <c r="K281" s="67" t="s">
        <v>282</v>
      </c>
      <c r="L281" s="67" t="s">
        <v>282</v>
      </c>
      <c r="M281" s="67" t="s">
        <v>282</v>
      </c>
      <c r="N281" s="67" t="s">
        <v>282</v>
      </c>
      <c r="O281" s="68" t="s">
        <v>282</v>
      </c>
      <c r="P281" s="68" t="s">
        <v>282</v>
      </c>
      <c r="Q281" s="68" t="s">
        <v>282</v>
      </c>
      <c r="R281" s="68" t="s">
        <v>282</v>
      </c>
      <c r="S281" s="68" t="s">
        <v>282</v>
      </c>
      <c r="T281" s="68" t="s">
        <v>282</v>
      </c>
      <c r="U281" s="68" t="s">
        <v>282</v>
      </c>
      <c r="V281" s="68" t="s">
        <v>282</v>
      </c>
      <c r="W281" s="69" t="s">
        <v>282</v>
      </c>
      <c r="X281" s="69" t="s">
        <v>282</v>
      </c>
      <c r="Y281" s="70" t="s">
        <v>282</v>
      </c>
    </row>
    <row r="282" spans="1:25">
      <c r="A282" s="64">
        <v>5</v>
      </c>
      <c r="B282" s="65" t="str">
        <f>VLOOKUP(Tabel10[[#This Row],[Code]],Ruimtegroepen[[Code]:[Ruimte omschrijving]],2,FALSE)</f>
        <v>Sanitair</v>
      </c>
      <c r="C282" s="66" t="s">
        <v>516</v>
      </c>
      <c r="D282" s="65" t="s">
        <v>28</v>
      </c>
      <c r="E282" s="66" t="s">
        <v>101</v>
      </c>
      <c r="F282" s="66" t="s">
        <v>519</v>
      </c>
      <c r="G282" s="71" t="s">
        <v>282</v>
      </c>
      <c r="H282" s="67" t="s">
        <v>282</v>
      </c>
      <c r="I282" s="67" t="s">
        <v>282</v>
      </c>
      <c r="J282" s="67" t="s">
        <v>17</v>
      </c>
      <c r="K282" s="67" t="s">
        <v>282</v>
      </c>
      <c r="L282" s="67" t="s">
        <v>282</v>
      </c>
      <c r="M282" s="67" t="s">
        <v>282</v>
      </c>
      <c r="N282" s="67" t="s">
        <v>282</v>
      </c>
      <c r="O282" s="68" t="s">
        <v>282</v>
      </c>
      <c r="P282" s="68" t="s">
        <v>282</v>
      </c>
      <c r="Q282" s="68" t="s">
        <v>282</v>
      </c>
      <c r="R282" s="68" t="s">
        <v>282</v>
      </c>
      <c r="S282" s="68" t="s">
        <v>282</v>
      </c>
      <c r="T282" s="68" t="s">
        <v>282</v>
      </c>
      <c r="U282" s="68" t="s">
        <v>282</v>
      </c>
      <c r="V282" s="68" t="s">
        <v>282</v>
      </c>
      <c r="W282" s="69" t="s">
        <v>17</v>
      </c>
      <c r="X282" s="69" t="s">
        <v>17</v>
      </c>
      <c r="Y282" s="70" t="s">
        <v>282</v>
      </c>
    </row>
    <row r="283" spans="1:25">
      <c r="A283" s="64">
        <v>5</v>
      </c>
      <c r="B283" s="65" t="str">
        <f>VLOOKUP(Tabel10[[#This Row],[Code]],Ruimtegroepen[[Code]:[Ruimte omschrijving]],2,FALSE)</f>
        <v>Sanitair</v>
      </c>
      <c r="C283" s="66" t="s">
        <v>516</v>
      </c>
      <c r="D283" s="65" t="s">
        <v>28</v>
      </c>
      <c r="E283" s="66" t="s">
        <v>102</v>
      </c>
      <c r="F283" s="66" t="s">
        <v>520</v>
      </c>
      <c r="G283" s="71" t="s">
        <v>282</v>
      </c>
      <c r="H283" s="67" t="s">
        <v>282</v>
      </c>
      <c r="I283" s="67" t="s">
        <v>282</v>
      </c>
      <c r="J283" s="67" t="s">
        <v>17</v>
      </c>
      <c r="K283" s="67" t="s">
        <v>282</v>
      </c>
      <c r="L283" s="67" t="s">
        <v>282</v>
      </c>
      <c r="M283" s="67" t="s">
        <v>282</v>
      </c>
      <c r="N283" s="67" t="s">
        <v>282</v>
      </c>
      <c r="O283" s="68" t="s">
        <v>282</v>
      </c>
      <c r="P283" s="68" t="s">
        <v>282</v>
      </c>
      <c r="Q283" s="68" t="s">
        <v>282</v>
      </c>
      <c r="R283" s="68" t="s">
        <v>282</v>
      </c>
      <c r="S283" s="68" t="s">
        <v>282</v>
      </c>
      <c r="T283" s="68" t="s">
        <v>282</v>
      </c>
      <c r="U283" s="68" t="s">
        <v>282</v>
      </c>
      <c r="V283" s="68" t="s">
        <v>282</v>
      </c>
      <c r="W283" s="69" t="s">
        <v>17</v>
      </c>
      <c r="X283" s="69" t="s">
        <v>17</v>
      </c>
      <c r="Y283" s="70" t="s">
        <v>282</v>
      </c>
    </row>
    <row r="284" spans="1:25">
      <c r="A284" s="64">
        <v>5</v>
      </c>
      <c r="B284" s="65" t="str">
        <f>VLOOKUP(Tabel10[[#This Row],[Code]],Ruimtegroepen[[Code]:[Ruimte omschrijving]],2,FALSE)</f>
        <v>Sanitair</v>
      </c>
      <c r="C284" s="66" t="s">
        <v>516</v>
      </c>
      <c r="D284" s="65" t="s">
        <v>28</v>
      </c>
      <c r="E284" s="66" t="s">
        <v>99</v>
      </c>
      <c r="F284" s="66" t="s">
        <v>518</v>
      </c>
      <c r="G284" s="71" t="s">
        <v>282</v>
      </c>
      <c r="H284" s="67" t="s">
        <v>282</v>
      </c>
      <c r="I284" s="67" t="s">
        <v>282</v>
      </c>
      <c r="J284" s="67" t="s">
        <v>282</v>
      </c>
      <c r="K284" s="67" t="s">
        <v>282</v>
      </c>
      <c r="L284" s="67" t="s">
        <v>282</v>
      </c>
      <c r="M284" s="67" t="s">
        <v>282</v>
      </c>
      <c r="N284" s="67" t="s">
        <v>282</v>
      </c>
      <c r="O284" s="68" t="s">
        <v>282</v>
      </c>
      <c r="P284" s="68" t="s">
        <v>282</v>
      </c>
      <c r="Q284" s="68" t="s">
        <v>282</v>
      </c>
      <c r="R284" s="68" t="s">
        <v>282</v>
      </c>
      <c r="S284" s="68" t="s">
        <v>282</v>
      </c>
      <c r="T284" s="68" t="s">
        <v>282</v>
      </c>
      <c r="U284" s="68" t="s">
        <v>282</v>
      </c>
      <c r="V284" s="68" t="s">
        <v>282</v>
      </c>
      <c r="W284" s="69" t="s">
        <v>282</v>
      </c>
      <c r="X284" s="69" t="s">
        <v>282</v>
      </c>
      <c r="Y284" s="70" t="s">
        <v>282</v>
      </c>
    </row>
    <row r="285" spans="1:25">
      <c r="A285" s="64">
        <v>5</v>
      </c>
      <c r="B285" s="65" t="str">
        <f>VLOOKUP(Tabel10[[#This Row],[Code]],Ruimtegroepen[[Code]:[Ruimte omschrijving]],2,FALSE)</f>
        <v>Sanitair</v>
      </c>
      <c r="C285" s="66" t="s">
        <v>516</v>
      </c>
      <c r="D285" s="65" t="s">
        <v>28</v>
      </c>
      <c r="E285" s="66" t="s">
        <v>1309</v>
      </c>
      <c r="F285" s="66" t="s">
        <v>1411</v>
      </c>
      <c r="G285" s="71" t="s">
        <v>282</v>
      </c>
      <c r="H285" s="67" t="s">
        <v>282</v>
      </c>
      <c r="I285" s="67" t="s">
        <v>282</v>
      </c>
      <c r="J285" s="67" t="s">
        <v>17</v>
      </c>
      <c r="K285" s="67" t="s">
        <v>282</v>
      </c>
      <c r="L285" s="67" t="s">
        <v>282</v>
      </c>
      <c r="M285" s="67" t="s">
        <v>282</v>
      </c>
      <c r="N285" s="67" t="s">
        <v>282</v>
      </c>
      <c r="O285" s="68" t="s">
        <v>282</v>
      </c>
      <c r="P285" s="68" t="s">
        <v>282</v>
      </c>
      <c r="Q285" s="68" t="s">
        <v>282</v>
      </c>
      <c r="R285" s="68" t="s">
        <v>282</v>
      </c>
      <c r="S285" s="68" t="s">
        <v>282</v>
      </c>
      <c r="T285" s="68" t="s">
        <v>282</v>
      </c>
      <c r="U285" s="68" t="s">
        <v>282</v>
      </c>
      <c r="V285" s="68" t="s">
        <v>282</v>
      </c>
      <c r="W285" s="69" t="s">
        <v>17</v>
      </c>
      <c r="X285" s="69" t="s">
        <v>17</v>
      </c>
      <c r="Y285" s="70" t="s">
        <v>282</v>
      </c>
    </row>
    <row r="286" spans="1:25">
      <c r="A286" s="64">
        <v>5</v>
      </c>
      <c r="B286" s="65" t="str">
        <f>VLOOKUP(Tabel10[[#This Row],[Code]],Ruimtegroepen[[Code]:[Ruimte omschrijving]],2,FALSE)</f>
        <v>Sanitair</v>
      </c>
      <c r="C286" s="66" t="s">
        <v>521</v>
      </c>
      <c r="D286" s="65" t="s">
        <v>522</v>
      </c>
      <c r="E286" s="66" t="s">
        <v>100</v>
      </c>
      <c r="F286" s="66" t="s">
        <v>523</v>
      </c>
      <c r="G286" s="71" t="s">
        <v>282</v>
      </c>
      <c r="H286" s="67" t="s">
        <v>282</v>
      </c>
      <c r="I286" s="67" t="s">
        <v>282</v>
      </c>
      <c r="J286" s="67" t="s">
        <v>20</v>
      </c>
      <c r="K286" s="67" t="s">
        <v>282</v>
      </c>
      <c r="L286" s="67" t="s">
        <v>282</v>
      </c>
      <c r="M286" s="67" t="s">
        <v>282</v>
      </c>
      <c r="N286" s="67" t="s">
        <v>282</v>
      </c>
      <c r="O286" s="68" t="s">
        <v>282</v>
      </c>
      <c r="P286" s="68" t="s">
        <v>282</v>
      </c>
      <c r="Q286" s="68" t="s">
        <v>282</v>
      </c>
      <c r="R286" s="68" t="s">
        <v>282</v>
      </c>
      <c r="S286" s="68" t="s">
        <v>282</v>
      </c>
      <c r="T286" s="68" t="s">
        <v>282</v>
      </c>
      <c r="U286" s="68" t="s">
        <v>282</v>
      </c>
      <c r="V286" s="68" t="s">
        <v>282</v>
      </c>
      <c r="W286" s="69" t="s">
        <v>18</v>
      </c>
      <c r="X286" s="69" t="s">
        <v>15</v>
      </c>
      <c r="Y286" s="70" t="s">
        <v>282</v>
      </c>
    </row>
    <row r="287" spans="1:25">
      <c r="A287" s="64">
        <v>5</v>
      </c>
      <c r="B287" s="65" t="str">
        <f>VLOOKUP(Tabel10[[#This Row],[Code]],Ruimtegroepen[[Code]:[Ruimte omschrijving]],2,FALSE)</f>
        <v>Sanitair</v>
      </c>
      <c r="C287" s="66" t="s">
        <v>521</v>
      </c>
      <c r="D287" s="65" t="s">
        <v>522</v>
      </c>
      <c r="E287" s="66" t="s">
        <v>99</v>
      </c>
      <c r="F287" s="66" t="s">
        <v>524</v>
      </c>
      <c r="G287" s="71" t="s">
        <v>282</v>
      </c>
      <c r="H287" s="67" t="s">
        <v>282</v>
      </c>
      <c r="I287" s="67" t="s">
        <v>282</v>
      </c>
      <c r="J287" s="67" t="s">
        <v>282</v>
      </c>
      <c r="K287" s="67" t="s">
        <v>282</v>
      </c>
      <c r="L287" s="67" t="s">
        <v>282</v>
      </c>
      <c r="M287" s="67" t="s">
        <v>282</v>
      </c>
      <c r="N287" s="67" t="s">
        <v>282</v>
      </c>
      <c r="O287" s="68" t="s">
        <v>282</v>
      </c>
      <c r="P287" s="68" t="s">
        <v>282</v>
      </c>
      <c r="Q287" s="68" t="s">
        <v>282</v>
      </c>
      <c r="R287" s="68" t="s">
        <v>282</v>
      </c>
      <c r="S287" s="68" t="s">
        <v>282</v>
      </c>
      <c r="T287" s="68" t="s">
        <v>282</v>
      </c>
      <c r="U287" s="68" t="s">
        <v>282</v>
      </c>
      <c r="V287" s="68" t="s">
        <v>282</v>
      </c>
      <c r="W287" s="69" t="s">
        <v>282</v>
      </c>
      <c r="X287" s="69" t="s">
        <v>282</v>
      </c>
      <c r="Y287" s="70" t="s">
        <v>282</v>
      </c>
    </row>
    <row r="288" spans="1:25">
      <c r="A288" s="64">
        <v>5</v>
      </c>
      <c r="B288" s="65" t="str">
        <f>VLOOKUP(Tabel10[[#This Row],[Code]],Ruimtegroepen[[Code]:[Ruimte omschrijving]],2,FALSE)</f>
        <v>Sanitair</v>
      </c>
      <c r="C288" s="66" t="s">
        <v>521</v>
      </c>
      <c r="D288" s="65" t="s">
        <v>522</v>
      </c>
      <c r="E288" s="66" t="s">
        <v>101</v>
      </c>
      <c r="F288" s="66" t="s">
        <v>525</v>
      </c>
      <c r="G288" s="71" t="s">
        <v>282</v>
      </c>
      <c r="H288" s="67" t="s">
        <v>282</v>
      </c>
      <c r="I288" s="67" t="s">
        <v>282</v>
      </c>
      <c r="J288" s="67" t="s">
        <v>20</v>
      </c>
      <c r="K288" s="67" t="s">
        <v>282</v>
      </c>
      <c r="L288" s="67" t="s">
        <v>282</v>
      </c>
      <c r="M288" s="67" t="s">
        <v>282</v>
      </c>
      <c r="N288" s="67" t="s">
        <v>282</v>
      </c>
      <c r="O288" s="68" t="s">
        <v>282</v>
      </c>
      <c r="P288" s="68" t="s">
        <v>282</v>
      </c>
      <c r="Q288" s="68" t="s">
        <v>282</v>
      </c>
      <c r="R288" s="68" t="s">
        <v>282</v>
      </c>
      <c r="S288" s="68" t="s">
        <v>282</v>
      </c>
      <c r="T288" s="68" t="s">
        <v>282</v>
      </c>
      <c r="U288" s="68" t="s">
        <v>282</v>
      </c>
      <c r="V288" s="68" t="s">
        <v>282</v>
      </c>
      <c r="W288" s="69" t="s">
        <v>18</v>
      </c>
      <c r="X288" s="69" t="s">
        <v>15</v>
      </c>
      <c r="Y288" s="70" t="s">
        <v>282</v>
      </c>
    </row>
    <row r="289" spans="1:25">
      <c r="A289" s="64">
        <v>5</v>
      </c>
      <c r="B289" s="65" t="str">
        <f>VLOOKUP(Tabel10[[#This Row],[Code]],Ruimtegroepen[[Code]:[Ruimte omschrijving]],2,FALSE)</f>
        <v>Sanitair</v>
      </c>
      <c r="C289" s="66" t="s">
        <v>521</v>
      </c>
      <c r="D289" s="65" t="s">
        <v>522</v>
      </c>
      <c r="E289" s="66" t="s">
        <v>102</v>
      </c>
      <c r="F289" s="66" t="s">
        <v>526</v>
      </c>
      <c r="G289" s="71" t="s">
        <v>282</v>
      </c>
      <c r="H289" s="67" t="s">
        <v>282</v>
      </c>
      <c r="I289" s="67" t="s">
        <v>282</v>
      </c>
      <c r="J289" s="67" t="s">
        <v>20</v>
      </c>
      <c r="K289" s="67" t="s">
        <v>282</v>
      </c>
      <c r="L289" s="67" t="s">
        <v>282</v>
      </c>
      <c r="M289" s="67" t="s">
        <v>282</v>
      </c>
      <c r="N289" s="67" t="s">
        <v>282</v>
      </c>
      <c r="O289" s="68" t="s">
        <v>282</v>
      </c>
      <c r="P289" s="68" t="s">
        <v>282</v>
      </c>
      <c r="Q289" s="68" t="s">
        <v>282</v>
      </c>
      <c r="R289" s="68" t="s">
        <v>282</v>
      </c>
      <c r="S289" s="68" t="s">
        <v>282</v>
      </c>
      <c r="T289" s="68" t="s">
        <v>282</v>
      </c>
      <c r="U289" s="68" t="s">
        <v>282</v>
      </c>
      <c r="V289" s="68" t="s">
        <v>282</v>
      </c>
      <c r="W289" s="69" t="s">
        <v>18</v>
      </c>
      <c r="X289" s="69" t="s">
        <v>15</v>
      </c>
      <c r="Y289" s="70" t="s">
        <v>282</v>
      </c>
    </row>
    <row r="290" spans="1:25">
      <c r="A290" s="64">
        <v>5</v>
      </c>
      <c r="B290" s="65" t="str">
        <f>VLOOKUP(Tabel10[[#This Row],[Code]],Ruimtegroepen[[Code]:[Ruimte omschrijving]],2,FALSE)</f>
        <v>Sanitair</v>
      </c>
      <c r="C290" s="66" t="s">
        <v>521</v>
      </c>
      <c r="D290" s="65" t="s">
        <v>522</v>
      </c>
      <c r="E290" s="66" t="s">
        <v>99</v>
      </c>
      <c r="F290" s="66" t="s">
        <v>524</v>
      </c>
      <c r="G290" s="71" t="s">
        <v>282</v>
      </c>
      <c r="H290" s="67" t="s">
        <v>282</v>
      </c>
      <c r="I290" s="67" t="s">
        <v>282</v>
      </c>
      <c r="J290" s="67" t="s">
        <v>282</v>
      </c>
      <c r="K290" s="67" t="s">
        <v>282</v>
      </c>
      <c r="L290" s="67" t="s">
        <v>282</v>
      </c>
      <c r="M290" s="67" t="s">
        <v>282</v>
      </c>
      <c r="N290" s="67" t="s">
        <v>282</v>
      </c>
      <c r="O290" s="68" t="s">
        <v>282</v>
      </c>
      <c r="P290" s="68" t="s">
        <v>282</v>
      </c>
      <c r="Q290" s="68" t="s">
        <v>282</v>
      </c>
      <c r="R290" s="68" t="s">
        <v>282</v>
      </c>
      <c r="S290" s="68" t="s">
        <v>282</v>
      </c>
      <c r="T290" s="68" t="s">
        <v>282</v>
      </c>
      <c r="U290" s="68" t="s">
        <v>282</v>
      </c>
      <c r="V290" s="68" t="s">
        <v>282</v>
      </c>
      <c r="W290" s="69" t="s">
        <v>282</v>
      </c>
      <c r="X290" s="69" t="s">
        <v>282</v>
      </c>
      <c r="Y290" s="70" t="s">
        <v>282</v>
      </c>
    </row>
    <row r="291" spans="1:25">
      <c r="A291" s="64">
        <v>5</v>
      </c>
      <c r="B291" s="65" t="str">
        <f>VLOOKUP(Tabel10[[#This Row],[Code]],Ruimtegroepen[[Code]:[Ruimte omschrijving]],2,FALSE)</f>
        <v>Sanitair</v>
      </c>
      <c r="C291" s="66" t="s">
        <v>521</v>
      </c>
      <c r="D291" s="65" t="s">
        <v>522</v>
      </c>
      <c r="E291" s="66" t="s">
        <v>1309</v>
      </c>
      <c r="F291" s="66" t="s">
        <v>1460</v>
      </c>
      <c r="G291" s="71" t="s">
        <v>282</v>
      </c>
      <c r="H291" s="67" t="s">
        <v>282</v>
      </c>
      <c r="I291" s="67" t="s">
        <v>282</v>
      </c>
      <c r="J291" s="67" t="s">
        <v>20</v>
      </c>
      <c r="K291" s="67" t="s">
        <v>282</v>
      </c>
      <c r="L291" s="67" t="s">
        <v>282</v>
      </c>
      <c r="M291" s="67" t="s">
        <v>282</v>
      </c>
      <c r="N291" s="67" t="s">
        <v>282</v>
      </c>
      <c r="O291" s="68" t="s">
        <v>282</v>
      </c>
      <c r="P291" s="68" t="s">
        <v>282</v>
      </c>
      <c r="Q291" s="68" t="s">
        <v>282</v>
      </c>
      <c r="R291" s="68" t="s">
        <v>282</v>
      </c>
      <c r="S291" s="68" t="s">
        <v>282</v>
      </c>
      <c r="T291" s="68" t="s">
        <v>282</v>
      </c>
      <c r="U291" s="68" t="s">
        <v>282</v>
      </c>
      <c r="V291" s="68" t="s">
        <v>282</v>
      </c>
      <c r="W291" s="69" t="s">
        <v>18</v>
      </c>
      <c r="X291" s="69" t="s">
        <v>15</v>
      </c>
      <c r="Y291" s="70" t="s">
        <v>282</v>
      </c>
    </row>
    <row r="292" spans="1:25">
      <c r="A292" s="64">
        <v>6</v>
      </c>
      <c r="B292" s="65" t="str">
        <f>VLOOKUP(Tabel10[[#This Row],[Code]],Ruimtegroepen[[Code]:[Ruimte omschrijving]],2,FALSE)</f>
        <v>Gangen/hallen</v>
      </c>
      <c r="C292" s="66" t="s">
        <v>527</v>
      </c>
      <c r="D292" s="65" t="s">
        <v>29</v>
      </c>
      <c r="E292" s="66" t="s">
        <v>100</v>
      </c>
      <c r="F292" s="66" t="s">
        <v>528</v>
      </c>
      <c r="G292" s="71" t="s">
        <v>282</v>
      </c>
      <c r="H292" s="67" t="s">
        <v>282</v>
      </c>
      <c r="I292" s="67" t="s">
        <v>282</v>
      </c>
      <c r="J292" s="67" t="s">
        <v>2</v>
      </c>
      <c r="K292" s="67" t="s">
        <v>282</v>
      </c>
      <c r="L292" s="67" t="s">
        <v>282</v>
      </c>
      <c r="M292" s="67" t="s">
        <v>282</v>
      </c>
      <c r="N292" s="67" t="s">
        <v>2</v>
      </c>
      <c r="O292" s="68" t="s">
        <v>2</v>
      </c>
      <c r="P292" s="68" t="s">
        <v>2</v>
      </c>
      <c r="Q292" s="68" t="s">
        <v>15</v>
      </c>
      <c r="R292" s="68" t="s">
        <v>15</v>
      </c>
      <c r="S292" s="68" t="s">
        <v>16</v>
      </c>
      <c r="T292" s="68" t="s">
        <v>329</v>
      </c>
      <c r="U292" s="68" t="s">
        <v>249</v>
      </c>
      <c r="V292" s="68" t="s">
        <v>2</v>
      </c>
      <c r="W292" s="69" t="s">
        <v>282</v>
      </c>
      <c r="X292" s="69" t="s">
        <v>282</v>
      </c>
      <c r="Y292" s="70" t="s">
        <v>282</v>
      </c>
    </row>
    <row r="293" spans="1:25">
      <c r="A293" s="64">
        <v>6</v>
      </c>
      <c r="B293" s="65" t="str">
        <f>VLOOKUP(Tabel10[[#This Row],[Code]],Ruimtegroepen[[Code]:[Ruimte omschrijving]],2,FALSE)</f>
        <v>Gangen/hallen</v>
      </c>
      <c r="C293" s="66" t="s">
        <v>527</v>
      </c>
      <c r="D293" s="65" t="s">
        <v>29</v>
      </c>
      <c r="E293" s="66" t="s">
        <v>99</v>
      </c>
      <c r="F293" s="66" t="s">
        <v>529</v>
      </c>
      <c r="G293" s="71" t="s">
        <v>282</v>
      </c>
      <c r="H293" s="67" t="s">
        <v>2</v>
      </c>
      <c r="I293" s="67" t="s">
        <v>282</v>
      </c>
      <c r="J293" s="67" t="s">
        <v>282</v>
      </c>
      <c r="K293" s="67" t="s">
        <v>282</v>
      </c>
      <c r="L293" s="67" t="s">
        <v>282</v>
      </c>
      <c r="M293" s="67" t="s">
        <v>282</v>
      </c>
      <c r="N293" s="67" t="s">
        <v>2</v>
      </c>
      <c r="O293" s="68" t="s">
        <v>2</v>
      </c>
      <c r="P293" s="68" t="s">
        <v>2</v>
      </c>
      <c r="Q293" s="68" t="s">
        <v>15</v>
      </c>
      <c r="R293" s="68" t="s">
        <v>15</v>
      </c>
      <c r="S293" s="68" t="s">
        <v>16</v>
      </c>
      <c r="T293" s="68" t="s">
        <v>329</v>
      </c>
      <c r="U293" s="68" t="s">
        <v>249</v>
      </c>
      <c r="V293" s="68" t="s">
        <v>2</v>
      </c>
      <c r="W293" s="69" t="s">
        <v>282</v>
      </c>
      <c r="X293" s="69" t="s">
        <v>282</v>
      </c>
      <c r="Y293" s="70" t="s">
        <v>282</v>
      </c>
    </row>
    <row r="294" spans="1:25">
      <c r="A294" s="64">
        <v>6</v>
      </c>
      <c r="B294" s="65" t="str">
        <f>VLOOKUP(Tabel10[[#This Row],[Code]],Ruimtegroepen[[Code]:[Ruimte omschrijving]],2,FALSE)</f>
        <v>Gangen/hallen</v>
      </c>
      <c r="C294" s="66" t="s">
        <v>527</v>
      </c>
      <c r="D294" s="65" t="s">
        <v>29</v>
      </c>
      <c r="E294" s="66" t="s">
        <v>101</v>
      </c>
      <c r="F294" s="66" t="s">
        <v>530</v>
      </c>
      <c r="G294" s="71" t="s">
        <v>282</v>
      </c>
      <c r="H294" s="67" t="s">
        <v>282</v>
      </c>
      <c r="I294" s="67" t="s">
        <v>2</v>
      </c>
      <c r="J294" s="67" t="s">
        <v>282</v>
      </c>
      <c r="K294" s="67" t="s">
        <v>2</v>
      </c>
      <c r="L294" s="67" t="s">
        <v>282</v>
      </c>
      <c r="M294" s="67" t="s">
        <v>282</v>
      </c>
      <c r="N294" s="67" t="s">
        <v>2</v>
      </c>
      <c r="O294" s="68" t="s">
        <v>2</v>
      </c>
      <c r="P294" s="68" t="s">
        <v>2</v>
      </c>
      <c r="Q294" s="68" t="s">
        <v>15</v>
      </c>
      <c r="R294" s="68" t="s">
        <v>15</v>
      </c>
      <c r="S294" s="68" t="s">
        <v>16</v>
      </c>
      <c r="T294" s="68" t="s">
        <v>329</v>
      </c>
      <c r="U294" s="68" t="s">
        <v>249</v>
      </c>
      <c r="V294" s="68" t="s">
        <v>2</v>
      </c>
      <c r="W294" s="69" t="s">
        <v>282</v>
      </c>
      <c r="X294" s="69" t="s">
        <v>282</v>
      </c>
      <c r="Y294" s="70" t="s">
        <v>282</v>
      </c>
    </row>
    <row r="295" spans="1:25">
      <c r="A295" s="64">
        <v>6</v>
      </c>
      <c r="B295" s="65" t="str">
        <f>VLOOKUP(Tabel10[[#This Row],[Code]],Ruimtegroepen[[Code]:[Ruimte omschrijving]],2,FALSE)</f>
        <v>Gangen/hallen</v>
      </c>
      <c r="C295" s="66" t="s">
        <v>527</v>
      </c>
      <c r="D295" s="65" t="s">
        <v>29</v>
      </c>
      <c r="E295" s="66" t="s">
        <v>102</v>
      </c>
      <c r="F295" s="66" t="s">
        <v>531</v>
      </c>
      <c r="G295" s="71" t="s">
        <v>282</v>
      </c>
      <c r="H295" s="67" t="s">
        <v>282</v>
      </c>
      <c r="I295" s="67" t="s">
        <v>2</v>
      </c>
      <c r="J295" s="67" t="s">
        <v>282</v>
      </c>
      <c r="K295" s="67" t="s">
        <v>2</v>
      </c>
      <c r="L295" s="67" t="s">
        <v>282</v>
      </c>
      <c r="M295" s="67" t="s">
        <v>282</v>
      </c>
      <c r="N295" s="67" t="s">
        <v>2</v>
      </c>
      <c r="O295" s="68" t="s">
        <v>2</v>
      </c>
      <c r="P295" s="68" t="s">
        <v>2</v>
      </c>
      <c r="Q295" s="68" t="s">
        <v>15</v>
      </c>
      <c r="R295" s="68" t="s">
        <v>15</v>
      </c>
      <c r="S295" s="68" t="s">
        <v>16</v>
      </c>
      <c r="T295" s="68" t="s">
        <v>329</v>
      </c>
      <c r="U295" s="68" t="s">
        <v>249</v>
      </c>
      <c r="V295" s="68" t="s">
        <v>2</v>
      </c>
      <c r="W295" s="69" t="s">
        <v>282</v>
      </c>
      <c r="X295" s="69" t="s">
        <v>282</v>
      </c>
      <c r="Y295" s="70" t="s">
        <v>282</v>
      </c>
    </row>
    <row r="296" spans="1:25">
      <c r="A296" s="64">
        <v>6</v>
      </c>
      <c r="B296" s="65" t="str">
        <f>VLOOKUP(Tabel10[[#This Row],[Code]],Ruimtegroepen[[Code]:[Ruimte omschrijving]],2,FALSE)</f>
        <v>Gangen/hallen</v>
      </c>
      <c r="C296" s="66" t="s">
        <v>527</v>
      </c>
      <c r="D296" s="65" t="s">
        <v>29</v>
      </c>
      <c r="E296" s="66" t="s">
        <v>99</v>
      </c>
      <c r="F296" s="66" t="s">
        <v>529</v>
      </c>
      <c r="G296" s="71" t="s">
        <v>282</v>
      </c>
      <c r="H296" s="67" t="s">
        <v>2</v>
      </c>
      <c r="I296" s="67" t="s">
        <v>282</v>
      </c>
      <c r="J296" s="67" t="s">
        <v>282</v>
      </c>
      <c r="K296" s="67" t="s">
        <v>282</v>
      </c>
      <c r="L296" s="67" t="s">
        <v>282</v>
      </c>
      <c r="M296" s="67" t="s">
        <v>282</v>
      </c>
      <c r="N296" s="67" t="s">
        <v>2</v>
      </c>
      <c r="O296" s="68" t="s">
        <v>2</v>
      </c>
      <c r="P296" s="68" t="s">
        <v>2</v>
      </c>
      <c r="Q296" s="68" t="s">
        <v>15</v>
      </c>
      <c r="R296" s="68" t="s">
        <v>15</v>
      </c>
      <c r="S296" s="68" t="s">
        <v>16</v>
      </c>
      <c r="T296" s="68" t="s">
        <v>329</v>
      </c>
      <c r="U296" s="68" t="s">
        <v>249</v>
      </c>
      <c r="V296" s="68" t="s">
        <v>2</v>
      </c>
      <c r="W296" s="69" t="s">
        <v>282</v>
      </c>
      <c r="X296" s="69" t="s">
        <v>282</v>
      </c>
      <c r="Y296" s="70" t="s">
        <v>282</v>
      </c>
    </row>
    <row r="297" spans="1:25">
      <c r="A297" s="64">
        <v>6</v>
      </c>
      <c r="B297" s="65" t="str">
        <f>VLOOKUP(Tabel10[[#This Row],[Code]],Ruimtegroepen[[Code]:[Ruimte omschrijving]],2,FALSE)</f>
        <v>Gangen/hallen</v>
      </c>
      <c r="C297" s="66" t="s">
        <v>527</v>
      </c>
      <c r="D297" s="65" t="s">
        <v>29</v>
      </c>
      <c r="E297" s="66" t="s">
        <v>1309</v>
      </c>
      <c r="F297" s="66" t="s">
        <v>1479</v>
      </c>
      <c r="G297" s="71" t="s">
        <v>282</v>
      </c>
      <c r="H297" s="67" t="s">
        <v>282</v>
      </c>
      <c r="I297" s="67" t="s">
        <v>2</v>
      </c>
      <c r="J297" s="67" t="s">
        <v>282</v>
      </c>
      <c r="K297" s="67" t="s">
        <v>2</v>
      </c>
      <c r="L297" s="67" t="s">
        <v>282</v>
      </c>
      <c r="M297" s="67" t="s">
        <v>282</v>
      </c>
      <c r="N297" s="67" t="s">
        <v>2</v>
      </c>
      <c r="O297" s="68" t="s">
        <v>2</v>
      </c>
      <c r="P297" s="68" t="s">
        <v>2</v>
      </c>
      <c r="Q297" s="68" t="s">
        <v>15</v>
      </c>
      <c r="R297" s="68" t="s">
        <v>15</v>
      </c>
      <c r="S297" s="68" t="s">
        <v>16</v>
      </c>
      <c r="T297" s="68" t="s">
        <v>329</v>
      </c>
      <c r="U297" s="68" t="s">
        <v>249</v>
      </c>
      <c r="V297" s="68" t="s">
        <v>2</v>
      </c>
      <c r="W297" s="69" t="s">
        <v>282</v>
      </c>
      <c r="X297" s="69" t="s">
        <v>282</v>
      </c>
      <c r="Y297" s="70" t="s">
        <v>282</v>
      </c>
    </row>
    <row r="298" spans="1:25">
      <c r="A298" s="64">
        <v>6</v>
      </c>
      <c r="B298" s="65" t="str">
        <f>VLOOKUP(Tabel10[[#This Row],[Code]],Ruimtegroepen[[Code]:[Ruimte omschrijving]],2,FALSE)</f>
        <v>Gangen/hallen</v>
      </c>
      <c r="C298" s="66" t="s">
        <v>532</v>
      </c>
      <c r="D298" s="65" t="s">
        <v>1</v>
      </c>
      <c r="E298" s="66" t="s">
        <v>100</v>
      </c>
      <c r="F298" s="66" t="s">
        <v>533</v>
      </c>
      <c r="G298" s="71" t="s">
        <v>282</v>
      </c>
      <c r="H298" s="67" t="s">
        <v>282</v>
      </c>
      <c r="I298" s="67" t="s">
        <v>282</v>
      </c>
      <c r="J298" s="67" t="s">
        <v>2</v>
      </c>
      <c r="K298" s="67" t="s">
        <v>282</v>
      </c>
      <c r="L298" s="67" t="s">
        <v>282</v>
      </c>
      <c r="M298" s="67" t="s">
        <v>282</v>
      </c>
      <c r="N298" s="67" t="s">
        <v>282</v>
      </c>
      <c r="O298" s="68" t="s">
        <v>2</v>
      </c>
      <c r="P298" s="68" t="s">
        <v>2</v>
      </c>
      <c r="Q298" s="68" t="s">
        <v>15</v>
      </c>
      <c r="R298" s="68" t="s">
        <v>15</v>
      </c>
      <c r="S298" s="68" t="s">
        <v>16</v>
      </c>
      <c r="T298" s="68" t="s">
        <v>329</v>
      </c>
      <c r="U298" s="68" t="s">
        <v>249</v>
      </c>
      <c r="V298" s="68" t="s">
        <v>282</v>
      </c>
      <c r="W298" s="69" t="s">
        <v>282</v>
      </c>
      <c r="X298" s="69" t="s">
        <v>282</v>
      </c>
      <c r="Y298" s="70" t="s">
        <v>282</v>
      </c>
    </row>
    <row r="299" spans="1:25">
      <c r="A299" s="64">
        <v>6</v>
      </c>
      <c r="B299" s="65" t="str">
        <f>VLOOKUP(Tabel10[[#This Row],[Code]],Ruimtegroepen[[Code]:[Ruimte omschrijving]],2,FALSE)</f>
        <v>Gangen/hallen</v>
      </c>
      <c r="C299" s="66" t="s">
        <v>532</v>
      </c>
      <c r="D299" s="65" t="s">
        <v>1</v>
      </c>
      <c r="E299" s="66" t="s">
        <v>99</v>
      </c>
      <c r="F299" s="66" t="s">
        <v>534</v>
      </c>
      <c r="G299" s="71" t="s">
        <v>282</v>
      </c>
      <c r="H299" s="67" t="s">
        <v>2</v>
      </c>
      <c r="I299" s="67" t="s">
        <v>282</v>
      </c>
      <c r="J299" s="67" t="s">
        <v>282</v>
      </c>
      <c r="K299" s="67" t="s">
        <v>282</v>
      </c>
      <c r="L299" s="67" t="s">
        <v>282</v>
      </c>
      <c r="M299" s="67" t="s">
        <v>282</v>
      </c>
      <c r="N299" s="67" t="s">
        <v>282</v>
      </c>
      <c r="O299" s="68" t="s">
        <v>2</v>
      </c>
      <c r="P299" s="68" t="s">
        <v>2</v>
      </c>
      <c r="Q299" s="68" t="s">
        <v>15</v>
      </c>
      <c r="R299" s="68" t="s">
        <v>15</v>
      </c>
      <c r="S299" s="68" t="s">
        <v>16</v>
      </c>
      <c r="T299" s="68" t="s">
        <v>329</v>
      </c>
      <c r="U299" s="68" t="s">
        <v>249</v>
      </c>
      <c r="V299" s="68" t="s">
        <v>282</v>
      </c>
      <c r="W299" s="69" t="s">
        <v>282</v>
      </c>
      <c r="X299" s="69" t="s">
        <v>282</v>
      </c>
      <c r="Y299" s="70" t="s">
        <v>282</v>
      </c>
    </row>
    <row r="300" spans="1:25">
      <c r="A300" s="64">
        <v>6</v>
      </c>
      <c r="B300" s="65" t="str">
        <f>VLOOKUP(Tabel10[[#This Row],[Code]],Ruimtegroepen[[Code]:[Ruimte omschrijving]],2,FALSE)</f>
        <v>Gangen/hallen</v>
      </c>
      <c r="C300" s="66" t="s">
        <v>532</v>
      </c>
      <c r="D300" s="65" t="s">
        <v>1</v>
      </c>
      <c r="E300" s="66" t="s">
        <v>101</v>
      </c>
      <c r="F300" s="66" t="s">
        <v>535</v>
      </c>
      <c r="G300" s="71" t="s">
        <v>282</v>
      </c>
      <c r="H300" s="67" t="s">
        <v>282</v>
      </c>
      <c r="I300" s="67" t="s">
        <v>2</v>
      </c>
      <c r="J300" s="67" t="s">
        <v>282</v>
      </c>
      <c r="K300" s="67" t="s">
        <v>2</v>
      </c>
      <c r="L300" s="67" t="s">
        <v>282</v>
      </c>
      <c r="M300" s="67" t="s">
        <v>282</v>
      </c>
      <c r="N300" s="67" t="s">
        <v>282</v>
      </c>
      <c r="O300" s="68" t="s">
        <v>2</v>
      </c>
      <c r="P300" s="68" t="s">
        <v>2</v>
      </c>
      <c r="Q300" s="68" t="s">
        <v>15</v>
      </c>
      <c r="R300" s="68" t="s">
        <v>15</v>
      </c>
      <c r="S300" s="68" t="s">
        <v>16</v>
      </c>
      <c r="T300" s="68" t="s">
        <v>329</v>
      </c>
      <c r="U300" s="68" t="s">
        <v>249</v>
      </c>
      <c r="V300" s="68" t="s">
        <v>282</v>
      </c>
      <c r="W300" s="69" t="s">
        <v>282</v>
      </c>
      <c r="X300" s="69" t="s">
        <v>282</v>
      </c>
      <c r="Y300" s="70" t="s">
        <v>282</v>
      </c>
    </row>
    <row r="301" spans="1:25">
      <c r="A301" s="64">
        <v>6</v>
      </c>
      <c r="B301" s="65" t="str">
        <f>VLOOKUP(Tabel10[[#This Row],[Code]],Ruimtegroepen[[Code]:[Ruimte omschrijving]],2,FALSE)</f>
        <v>Gangen/hallen</v>
      </c>
      <c r="C301" s="66" t="s">
        <v>532</v>
      </c>
      <c r="D301" s="65" t="s">
        <v>1</v>
      </c>
      <c r="E301" s="66" t="s">
        <v>102</v>
      </c>
      <c r="F301" s="66" t="s">
        <v>536</v>
      </c>
      <c r="G301" s="71" t="s">
        <v>282</v>
      </c>
      <c r="H301" s="67" t="s">
        <v>282</v>
      </c>
      <c r="I301" s="67" t="s">
        <v>2</v>
      </c>
      <c r="J301" s="67" t="s">
        <v>282</v>
      </c>
      <c r="K301" s="67" t="s">
        <v>2</v>
      </c>
      <c r="L301" s="67" t="s">
        <v>282</v>
      </c>
      <c r="M301" s="67" t="s">
        <v>282</v>
      </c>
      <c r="N301" s="67" t="s">
        <v>282</v>
      </c>
      <c r="O301" s="68" t="s">
        <v>2</v>
      </c>
      <c r="P301" s="68" t="s">
        <v>2</v>
      </c>
      <c r="Q301" s="68" t="s">
        <v>15</v>
      </c>
      <c r="R301" s="68" t="s">
        <v>15</v>
      </c>
      <c r="S301" s="68" t="s">
        <v>16</v>
      </c>
      <c r="T301" s="68" t="s">
        <v>329</v>
      </c>
      <c r="U301" s="68" t="s">
        <v>249</v>
      </c>
      <c r="V301" s="68" t="s">
        <v>282</v>
      </c>
      <c r="W301" s="69" t="s">
        <v>282</v>
      </c>
      <c r="X301" s="69" t="s">
        <v>282</v>
      </c>
      <c r="Y301" s="70" t="s">
        <v>282</v>
      </c>
    </row>
    <row r="302" spans="1:25">
      <c r="A302" s="64">
        <v>6</v>
      </c>
      <c r="B302" s="65" t="str">
        <f>VLOOKUP(Tabel10[[#This Row],[Code]],Ruimtegroepen[[Code]:[Ruimte omschrijving]],2,FALSE)</f>
        <v>Gangen/hallen</v>
      </c>
      <c r="C302" s="66" t="s">
        <v>532</v>
      </c>
      <c r="D302" s="65" t="s">
        <v>1</v>
      </c>
      <c r="E302" s="66" t="s">
        <v>99</v>
      </c>
      <c r="F302" s="66" t="s">
        <v>534</v>
      </c>
      <c r="G302" s="71" t="s">
        <v>282</v>
      </c>
      <c r="H302" s="67" t="s">
        <v>2</v>
      </c>
      <c r="I302" s="67" t="s">
        <v>282</v>
      </c>
      <c r="J302" s="67" t="s">
        <v>282</v>
      </c>
      <c r="K302" s="67" t="s">
        <v>282</v>
      </c>
      <c r="L302" s="67" t="s">
        <v>282</v>
      </c>
      <c r="M302" s="67" t="s">
        <v>282</v>
      </c>
      <c r="N302" s="67" t="s">
        <v>282</v>
      </c>
      <c r="O302" s="68" t="s">
        <v>2</v>
      </c>
      <c r="P302" s="68" t="s">
        <v>2</v>
      </c>
      <c r="Q302" s="68" t="s">
        <v>15</v>
      </c>
      <c r="R302" s="68" t="s">
        <v>15</v>
      </c>
      <c r="S302" s="68" t="s">
        <v>16</v>
      </c>
      <c r="T302" s="68" t="s">
        <v>329</v>
      </c>
      <c r="U302" s="68" t="s">
        <v>249</v>
      </c>
      <c r="V302" s="68" t="s">
        <v>282</v>
      </c>
      <c r="W302" s="69" t="s">
        <v>282</v>
      </c>
      <c r="X302" s="69" t="s">
        <v>282</v>
      </c>
      <c r="Y302" s="70" t="s">
        <v>282</v>
      </c>
    </row>
    <row r="303" spans="1:25">
      <c r="A303" s="64">
        <v>6</v>
      </c>
      <c r="B303" s="65" t="str">
        <f>VLOOKUP(Tabel10[[#This Row],[Code]],Ruimtegroepen[[Code]:[Ruimte omschrijving]],2,FALSE)</f>
        <v>Gangen/hallen</v>
      </c>
      <c r="C303" s="66" t="s">
        <v>532</v>
      </c>
      <c r="D303" s="65" t="s">
        <v>1</v>
      </c>
      <c r="E303" s="66" t="s">
        <v>1309</v>
      </c>
      <c r="F303" s="66" t="s">
        <v>1463</v>
      </c>
      <c r="G303" s="71" t="s">
        <v>282</v>
      </c>
      <c r="H303" s="67" t="s">
        <v>282</v>
      </c>
      <c r="I303" s="67" t="s">
        <v>2</v>
      </c>
      <c r="J303" s="67" t="s">
        <v>282</v>
      </c>
      <c r="K303" s="67" t="s">
        <v>2</v>
      </c>
      <c r="L303" s="67" t="s">
        <v>282</v>
      </c>
      <c r="M303" s="67" t="s">
        <v>282</v>
      </c>
      <c r="N303" s="67" t="s">
        <v>282</v>
      </c>
      <c r="O303" s="68" t="s">
        <v>2</v>
      </c>
      <c r="P303" s="68" t="s">
        <v>2</v>
      </c>
      <c r="Q303" s="68" t="s">
        <v>15</v>
      </c>
      <c r="R303" s="68" t="s">
        <v>15</v>
      </c>
      <c r="S303" s="68" t="s">
        <v>16</v>
      </c>
      <c r="T303" s="68" t="s">
        <v>329</v>
      </c>
      <c r="U303" s="68" t="s">
        <v>249</v>
      </c>
      <c r="V303" s="68" t="s">
        <v>282</v>
      </c>
      <c r="W303" s="69" t="s">
        <v>282</v>
      </c>
      <c r="X303" s="69" t="s">
        <v>282</v>
      </c>
      <c r="Y303" s="70" t="s">
        <v>282</v>
      </c>
    </row>
    <row r="304" spans="1:25">
      <c r="A304" s="64">
        <v>6</v>
      </c>
      <c r="B304" s="65" t="str">
        <f>VLOOKUP(Tabel10[[#This Row],[Code]],Ruimtegroepen[[Code]:[Ruimte omschrijving]],2,FALSE)</f>
        <v>Gangen/hallen</v>
      </c>
      <c r="C304" s="66" t="s">
        <v>537</v>
      </c>
      <c r="D304" s="65" t="s">
        <v>21</v>
      </c>
      <c r="E304" s="66" t="s">
        <v>100</v>
      </c>
      <c r="F304" s="66" t="s">
        <v>538</v>
      </c>
      <c r="G304" s="71" t="s">
        <v>282</v>
      </c>
      <c r="H304" s="67" t="s">
        <v>282</v>
      </c>
      <c r="I304" s="67" t="s">
        <v>282</v>
      </c>
      <c r="J304" s="67" t="s">
        <v>20</v>
      </c>
      <c r="K304" s="67" t="s">
        <v>282</v>
      </c>
      <c r="L304" s="67" t="s">
        <v>282</v>
      </c>
      <c r="M304" s="67" t="s">
        <v>282</v>
      </c>
      <c r="N304" s="67" t="s">
        <v>282</v>
      </c>
      <c r="O304" s="68" t="s">
        <v>20</v>
      </c>
      <c r="P304" s="68" t="s">
        <v>20</v>
      </c>
      <c r="Q304" s="68" t="s">
        <v>15</v>
      </c>
      <c r="R304" s="68" t="s">
        <v>15</v>
      </c>
      <c r="S304" s="68" t="s">
        <v>16</v>
      </c>
      <c r="T304" s="68" t="s">
        <v>329</v>
      </c>
      <c r="U304" s="68" t="s">
        <v>249</v>
      </c>
      <c r="V304" s="68" t="s">
        <v>282</v>
      </c>
      <c r="W304" s="69" t="s">
        <v>282</v>
      </c>
      <c r="X304" s="69" t="s">
        <v>282</v>
      </c>
      <c r="Y304" s="70" t="s">
        <v>282</v>
      </c>
    </row>
    <row r="305" spans="1:25">
      <c r="A305" s="64">
        <v>6</v>
      </c>
      <c r="B305" s="65" t="str">
        <f>VLOOKUP(Tabel10[[#This Row],[Code]],Ruimtegroepen[[Code]:[Ruimte omschrijving]],2,FALSE)</f>
        <v>Gangen/hallen</v>
      </c>
      <c r="C305" s="66" t="s">
        <v>537</v>
      </c>
      <c r="D305" s="65" t="s">
        <v>21</v>
      </c>
      <c r="E305" s="66" t="s">
        <v>99</v>
      </c>
      <c r="F305" s="66" t="s">
        <v>539</v>
      </c>
      <c r="G305" s="71" t="s">
        <v>282</v>
      </c>
      <c r="H305" s="67" t="s">
        <v>20</v>
      </c>
      <c r="I305" s="67" t="s">
        <v>282</v>
      </c>
      <c r="J305" s="67" t="s">
        <v>282</v>
      </c>
      <c r="K305" s="67" t="s">
        <v>282</v>
      </c>
      <c r="L305" s="67" t="s">
        <v>282</v>
      </c>
      <c r="M305" s="67" t="s">
        <v>282</v>
      </c>
      <c r="N305" s="67" t="s">
        <v>282</v>
      </c>
      <c r="O305" s="68" t="s">
        <v>20</v>
      </c>
      <c r="P305" s="68" t="s">
        <v>20</v>
      </c>
      <c r="Q305" s="68" t="s">
        <v>15</v>
      </c>
      <c r="R305" s="68" t="s">
        <v>15</v>
      </c>
      <c r="S305" s="68" t="s">
        <v>16</v>
      </c>
      <c r="T305" s="68" t="s">
        <v>329</v>
      </c>
      <c r="U305" s="68" t="s">
        <v>249</v>
      </c>
      <c r="V305" s="68" t="s">
        <v>282</v>
      </c>
      <c r="W305" s="69" t="s">
        <v>282</v>
      </c>
      <c r="X305" s="69" t="s">
        <v>282</v>
      </c>
      <c r="Y305" s="70" t="s">
        <v>282</v>
      </c>
    </row>
    <row r="306" spans="1:25">
      <c r="A306" s="64">
        <v>6</v>
      </c>
      <c r="B306" s="65" t="str">
        <f>VLOOKUP(Tabel10[[#This Row],[Code]],Ruimtegroepen[[Code]:[Ruimte omschrijving]],2,FALSE)</f>
        <v>Gangen/hallen</v>
      </c>
      <c r="C306" s="66" t="s">
        <v>537</v>
      </c>
      <c r="D306" s="65" t="s">
        <v>21</v>
      </c>
      <c r="E306" s="66" t="s">
        <v>101</v>
      </c>
      <c r="F306" s="66" t="s">
        <v>540</v>
      </c>
      <c r="G306" s="71" t="s">
        <v>282</v>
      </c>
      <c r="H306" s="67" t="s">
        <v>282</v>
      </c>
      <c r="I306" s="67" t="s">
        <v>20</v>
      </c>
      <c r="J306" s="67" t="s">
        <v>282</v>
      </c>
      <c r="K306" s="67" t="s">
        <v>20</v>
      </c>
      <c r="L306" s="67" t="s">
        <v>282</v>
      </c>
      <c r="M306" s="67" t="s">
        <v>282</v>
      </c>
      <c r="N306" s="67" t="s">
        <v>282</v>
      </c>
      <c r="O306" s="68" t="s">
        <v>20</v>
      </c>
      <c r="P306" s="68" t="s">
        <v>20</v>
      </c>
      <c r="Q306" s="68" t="s">
        <v>15</v>
      </c>
      <c r="R306" s="68" t="s">
        <v>15</v>
      </c>
      <c r="S306" s="68" t="s">
        <v>16</v>
      </c>
      <c r="T306" s="68" t="s">
        <v>329</v>
      </c>
      <c r="U306" s="68" t="s">
        <v>249</v>
      </c>
      <c r="V306" s="68" t="s">
        <v>282</v>
      </c>
      <c r="W306" s="69" t="s">
        <v>282</v>
      </c>
      <c r="X306" s="69" t="s">
        <v>282</v>
      </c>
      <c r="Y306" s="70" t="s">
        <v>282</v>
      </c>
    </row>
    <row r="307" spans="1:25">
      <c r="A307" s="64">
        <v>6</v>
      </c>
      <c r="B307" s="65" t="str">
        <f>VLOOKUP(Tabel10[[#This Row],[Code]],Ruimtegroepen[[Code]:[Ruimte omschrijving]],2,FALSE)</f>
        <v>Gangen/hallen</v>
      </c>
      <c r="C307" s="66" t="s">
        <v>537</v>
      </c>
      <c r="D307" s="65" t="s">
        <v>21</v>
      </c>
      <c r="E307" s="66" t="s">
        <v>102</v>
      </c>
      <c r="F307" s="66" t="s">
        <v>541</v>
      </c>
      <c r="G307" s="71" t="s">
        <v>282</v>
      </c>
      <c r="H307" s="67" t="s">
        <v>282</v>
      </c>
      <c r="I307" s="67" t="s">
        <v>20</v>
      </c>
      <c r="J307" s="67" t="s">
        <v>282</v>
      </c>
      <c r="K307" s="67" t="s">
        <v>20</v>
      </c>
      <c r="L307" s="67" t="s">
        <v>282</v>
      </c>
      <c r="M307" s="67" t="s">
        <v>282</v>
      </c>
      <c r="N307" s="67" t="s">
        <v>282</v>
      </c>
      <c r="O307" s="68" t="s">
        <v>20</v>
      </c>
      <c r="P307" s="68" t="s">
        <v>20</v>
      </c>
      <c r="Q307" s="68" t="s">
        <v>15</v>
      </c>
      <c r="R307" s="68" t="s">
        <v>15</v>
      </c>
      <c r="S307" s="68" t="s">
        <v>16</v>
      </c>
      <c r="T307" s="68" t="s">
        <v>329</v>
      </c>
      <c r="U307" s="68" t="s">
        <v>249</v>
      </c>
      <c r="V307" s="68" t="s">
        <v>282</v>
      </c>
      <c r="W307" s="69" t="s">
        <v>282</v>
      </c>
      <c r="X307" s="69" t="s">
        <v>282</v>
      </c>
      <c r="Y307" s="70" t="s">
        <v>282</v>
      </c>
    </row>
    <row r="308" spans="1:25">
      <c r="A308" s="64">
        <v>6</v>
      </c>
      <c r="B308" s="65" t="str">
        <f>VLOOKUP(Tabel10[[#This Row],[Code]],Ruimtegroepen[[Code]:[Ruimte omschrijving]],2,FALSE)</f>
        <v>Gangen/hallen</v>
      </c>
      <c r="C308" s="66" t="s">
        <v>537</v>
      </c>
      <c r="D308" s="65" t="s">
        <v>21</v>
      </c>
      <c r="E308" s="66" t="s">
        <v>99</v>
      </c>
      <c r="F308" s="66" t="s">
        <v>539</v>
      </c>
      <c r="G308" s="71" t="s">
        <v>282</v>
      </c>
      <c r="H308" s="67" t="s">
        <v>20</v>
      </c>
      <c r="I308" s="67" t="s">
        <v>282</v>
      </c>
      <c r="J308" s="67" t="s">
        <v>282</v>
      </c>
      <c r="K308" s="67" t="s">
        <v>282</v>
      </c>
      <c r="L308" s="67" t="s">
        <v>282</v>
      </c>
      <c r="M308" s="67" t="s">
        <v>282</v>
      </c>
      <c r="N308" s="67" t="s">
        <v>282</v>
      </c>
      <c r="O308" s="68" t="s">
        <v>20</v>
      </c>
      <c r="P308" s="68" t="s">
        <v>20</v>
      </c>
      <c r="Q308" s="68" t="s">
        <v>15</v>
      </c>
      <c r="R308" s="68" t="s">
        <v>15</v>
      </c>
      <c r="S308" s="68" t="s">
        <v>16</v>
      </c>
      <c r="T308" s="68" t="s">
        <v>329</v>
      </c>
      <c r="U308" s="68" t="s">
        <v>249</v>
      </c>
      <c r="V308" s="68" t="s">
        <v>282</v>
      </c>
      <c r="W308" s="69" t="s">
        <v>282</v>
      </c>
      <c r="X308" s="69" t="s">
        <v>282</v>
      </c>
      <c r="Y308" s="70" t="s">
        <v>282</v>
      </c>
    </row>
    <row r="309" spans="1:25">
      <c r="A309" s="64">
        <v>6</v>
      </c>
      <c r="B309" s="65" t="str">
        <f>VLOOKUP(Tabel10[[#This Row],[Code]],Ruimtegroepen[[Code]:[Ruimte omschrijving]],2,FALSE)</f>
        <v>Gangen/hallen</v>
      </c>
      <c r="C309" s="66" t="s">
        <v>537</v>
      </c>
      <c r="D309" s="65" t="s">
        <v>21</v>
      </c>
      <c r="E309" s="66" t="s">
        <v>1309</v>
      </c>
      <c r="F309" s="66" t="s">
        <v>1446</v>
      </c>
      <c r="G309" s="71" t="s">
        <v>282</v>
      </c>
      <c r="H309" s="67" t="s">
        <v>282</v>
      </c>
      <c r="I309" s="67" t="s">
        <v>20</v>
      </c>
      <c r="J309" s="67" t="s">
        <v>282</v>
      </c>
      <c r="K309" s="67" t="s">
        <v>20</v>
      </c>
      <c r="L309" s="67" t="s">
        <v>282</v>
      </c>
      <c r="M309" s="67" t="s">
        <v>282</v>
      </c>
      <c r="N309" s="67" t="s">
        <v>282</v>
      </c>
      <c r="O309" s="68" t="s">
        <v>20</v>
      </c>
      <c r="P309" s="68" t="s">
        <v>20</v>
      </c>
      <c r="Q309" s="68" t="s">
        <v>15</v>
      </c>
      <c r="R309" s="68" t="s">
        <v>15</v>
      </c>
      <c r="S309" s="68" t="s">
        <v>16</v>
      </c>
      <c r="T309" s="68" t="s">
        <v>329</v>
      </c>
      <c r="U309" s="68" t="s">
        <v>249</v>
      </c>
      <c r="V309" s="68" t="s">
        <v>282</v>
      </c>
      <c r="W309" s="69" t="s">
        <v>282</v>
      </c>
      <c r="X309" s="69" t="s">
        <v>282</v>
      </c>
      <c r="Y309" s="70" t="s">
        <v>282</v>
      </c>
    </row>
    <row r="310" spans="1:25">
      <c r="A310" s="64">
        <v>6</v>
      </c>
      <c r="B310" s="65" t="str">
        <f>VLOOKUP(Tabel10[[#This Row],[Code]],Ruimtegroepen[[Code]:[Ruimte omschrijving]],2,FALSE)</f>
        <v>Gangen/hallen</v>
      </c>
      <c r="C310" s="66" t="s">
        <v>542</v>
      </c>
      <c r="D310" s="65" t="s">
        <v>12</v>
      </c>
      <c r="E310" s="66" t="s">
        <v>100</v>
      </c>
      <c r="F310" s="66" t="s">
        <v>543</v>
      </c>
      <c r="G310" s="71" t="s">
        <v>282</v>
      </c>
      <c r="H310" s="67" t="s">
        <v>282</v>
      </c>
      <c r="I310" s="67" t="s">
        <v>282</v>
      </c>
      <c r="J310" s="67" t="s">
        <v>18</v>
      </c>
      <c r="K310" s="67" t="s">
        <v>282</v>
      </c>
      <c r="L310" s="67" t="s">
        <v>282</v>
      </c>
      <c r="M310" s="67" t="s">
        <v>282</v>
      </c>
      <c r="N310" s="67" t="s">
        <v>282</v>
      </c>
      <c r="O310" s="68" t="s">
        <v>18</v>
      </c>
      <c r="P310" s="68" t="s">
        <v>18</v>
      </c>
      <c r="Q310" s="68" t="s">
        <v>15</v>
      </c>
      <c r="R310" s="68" t="s">
        <v>15</v>
      </c>
      <c r="S310" s="68" t="s">
        <v>16</v>
      </c>
      <c r="T310" s="68" t="s">
        <v>329</v>
      </c>
      <c r="U310" s="68" t="s">
        <v>249</v>
      </c>
      <c r="V310" s="68" t="s">
        <v>282</v>
      </c>
      <c r="W310" s="69" t="s">
        <v>282</v>
      </c>
      <c r="X310" s="69" t="s">
        <v>282</v>
      </c>
      <c r="Y310" s="70" t="s">
        <v>282</v>
      </c>
    </row>
    <row r="311" spans="1:25">
      <c r="A311" s="64">
        <v>6</v>
      </c>
      <c r="B311" s="65" t="str">
        <f>VLOOKUP(Tabel10[[#This Row],[Code]],Ruimtegroepen[[Code]:[Ruimte omschrijving]],2,FALSE)</f>
        <v>Gangen/hallen</v>
      </c>
      <c r="C311" s="66" t="s">
        <v>542</v>
      </c>
      <c r="D311" s="65" t="s">
        <v>12</v>
      </c>
      <c r="E311" s="66" t="s">
        <v>99</v>
      </c>
      <c r="F311" s="66" t="s">
        <v>544</v>
      </c>
      <c r="G311" s="71" t="s">
        <v>282</v>
      </c>
      <c r="H311" s="67" t="s">
        <v>18</v>
      </c>
      <c r="I311" s="67" t="s">
        <v>282</v>
      </c>
      <c r="J311" s="67" t="s">
        <v>282</v>
      </c>
      <c r="K311" s="67" t="s">
        <v>282</v>
      </c>
      <c r="L311" s="67" t="s">
        <v>282</v>
      </c>
      <c r="M311" s="67" t="s">
        <v>282</v>
      </c>
      <c r="N311" s="67" t="s">
        <v>282</v>
      </c>
      <c r="O311" s="68" t="s">
        <v>18</v>
      </c>
      <c r="P311" s="68" t="s">
        <v>18</v>
      </c>
      <c r="Q311" s="68" t="s">
        <v>15</v>
      </c>
      <c r="R311" s="68" t="s">
        <v>15</v>
      </c>
      <c r="S311" s="68" t="s">
        <v>16</v>
      </c>
      <c r="T311" s="68" t="s">
        <v>329</v>
      </c>
      <c r="U311" s="68" t="s">
        <v>249</v>
      </c>
      <c r="V311" s="68" t="s">
        <v>282</v>
      </c>
      <c r="W311" s="69" t="s">
        <v>282</v>
      </c>
      <c r="X311" s="69" t="s">
        <v>282</v>
      </c>
      <c r="Y311" s="70" t="s">
        <v>282</v>
      </c>
    </row>
    <row r="312" spans="1:25">
      <c r="A312" s="64">
        <v>6</v>
      </c>
      <c r="B312" s="65" t="str">
        <f>VLOOKUP(Tabel10[[#This Row],[Code]],Ruimtegroepen[[Code]:[Ruimte omschrijving]],2,FALSE)</f>
        <v>Gangen/hallen</v>
      </c>
      <c r="C312" s="66" t="s">
        <v>542</v>
      </c>
      <c r="D312" s="65" t="s">
        <v>12</v>
      </c>
      <c r="E312" s="66" t="s">
        <v>101</v>
      </c>
      <c r="F312" s="66" t="s">
        <v>545</v>
      </c>
      <c r="G312" s="71" t="s">
        <v>282</v>
      </c>
      <c r="H312" s="67" t="s">
        <v>282</v>
      </c>
      <c r="I312" s="67" t="s">
        <v>18</v>
      </c>
      <c r="J312" s="67" t="s">
        <v>282</v>
      </c>
      <c r="K312" s="67" t="s">
        <v>18</v>
      </c>
      <c r="L312" s="67" t="s">
        <v>282</v>
      </c>
      <c r="M312" s="67" t="s">
        <v>282</v>
      </c>
      <c r="N312" s="67" t="s">
        <v>282</v>
      </c>
      <c r="O312" s="68" t="s">
        <v>18</v>
      </c>
      <c r="P312" s="68" t="s">
        <v>18</v>
      </c>
      <c r="Q312" s="68" t="s">
        <v>15</v>
      </c>
      <c r="R312" s="68" t="s">
        <v>15</v>
      </c>
      <c r="S312" s="68" t="s">
        <v>16</v>
      </c>
      <c r="T312" s="68" t="s">
        <v>329</v>
      </c>
      <c r="U312" s="68" t="s">
        <v>249</v>
      </c>
      <c r="V312" s="68" t="s">
        <v>282</v>
      </c>
      <c r="W312" s="69" t="s">
        <v>282</v>
      </c>
      <c r="X312" s="69" t="s">
        <v>282</v>
      </c>
      <c r="Y312" s="70" t="s">
        <v>282</v>
      </c>
    </row>
    <row r="313" spans="1:25">
      <c r="A313" s="64">
        <v>6</v>
      </c>
      <c r="B313" s="65" t="str">
        <f>VLOOKUP(Tabel10[[#This Row],[Code]],Ruimtegroepen[[Code]:[Ruimte omschrijving]],2,FALSE)</f>
        <v>Gangen/hallen</v>
      </c>
      <c r="C313" s="66" t="s">
        <v>542</v>
      </c>
      <c r="D313" s="65" t="s">
        <v>12</v>
      </c>
      <c r="E313" s="66" t="s">
        <v>102</v>
      </c>
      <c r="F313" s="66" t="s">
        <v>546</v>
      </c>
      <c r="G313" s="71" t="s">
        <v>282</v>
      </c>
      <c r="H313" s="67" t="s">
        <v>282</v>
      </c>
      <c r="I313" s="67" t="s">
        <v>18</v>
      </c>
      <c r="J313" s="67" t="s">
        <v>282</v>
      </c>
      <c r="K313" s="67" t="s">
        <v>18</v>
      </c>
      <c r="L313" s="67" t="s">
        <v>282</v>
      </c>
      <c r="M313" s="67" t="s">
        <v>282</v>
      </c>
      <c r="N313" s="67" t="s">
        <v>282</v>
      </c>
      <c r="O313" s="68" t="s">
        <v>18</v>
      </c>
      <c r="P313" s="68" t="s">
        <v>18</v>
      </c>
      <c r="Q313" s="68" t="s">
        <v>15</v>
      </c>
      <c r="R313" s="68" t="s">
        <v>15</v>
      </c>
      <c r="S313" s="68" t="s">
        <v>16</v>
      </c>
      <c r="T313" s="68" t="s">
        <v>329</v>
      </c>
      <c r="U313" s="68" t="s">
        <v>249</v>
      </c>
      <c r="V313" s="68" t="s">
        <v>282</v>
      </c>
      <c r="W313" s="69" t="s">
        <v>282</v>
      </c>
      <c r="X313" s="69" t="s">
        <v>282</v>
      </c>
      <c r="Y313" s="70" t="s">
        <v>282</v>
      </c>
    </row>
    <row r="314" spans="1:25">
      <c r="A314" s="64">
        <v>6</v>
      </c>
      <c r="B314" s="65" t="str">
        <f>VLOOKUP(Tabel10[[#This Row],[Code]],Ruimtegroepen[[Code]:[Ruimte omschrijving]],2,FALSE)</f>
        <v>Gangen/hallen</v>
      </c>
      <c r="C314" s="66" t="s">
        <v>542</v>
      </c>
      <c r="D314" s="65" t="s">
        <v>12</v>
      </c>
      <c r="E314" s="66" t="s">
        <v>99</v>
      </c>
      <c r="F314" s="66" t="s">
        <v>544</v>
      </c>
      <c r="G314" s="71" t="s">
        <v>282</v>
      </c>
      <c r="H314" s="67" t="s">
        <v>18</v>
      </c>
      <c r="I314" s="67" t="s">
        <v>282</v>
      </c>
      <c r="J314" s="67" t="s">
        <v>282</v>
      </c>
      <c r="K314" s="67" t="s">
        <v>282</v>
      </c>
      <c r="L314" s="67" t="s">
        <v>282</v>
      </c>
      <c r="M314" s="67" t="s">
        <v>282</v>
      </c>
      <c r="N314" s="67" t="s">
        <v>282</v>
      </c>
      <c r="O314" s="68" t="s">
        <v>18</v>
      </c>
      <c r="P314" s="68" t="s">
        <v>18</v>
      </c>
      <c r="Q314" s="68" t="s">
        <v>15</v>
      </c>
      <c r="R314" s="68" t="s">
        <v>15</v>
      </c>
      <c r="S314" s="68" t="s">
        <v>16</v>
      </c>
      <c r="T314" s="68" t="s">
        <v>329</v>
      </c>
      <c r="U314" s="68" t="s">
        <v>249</v>
      </c>
      <c r="V314" s="68" t="s">
        <v>282</v>
      </c>
      <c r="W314" s="69" t="s">
        <v>282</v>
      </c>
      <c r="X314" s="69" t="s">
        <v>282</v>
      </c>
      <c r="Y314" s="70" t="s">
        <v>282</v>
      </c>
    </row>
    <row r="315" spans="1:25">
      <c r="A315" s="64">
        <v>6</v>
      </c>
      <c r="B315" s="65" t="str">
        <f>VLOOKUP(Tabel10[[#This Row],[Code]],Ruimtegroepen[[Code]:[Ruimte omschrijving]],2,FALSE)</f>
        <v>Gangen/hallen</v>
      </c>
      <c r="C315" s="66" t="s">
        <v>542</v>
      </c>
      <c r="D315" s="65" t="s">
        <v>12</v>
      </c>
      <c r="E315" s="66" t="s">
        <v>1309</v>
      </c>
      <c r="F315" s="66" t="s">
        <v>1428</v>
      </c>
      <c r="G315" s="71" t="s">
        <v>282</v>
      </c>
      <c r="H315" s="67" t="s">
        <v>282</v>
      </c>
      <c r="I315" s="67" t="s">
        <v>18</v>
      </c>
      <c r="J315" s="67" t="s">
        <v>282</v>
      </c>
      <c r="K315" s="67" t="s">
        <v>18</v>
      </c>
      <c r="L315" s="67" t="s">
        <v>282</v>
      </c>
      <c r="M315" s="67" t="s">
        <v>282</v>
      </c>
      <c r="N315" s="67" t="s">
        <v>282</v>
      </c>
      <c r="O315" s="68" t="s">
        <v>18</v>
      </c>
      <c r="P315" s="68" t="s">
        <v>18</v>
      </c>
      <c r="Q315" s="68" t="s">
        <v>15</v>
      </c>
      <c r="R315" s="68" t="s">
        <v>15</v>
      </c>
      <c r="S315" s="68" t="s">
        <v>16</v>
      </c>
      <c r="T315" s="68" t="s">
        <v>329</v>
      </c>
      <c r="U315" s="68" t="s">
        <v>249</v>
      </c>
      <c r="V315" s="68" t="s">
        <v>282</v>
      </c>
      <c r="W315" s="69" t="s">
        <v>282</v>
      </c>
      <c r="X315" s="69" t="s">
        <v>282</v>
      </c>
      <c r="Y315" s="70" t="s">
        <v>282</v>
      </c>
    </row>
    <row r="316" spans="1:25">
      <c r="A316" s="64">
        <v>6</v>
      </c>
      <c r="B316" s="65" t="str">
        <f>VLOOKUP(Tabel10[[#This Row],[Code]],Ruimtegroepen[[Code]:[Ruimte omschrijving]],2,FALSE)</f>
        <v>Gangen/hallen</v>
      </c>
      <c r="C316" s="66" t="s">
        <v>547</v>
      </c>
      <c r="D316" s="65" t="s">
        <v>14</v>
      </c>
      <c r="E316" s="66" t="s">
        <v>100</v>
      </c>
      <c r="F316" s="66" t="s">
        <v>548</v>
      </c>
      <c r="G316" s="71" t="s">
        <v>282</v>
      </c>
      <c r="H316" s="67" t="s">
        <v>282</v>
      </c>
      <c r="I316" s="67" t="s">
        <v>282</v>
      </c>
      <c r="J316" s="67" t="s">
        <v>17</v>
      </c>
      <c r="K316" s="67" t="s">
        <v>282</v>
      </c>
      <c r="L316" s="67" t="s">
        <v>282</v>
      </c>
      <c r="M316" s="67" t="s">
        <v>282</v>
      </c>
      <c r="N316" s="67" t="s">
        <v>282</v>
      </c>
      <c r="O316" s="68" t="s">
        <v>17</v>
      </c>
      <c r="P316" s="68" t="s">
        <v>17</v>
      </c>
      <c r="Q316" s="68" t="s">
        <v>15</v>
      </c>
      <c r="R316" s="68" t="s">
        <v>15</v>
      </c>
      <c r="S316" s="68" t="s">
        <v>16</v>
      </c>
      <c r="T316" s="68" t="s">
        <v>329</v>
      </c>
      <c r="U316" s="68" t="s">
        <v>249</v>
      </c>
      <c r="V316" s="68" t="s">
        <v>282</v>
      </c>
      <c r="W316" s="69" t="s">
        <v>282</v>
      </c>
      <c r="X316" s="69" t="s">
        <v>282</v>
      </c>
      <c r="Y316" s="70" t="s">
        <v>282</v>
      </c>
    </row>
    <row r="317" spans="1:25">
      <c r="A317" s="64">
        <v>6</v>
      </c>
      <c r="B317" s="65" t="str">
        <f>VLOOKUP(Tabel10[[#This Row],[Code]],Ruimtegroepen[[Code]:[Ruimte omschrijving]],2,FALSE)</f>
        <v>Gangen/hallen</v>
      </c>
      <c r="C317" s="66" t="s">
        <v>547</v>
      </c>
      <c r="D317" s="65" t="s">
        <v>14</v>
      </c>
      <c r="E317" s="66" t="s">
        <v>99</v>
      </c>
      <c r="F317" s="66" t="s">
        <v>549</v>
      </c>
      <c r="G317" s="71" t="s">
        <v>282</v>
      </c>
      <c r="H317" s="67" t="s">
        <v>17</v>
      </c>
      <c r="I317" s="67" t="s">
        <v>282</v>
      </c>
      <c r="J317" s="67" t="s">
        <v>282</v>
      </c>
      <c r="K317" s="67" t="s">
        <v>282</v>
      </c>
      <c r="L317" s="67" t="s">
        <v>282</v>
      </c>
      <c r="M317" s="67" t="s">
        <v>282</v>
      </c>
      <c r="N317" s="67" t="s">
        <v>282</v>
      </c>
      <c r="O317" s="68" t="s">
        <v>17</v>
      </c>
      <c r="P317" s="68" t="s">
        <v>17</v>
      </c>
      <c r="Q317" s="68" t="s">
        <v>15</v>
      </c>
      <c r="R317" s="68" t="s">
        <v>15</v>
      </c>
      <c r="S317" s="68" t="s">
        <v>16</v>
      </c>
      <c r="T317" s="68" t="s">
        <v>329</v>
      </c>
      <c r="U317" s="68" t="s">
        <v>249</v>
      </c>
      <c r="V317" s="68" t="s">
        <v>282</v>
      </c>
      <c r="W317" s="69" t="s">
        <v>282</v>
      </c>
      <c r="X317" s="69" t="s">
        <v>282</v>
      </c>
      <c r="Y317" s="70" t="s">
        <v>282</v>
      </c>
    </row>
    <row r="318" spans="1:25">
      <c r="A318" s="64">
        <v>6</v>
      </c>
      <c r="B318" s="65" t="str">
        <f>VLOOKUP(Tabel10[[#This Row],[Code]],Ruimtegroepen[[Code]:[Ruimte omschrijving]],2,FALSE)</f>
        <v>Gangen/hallen</v>
      </c>
      <c r="C318" s="66" t="s">
        <v>547</v>
      </c>
      <c r="D318" s="65" t="s">
        <v>14</v>
      </c>
      <c r="E318" s="66" t="s">
        <v>101</v>
      </c>
      <c r="F318" s="66" t="s">
        <v>550</v>
      </c>
      <c r="G318" s="71" t="s">
        <v>282</v>
      </c>
      <c r="H318" s="67" t="s">
        <v>282</v>
      </c>
      <c r="I318" s="67" t="s">
        <v>17</v>
      </c>
      <c r="J318" s="67" t="s">
        <v>282</v>
      </c>
      <c r="K318" s="67" t="s">
        <v>17</v>
      </c>
      <c r="L318" s="67" t="s">
        <v>282</v>
      </c>
      <c r="M318" s="67" t="s">
        <v>282</v>
      </c>
      <c r="N318" s="67" t="s">
        <v>282</v>
      </c>
      <c r="O318" s="68" t="s">
        <v>17</v>
      </c>
      <c r="P318" s="68" t="s">
        <v>17</v>
      </c>
      <c r="Q318" s="68" t="s">
        <v>15</v>
      </c>
      <c r="R318" s="68" t="s">
        <v>15</v>
      </c>
      <c r="S318" s="68" t="s">
        <v>16</v>
      </c>
      <c r="T318" s="68" t="s">
        <v>329</v>
      </c>
      <c r="U318" s="68" t="s">
        <v>249</v>
      </c>
      <c r="V318" s="68" t="s">
        <v>282</v>
      </c>
      <c r="W318" s="69" t="s">
        <v>282</v>
      </c>
      <c r="X318" s="69" t="s">
        <v>282</v>
      </c>
      <c r="Y318" s="70" t="s">
        <v>282</v>
      </c>
    </row>
    <row r="319" spans="1:25">
      <c r="A319" s="64">
        <v>6</v>
      </c>
      <c r="B319" s="65" t="str">
        <f>VLOOKUP(Tabel10[[#This Row],[Code]],Ruimtegroepen[[Code]:[Ruimte omschrijving]],2,FALSE)</f>
        <v>Gangen/hallen</v>
      </c>
      <c r="C319" s="66" t="s">
        <v>547</v>
      </c>
      <c r="D319" s="65" t="s">
        <v>14</v>
      </c>
      <c r="E319" s="66" t="s">
        <v>102</v>
      </c>
      <c r="F319" s="66" t="s">
        <v>551</v>
      </c>
      <c r="G319" s="71" t="s">
        <v>282</v>
      </c>
      <c r="H319" s="67" t="s">
        <v>282</v>
      </c>
      <c r="I319" s="67" t="s">
        <v>17</v>
      </c>
      <c r="J319" s="67" t="s">
        <v>282</v>
      </c>
      <c r="K319" s="67" t="s">
        <v>17</v>
      </c>
      <c r="L319" s="67" t="s">
        <v>282</v>
      </c>
      <c r="M319" s="67" t="s">
        <v>282</v>
      </c>
      <c r="N319" s="67" t="s">
        <v>282</v>
      </c>
      <c r="O319" s="68" t="s">
        <v>17</v>
      </c>
      <c r="P319" s="68" t="s">
        <v>17</v>
      </c>
      <c r="Q319" s="68" t="s">
        <v>15</v>
      </c>
      <c r="R319" s="68" t="s">
        <v>15</v>
      </c>
      <c r="S319" s="68" t="s">
        <v>16</v>
      </c>
      <c r="T319" s="68" t="s">
        <v>329</v>
      </c>
      <c r="U319" s="68" t="s">
        <v>249</v>
      </c>
      <c r="V319" s="68" t="s">
        <v>282</v>
      </c>
      <c r="W319" s="69" t="s">
        <v>282</v>
      </c>
      <c r="X319" s="69" t="s">
        <v>282</v>
      </c>
      <c r="Y319" s="70" t="s">
        <v>282</v>
      </c>
    </row>
    <row r="320" spans="1:25">
      <c r="A320" s="64">
        <v>6</v>
      </c>
      <c r="B320" s="65" t="str">
        <f>VLOOKUP(Tabel10[[#This Row],[Code]],Ruimtegroepen[[Code]:[Ruimte omschrijving]],2,FALSE)</f>
        <v>Gangen/hallen</v>
      </c>
      <c r="C320" s="66" t="s">
        <v>547</v>
      </c>
      <c r="D320" s="65" t="s">
        <v>14</v>
      </c>
      <c r="E320" s="66" t="s">
        <v>99</v>
      </c>
      <c r="F320" s="66" t="s">
        <v>549</v>
      </c>
      <c r="G320" s="71" t="s">
        <v>282</v>
      </c>
      <c r="H320" s="67" t="s">
        <v>17</v>
      </c>
      <c r="I320" s="67" t="s">
        <v>282</v>
      </c>
      <c r="J320" s="67" t="s">
        <v>282</v>
      </c>
      <c r="K320" s="67" t="s">
        <v>282</v>
      </c>
      <c r="L320" s="67" t="s">
        <v>282</v>
      </c>
      <c r="M320" s="67" t="s">
        <v>282</v>
      </c>
      <c r="N320" s="67" t="s">
        <v>282</v>
      </c>
      <c r="O320" s="68" t="s">
        <v>17</v>
      </c>
      <c r="P320" s="68" t="s">
        <v>17</v>
      </c>
      <c r="Q320" s="68" t="s">
        <v>15</v>
      </c>
      <c r="R320" s="68" t="s">
        <v>15</v>
      </c>
      <c r="S320" s="68" t="s">
        <v>16</v>
      </c>
      <c r="T320" s="68" t="s">
        <v>329</v>
      </c>
      <c r="U320" s="68" t="s">
        <v>249</v>
      </c>
      <c r="V320" s="68" t="s">
        <v>282</v>
      </c>
      <c r="W320" s="69" t="s">
        <v>282</v>
      </c>
      <c r="X320" s="69" t="s">
        <v>282</v>
      </c>
      <c r="Y320" s="70" t="s">
        <v>282</v>
      </c>
    </row>
    <row r="321" spans="1:25">
      <c r="A321" s="64">
        <v>6</v>
      </c>
      <c r="B321" s="65" t="str">
        <f>VLOOKUP(Tabel10[[#This Row],[Code]],Ruimtegroepen[[Code]:[Ruimte omschrijving]],2,FALSE)</f>
        <v>Gangen/hallen</v>
      </c>
      <c r="C321" s="66" t="s">
        <v>547</v>
      </c>
      <c r="D321" s="65" t="s">
        <v>14</v>
      </c>
      <c r="E321" s="66" t="s">
        <v>1309</v>
      </c>
      <c r="F321" s="66" t="s">
        <v>1395</v>
      </c>
      <c r="G321" s="71" t="s">
        <v>282</v>
      </c>
      <c r="H321" s="67" t="s">
        <v>282</v>
      </c>
      <c r="I321" s="67" t="s">
        <v>17</v>
      </c>
      <c r="J321" s="67" t="s">
        <v>282</v>
      </c>
      <c r="K321" s="67" t="s">
        <v>17</v>
      </c>
      <c r="L321" s="67" t="s">
        <v>282</v>
      </c>
      <c r="M321" s="67" t="s">
        <v>282</v>
      </c>
      <c r="N321" s="67" t="s">
        <v>282</v>
      </c>
      <c r="O321" s="68" t="s">
        <v>17</v>
      </c>
      <c r="P321" s="68" t="s">
        <v>17</v>
      </c>
      <c r="Q321" s="68" t="s">
        <v>15</v>
      </c>
      <c r="R321" s="68" t="s">
        <v>15</v>
      </c>
      <c r="S321" s="68" t="s">
        <v>16</v>
      </c>
      <c r="T321" s="68" t="s">
        <v>329</v>
      </c>
      <c r="U321" s="68" t="s">
        <v>249</v>
      </c>
      <c r="V321" s="68" t="s">
        <v>282</v>
      </c>
      <c r="W321" s="69" t="s">
        <v>282</v>
      </c>
      <c r="X321" s="69" t="s">
        <v>282</v>
      </c>
      <c r="Y321" s="70" t="s">
        <v>282</v>
      </c>
    </row>
    <row r="322" spans="1:25">
      <c r="A322" s="64">
        <v>6</v>
      </c>
      <c r="B322" s="65" t="str">
        <f>VLOOKUP(Tabel10[[#This Row],[Code]],Ruimtegroepen[[Code]:[Ruimte omschrijving]],2,FALSE)</f>
        <v>Gangen/hallen</v>
      </c>
      <c r="C322" s="66" t="s">
        <v>552</v>
      </c>
      <c r="D322" s="65" t="s">
        <v>13</v>
      </c>
      <c r="E322" s="66" t="s">
        <v>100</v>
      </c>
      <c r="F322" s="66" t="s">
        <v>553</v>
      </c>
      <c r="G322" s="71" t="s">
        <v>282</v>
      </c>
      <c r="H322" s="67" t="s">
        <v>282</v>
      </c>
      <c r="I322" s="67" t="s">
        <v>282</v>
      </c>
      <c r="J322" s="67" t="s">
        <v>15</v>
      </c>
      <c r="K322" s="67" t="s">
        <v>282</v>
      </c>
      <c r="L322" s="67" t="s">
        <v>282</v>
      </c>
      <c r="M322" s="67" t="s">
        <v>282</v>
      </c>
      <c r="N322" s="67" t="s">
        <v>282</v>
      </c>
      <c r="O322" s="68" t="s">
        <v>15</v>
      </c>
      <c r="P322" s="68" t="s">
        <v>15</v>
      </c>
      <c r="Q322" s="68" t="s">
        <v>15</v>
      </c>
      <c r="R322" s="68" t="s">
        <v>15</v>
      </c>
      <c r="S322" s="68" t="s">
        <v>16</v>
      </c>
      <c r="T322" s="68" t="s">
        <v>329</v>
      </c>
      <c r="U322" s="68" t="s">
        <v>249</v>
      </c>
      <c r="V322" s="68" t="s">
        <v>282</v>
      </c>
      <c r="W322" s="69" t="s">
        <v>282</v>
      </c>
      <c r="X322" s="69" t="s">
        <v>282</v>
      </c>
      <c r="Y322" s="70" t="s">
        <v>282</v>
      </c>
    </row>
    <row r="323" spans="1:25">
      <c r="A323" s="64">
        <v>6</v>
      </c>
      <c r="B323" s="65" t="str">
        <f>VLOOKUP(Tabel10[[#This Row],[Code]],Ruimtegroepen[[Code]:[Ruimte omschrijving]],2,FALSE)</f>
        <v>Gangen/hallen</v>
      </c>
      <c r="C323" s="66" t="s">
        <v>552</v>
      </c>
      <c r="D323" s="65" t="s">
        <v>13</v>
      </c>
      <c r="E323" s="66" t="s">
        <v>99</v>
      </c>
      <c r="F323" s="66" t="s">
        <v>554</v>
      </c>
      <c r="G323" s="71" t="s">
        <v>282</v>
      </c>
      <c r="H323" s="67" t="s">
        <v>15</v>
      </c>
      <c r="I323" s="67" t="s">
        <v>282</v>
      </c>
      <c r="J323" s="67" t="s">
        <v>282</v>
      </c>
      <c r="K323" s="67" t="s">
        <v>282</v>
      </c>
      <c r="L323" s="67" t="s">
        <v>282</v>
      </c>
      <c r="M323" s="67" t="s">
        <v>282</v>
      </c>
      <c r="N323" s="67" t="s">
        <v>282</v>
      </c>
      <c r="O323" s="68" t="s">
        <v>15</v>
      </c>
      <c r="P323" s="68" t="s">
        <v>15</v>
      </c>
      <c r="Q323" s="68" t="s">
        <v>15</v>
      </c>
      <c r="R323" s="68" t="s">
        <v>15</v>
      </c>
      <c r="S323" s="68" t="s">
        <v>16</v>
      </c>
      <c r="T323" s="68" t="s">
        <v>329</v>
      </c>
      <c r="U323" s="68" t="s">
        <v>249</v>
      </c>
      <c r="V323" s="68" t="s">
        <v>282</v>
      </c>
      <c r="W323" s="69" t="s">
        <v>282</v>
      </c>
      <c r="X323" s="69" t="s">
        <v>282</v>
      </c>
      <c r="Y323" s="70" t="s">
        <v>282</v>
      </c>
    </row>
    <row r="324" spans="1:25">
      <c r="A324" s="64">
        <v>6</v>
      </c>
      <c r="B324" s="65" t="str">
        <f>VLOOKUP(Tabel10[[#This Row],[Code]],Ruimtegroepen[[Code]:[Ruimte omschrijving]],2,FALSE)</f>
        <v>Gangen/hallen</v>
      </c>
      <c r="C324" s="66" t="s">
        <v>552</v>
      </c>
      <c r="D324" s="65" t="s">
        <v>13</v>
      </c>
      <c r="E324" s="66" t="s">
        <v>101</v>
      </c>
      <c r="F324" s="66" t="s">
        <v>555</v>
      </c>
      <c r="G324" s="71" t="s">
        <v>282</v>
      </c>
      <c r="H324" s="67" t="s">
        <v>282</v>
      </c>
      <c r="I324" s="67" t="s">
        <v>15</v>
      </c>
      <c r="J324" s="67" t="s">
        <v>282</v>
      </c>
      <c r="K324" s="67" t="s">
        <v>15</v>
      </c>
      <c r="L324" s="67" t="s">
        <v>282</v>
      </c>
      <c r="M324" s="67" t="s">
        <v>282</v>
      </c>
      <c r="N324" s="67" t="s">
        <v>282</v>
      </c>
      <c r="O324" s="68" t="s">
        <v>15</v>
      </c>
      <c r="P324" s="68" t="s">
        <v>15</v>
      </c>
      <c r="Q324" s="68" t="s">
        <v>15</v>
      </c>
      <c r="R324" s="68" t="s">
        <v>15</v>
      </c>
      <c r="S324" s="68" t="s">
        <v>16</v>
      </c>
      <c r="T324" s="68" t="s">
        <v>329</v>
      </c>
      <c r="U324" s="68" t="s">
        <v>249</v>
      </c>
      <c r="V324" s="68" t="s">
        <v>282</v>
      </c>
      <c r="W324" s="69" t="s">
        <v>282</v>
      </c>
      <c r="X324" s="69" t="s">
        <v>282</v>
      </c>
      <c r="Y324" s="70" t="s">
        <v>282</v>
      </c>
    </row>
    <row r="325" spans="1:25">
      <c r="A325" s="64">
        <v>6</v>
      </c>
      <c r="B325" s="65" t="str">
        <f>VLOOKUP(Tabel10[[#This Row],[Code]],Ruimtegroepen[[Code]:[Ruimte omschrijving]],2,FALSE)</f>
        <v>Gangen/hallen</v>
      </c>
      <c r="C325" s="66" t="s">
        <v>552</v>
      </c>
      <c r="D325" s="65" t="s">
        <v>13</v>
      </c>
      <c r="E325" s="66" t="s">
        <v>102</v>
      </c>
      <c r="F325" s="66" t="s">
        <v>556</v>
      </c>
      <c r="G325" s="71" t="s">
        <v>282</v>
      </c>
      <c r="H325" s="67" t="s">
        <v>282</v>
      </c>
      <c r="I325" s="67" t="s">
        <v>15</v>
      </c>
      <c r="J325" s="67" t="s">
        <v>282</v>
      </c>
      <c r="K325" s="67" t="s">
        <v>15</v>
      </c>
      <c r="L325" s="67" t="s">
        <v>282</v>
      </c>
      <c r="M325" s="67" t="s">
        <v>282</v>
      </c>
      <c r="N325" s="67" t="s">
        <v>282</v>
      </c>
      <c r="O325" s="68" t="s">
        <v>15</v>
      </c>
      <c r="P325" s="68" t="s">
        <v>15</v>
      </c>
      <c r="Q325" s="68" t="s">
        <v>15</v>
      </c>
      <c r="R325" s="68" t="s">
        <v>15</v>
      </c>
      <c r="S325" s="68" t="s">
        <v>16</v>
      </c>
      <c r="T325" s="68" t="s">
        <v>329</v>
      </c>
      <c r="U325" s="68" t="s">
        <v>249</v>
      </c>
      <c r="V325" s="68" t="s">
        <v>282</v>
      </c>
      <c r="W325" s="69" t="s">
        <v>282</v>
      </c>
      <c r="X325" s="69" t="s">
        <v>282</v>
      </c>
      <c r="Y325" s="70" t="s">
        <v>282</v>
      </c>
    </row>
    <row r="326" spans="1:25">
      <c r="A326" s="64">
        <v>6</v>
      </c>
      <c r="B326" s="65" t="str">
        <f>VLOOKUP(Tabel10[[#This Row],[Code]],Ruimtegroepen[[Code]:[Ruimte omschrijving]],2,FALSE)</f>
        <v>Gangen/hallen</v>
      </c>
      <c r="C326" s="66" t="s">
        <v>552</v>
      </c>
      <c r="D326" s="65" t="s">
        <v>13</v>
      </c>
      <c r="E326" s="66" t="s">
        <v>99</v>
      </c>
      <c r="F326" s="66" t="s">
        <v>554</v>
      </c>
      <c r="G326" s="71" t="s">
        <v>282</v>
      </c>
      <c r="H326" s="67" t="s">
        <v>15</v>
      </c>
      <c r="I326" s="67" t="s">
        <v>282</v>
      </c>
      <c r="J326" s="67" t="s">
        <v>282</v>
      </c>
      <c r="K326" s="67" t="s">
        <v>282</v>
      </c>
      <c r="L326" s="67" t="s">
        <v>282</v>
      </c>
      <c r="M326" s="67" t="s">
        <v>282</v>
      </c>
      <c r="N326" s="67" t="s">
        <v>282</v>
      </c>
      <c r="O326" s="68" t="s">
        <v>15</v>
      </c>
      <c r="P326" s="68" t="s">
        <v>15</v>
      </c>
      <c r="Q326" s="68" t="s">
        <v>15</v>
      </c>
      <c r="R326" s="68" t="s">
        <v>15</v>
      </c>
      <c r="S326" s="68" t="s">
        <v>16</v>
      </c>
      <c r="T326" s="68" t="s">
        <v>329</v>
      </c>
      <c r="U326" s="68" t="s">
        <v>249</v>
      </c>
      <c r="V326" s="68" t="s">
        <v>282</v>
      </c>
      <c r="W326" s="69" t="s">
        <v>282</v>
      </c>
      <c r="X326" s="69" t="s">
        <v>282</v>
      </c>
      <c r="Y326" s="70" t="s">
        <v>282</v>
      </c>
    </row>
    <row r="327" spans="1:25">
      <c r="A327" s="64">
        <v>6</v>
      </c>
      <c r="B327" s="65" t="str">
        <f>VLOOKUP(Tabel10[[#This Row],[Code]],Ruimtegroepen[[Code]:[Ruimte omschrijving]],2,FALSE)</f>
        <v>Gangen/hallen</v>
      </c>
      <c r="C327" s="66" t="s">
        <v>552</v>
      </c>
      <c r="D327" s="65" t="s">
        <v>13</v>
      </c>
      <c r="E327" s="66" t="s">
        <v>1309</v>
      </c>
      <c r="F327" s="66" t="s">
        <v>1362</v>
      </c>
      <c r="G327" s="71" t="s">
        <v>282</v>
      </c>
      <c r="H327" s="67" t="s">
        <v>282</v>
      </c>
      <c r="I327" s="67" t="s">
        <v>15</v>
      </c>
      <c r="J327" s="67" t="s">
        <v>282</v>
      </c>
      <c r="K327" s="67" t="s">
        <v>15</v>
      </c>
      <c r="L327" s="67" t="s">
        <v>282</v>
      </c>
      <c r="M327" s="67" t="s">
        <v>282</v>
      </c>
      <c r="N327" s="67" t="s">
        <v>282</v>
      </c>
      <c r="O327" s="68" t="s">
        <v>15</v>
      </c>
      <c r="P327" s="68" t="s">
        <v>15</v>
      </c>
      <c r="Q327" s="68" t="s">
        <v>15</v>
      </c>
      <c r="R327" s="68" t="s">
        <v>15</v>
      </c>
      <c r="S327" s="68" t="s">
        <v>16</v>
      </c>
      <c r="T327" s="68" t="s">
        <v>329</v>
      </c>
      <c r="U327" s="68" t="s">
        <v>249</v>
      </c>
      <c r="V327" s="68" t="s">
        <v>282</v>
      </c>
      <c r="W327" s="69" t="s">
        <v>282</v>
      </c>
      <c r="X327" s="69" t="s">
        <v>282</v>
      </c>
      <c r="Y327" s="70" t="s">
        <v>282</v>
      </c>
    </row>
    <row r="328" spans="1:25">
      <c r="A328" s="64">
        <v>6</v>
      </c>
      <c r="B328" s="65" t="str">
        <f>VLOOKUP(Tabel10[[#This Row],[Code]],Ruimtegroepen[[Code]:[Ruimte omschrijving]],2,FALSE)</f>
        <v>Gangen/hallen</v>
      </c>
      <c r="C328" s="66" t="s">
        <v>557</v>
      </c>
      <c r="D328" s="65" t="s">
        <v>0</v>
      </c>
      <c r="E328" s="66" t="s">
        <v>100</v>
      </c>
      <c r="F328" s="66" t="s">
        <v>558</v>
      </c>
      <c r="G328" s="71" t="s">
        <v>282</v>
      </c>
      <c r="H328" s="67" t="s">
        <v>282</v>
      </c>
      <c r="I328" s="67" t="s">
        <v>282</v>
      </c>
      <c r="J328" s="67" t="s">
        <v>16</v>
      </c>
      <c r="K328" s="67" t="s">
        <v>282</v>
      </c>
      <c r="L328" s="67" t="s">
        <v>282</v>
      </c>
      <c r="M328" s="67" t="s">
        <v>282</v>
      </c>
      <c r="N328" s="67" t="s">
        <v>282</v>
      </c>
      <c r="O328" s="68" t="s">
        <v>16</v>
      </c>
      <c r="P328" s="68" t="s">
        <v>16</v>
      </c>
      <c r="Q328" s="68" t="s">
        <v>16</v>
      </c>
      <c r="R328" s="68" t="s">
        <v>16</v>
      </c>
      <c r="S328" s="68" t="s">
        <v>16</v>
      </c>
      <c r="T328" s="68" t="s">
        <v>329</v>
      </c>
      <c r="U328" s="68" t="s">
        <v>249</v>
      </c>
      <c r="V328" s="68" t="s">
        <v>282</v>
      </c>
      <c r="W328" s="69" t="s">
        <v>282</v>
      </c>
      <c r="X328" s="69" t="s">
        <v>282</v>
      </c>
      <c r="Y328" s="70" t="s">
        <v>282</v>
      </c>
    </row>
    <row r="329" spans="1:25">
      <c r="A329" s="64">
        <v>6</v>
      </c>
      <c r="B329" s="65" t="str">
        <f>VLOOKUP(Tabel10[[#This Row],[Code]],Ruimtegroepen[[Code]:[Ruimte omschrijving]],2,FALSE)</f>
        <v>Gangen/hallen</v>
      </c>
      <c r="C329" s="66" t="s">
        <v>557</v>
      </c>
      <c r="D329" s="65" t="s">
        <v>0</v>
      </c>
      <c r="E329" s="66" t="s">
        <v>99</v>
      </c>
      <c r="F329" s="66" t="s">
        <v>559</v>
      </c>
      <c r="G329" s="71" t="s">
        <v>282</v>
      </c>
      <c r="H329" s="67" t="s">
        <v>16</v>
      </c>
      <c r="I329" s="67" t="s">
        <v>282</v>
      </c>
      <c r="J329" s="67" t="s">
        <v>282</v>
      </c>
      <c r="K329" s="67" t="s">
        <v>282</v>
      </c>
      <c r="L329" s="67" t="s">
        <v>282</v>
      </c>
      <c r="M329" s="67" t="s">
        <v>282</v>
      </c>
      <c r="N329" s="67" t="s">
        <v>282</v>
      </c>
      <c r="O329" s="68" t="s">
        <v>16</v>
      </c>
      <c r="P329" s="68" t="s">
        <v>16</v>
      </c>
      <c r="Q329" s="68" t="s">
        <v>16</v>
      </c>
      <c r="R329" s="68" t="s">
        <v>16</v>
      </c>
      <c r="S329" s="68" t="s">
        <v>16</v>
      </c>
      <c r="T329" s="68" t="s">
        <v>329</v>
      </c>
      <c r="U329" s="68" t="s">
        <v>249</v>
      </c>
      <c r="V329" s="68" t="s">
        <v>282</v>
      </c>
      <c r="W329" s="69" t="s">
        <v>282</v>
      </c>
      <c r="X329" s="69" t="s">
        <v>282</v>
      </c>
      <c r="Y329" s="70" t="s">
        <v>282</v>
      </c>
    </row>
    <row r="330" spans="1:25">
      <c r="A330" s="64">
        <v>6</v>
      </c>
      <c r="B330" s="65" t="str">
        <f>VLOOKUP(Tabel10[[#This Row],[Code]],Ruimtegroepen[[Code]:[Ruimte omschrijving]],2,FALSE)</f>
        <v>Gangen/hallen</v>
      </c>
      <c r="C330" s="66" t="s">
        <v>557</v>
      </c>
      <c r="D330" s="65" t="s">
        <v>0</v>
      </c>
      <c r="E330" s="66" t="s">
        <v>101</v>
      </c>
      <c r="F330" s="66" t="s">
        <v>560</v>
      </c>
      <c r="G330" s="71" t="s">
        <v>282</v>
      </c>
      <c r="H330" s="67" t="s">
        <v>282</v>
      </c>
      <c r="I330" s="67" t="s">
        <v>16</v>
      </c>
      <c r="J330" s="67" t="s">
        <v>361</v>
      </c>
      <c r="K330" s="67" t="s">
        <v>16</v>
      </c>
      <c r="L330" s="67" t="s">
        <v>282</v>
      </c>
      <c r="M330" s="67" t="s">
        <v>282</v>
      </c>
      <c r="N330" s="67" t="s">
        <v>282</v>
      </c>
      <c r="O330" s="68" t="s">
        <v>16</v>
      </c>
      <c r="P330" s="68" t="s">
        <v>16</v>
      </c>
      <c r="Q330" s="68" t="s">
        <v>16</v>
      </c>
      <c r="R330" s="68" t="s">
        <v>16</v>
      </c>
      <c r="S330" s="68" t="s">
        <v>16</v>
      </c>
      <c r="T330" s="68" t="s">
        <v>329</v>
      </c>
      <c r="U330" s="68" t="s">
        <v>249</v>
      </c>
      <c r="V330" s="68" t="s">
        <v>282</v>
      </c>
      <c r="W330" s="69" t="s">
        <v>282</v>
      </c>
      <c r="X330" s="69" t="s">
        <v>282</v>
      </c>
      <c r="Y330" s="70" t="s">
        <v>282</v>
      </c>
    </row>
    <row r="331" spans="1:25">
      <c r="A331" s="64">
        <v>6</v>
      </c>
      <c r="B331" s="65" t="str">
        <f>VLOOKUP(Tabel10[[#This Row],[Code]],Ruimtegroepen[[Code]:[Ruimte omschrijving]],2,FALSE)</f>
        <v>Gangen/hallen</v>
      </c>
      <c r="C331" s="66" t="s">
        <v>557</v>
      </c>
      <c r="D331" s="65" t="s">
        <v>0</v>
      </c>
      <c r="E331" s="66" t="s">
        <v>102</v>
      </c>
      <c r="F331" s="66" t="s">
        <v>561</v>
      </c>
      <c r="G331" s="71" t="s">
        <v>282</v>
      </c>
      <c r="H331" s="67" t="s">
        <v>282</v>
      </c>
      <c r="I331" s="67" t="s">
        <v>16</v>
      </c>
      <c r="J331" s="67" t="s">
        <v>282</v>
      </c>
      <c r="K331" s="67" t="s">
        <v>16</v>
      </c>
      <c r="L331" s="67" t="s">
        <v>282</v>
      </c>
      <c r="M331" s="67" t="s">
        <v>282</v>
      </c>
      <c r="N331" s="67" t="s">
        <v>282</v>
      </c>
      <c r="O331" s="68" t="s">
        <v>16</v>
      </c>
      <c r="P331" s="68" t="s">
        <v>16</v>
      </c>
      <c r="Q331" s="68" t="s">
        <v>16</v>
      </c>
      <c r="R331" s="68" t="s">
        <v>16</v>
      </c>
      <c r="S331" s="68" t="s">
        <v>16</v>
      </c>
      <c r="T331" s="68" t="s">
        <v>329</v>
      </c>
      <c r="U331" s="68" t="s">
        <v>249</v>
      </c>
      <c r="V331" s="68" t="s">
        <v>282</v>
      </c>
      <c r="W331" s="69" t="s">
        <v>282</v>
      </c>
      <c r="X331" s="69" t="s">
        <v>282</v>
      </c>
      <c r="Y331" s="70" t="s">
        <v>282</v>
      </c>
    </row>
    <row r="332" spans="1:25">
      <c r="A332" s="64">
        <v>6</v>
      </c>
      <c r="B332" s="65" t="str">
        <f>VLOOKUP(Tabel10[[#This Row],[Code]],Ruimtegroepen[[Code]:[Ruimte omschrijving]],2,FALSE)</f>
        <v>Gangen/hallen</v>
      </c>
      <c r="C332" s="66" t="s">
        <v>557</v>
      </c>
      <c r="D332" s="65" t="s">
        <v>0</v>
      </c>
      <c r="E332" s="66" t="s">
        <v>99</v>
      </c>
      <c r="F332" s="66" t="s">
        <v>559</v>
      </c>
      <c r="G332" s="71" t="s">
        <v>282</v>
      </c>
      <c r="H332" s="67" t="s">
        <v>16</v>
      </c>
      <c r="I332" s="67" t="s">
        <v>282</v>
      </c>
      <c r="J332" s="67" t="s">
        <v>282</v>
      </c>
      <c r="K332" s="67" t="s">
        <v>282</v>
      </c>
      <c r="L332" s="67" t="s">
        <v>282</v>
      </c>
      <c r="M332" s="67" t="s">
        <v>282</v>
      </c>
      <c r="N332" s="67" t="s">
        <v>282</v>
      </c>
      <c r="O332" s="68" t="s">
        <v>16</v>
      </c>
      <c r="P332" s="68" t="s">
        <v>16</v>
      </c>
      <c r="Q332" s="68" t="s">
        <v>16</v>
      </c>
      <c r="R332" s="68" t="s">
        <v>16</v>
      </c>
      <c r="S332" s="68" t="s">
        <v>16</v>
      </c>
      <c r="T332" s="68" t="s">
        <v>329</v>
      </c>
      <c r="U332" s="68" t="s">
        <v>249</v>
      </c>
      <c r="V332" s="68" t="s">
        <v>282</v>
      </c>
      <c r="W332" s="69" t="s">
        <v>282</v>
      </c>
      <c r="X332" s="69" t="s">
        <v>282</v>
      </c>
      <c r="Y332" s="70" t="s">
        <v>282</v>
      </c>
    </row>
    <row r="333" spans="1:25">
      <c r="A333" s="64">
        <v>6</v>
      </c>
      <c r="B333" s="65" t="str">
        <f>VLOOKUP(Tabel10[[#This Row],[Code]],Ruimtegroepen[[Code]:[Ruimte omschrijving]],2,FALSE)</f>
        <v>Gangen/hallen</v>
      </c>
      <c r="C333" s="66" t="s">
        <v>557</v>
      </c>
      <c r="D333" s="65" t="s">
        <v>0</v>
      </c>
      <c r="E333" s="66" t="s">
        <v>1309</v>
      </c>
      <c r="F333" s="66" t="s">
        <v>1346</v>
      </c>
      <c r="G333" s="71" t="s">
        <v>282</v>
      </c>
      <c r="H333" s="67" t="s">
        <v>282</v>
      </c>
      <c r="I333" s="67" t="s">
        <v>16</v>
      </c>
      <c r="J333" s="67" t="s">
        <v>282</v>
      </c>
      <c r="K333" s="67" t="s">
        <v>16</v>
      </c>
      <c r="L333" s="67" t="s">
        <v>282</v>
      </c>
      <c r="M333" s="67" t="s">
        <v>282</v>
      </c>
      <c r="N333" s="67" t="s">
        <v>282</v>
      </c>
      <c r="O333" s="68" t="s">
        <v>16</v>
      </c>
      <c r="P333" s="68" t="s">
        <v>16</v>
      </c>
      <c r="Q333" s="68" t="s">
        <v>16</v>
      </c>
      <c r="R333" s="68" t="s">
        <v>16</v>
      </c>
      <c r="S333" s="68" t="s">
        <v>16</v>
      </c>
      <c r="T333" s="68" t="s">
        <v>329</v>
      </c>
      <c r="U333" s="68" t="s">
        <v>249</v>
      </c>
      <c r="V333" s="68" t="s">
        <v>282</v>
      </c>
      <c r="W333" s="69" t="s">
        <v>282</v>
      </c>
      <c r="X333" s="69" t="s">
        <v>282</v>
      </c>
      <c r="Y333" s="70" t="s">
        <v>282</v>
      </c>
    </row>
    <row r="334" spans="1:25">
      <c r="A334" s="64">
        <v>6</v>
      </c>
      <c r="B334" s="65" t="str">
        <f>VLOOKUP(Tabel10[[#This Row],[Code]],Ruimtegroepen[[Code]:[Ruimte omschrijving]],2,FALSE)</f>
        <v>Gangen/hallen</v>
      </c>
      <c r="C334" s="66" t="s">
        <v>562</v>
      </c>
      <c r="D334" s="65" t="s">
        <v>27</v>
      </c>
      <c r="E334" s="66" t="s">
        <v>100</v>
      </c>
      <c r="F334" s="66" t="s">
        <v>563</v>
      </c>
      <c r="G334" s="71" t="s">
        <v>282</v>
      </c>
      <c r="H334" s="67" t="s">
        <v>282</v>
      </c>
      <c r="I334" s="67" t="s">
        <v>15</v>
      </c>
      <c r="J334" s="67" t="s">
        <v>282</v>
      </c>
      <c r="K334" s="67" t="s">
        <v>282</v>
      </c>
      <c r="L334" s="67" t="s">
        <v>282</v>
      </c>
      <c r="M334" s="67" t="s">
        <v>282</v>
      </c>
      <c r="N334" s="67" t="s">
        <v>282</v>
      </c>
      <c r="O334" s="68" t="s">
        <v>15</v>
      </c>
      <c r="P334" s="68" t="s">
        <v>15</v>
      </c>
      <c r="Q334" s="68" t="s">
        <v>15</v>
      </c>
      <c r="R334" s="68" t="s">
        <v>282</v>
      </c>
      <c r="S334" s="68" t="s">
        <v>282</v>
      </c>
      <c r="T334" s="68" t="s">
        <v>282</v>
      </c>
      <c r="U334" s="68" t="s">
        <v>282</v>
      </c>
      <c r="V334" s="68" t="s">
        <v>282</v>
      </c>
      <c r="W334" s="69" t="s">
        <v>282</v>
      </c>
      <c r="X334" s="69" t="s">
        <v>282</v>
      </c>
      <c r="Y334" s="70" t="s">
        <v>282</v>
      </c>
    </row>
    <row r="335" spans="1:25">
      <c r="A335" s="64">
        <v>6</v>
      </c>
      <c r="B335" s="65" t="str">
        <f>VLOOKUP(Tabel10[[#This Row],[Code]],Ruimtegroepen[[Code]:[Ruimte omschrijving]],2,FALSE)</f>
        <v>Gangen/hallen</v>
      </c>
      <c r="C335" s="66" t="s">
        <v>562</v>
      </c>
      <c r="D335" s="65" t="s">
        <v>27</v>
      </c>
      <c r="E335" s="66" t="s">
        <v>99</v>
      </c>
      <c r="F335" s="66" t="s">
        <v>564</v>
      </c>
      <c r="G335" s="71" t="s">
        <v>282</v>
      </c>
      <c r="H335" s="67" t="s">
        <v>15</v>
      </c>
      <c r="I335" s="67" t="s">
        <v>282</v>
      </c>
      <c r="J335" s="67" t="s">
        <v>282</v>
      </c>
      <c r="K335" s="67" t="s">
        <v>282</v>
      </c>
      <c r="L335" s="67" t="s">
        <v>282</v>
      </c>
      <c r="M335" s="67" t="s">
        <v>282</v>
      </c>
      <c r="N335" s="67" t="s">
        <v>282</v>
      </c>
      <c r="O335" s="68" t="s">
        <v>15</v>
      </c>
      <c r="P335" s="68" t="s">
        <v>15</v>
      </c>
      <c r="Q335" s="68" t="s">
        <v>15</v>
      </c>
      <c r="R335" s="68" t="s">
        <v>282</v>
      </c>
      <c r="S335" s="68" t="s">
        <v>282</v>
      </c>
      <c r="T335" s="68" t="s">
        <v>282</v>
      </c>
      <c r="U335" s="68" t="s">
        <v>282</v>
      </c>
      <c r="V335" s="68" t="s">
        <v>282</v>
      </c>
      <c r="W335" s="69" t="s">
        <v>282</v>
      </c>
      <c r="X335" s="69" t="s">
        <v>282</v>
      </c>
      <c r="Y335" s="70" t="s">
        <v>282</v>
      </c>
    </row>
    <row r="336" spans="1:25">
      <c r="A336" s="64">
        <v>6</v>
      </c>
      <c r="B336" s="65" t="str">
        <f>VLOOKUP(Tabel10[[#This Row],[Code]],Ruimtegroepen[[Code]:[Ruimte omschrijving]],2,FALSE)</f>
        <v>Gangen/hallen</v>
      </c>
      <c r="C336" s="66" t="s">
        <v>562</v>
      </c>
      <c r="D336" s="65" t="s">
        <v>27</v>
      </c>
      <c r="E336" s="66" t="s">
        <v>101</v>
      </c>
      <c r="F336" s="66" t="s">
        <v>565</v>
      </c>
      <c r="G336" s="71" t="s">
        <v>282</v>
      </c>
      <c r="H336" s="67" t="s">
        <v>282</v>
      </c>
      <c r="I336" s="67" t="s">
        <v>15</v>
      </c>
      <c r="J336" s="67" t="s">
        <v>282</v>
      </c>
      <c r="K336" s="67" t="s">
        <v>282</v>
      </c>
      <c r="L336" s="67" t="s">
        <v>282</v>
      </c>
      <c r="M336" s="67" t="s">
        <v>282</v>
      </c>
      <c r="N336" s="67" t="s">
        <v>282</v>
      </c>
      <c r="O336" s="68" t="s">
        <v>15</v>
      </c>
      <c r="P336" s="68" t="s">
        <v>15</v>
      </c>
      <c r="Q336" s="68" t="s">
        <v>15</v>
      </c>
      <c r="R336" s="68" t="s">
        <v>282</v>
      </c>
      <c r="S336" s="68" t="s">
        <v>282</v>
      </c>
      <c r="T336" s="68" t="s">
        <v>282</v>
      </c>
      <c r="U336" s="68" t="s">
        <v>282</v>
      </c>
      <c r="V336" s="68" t="s">
        <v>282</v>
      </c>
      <c r="W336" s="69" t="s">
        <v>282</v>
      </c>
      <c r="X336" s="69" t="s">
        <v>282</v>
      </c>
      <c r="Y336" s="70" t="s">
        <v>282</v>
      </c>
    </row>
    <row r="337" spans="1:25">
      <c r="A337" s="64">
        <v>6</v>
      </c>
      <c r="B337" s="65" t="str">
        <f>VLOOKUP(Tabel10[[#This Row],[Code]],Ruimtegroepen[[Code]:[Ruimte omschrijving]],2,FALSE)</f>
        <v>Gangen/hallen</v>
      </c>
      <c r="C337" s="66" t="s">
        <v>562</v>
      </c>
      <c r="D337" s="65" t="s">
        <v>27</v>
      </c>
      <c r="E337" s="66" t="s">
        <v>102</v>
      </c>
      <c r="F337" s="66" t="s">
        <v>566</v>
      </c>
      <c r="G337" s="71" t="s">
        <v>282</v>
      </c>
      <c r="H337" s="67" t="s">
        <v>282</v>
      </c>
      <c r="I337" s="67" t="s">
        <v>15</v>
      </c>
      <c r="J337" s="67" t="s">
        <v>282</v>
      </c>
      <c r="K337" s="67" t="s">
        <v>282</v>
      </c>
      <c r="L337" s="67" t="s">
        <v>282</v>
      </c>
      <c r="M337" s="67" t="s">
        <v>282</v>
      </c>
      <c r="N337" s="67" t="s">
        <v>282</v>
      </c>
      <c r="O337" s="68" t="s">
        <v>15</v>
      </c>
      <c r="P337" s="68" t="s">
        <v>15</v>
      </c>
      <c r="Q337" s="68" t="s">
        <v>15</v>
      </c>
      <c r="R337" s="68" t="s">
        <v>282</v>
      </c>
      <c r="S337" s="68" t="s">
        <v>282</v>
      </c>
      <c r="T337" s="68" t="s">
        <v>282</v>
      </c>
      <c r="U337" s="68" t="s">
        <v>282</v>
      </c>
      <c r="V337" s="68" t="s">
        <v>282</v>
      </c>
      <c r="W337" s="69" t="s">
        <v>282</v>
      </c>
      <c r="X337" s="69" t="s">
        <v>282</v>
      </c>
      <c r="Y337" s="70" t="s">
        <v>282</v>
      </c>
    </row>
    <row r="338" spans="1:25">
      <c r="A338" s="64">
        <v>6</v>
      </c>
      <c r="B338" s="65" t="str">
        <f>VLOOKUP(Tabel10[[#This Row],[Code]],Ruimtegroepen[[Code]:[Ruimte omschrijving]],2,FALSE)</f>
        <v>Gangen/hallen</v>
      </c>
      <c r="C338" s="66" t="s">
        <v>562</v>
      </c>
      <c r="D338" s="65" t="s">
        <v>27</v>
      </c>
      <c r="E338" s="66" t="s">
        <v>99</v>
      </c>
      <c r="F338" s="66" t="s">
        <v>564</v>
      </c>
      <c r="G338" s="71" t="s">
        <v>282</v>
      </c>
      <c r="H338" s="67" t="s">
        <v>15</v>
      </c>
      <c r="I338" s="67" t="s">
        <v>282</v>
      </c>
      <c r="J338" s="67" t="s">
        <v>282</v>
      </c>
      <c r="K338" s="67" t="s">
        <v>282</v>
      </c>
      <c r="L338" s="67" t="s">
        <v>282</v>
      </c>
      <c r="M338" s="67" t="s">
        <v>282</v>
      </c>
      <c r="N338" s="67" t="s">
        <v>282</v>
      </c>
      <c r="O338" s="68" t="s">
        <v>15</v>
      </c>
      <c r="P338" s="68" t="s">
        <v>15</v>
      </c>
      <c r="Q338" s="68" t="s">
        <v>15</v>
      </c>
      <c r="R338" s="68" t="s">
        <v>282</v>
      </c>
      <c r="S338" s="68" t="s">
        <v>282</v>
      </c>
      <c r="T338" s="68" t="s">
        <v>282</v>
      </c>
      <c r="U338" s="68" t="s">
        <v>282</v>
      </c>
      <c r="V338" s="68" t="s">
        <v>282</v>
      </c>
      <c r="W338" s="69" t="s">
        <v>282</v>
      </c>
      <c r="X338" s="69" t="s">
        <v>282</v>
      </c>
      <c r="Y338" s="70" t="s">
        <v>282</v>
      </c>
    </row>
    <row r="339" spans="1:25">
      <c r="A339" s="64">
        <v>6</v>
      </c>
      <c r="B339" s="65" t="str">
        <f>VLOOKUP(Tabel10[[#This Row],[Code]],Ruimtegroepen[[Code]:[Ruimte omschrijving]],2,FALSE)</f>
        <v>Gangen/hallen</v>
      </c>
      <c r="C339" s="66" t="s">
        <v>562</v>
      </c>
      <c r="D339" s="65" t="s">
        <v>27</v>
      </c>
      <c r="E339" s="66" t="s">
        <v>1309</v>
      </c>
      <c r="F339" s="66" t="s">
        <v>1379</v>
      </c>
      <c r="G339" s="71" t="s">
        <v>282</v>
      </c>
      <c r="H339" s="67" t="s">
        <v>282</v>
      </c>
      <c r="I339" s="67" t="s">
        <v>15</v>
      </c>
      <c r="J339" s="67" t="s">
        <v>282</v>
      </c>
      <c r="K339" s="67" t="s">
        <v>282</v>
      </c>
      <c r="L339" s="67" t="s">
        <v>282</v>
      </c>
      <c r="M339" s="67" t="s">
        <v>282</v>
      </c>
      <c r="N339" s="67" t="s">
        <v>282</v>
      </c>
      <c r="O339" s="68" t="s">
        <v>15</v>
      </c>
      <c r="P339" s="68" t="s">
        <v>15</v>
      </c>
      <c r="Q339" s="68" t="s">
        <v>15</v>
      </c>
      <c r="R339" s="68" t="s">
        <v>282</v>
      </c>
      <c r="S339" s="68" t="s">
        <v>282</v>
      </c>
      <c r="T339" s="68" t="s">
        <v>282</v>
      </c>
      <c r="U339" s="68" t="s">
        <v>282</v>
      </c>
      <c r="V339" s="68" t="s">
        <v>282</v>
      </c>
      <c r="W339" s="69" t="s">
        <v>282</v>
      </c>
      <c r="X339" s="69" t="s">
        <v>282</v>
      </c>
      <c r="Y339" s="70" t="s">
        <v>282</v>
      </c>
    </row>
    <row r="340" spans="1:25">
      <c r="A340" s="64">
        <v>6</v>
      </c>
      <c r="B340" s="65" t="str">
        <f>VLOOKUP(Tabel10[[#This Row],[Code]],Ruimtegroepen[[Code]:[Ruimte omschrijving]],2,FALSE)</f>
        <v>Gangen/hallen</v>
      </c>
      <c r="C340" s="66" t="s">
        <v>567</v>
      </c>
      <c r="D340" s="65" t="s">
        <v>28</v>
      </c>
      <c r="E340" s="66" t="s">
        <v>100</v>
      </c>
      <c r="F340" s="66" t="s">
        <v>568</v>
      </c>
      <c r="G340" s="71" t="s">
        <v>282</v>
      </c>
      <c r="H340" s="67" t="s">
        <v>282</v>
      </c>
      <c r="I340" s="67" t="s">
        <v>17</v>
      </c>
      <c r="J340" s="67" t="s">
        <v>282</v>
      </c>
      <c r="K340" s="67" t="s">
        <v>282</v>
      </c>
      <c r="L340" s="67" t="s">
        <v>282</v>
      </c>
      <c r="M340" s="67" t="s">
        <v>282</v>
      </c>
      <c r="N340" s="67" t="s">
        <v>282</v>
      </c>
      <c r="O340" s="68" t="s">
        <v>17</v>
      </c>
      <c r="P340" s="68" t="s">
        <v>17</v>
      </c>
      <c r="Q340" s="68" t="s">
        <v>15</v>
      </c>
      <c r="R340" s="68" t="s">
        <v>282</v>
      </c>
      <c r="S340" s="68" t="s">
        <v>282</v>
      </c>
      <c r="T340" s="68" t="s">
        <v>282</v>
      </c>
      <c r="U340" s="68" t="s">
        <v>282</v>
      </c>
      <c r="V340" s="68" t="s">
        <v>282</v>
      </c>
      <c r="W340" s="69" t="s">
        <v>282</v>
      </c>
      <c r="X340" s="69" t="s">
        <v>282</v>
      </c>
      <c r="Y340" s="70" t="s">
        <v>282</v>
      </c>
    </row>
    <row r="341" spans="1:25">
      <c r="A341" s="64">
        <v>6</v>
      </c>
      <c r="B341" s="65" t="str">
        <f>VLOOKUP(Tabel10[[#This Row],[Code]],Ruimtegroepen[[Code]:[Ruimte omschrijving]],2,FALSE)</f>
        <v>Gangen/hallen</v>
      </c>
      <c r="C341" s="66" t="s">
        <v>567</v>
      </c>
      <c r="D341" s="65" t="s">
        <v>28</v>
      </c>
      <c r="E341" s="66" t="s">
        <v>99</v>
      </c>
      <c r="F341" s="66" t="s">
        <v>569</v>
      </c>
      <c r="G341" s="71" t="s">
        <v>282</v>
      </c>
      <c r="H341" s="67" t="s">
        <v>17</v>
      </c>
      <c r="I341" s="67" t="s">
        <v>282</v>
      </c>
      <c r="J341" s="67" t="s">
        <v>282</v>
      </c>
      <c r="K341" s="67" t="s">
        <v>282</v>
      </c>
      <c r="L341" s="67" t="s">
        <v>282</v>
      </c>
      <c r="M341" s="67" t="s">
        <v>282</v>
      </c>
      <c r="N341" s="67" t="s">
        <v>282</v>
      </c>
      <c r="O341" s="68" t="s">
        <v>17</v>
      </c>
      <c r="P341" s="68" t="s">
        <v>17</v>
      </c>
      <c r="Q341" s="68" t="s">
        <v>15</v>
      </c>
      <c r="R341" s="68" t="s">
        <v>282</v>
      </c>
      <c r="S341" s="68" t="s">
        <v>282</v>
      </c>
      <c r="T341" s="68" t="s">
        <v>282</v>
      </c>
      <c r="U341" s="68" t="s">
        <v>282</v>
      </c>
      <c r="V341" s="68" t="s">
        <v>282</v>
      </c>
      <c r="W341" s="69" t="s">
        <v>282</v>
      </c>
      <c r="X341" s="69" t="s">
        <v>282</v>
      </c>
      <c r="Y341" s="70" t="s">
        <v>282</v>
      </c>
    </row>
    <row r="342" spans="1:25">
      <c r="A342" s="64">
        <v>6</v>
      </c>
      <c r="B342" s="65" t="str">
        <f>VLOOKUP(Tabel10[[#This Row],[Code]],Ruimtegroepen[[Code]:[Ruimte omschrijving]],2,FALSE)</f>
        <v>Gangen/hallen</v>
      </c>
      <c r="C342" s="66" t="s">
        <v>567</v>
      </c>
      <c r="D342" s="65" t="s">
        <v>28</v>
      </c>
      <c r="E342" s="66" t="s">
        <v>101</v>
      </c>
      <c r="F342" s="66" t="s">
        <v>570</v>
      </c>
      <c r="G342" s="71" t="s">
        <v>282</v>
      </c>
      <c r="H342" s="67" t="s">
        <v>282</v>
      </c>
      <c r="I342" s="67" t="s">
        <v>17</v>
      </c>
      <c r="J342" s="67" t="s">
        <v>282</v>
      </c>
      <c r="K342" s="67" t="s">
        <v>282</v>
      </c>
      <c r="L342" s="67" t="s">
        <v>282</v>
      </c>
      <c r="M342" s="67" t="s">
        <v>282</v>
      </c>
      <c r="N342" s="67" t="s">
        <v>282</v>
      </c>
      <c r="O342" s="68" t="s">
        <v>17</v>
      </c>
      <c r="P342" s="68" t="s">
        <v>17</v>
      </c>
      <c r="Q342" s="68" t="s">
        <v>15</v>
      </c>
      <c r="R342" s="68" t="s">
        <v>282</v>
      </c>
      <c r="S342" s="68" t="s">
        <v>282</v>
      </c>
      <c r="T342" s="68" t="s">
        <v>282</v>
      </c>
      <c r="U342" s="68" t="s">
        <v>282</v>
      </c>
      <c r="V342" s="68" t="s">
        <v>282</v>
      </c>
      <c r="W342" s="69" t="s">
        <v>282</v>
      </c>
      <c r="X342" s="69" t="s">
        <v>282</v>
      </c>
      <c r="Y342" s="70" t="s">
        <v>282</v>
      </c>
    </row>
    <row r="343" spans="1:25">
      <c r="A343" s="64">
        <v>6</v>
      </c>
      <c r="B343" s="65" t="str">
        <f>VLOOKUP(Tabel10[[#This Row],[Code]],Ruimtegroepen[[Code]:[Ruimte omschrijving]],2,FALSE)</f>
        <v>Gangen/hallen</v>
      </c>
      <c r="C343" s="66" t="s">
        <v>567</v>
      </c>
      <c r="D343" s="65" t="s">
        <v>28</v>
      </c>
      <c r="E343" s="66" t="s">
        <v>102</v>
      </c>
      <c r="F343" s="66" t="s">
        <v>571</v>
      </c>
      <c r="G343" s="71" t="s">
        <v>282</v>
      </c>
      <c r="H343" s="67" t="s">
        <v>282</v>
      </c>
      <c r="I343" s="67" t="s">
        <v>17</v>
      </c>
      <c r="J343" s="67" t="s">
        <v>282</v>
      </c>
      <c r="K343" s="67" t="s">
        <v>282</v>
      </c>
      <c r="L343" s="67" t="s">
        <v>282</v>
      </c>
      <c r="M343" s="67" t="s">
        <v>282</v>
      </c>
      <c r="N343" s="67" t="s">
        <v>282</v>
      </c>
      <c r="O343" s="68" t="s">
        <v>17</v>
      </c>
      <c r="P343" s="68" t="s">
        <v>17</v>
      </c>
      <c r="Q343" s="68" t="s">
        <v>15</v>
      </c>
      <c r="R343" s="68" t="s">
        <v>282</v>
      </c>
      <c r="S343" s="68" t="s">
        <v>282</v>
      </c>
      <c r="T343" s="68" t="s">
        <v>282</v>
      </c>
      <c r="U343" s="68" t="s">
        <v>282</v>
      </c>
      <c r="V343" s="68" t="s">
        <v>282</v>
      </c>
      <c r="W343" s="69" t="s">
        <v>282</v>
      </c>
      <c r="X343" s="69" t="s">
        <v>282</v>
      </c>
      <c r="Y343" s="70" t="s">
        <v>282</v>
      </c>
    </row>
    <row r="344" spans="1:25">
      <c r="A344" s="64">
        <v>6</v>
      </c>
      <c r="B344" s="65" t="str">
        <f>VLOOKUP(Tabel10[[#This Row],[Code]],Ruimtegroepen[[Code]:[Ruimte omschrijving]],2,FALSE)</f>
        <v>Gangen/hallen</v>
      </c>
      <c r="C344" s="66" t="s">
        <v>567</v>
      </c>
      <c r="D344" s="65" t="s">
        <v>28</v>
      </c>
      <c r="E344" s="66" t="s">
        <v>99</v>
      </c>
      <c r="F344" s="66" t="s">
        <v>569</v>
      </c>
      <c r="G344" s="71" t="s">
        <v>282</v>
      </c>
      <c r="H344" s="67" t="s">
        <v>17</v>
      </c>
      <c r="I344" s="67" t="s">
        <v>282</v>
      </c>
      <c r="J344" s="67" t="s">
        <v>282</v>
      </c>
      <c r="K344" s="67" t="s">
        <v>282</v>
      </c>
      <c r="L344" s="67" t="s">
        <v>282</v>
      </c>
      <c r="M344" s="67" t="s">
        <v>282</v>
      </c>
      <c r="N344" s="67" t="s">
        <v>282</v>
      </c>
      <c r="O344" s="68" t="s">
        <v>17</v>
      </c>
      <c r="P344" s="68" t="s">
        <v>17</v>
      </c>
      <c r="Q344" s="68" t="s">
        <v>15</v>
      </c>
      <c r="R344" s="68" t="s">
        <v>282</v>
      </c>
      <c r="S344" s="68" t="s">
        <v>282</v>
      </c>
      <c r="T344" s="68" t="s">
        <v>282</v>
      </c>
      <c r="U344" s="68" t="s">
        <v>282</v>
      </c>
      <c r="V344" s="68" t="s">
        <v>282</v>
      </c>
      <c r="W344" s="69" t="s">
        <v>282</v>
      </c>
      <c r="X344" s="69" t="s">
        <v>282</v>
      </c>
      <c r="Y344" s="70" t="s">
        <v>282</v>
      </c>
    </row>
    <row r="345" spans="1:25">
      <c r="A345" s="64">
        <v>6</v>
      </c>
      <c r="B345" s="65" t="str">
        <f>VLOOKUP(Tabel10[[#This Row],[Code]],Ruimtegroepen[[Code]:[Ruimte omschrijving]],2,FALSE)</f>
        <v>Gangen/hallen</v>
      </c>
      <c r="C345" s="66" t="s">
        <v>567</v>
      </c>
      <c r="D345" s="65" t="s">
        <v>28</v>
      </c>
      <c r="E345" s="66" t="s">
        <v>1309</v>
      </c>
      <c r="F345" s="66" t="s">
        <v>1412</v>
      </c>
      <c r="G345" s="71" t="s">
        <v>282</v>
      </c>
      <c r="H345" s="67" t="s">
        <v>282</v>
      </c>
      <c r="I345" s="67" t="s">
        <v>17</v>
      </c>
      <c r="J345" s="67" t="s">
        <v>282</v>
      </c>
      <c r="K345" s="67" t="s">
        <v>282</v>
      </c>
      <c r="L345" s="67" t="s">
        <v>282</v>
      </c>
      <c r="M345" s="67" t="s">
        <v>282</v>
      </c>
      <c r="N345" s="67" t="s">
        <v>282</v>
      </c>
      <c r="O345" s="68" t="s">
        <v>17</v>
      </c>
      <c r="P345" s="68" t="s">
        <v>17</v>
      </c>
      <c r="Q345" s="68" t="s">
        <v>15</v>
      </c>
      <c r="R345" s="68" t="s">
        <v>282</v>
      </c>
      <c r="S345" s="68" t="s">
        <v>282</v>
      </c>
      <c r="T345" s="68" t="s">
        <v>282</v>
      </c>
      <c r="U345" s="68" t="s">
        <v>282</v>
      </c>
      <c r="V345" s="68" t="s">
        <v>282</v>
      </c>
      <c r="W345" s="69" t="s">
        <v>282</v>
      </c>
      <c r="X345" s="69" t="s">
        <v>282</v>
      </c>
      <c r="Y345" s="70" t="s">
        <v>282</v>
      </c>
    </row>
    <row r="346" spans="1:25">
      <c r="A346" s="64">
        <v>7</v>
      </c>
      <c r="B346" s="65" t="str">
        <f>VLOOKUP(Tabel10[[#This Row],[Code]],Ruimtegroepen[[Code]:[Ruimte omschrijving]],2,FALSE)</f>
        <v>Entree</v>
      </c>
      <c r="C346" s="66" t="s">
        <v>572</v>
      </c>
      <c r="D346" s="65" t="s">
        <v>29</v>
      </c>
      <c r="E346" s="66" t="s">
        <v>100</v>
      </c>
      <c r="F346" s="66" t="s">
        <v>573</v>
      </c>
      <c r="G346" s="71" t="s">
        <v>282</v>
      </c>
      <c r="H346" s="67" t="s">
        <v>282</v>
      </c>
      <c r="I346" s="67" t="s">
        <v>282</v>
      </c>
      <c r="J346" s="67" t="s">
        <v>2</v>
      </c>
      <c r="K346" s="67" t="s">
        <v>282</v>
      </c>
      <c r="L346" s="67" t="s">
        <v>282</v>
      </c>
      <c r="M346" s="67" t="s">
        <v>282</v>
      </c>
      <c r="N346" s="67" t="s">
        <v>2</v>
      </c>
      <c r="O346" s="68" t="s">
        <v>2</v>
      </c>
      <c r="P346" s="68" t="s">
        <v>2</v>
      </c>
      <c r="Q346" s="68" t="s">
        <v>15</v>
      </c>
      <c r="R346" s="68" t="s">
        <v>15</v>
      </c>
      <c r="S346" s="68" t="s">
        <v>16</v>
      </c>
      <c r="T346" s="68" t="s">
        <v>329</v>
      </c>
      <c r="U346" s="68" t="s">
        <v>249</v>
      </c>
      <c r="V346" s="68" t="s">
        <v>2</v>
      </c>
      <c r="W346" s="69" t="s">
        <v>282</v>
      </c>
      <c r="X346" s="69" t="s">
        <v>282</v>
      </c>
      <c r="Y346" s="70" t="s">
        <v>282</v>
      </c>
    </row>
    <row r="347" spans="1:25">
      <c r="A347" s="64">
        <v>7</v>
      </c>
      <c r="B347" s="65" t="str">
        <f>VLOOKUP(Tabel10[[#This Row],[Code]],Ruimtegroepen[[Code]:[Ruimte omschrijving]],2,FALSE)</f>
        <v>Entree</v>
      </c>
      <c r="C347" s="66" t="s">
        <v>572</v>
      </c>
      <c r="D347" s="65" t="s">
        <v>29</v>
      </c>
      <c r="E347" s="66" t="s">
        <v>99</v>
      </c>
      <c r="F347" s="66" t="s">
        <v>574</v>
      </c>
      <c r="G347" s="71" t="s">
        <v>282</v>
      </c>
      <c r="H347" s="67" t="s">
        <v>2</v>
      </c>
      <c r="I347" s="67" t="s">
        <v>282</v>
      </c>
      <c r="J347" s="67" t="s">
        <v>282</v>
      </c>
      <c r="K347" s="67" t="s">
        <v>282</v>
      </c>
      <c r="L347" s="67" t="s">
        <v>282</v>
      </c>
      <c r="M347" s="67" t="s">
        <v>282</v>
      </c>
      <c r="N347" s="67" t="s">
        <v>2</v>
      </c>
      <c r="O347" s="68" t="s">
        <v>2</v>
      </c>
      <c r="P347" s="68" t="s">
        <v>2</v>
      </c>
      <c r="Q347" s="68" t="s">
        <v>15</v>
      </c>
      <c r="R347" s="68" t="s">
        <v>15</v>
      </c>
      <c r="S347" s="68" t="s">
        <v>16</v>
      </c>
      <c r="T347" s="68" t="s">
        <v>329</v>
      </c>
      <c r="U347" s="68" t="s">
        <v>249</v>
      </c>
      <c r="V347" s="68" t="s">
        <v>2</v>
      </c>
      <c r="W347" s="69" t="s">
        <v>282</v>
      </c>
      <c r="X347" s="69" t="s">
        <v>282</v>
      </c>
      <c r="Y347" s="70" t="s">
        <v>282</v>
      </c>
    </row>
    <row r="348" spans="1:25">
      <c r="A348" s="64">
        <v>7</v>
      </c>
      <c r="B348" s="65" t="str">
        <f>VLOOKUP(Tabel10[[#This Row],[Code]],Ruimtegroepen[[Code]:[Ruimte omschrijving]],2,FALSE)</f>
        <v>Entree</v>
      </c>
      <c r="C348" s="66" t="s">
        <v>572</v>
      </c>
      <c r="D348" s="65" t="s">
        <v>29</v>
      </c>
      <c r="E348" s="66" t="s">
        <v>101</v>
      </c>
      <c r="F348" s="66" t="s">
        <v>575</v>
      </c>
      <c r="G348" s="71" t="s">
        <v>282</v>
      </c>
      <c r="H348" s="67" t="s">
        <v>282</v>
      </c>
      <c r="I348" s="67" t="s">
        <v>2</v>
      </c>
      <c r="J348" s="67" t="s">
        <v>282</v>
      </c>
      <c r="K348" s="67" t="s">
        <v>2</v>
      </c>
      <c r="L348" s="67" t="s">
        <v>282</v>
      </c>
      <c r="M348" s="67" t="s">
        <v>282</v>
      </c>
      <c r="N348" s="67" t="s">
        <v>2</v>
      </c>
      <c r="O348" s="68" t="s">
        <v>2</v>
      </c>
      <c r="P348" s="68" t="s">
        <v>2</v>
      </c>
      <c r="Q348" s="68" t="s">
        <v>15</v>
      </c>
      <c r="R348" s="68" t="s">
        <v>15</v>
      </c>
      <c r="S348" s="68" t="s">
        <v>16</v>
      </c>
      <c r="T348" s="68" t="s">
        <v>329</v>
      </c>
      <c r="U348" s="68" t="s">
        <v>249</v>
      </c>
      <c r="V348" s="68" t="s">
        <v>2</v>
      </c>
      <c r="W348" s="69" t="s">
        <v>282</v>
      </c>
      <c r="X348" s="69" t="s">
        <v>282</v>
      </c>
      <c r="Y348" s="70" t="s">
        <v>282</v>
      </c>
    </row>
    <row r="349" spans="1:25">
      <c r="A349" s="64">
        <v>7</v>
      </c>
      <c r="B349" s="65" t="str">
        <f>VLOOKUP(Tabel10[[#This Row],[Code]],Ruimtegroepen[[Code]:[Ruimte omschrijving]],2,FALSE)</f>
        <v>Entree</v>
      </c>
      <c r="C349" s="66" t="s">
        <v>572</v>
      </c>
      <c r="D349" s="65" t="s">
        <v>29</v>
      </c>
      <c r="E349" s="66" t="s">
        <v>102</v>
      </c>
      <c r="F349" s="66" t="s">
        <v>576</v>
      </c>
      <c r="G349" s="71" t="s">
        <v>282</v>
      </c>
      <c r="H349" s="67" t="s">
        <v>282</v>
      </c>
      <c r="I349" s="67" t="s">
        <v>2</v>
      </c>
      <c r="J349" s="67" t="s">
        <v>282</v>
      </c>
      <c r="K349" s="67" t="s">
        <v>2</v>
      </c>
      <c r="L349" s="67" t="s">
        <v>282</v>
      </c>
      <c r="M349" s="67" t="s">
        <v>282</v>
      </c>
      <c r="N349" s="67" t="s">
        <v>2</v>
      </c>
      <c r="O349" s="68" t="s">
        <v>2</v>
      </c>
      <c r="P349" s="68" t="s">
        <v>2</v>
      </c>
      <c r="Q349" s="68" t="s">
        <v>15</v>
      </c>
      <c r="R349" s="68" t="s">
        <v>15</v>
      </c>
      <c r="S349" s="68" t="s">
        <v>16</v>
      </c>
      <c r="T349" s="68" t="s">
        <v>329</v>
      </c>
      <c r="U349" s="68" t="s">
        <v>249</v>
      </c>
      <c r="V349" s="68" t="s">
        <v>2</v>
      </c>
      <c r="W349" s="69" t="s">
        <v>282</v>
      </c>
      <c r="X349" s="69" t="s">
        <v>282</v>
      </c>
      <c r="Y349" s="70" t="s">
        <v>282</v>
      </c>
    </row>
    <row r="350" spans="1:25">
      <c r="A350" s="64">
        <v>7</v>
      </c>
      <c r="B350" s="65" t="str">
        <f>VLOOKUP(Tabel10[[#This Row],[Code]],Ruimtegroepen[[Code]:[Ruimte omschrijving]],2,FALSE)</f>
        <v>Entree</v>
      </c>
      <c r="C350" s="66" t="s">
        <v>572</v>
      </c>
      <c r="D350" s="65" t="s">
        <v>29</v>
      </c>
      <c r="E350" s="66" t="s">
        <v>99</v>
      </c>
      <c r="F350" s="66" t="s">
        <v>574</v>
      </c>
      <c r="G350" s="71" t="s">
        <v>282</v>
      </c>
      <c r="H350" s="67" t="s">
        <v>2</v>
      </c>
      <c r="I350" s="67" t="s">
        <v>282</v>
      </c>
      <c r="J350" s="67" t="s">
        <v>282</v>
      </c>
      <c r="K350" s="67" t="s">
        <v>282</v>
      </c>
      <c r="L350" s="67" t="s">
        <v>282</v>
      </c>
      <c r="M350" s="67" t="s">
        <v>282</v>
      </c>
      <c r="N350" s="67" t="s">
        <v>2</v>
      </c>
      <c r="O350" s="68" t="s">
        <v>2</v>
      </c>
      <c r="P350" s="68" t="s">
        <v>2</v>
      </c>
      <c r="Q350" s="68" t="s">
        <v>15</v>
      </c>
      <c r="R350" s="68" t="s">
        <v>15</v>
      </c>
      <c r="S350" s="68" t="s">
        <v>16</v>
      </c>
      <c r="T350" s="68" t="s">
        <v>329</v>
      </c>
      <c r="U350" s="68" t="s">
        <v>249</v>
      </c>
      <c r="V350" s="68" t="s">
        <v>2</v>
      </c>
      <c r="W350" s="69" t="s">
        <v>282</v>
      </c>
      <c r="X350" s="69" t="s">
        <v>282</v>
      </c>
      <c r="Y350" s="70" t="s">
        <v>282</v>
      </c>
    </row>
    <row r="351" spans="1:25">
      <c r="A351" s="64">
        <v>7</v>
      </c>
      <c r="B351" s="65" t="str">
        <f>VLOOKUP(Tabel10[[#This Row],[Code]],Ruimtegroepen[[Code]:[Ruimte omschrijving]],2,FALSE)</f>
        <v>Entree</v>
      </c>
      <c r="C351" s="66" t="s">
        <v>572</v>
      </c>
      <c r="D351" s="65" t="s">
        <v>29</v>
      </c>
      <c r="E351" s="66" t="s">
        <v>1309</v>
      </c>
      <c r="F351" s="66" t="s">
        <v>1480</v>
      </c>
      <c r="G351" s="71" t="s">
        <v>282</v>
      </c>
      <c r="H351" s="67" t="s">
        <v>282</v>
      </c>
      <c r="I351" s="67" t="s">
        <v>2</v>
      </c>
      <c r="J351" s="67" t="s">
        <v>282</v>
      </c>
      <c r="K351" s="67" t="s">
        <v>2</v>
      </c>
      <c r="L351" s="67" t="s">
        <v>282</v>
      </c>
      <c r="M351" s="67" t="s">
        <v>282</v>
      </c>
      <c r="N351" s="67" t="s">
        <v>2</v>
      </c>
      <c r="O351" s="68" t="s">
        <v>2</v>
      </c>
      <c r="P351" s="68" t="s">
        <v>2</v>
      </c>
      <c r="Q351" s="68" t="s">
        <v>15</v>
      </c>
      <c r="R351" s="68" t="s">
        <v>15</v>
      </c>
      <c r="S351" s="68" t="s">
        <v>16</v>
      </c>
      <c r="T351" s="68" t="s">
        <v>329</v>
      </c>
      <c r="U351" s="68" t="s">
        <v>249</v>
      </c>
      <c r="V351" s="68" t="s">
        <v>2</v>
      </c>
      <c r="W351" s="69" t="s">
        <v>282</v>
      </c>
      <c r="X351" s="69" t="s">
        <v>282</v>
      </c>
      <c r="Y351" s="70" t="s">
        <v>282</v>
      </c>
    </row>
    <row r="352" spans="1:25">
      <c r="A352" s="64">
        <v>7</v>
      </c>
      <c r="B352" s="65" t="str">
        <f>VLOOKUP(Tabel10[[#This Row],[Code]],Ruimtegroepen[[Code]:[Ruimte omschrijving]],2,FALSE)</f>
        <v>Entree</v>
      </c>
      <c r="C352" s="66" t="s">
        <v>577</v>
      </c>
      <c r="D352" s="65" t="s">
        <v>1</v>
      </c>
      <c r="E352" s="66" t="s">
        <v>100</v>
      </c>
      <c r="F352" s="66" t="s">
        <v>578</v>
      </c>
      <c r="G352" s="71" t="s">
        <v>282</v>
      </c>
      <c r="H352" s="67" t="s">
        <v>282</v>
      </c>
      <c r="I352" s="67" t="s">
        <v>282</v>
      </c>
      <c r="J352" s="67" t="s">
        <v>2</v>
      </c>
      <c r="K352" s="67" t="s">
        <v>282</v>
      </c>
      <c r="L352" s="67" t="s">
        <v>282</v>
      </c>
      <c r="M352" s="67" t="s">
        <v>282</v>
      </c>
      <c r="N352" s="67" t="s">
        <v>282</v>
      </c>
      <c r="O352" s="68" t="s">
        <v>2</v>
      </c>
      <c r="P352" s="68" t="s">
        <v>2</v>
      </c>
      <c r="Q352" s="68" t="s">
        <v>15</v>
      </c>
      <c r="R352" s="68" t="s">
        <v>15</v>
      </c>
      <c r="S352" s="68" t="s">
        <v>16</v>
      </c>
      <c r="T352" s="68" t="s">
        <v>329</v>
      </c>
      <c r="U352" s="68" t="s">
        <v>249</v>
      </c>
      <c r="V352" s="68" t="s">
        <v>282</v>
      </c>
      <c r="W352" s="69" t="s">
        <v>282</v>
      </c>
      <c r="X352" s="69" t="s">
        <v>282</v>
      </c>
      <c r="Y352" s="70" t="s">
        <v>282</v>
      </c>
    </row>
    <row r="353" spans="1:25">
      <c r="A353" s="64">
        <v>7</v>
      </c>
      <c r="B353" s="65" t="str">
        <f>VLOOKUP(Tabel10[[#This Row],[Code]],Ruimtegroepen[[Code]:[Ruimte omschrijving]],2,FALSE)</f>
        <v>Entree</v>
      </c>
      <c r="C353" s="66" t="s">
        <v>577</v>
      </c>
      <c r="D353" s="65" t="s">
        <v>1</v>
      </c>
      <c r="E353" s="66" t="s">
        <v>99</v>
      </c>
      <c r="F353" s="66" t="s">
        <v>579</v>
      </c>
      <c r="G353" s="71" t="s">
        <v>282</v>
      </c>
      <c r="H353" s="67" t="s">
        <v>2</v>
      </c>
      <c r="I353" s="67" t="s">
        <v>282</v>
      </c>
      <c r="J353" s="67" t="s">
        <v>282</v>
      </c>
      <c r="K353" s="67" t="s">
        <v>282</v>
      </c>
      <c r="L353" s="67" t="s">
        <v>282</v>
      </c>
      <c r="M353" s="67" t="s">
        <v>282</v>
      </c>
      <c r="N353" s="67" t="s">
        <v>282</v>
      </c>
      <c r="O353" s="68" t="s">
        <v>2</v>
      </c>
      <c r="P353" s="68" t="s">
        <v>2</v>
      </c>
      <c r="Q353" s="68" t="s">
        <v>15</v>
      </c>
      <c r="R353" s="68" t="s">
        <v>15</v>
      </c>
      <c r="S353" s="68" t="s">
        <v>16</v>
      </c>
      <c r="T353" s="68" t="s">
        <v>329</v>
      </c>
      <c r="U353" s="68" t="s">
        <v>249</v>
      </c>
      <c r="V353" s="68" t="s">
        <v>282</v>
      </c>
      <c r="W353" s="69" t="s">
        <v>282</v>
      </c>
      <c r="X353" s="69" t="s">
        <v>282</v>
      </c>
      <c r="Y353" s="70" t="s">
        <v>282</v>
      </c>
    </row>
    <row r="354" spans="1:25">
      <c r="A354" s="64">
        <v>7</v>
      </c>
      <c r="B354" s="65" t="str">
        <f>VLOOKUP(Tabel10[[#This Row],[Code]],Ruimtegroepen[[Code]:[Ruimte omschrijving]],2,FALSE)</f>
        <v>Entree</v>
      </c>
      <c r="C354" s="66" t="s">
        <v>577</v>
      </c>
      <c r="D354" s="65" t="s">
        <v>1</v>
      </c>
      <c r="E354" s="66" t="s">
        <v>101</v>
      </c>
      <c r="F354" s="66" t="s">
        <v>580</v>
      </c>
      <c r="G354" s="71" t="s">
        <v>282</v>
      </c>
      <c r="H354" s="67" t="s">
        <v>282</v>
      </c>
      <c r="I354" s="67" t="s">
        <v>2</v>
      </c>
      <c r="J354" s="67" t="s">
        <v>282</v>
      </c>
      <c r="K354" s="67" t="s">
        <v>2</v>
      </c>
      <c r="L354" s="67" t="s">
        <v>282</v>
      </c>
      <c r="M354" s="67" t="s">
        <v>282</v>
      </c>
      <c r="N354" s="67" t="s">
        <v>282</v>
      </c>
      <c r="O354" s="68" t="s">
        <v>2</v>
      </c>
      <c r="P354" s="68" t="s">
        <v>2</v>
      </c>
      <c r="Q354" s="68" t="s">
        <v>15</v>
      </c>
      <c r="R354" s="68" t="s">
        <v>15</v>
      </c>
      <c r="S354" s="68" t="s">
        <v>16</v>
      </c>
      <c r="T354" s="68" t="s">
        <v>329</v>
      </c>
      <c r="U354" s="68" t="s">
        <v>249</v>
      </c>
      <c r="V354" s="68" t="s">
        <v>282</v>
      </c>
      <c r="W354" s="69" t="s">
        <v>282</v>
      </c>
      <c r="X354" s="69" t="s">
        <v>282</v>
      </c>
      <c r="Y354" s="70" t="s">
        <v>282</v>
      </c>
    </row>
    <row r="355" spans="1:25">
      <c r="A355" s="64">
        <v>7</v>
      </c>
      <c r="B355" s="65" t="str">
        <f>VLOOKUP(Tabel10[[#This Row],[Code]],Ruimtegroepen[[Code]:[Ruimte omschrijving]],2,FALSE)</f>
        <v>Entree</v>
      </c>
      <c r="C355" s="66" t="s">
        <v>577</v>
      </c>
      <c r="D355" s="65" t="s">
        <v>1</v>
      </c>
      <c r="E355" s="66" t="s">
        <v>102</v>
      </c>
      <c r="F355" s="66" t="s">
        <v>581</v>
      </c>
      <c r="G355" s="71" t="s">
        <v>282</v>
      </c>
      <c r="H355" s="67" t="s">
        <v>282</v>
      </c>
      <c r="I355" s="67" t="s">
        <v>2</v>
      </c>
      <c r="J355" s="67" t="s">
        <v>282</v>
      </c>
      <c r="K355" s="67" t="s">
        <v>2</v>
      </c>
      <c r="L355" s="67" t="s">
        <v>282</v>
      </c>
      <c r="M355" s="67" t="s">
        <v>282</v>
      </c>
      <c r="N355" s="67" t="s">
        <v>282</v>
      </c>
      <c r="O355" s="68" t="s">
        <v>2</v>
      </c>
      <c r="P355" s="68" t="s">
        <v>2</v>
      </c>
      <c r="Q355" s="68" t="s">
        <v>15</v>
      </c>
      <c r="R355" s="68" t="s">
        <v>15</v>
      </c>
      <c r="S355" s="68" t="s">
        <v>16</v>
      </c>
      <c r="T355" s="68" t="s">
        <v>329</v>
      </c>
      <c r="U355" s="68" t="s">
        <v>249</v>
      </c>
      <c r="V355" s="68" t="s">
        <v>282</v>
      </c>
      <c r="W355" s="69" t="s">
        <v>282</v>
      </c>
      <c r="X355" s="69" t="s">
        <v>282</v>
      </c>
      <c r="Y355" s="70" t="s">
        <v>282</v>
      </c>
    </row>
    <row r="356" spans="1:25">
      <c r="A356" s="64">
        <v>7</v>
      </c>
      <c r="B356" s="65" t="str">
        <f>VLOOKUP(Tabel10[[#This Row],[Code]],Ruimtegroepen[[Code]:[Ruimte omschrijving]],2,FALSE)</f>
        <v>Entree</v>
      </c>
      <c r="C356" s="66" t="s">
        <v>577</v>
      </c>
      <c r="D356" s="65" t="s">
        <v>1</v>
      </c>
      <c r="E356" s="66" t="s">
        <v>99</v>
      </c>
      <c r="F356" s="66" t="s">
        <v>579</v>
      </c>
      <c r="G356" s="71" t="s">
        <v>282</v>
      </c>
      <c r="H356" s="67" t="s">
        <v>2</v>
      </c>
      <c r="I356" s="67" t="s">
        <v>282</v>
      </c>
      <c r="J356" s="67" t="s">
        <v>282</v>
      </c>
      <c r="K356" s="67" t="s">
        <v>282</v>
      </c>
      <c r="L356" s="67" t="s">
        <v>282</v>
      </c>
      <c r="M356" s="67" t="s">
        <v>282</v>
      </c>
      <c r="N356" s="67" t="s">
        <v>282</v>
      </c>
      <c r="O356" s="68" t="s">
        <v>2</v>
      </c>
      <c r="P356" s="68" t="s">
        <v>2</v>
      </c>
      <c r="Q356" s="68" t="s">
        <v>15</v>
      </c>
      <c r="R356" s="68" t="s">
        <v>15</v>
      </c>
      <c r="S356" s="68" t="s">
        <v>16</v>
      </c>
      <c r="T356" s="68" t="s">
        <v>329</v>
      </c>
      <c r="U356" s="68" t="s">
        <v>249</v>
      </c>
      <c r="V356" s="68" t="s">
        <v>282</v>
      </c>
      <c r="W356" s="69" t="s">
        <v>282</v>
      </c>
      <c r="X356" s="69" t="s">
        <v>282</v>
      </c>
      <c r="Y356" s="70" t="s">
        <v>282</v>
      </c>
    </row>
    <row r="357" spans="1:25">
      <c r="A357" s="64">
        <v>7</v>
      </c>
      <c r="B357" s="65" t="str">
        <f>VLOOKUP(Tabel10[[#This Row],[Code]],Ruimtegroepen[[Code]:[Ruimte omschrijving]],2,FALSE)</f>
        <v>Entree</v>
      </c>
      <c r="C357" s="66" t="s">
        <v>577</v>
      </c>
      <c r="D357" s="65" t="s">
        <v>1</v>
      </c>
      <c r="E357" s="66" t="s">
        <v>1309</v>
      </c>
      <c r="F357" s="66" t="s">
        <v>1464</v>
      </c>
      <c r="G357" s="71" t="s">
        <v>282</v>
      </c>
      <c r="H357" s="67" t="s">
        <v>282</v>
      </c>
      <c r="I357" s="67" t="s">
        <v>2</v>
      </c>
      <c r="J357" s="67" t="s">
        <v>282</v>
      </c>
      <c r="K357" s="67" t="s">
        <v>2</v>
      </c>
      <c r="L357" s="67" t="s">
        <v>282</v>
      </c>
      <c r="M357" s="67" t="s">
        <v>282</v>
      </c>
      <c r="N357" s="67" t="s">
        <v>282</v>
      </c>
      <c r="O357" s="68" t="s">
        <v>2</v>
      </c>
      <c r="P357" s="68" t="s">
        <v>2</v>
      </c>
      <c r="Q357" s="68" t="s">
        <v>15</v>
      </c>
      <c r="R357" s="68" t="s">
        <v>15</v>
      </c>
      <c r="S357" s="68" t="s">
        <v>16</v>
      </c>
      <c r="T357" s="68" t="s">
        <v>329</v>
      </c>
      <c r="U357" s="68" t="s">
        <v>249</v>
      </c>
      <c r="V357" s="68" t="s">
        <v>282</v>
      </c>
      <c r="W357" s="69" t="s">
        <v>282</v>
      </c>
      <c r="X357" s="69" t="s">
        <v>282</v>
      </c>
      <c r="Y357" s="70" t="s">
        <v>282</v>
      </c>
    </row>
    <row r="358" spans="1:25">
      <c r="A358" s="64">
        <v>7</v>
      </c>
      <c r="B358" s="65" t="str">
        <f>VLOOKUP(Tabel10[[#This Row],[Code]],Ruimtegroepen[[Code]:[Ruimte omschrijving]],2,FALSE)</f>
        <v>Entree</v>
      </c>
      <c r="C358" s="66" t="s">
        <v>582</v>
      </c>
      <c r="D358" s="65" t="s">
        <v>21</v>
      </c>
      <c r="E358" s="66" t="s">
        <v>100</v>
      </c>
      <c r="F358" s="66" t="s">
        <v>583</v>
      </c>
      <c r="G358" s="71" t="s">
        <v>282</v>
      </c>
      <c r="H358" s="67" t="s">
        <v>282</v>
      </c>
      <c r="I358" s="67" t="s">
        <v>282</v>
      </c>
      <c r="J358" s="67" t="s">
        <v>20</v>
      </c>
      <c r="K358" s="67" t="s">
        <v>282</v>
      </c>
      <c r="L358" s="67" t="s">
        <v>282</v>
      </c>
      <c r="M358" s="67" t="s">
        <v>282</v>
      </c>
      <c r="N358" s="67" t="s">
        <v>282</v>
      </c>
      <c r="O358" s="68" t="s">
        <v>20</v>
      </c>
      <c r="P358" s="68" t="s">
        <v>20</v>
      </c>
      <c r="Q358" s="68" t="s">
        <v>15</v>
      </c>
      <c r="R358" s="68" t="s">
        <v>15</v>
      </c>
      <c r="S358" s="68" t="s">
        <v>16</v>
      </c>
      <c r="T358" s="68" t="s">
        <v>329</v>
      </c>
      <c r="U358" s="68" t="s">
        <v>249</v>
      </c>
      <c r="V358" s="68" t="s">
        <v>282</v>
      </c>
      <c r="W358" s="69" t="s">
        <v>282</v>
      </c>
      <c r="X358" s="69" t="s">
        <v>282</v>
      </c>
      <c r="Y358" s="70" t="s">
        <v>282</v>
      </c>
    </row>
    <row r="359" spans="1:25">
      <c r="A359" s="64">
        <v>7</v>
      </c>
      <c r="B359" s="65" t="str">
        <f>VLOOKUP(Tabel10[[#This Row],[Code]],Ruimtegroepen[[Code]:[Ruimte omschrijving]],2,FALSE)</f>
        <v>Entree</v>
      </c>
      <c r="C359" s="66" t="s">
        <v>582</v>
      </c>
      <c r="D359" s="65" t="s">
        <v>21</v>
      </c>
      <c r="E359" s="66" t="s">
        <v>99</v>
      </c>
      <c r="F359" s="66" t="s">
        <v>584</v>
      </c>
      <c r="G359" s="71" t="s">
        <v>282</v>
      </c>
      <c r="H359" s="67" t="s">
        <v>20</v>
      </c>
      <c r="I359" s="67" t="s">
        <v>282</v>
      </c>
      <c r="J359" s="67" t="s">
        <v>282</v>
      </c>
      <c r="K359" s="67" t="s">
        <v>282</v>
      </c>
      <c r="L359" s="67" t="s">
        <v>282</v>
      </c>
      <c r="M359" s="67" t="s">
        <v>282</v>
      </c>
      <c r="N359" s="67" t="s">
        <v>282</v>
      </c>
      <c r="O359" s="68" t="s">
        <v>20</v>
      </c>
      <c r="P359" s="68" t="s">
        <v>20</v>
      </c>
      <c r="Q359" s="68" t="s">
        <v>15</v>
      </c>
      <c r="R359" s="68" t="s">
        <v>15</v>
      </c>
      <c r="S359" s="68" t="s">
        <v>16</v>
      </c>
      <c r="T359" s="68" t="s">
        <v>329</v>
      </c>
      <c r="U359" s="68" t="s">
        <v>249</v>
      </c>
      <c r="V359" s="68" t="s">
        <v>282</v>
      </c>
      <c r="W359" s="69" t="s">
        <v>282</v>
      </c>
      <c r="X359" s="69" t="s">
        <v>282</v>
      </c>
      <c r="Y359" s="70" t="s">
        <v>282</v>
      </c>
    </row>
    <row r="360" spans="1:25">
      <c r="A360" s="64">
        <v>7</v>
      </c>
      <c r="B360" s="65" t="str">
        <f>VLOOKUP(Tabel10[[#This Row],[Code]],Ruimtegroepen[[Code]:[Ruimte omschrijving]],2,FALSE)</f>
        <v>Entree</v>
      </c>
      <c r="C360" s="66" t="s">
        <v>582</v>
      </c>
      <c r="D360" s="65" t="s">
        <v>21</v>
      </c>
      <c r="E360" s="66" t="s">
        <v>101</v>
      </c>
      <c r="F360" s="66" t="s">
        <v>585</v>
      </c>
      <c r="G360" s="71" t="s">
        <v>282</v>
      </c>
      <c r="H360" s="67" t="s">
        <v>282</v>
      </c>
      <c r="I360" s="67" t="s">
        <v>20</v>
      </c>
      <c r="J360" s="67" t="s">
        <v>282</v>
      </c>
      <c r="K360" s="67" t="s">
        <v>20</v>
      </c>
      <c r="L360" s="67" t="s">
        <v>282</v>
      </c>
      <c r="M360" s="67" t="s">
        <v>282</v>
      </c>
      <c r="N360" s="67" t="s">
        <v>282</v>
      </c>
      <c r="O360" s="68" t="s">
        <v>20</v>
      </c>
      <c r="P360" s="68" t="s">
        <v>20</v>
      </c>
      <c r="Q360" s="68" t="s">
        <v>15</v>
      </c>
      <c r="R360" s="68" t="s">
        <v>15</v>
      </c>
      <c r="S360" s="68" t="s">
        <v>16</v>
      </c>
      <c r="T360" s="68" t="s">
        <v>329</v>
      </c>
      <c r="U360" s="68" t="s">
        <v>249</v>
      </c>
      <c r="V360" s="68" t="s">
        <v>282</v>
      </c>
      <c r="W360" s="69" t="s">
        <v>282</v>
      </c>
      <c r="X360" s="69" t="s">
        <v>282</v>
      </c>
      <c r="Y360" s="70" t="s">
        <v>282</v>
      </c>
    </row>
    <row r="361" spans="1:25">
      <c r="A361" s="64">
        <v>7</v>
      </c>
      <c r="B361" s="65" t="str">
        <f>VLOOKUP(Tabel10[[#This Row],[Code]],Ruimtegroepen[[Code]:[Ruimte omschrijving]],2,FALSE)</f>
        <v>Entree</v>
      </c>
      <c r="C361" s="66" t="s">
        <v>582</v>
      </c>
      <c r="D361" s="65" t="s">
        <v>21</v>
      </c>
      <c r="E361" s="66" t="s">
        <v>102</v>
      </c>
      <c r="F361" s="66" t="s">
        <v>586</v>
      </c>
      <c r="G361" s="71" t="s">
        <v>282</v>
      </c>
      <c r="H361" s="67" t="s">
        <v>282</v>
      </c>
      <c r="I361" s="67" t="s">
        <v>20</v>
      </c>
      <c r="J361" s="67" t="s">
        <v>282</v>
      </c>
      <c r="K361" s="67" t="s">
        <v>20</v>
      </c>
      <c r="L361" s="67" t="s">
        <v>282</v>
      </c>
      <c r="M361" s="67" t="s">
        <v>282</v>
      </c>
      <c r="N361" s="67" t="s">
        <v>282</v>
      </c>
      <c r="O361" s="68" t="s">
        <v>20</v>
      </c>
      <c r="P361" s="68" t="s">
        <v>20</v>
      </c>
      <c r="Q361" s="68" t="s">
        <v>15</v>
      </c>
      <c r="R361" s="68" t="s">
        <v>15</v>
      </c>
      <c r="S361" s="68" t="s">
        <v>16</v>
      </c>
      <c r="T361" s="68" t="s">
        <v>329</v>
      </c>
      <c r="U361" s="68" t="s">
        <v>249</v>
      </c>
      <c r="V361" s="68" t="s">
        <v>282</v>
      </c>
      <c r="W361" s="69" t="s">
        <v>282</v>
      </c>
      <c r="X361" s="69" t="s">
        <v>282</v>
      </c>
      <c r="Y361" s="70" t="s">
        <v>282</v>
      </c>
    </row>
    <row r="362" spans="1:25">
      <c r="A362" s="64">
        <v>7</v>
      </c>
      <c r="B362" s="65" t="str">
        <f>VLOOKUP(Tabel10[[#This Row],[Code]],Ruimtegroepen[[Code]:[Ruimte omschrijving]],2,FALSE)</f>
        <v>Entree</v>
      </c>
      <c r="C362" s="66" t="s">
        <v>582</v>
      </c>
      <c r="D362" s="65" t="s">
        <v>21</v>
      </c>
      <c r="E362" s="66" t="s">
        <v>99</v>
      </c>
      <c r="F362" s="66" t="s">
        <v>584</v>
      </c>
      <c r="G362" s="71" t="s">
        <v>282</v>
      </c>
      <c r="H362" s="67" t="s">
        <v>20</v>
      </c>
      <c r="I362" s="67" t="s">
        <v>282</v>
      </c>
      <c r="J362" s="67" t="s">
        <v>282</v>
      </c>
      <c r="K362" s="67" t="s">
        <v>282</v>
      </c>
      <c r="L362" s="67" t="s">
        <v>282</v>
      </c>
      <c r="M362" s="67" t="s">
        <v>282</v>
      </c>
      <c r="N362" s="67" t="s">
        <v>282</v>
      </c>
      <c r="O362" s="68" t="s">
        <v>20</v>
      </c>
      <c r="P362" s="68" t="s">
        <v>20</v>
      </c>
      <c r="Q362" s="68" t="s">
        <v>15</v>
      </c>
      <c r="R362" s="68" t="s">
        <v>15</v>
      </c>
      <c r="S362" s="68" t="s">
        <v>16</v>
      </c>
      <c r="T362" s="68" t="s">
        <v>329</v>
      </c>
      <c r="U362" s="68" t="s">
        <v>249</v>
      </c>
      <c r="V362" s="68" t="s">
        <v>282</v>
      </c>
      <c r="W362" s="69" t="s">
        <v>282</v>
      </c>
      <c r="X362" s="69" t="s">
        <v>282</v>
      </c>
      <c r="Y362" s="70" t="s">
        <v>282</v>
      </c>
    </row>
    <row r="363" spans="1:25">
      <c r="A363" s="64">
        <v>7</v>
      </c>
      <c r="B363" s="65" t="str">
        <f>VLOOKUP(Tabel10[[#This Row],[Code]],Ruimtegroepen[[Code]:[Ruimte omschrijving]],2,FALSE)</f>
        <v>Entree</v>
      </c>
      <c r="C363" s="66" t="s">
        <v>582</v>
      </c>
      <c r="D363" s="65" t="s">
        <v>21</v>
      </c>
      <c r="E363" s="66" t="s">
        <v>1309</v>
      </c>
      <c r="F363" s="66" t="s">
        <v>1447</v>
      </c>
      <c r="G363" s="71" t="s">
        <v>282</v>
      </c>
      <c r="H363" s="67" t="s">
        <v>282</v>
      </c>
      <c r="I363" s="67" t="s">
        <v>20</v>
      </c>
      <c r="J363" s="67" t="s">
        <v>282</v>
      </c>
      <c r="K363" s="67" t="s">
        <v>20</v>
      </c>
      <c r="L363" s="67" t="s">
        <v>282</v>
      </c>
      <c r="M363" s="67" t="s">
        <v>282</v>
      </c>
      <c r="N363" s="67" t="s">
        <v>282</v>
      </c>
      <c r="O363" s="68" t="s">
        <v>20</v>
      </c>
      <c r="P363" s="68" t="s">
        <v>20</v>
      </c>
      <c r="Q363" s="68" t="s">
        <v>15</v>
      </c>
      <c r="R363" s="68" t="s">
        <v>15</v>
      </c>
      <c r="S363" s="68" t="s">
        <v>16</v>
      </c>
      <c r="T363" s="68" t="s">
        <v>329</v>
      </c>
      <c r="U363" s="68" t="s">
        <v>249</v>
      </c>
      <c r="V363" s="68" t="s">
        <v>282</v>
      </c>
      <c r="W363" s="69" t="s">
        <v>282</v>
      </c>
      <c r="X363" s="69" t="s">
        <v>282</v>
      </c>
      <c r="Y363" s="70" t="s">
        <v>282</v>
      </c>
    </row>
    <row r="364" spans="1:25">
      <c r="A364" s="64">
        <v>7</v>
      </c>
      <c r="B364" s="65" t="str">
        <f>VLOOKUP(Tabel10[[#This Row],[Code]],Ruimtegroepen[[Code]:[Ruimte omschrijving]],2,FALSE)</f>
        <v>Entree</v>
      </c>
      <c r="C364" s="66" t="s">
        <v>587</v>
      </c>
      <c r="D364" s="65" t="s">
        <v>12</v>
      </c>
      <c r="E364" s="66" t="s">
        <v>100</v>
      </c>
      <c r="F364" s="66" t="s">
        <v>588</v>
      </c>
      <c r="G364" s="71" t="s">
        <v>282</v>
      </c>
      <c r="H364" s="67" t="s">
        <v>282</v>
      </c>
      <c r="I364" s="67" t="s">
        <v>282</v>
      </c>
      <c r="J364" s="67" t="s">
        <v>18</v>
      </c>
      <c r="K364" s="67" t="s">
        <v>282</v>
      </c>
      <c r="L364" s="67" t="s">
        <v>282</v>
      </c>
      <c r="M364" s="67" t="s">
        <v>282</v>
      </c>
      <c r="N364" s="67" t="s">
        <v>282</v>
      </c>
      <c r="O364" s="68" t="s">
        <v>18</v>
      </c>
      <c r="P364" s="68" t="s">
        <v>18</v>
      </c>
      <c r="Q364" s="68" t="s">
        <v>15</v>
      </c>
      <c r="R364" s="68" t="s">
        <v>15</v>
      </c>
      <c r="S364" s="68" t="s">
        <v>16</v>
      </c>
      <c r="T364" s="68" t="s">
        <v>329</v>
      </c>
      <c r="U364" s="68" t="s">
        <v>249</v>
      </c>
      <c r="V364" s="68" t="s">
        <v>282</v>
      </c>
      <c r="W364" s="69" t="s">
        <v>282</v>
      </c>
      <c r="X364" s="69" t="s">
        <v>282</v>
      </c>
      <c r="Y364" s="70" t="s">
        <v>282</v>
      </c>
    </row>
    <row r="365" spans="1:25">
      <c r="A365" s="64">
        <v>7</v>
      </c>
      <c r="B365" s="65" t="str">
        <f>VLOOKUP(Tabel10[[#This Row],[Code]],Ruimtegroepen[[Code]:[Ruimte omschrijving]],2,FALSE)</f>
        <v>Entree</v>
      </c>
      <c r="C365" s="66" t="s">
        <v>587</v>
      </c>
      <c r="D365" s="65" t="s">
        <v>12</v>
      </c>
      <c r="E365" s="66" t="s">
        <v>99</v>
      </c>
      <c r="F365" s="66" t="s">
        <v>589</v>
      </c>
      <c r="G365" s="71" t="s">
        <v>282</v>
      </c>
      <c r="H365" s="67" t="s">
        <v>18</v>
      </c>
      <c r="I365" s="67" t="s">
        <v>282</v>
      </c>
      <c r="J365" s="67" t="s">
        <v>282</v>
      </c>
      <c r="K365" s="67" t="s">
        <v>282</v>
      </c>
      <c r="L365" s="67" t="s">
        <v>282</v>
      </c>
      <c r="M365" s="67" t="s">
        <v>282</v>
      </c>
      <c r="N365" s="67" t="s">
        <v>282</v>
      </c>
      <c r="O365" s="68" t="s">
        <v>18</v>
      </c>
      <c r="P365" s="68" t="s">
        <v>18</v>
      </c>
      <c r="Q365" s="68" t="s">
        <v>15</v>
      </c>
      <c r="R365" s="68" t="s">
        <v>15</v>
      </c>
      <c r="S365" s="68" t="s">
        <v>16</v>
      </c>
      <c r="T365" s="68" t="s">
        <v>329</v>
      </c>
      <c r="U365" s="68" t="s">
        <v>249</v>
      </c>
      <c r="V365" s="68" t="s">
        <v>282</v>
      </c>
      <c r="W365" s="69" t="s">
        <v>282</v>
      </c>
      <c r="X365" s="69" t="s">
        <v>282</v>
      </c>
      <c r="Y365" s="70" t="s">
        <v>282</v>
      </c>
    </row>
    <row r="366" spans="1:25">
      <c r="A366" s="64">
        <v>7</v>
      </c>
      <c r="B366" s="65" t="str">
        <f>VLOOKUP(Tabel10[[#This Row],[Code]],Ruimtegroepen[[Code]:[Ruimte omschrijving]],2,FALSE)</f>
        <v>Entree</v>
      </c>
      <c r="C366" s="66" t="s">
        <v>587</v>
      </c>
      <c r="D366" s="65" t="s">
        <v>12</v>
      </c>
      <c r="E366" s="66" t="s">
        <v>101</v>
      </c>
      <c r="F366" s="66" t="s">
        <v>590</v>
      </c>
      <c r="G366" s="71" t="s">
        <v>282</v>
      </c>
      <c r="H366" s="67" t="s">
        <v>282</v>
      </c>
      <c r="I366" s="67" t="s">
        <v>18</v>
      </c>
      <c r="J366" s="67" t="s">
        <v>282</v>
      </c>
      <c r="K366" s="67" t="s">
        <v>18</v>
      </c>
      <c r="L366" s="67" t="s">
        <v>282</v>
      </c>
      <c r="M366" s="67" t="s">
        <v>282</v>
      </c>
      <c r="N366" s="67" t="s">
        <v>282</v>
      </c>
      <c r="O366" s="68" t="s">
        <v>18</v>
      </c>
      <c r="P366" s="68" t="s">
        <v>18</v>
      </c>
      <c r="Q366" s="68" t="s">
        <v>15</v>
      </c>
      <c r="R366" s="68" t="s">
        <v>15</v>
      </c>
      <c r="S366" s="68" t="s">
        <v>16</v>
      </c>
      <c r="T366" s="68" t="s">
        <v>329</v>
      </c>
      <c r="U366" s="68" t="s">
        <v>249</v>
      </c>
      <c r="V366" s="68" t="s">
        <v>282</v>
      </c>
      <c r="W366" s="69" t="s">
        <v>282</v>
      </c>
      <c r="X366" s="69" t="s">
        <v>282</v>
      </c>
      <c r="Y366" s="70" t="s">
        <v>282</v>
      </c>
    </row>
    <row r="367" spans="1:25">
      <c r="A367" s="64">
        <v>7</v>
      </c>
      <c r="B367" s="65" t="str">
        <f>VLOOKUP(Tabel10[[#This Row],[Code]],Ruimtegroepen[[Code]:[Ruimte omschrijving]],2,FALSE)</f>
        <v>Entree</v>
      </c>
      <c r="C367" s="66" t="s">
        <v>587</v>
      </c>
      <c r="D367" s="65" t="s">
        <v>12</v>
      </c>
      <c r="E367" s="66" t="s">
        <v>102</v>
      </c>
      <c r="F367" s="66" t="s">
        <v>591</v>
      </c>
      <c r="G367" s="71" t="s">
        <v>282</v>
      </c>
      <c r="H367" s="67" t="s">
        <v>282</v>
      </c>
      <c r="I367" s="67" t="s">
        <v>18</v>
      </c>
      <c r="J367" s="67" t="s">
        <v>282</v>
      </c>
      <c r="K367" s="67" t="s">
        <v>18</v>
      </c>
      <c r="L367" s="67" t="s">
        <v>282</v>
      </c>
      <c r="M367" s="67" t="s">
        <v>282</v>
      </c>
      <c r="N367" s="67" t="s">
        <v>282</v>
      </c>
      <c r="O367" s="68" t="s">
        <v>18</v>
      </c>
      <c r="P367" s="68" t="s">
        <v>18</v>
      </c>
      <c r="Q367" s="68" t="s">
        <v>15</v>
      </c>
      <c r="R367" s="68" t="s">
        <v>15</v>
      </c>
      <c r="S367" s="68" t="s">
        <v>16</v>
      </c>
      <c r="T367" s="68" t="s">
        <v>329</v>
      </c>
      <c r="U367" s="68" t="s">
        <v>249</v>
      </c>
      <c r="V367" s="68" t="s">
        <v>282</v>
      </c>
      <c r="W367" s="69" t="s">
        <v>282</v>
      </c>
      <c r="X367" s="69" t="s">
        <v>282</v>
      </c>
      <c r="Y367" s="70" t="s">
        <v>282</v>
      </c>
    </row>
    <row r="368" spans="1:25">
      <c r="A368" s="64">
        <v>7</v>
      </c>
      <c r="B368" s="65" t="str">
        <f>VLOOKUP(Tabel10[[#This Row],[Code]],Ruimtegroepen[[Code]:[Ruimte omschrijving]],2,FALSE)</f>
        <v>Entree</v>
      </c>
      <c r="C368" s="66" t="s">
        <v>587</v>
      </c>
      <c r="D368" s="65" t="s">
        <v>12</v>
      </c>
      <c r="E368" s="66" t="s">
        <v>99</v>
      </c>
      <c r="F368" s="66" t="s">
        <v>589</v>
      </c>
      <c r="G368" s="71" t="s">
        <v>282</v>
      </c>
      <c r="H368" s="67" t="s">
        <v>18</v>
      </c>
      <c r="I368" s="67" t="s">
        <v>282</v>
      </c>
      <c r="J368" s="67" t="s">
        <v>282</v>
      </c>
      <c r="K368" s="67" t="s">
        <v>282</v>
      </c>
      <c r="L368" s="67" t="s">
        <v>282</v>
      </c>
      <c r="M368" s="67" t="s">
        <v>282</v>
      </c>
      <c r="N368" s="67" t="s">
        <v>282</v>
      </c>
      <c r="O368" s="68" t="s">
        <v>18</v>
      </c>
      <c r="P368" s="68" t="s">
        <v>18</v>
      </c>
      <c r="Q368" s="68" t="s">
        <v>15</v>
      </c>
      <c r="R368" s="68" t="s">
        <v>15</v>
      </c>
      <c r="S368" s="68" t="s">
        <v>16</v>
      </c>
      <c r="T368" s="68" t="s">
        <v>329</v>
      </c>
      <c r="U368" s="68" t="s">
        <v>249</v>
      </c>
      <c r="V368" s="68" t="s">
        <v>282</v>
      </c>
      <c r="W368" s="69" t="s">
        <v>282</v>
      </c>
      <c r="X368" s="69" t="s">
        <v>282</v>
      </c>
      <c r="Y368" s="70" t="s">
        <v>282</v>
      </c>
    </row>
    <row r="369" spans="1:25">
      <c r="A369" s="64">
        <v>7</v>
      </c>
      <c r="B369" s="65" t="str">
        <f>VLOOKUP(Tabel10[[#This Row],[Code]],Ruimtegroepen[[Code]:[Ruimte omschrijving]],2,FALSE)</f>
        <v>Entree</v>
      </c>
      <c r="C369" s="66" t="s">
        <v>587</v>
      </c>
      <c r="D369" s="65" t="s">
        <v>12</v>
      </c>
      <c r="E369" s="66" t="s">
        <v>1309</v>
      </c>
      <c r="F369" s="66" t="s">
        <v>1429</v>
      </c>
      <c r="G369" s="71" t="s">
        <v>282</v>
      </c>
      <c r="H369" s="67" t="s">
        <v>282</v>
      </c>
      <c r="I369" s="67" t="s">
        <v>18</v>
      </c>
      <c r="J369" s="67" t="s">
        <v>282</v>
      </c>
      <c r="K369" s="67" t="s">
        <v>18</v>
      </c>
      <c r="L369" s="67" t="s">
        <v>282</v>
      </c>
      <c r="M369" s="67" t="s">
        <v>282</v>
      </c>
      <c r="N369" s="67" t="s">
        <v>282</v>
      </c>
      <c r="O369" s="68" t="s">
        <v>18</v>
      </c>
      <c r="P369" s="68" t="s">
        <v>18</v>
      </c>
      <c r="Q369" s="68" t="s">
        <v>15</v>
      </c>
      <c r="R369" s="68" t="s">
        <v>15</v>
      </c>
      <c r="S369" s="68" t="s">
        <v>16</v>
      </c>
      <c r="T369" s="68" t="s">
        <v>329</v>
      </c>
      <c r="U369" s="68" t="s">
        <v>249</v>
      </c>
      <c r="V369" s="68" t="s">
        <v>282</v>
      </c>
      <c r="W369" s="69" t="s">
        <v>282</v>
      </c>
      <c r="X369" s="69" t="s">
        <v>282</v>
      </c>
      <c r="Y369" s="70" t="s">
        <v>282</v>
      </c>
    </row>
    <row r="370" spans="1:25">
      <c r="A370" s="64">
        <v>7</v>
      </c>
      <c r="B370" s="65" t="str">
        <f>VLOOKUP(Tabel10[[#This Row],[Code]],Ruimtegroepen[[Code]:[Ruimte omschrijving]],2,FALSE)</f>
        <v>Entree</v>
      </c>
      <c r="C370" s="66" t="s">
        <v>592</v>
      </c>
      <c r="D370" s="65" t="s">
        <v>14</v>
      </c>
      <c r="E370" s="66" t="s">
        <v>100</v>
      </c>
      <c r="F370" s="66" t="s">
        <v>593</v>
      </c>
      <c r="G370" s="71" t="s">
        <v>282</v>
      </c>
      <c r="H370" s="67" t="s">
        <v>282</v>
      </c>
      <c r="I370" s="67" t="s">
        <v>17</v>
      </c>
      <c r="J370" s="67" t="s">
        <v>282</v>
      </c>
      <c r="K370" s="67" t="s">
        <v>15</v>
      </c>
      <c r="L370" s="67" t="s">
        <v>282</v>
      </c>
      <c r="M370" s="67" t="s">
        <v>282</v>
      </c>
      <c r="N370" s="67" t="s">
        <v>282</v>
      </c>
      <c r="O370" s="68" t="s">
        <v>17</v>
      </c>
      <c r="P370" s="68" t="s">
        <v>17</v>
      </c>
      <c r="Q370" s="68" t="s">
        <v>15</v>
      </c>
      <c r="R370" s="68" t="s">
        <v>15</v>
      </c>
      <c r="S370" s="68" t="s">
        <v>16</v>
      </c>
      <c r="T370" s="68" t="s">
        <v>329</v>
      </c>
      <c r="U370" s="68" t="s">
        <v>249</v>
      </c>
      <c r="V370" s="68" t="s">
        <v>282</v>
      </c>
      <c r="W370" s="69" t="s">
        <v>282</v>
      </c>
      <c r="X370" s="69" t="s">
        <v>282</v>
      </c>
      <c r="Y370" s="70" t="s">
        <v>282</v>
      </c>
    </row>
    <row r="371" spans="1:25">
      <c r="A371" s="64">
        <v>7</v>
      </c>
      <c r="B371" s="65" t="str">
        <f>VLOOKUP(Tabel10[[#This Row],[Code]],Ruimtegroepen[[Code]:[Ruimte omschrijving]],2,FALSE)</f>
        <v>Entree</v>
      </c>
      <c r="C371" s="66" t="s">
        <v>592</v>
      </c>
      <c r="D371" s="65" t="s">
        <v>14</v>
      </c>
      <c r="E371" s="66" t="s">
        <v>99</v>
      </c>
      <c r="F371" s="66" t="s">
        <v>594</v>
      </c>
      <c r="G371" s="71" t="s">
        <v>282</v>
      </c>
      <c r="H371" s="67" t="s">
        <v>17</v>
      </c>
      <c r="I371" s="67" t="s">
        <v>282</v>
      </c>
      <c r="J371" s="67" t="s">
        <v>282</v>
      </c>
      <c r="K371" s="67" t="s">
        <v>282</v>
      </c>
      <c r="L371" s="67" t="s">
        <v>282</v>
      </c>
      <c r="M371" s="67" t="s">
        <v>282</v>
      </c>
      <c r="N371" s="67" t="s">
        <v>282</v>
      </c>
      <c r="O371" s="68" t="s">
        <v>17</v>
      </c>
      <c r="P371" s="68" t="s">
        <v>17</v>
      </c>
      <c r="Q371" s="68" t="s">
        <v>15</v>
      </c>
      <c r="R371" s="68" t="s">
        <v>15</v>
      </c>
      <c r="S371" s="68" t="s">
        <v>16</v>
      </c>
      <c r="T371" s="68" t="s">
        <v>329</v>
      </c>
      <c r="U371" s="68" t="s">
        <v>249</v>
      </c>
      <c r="V371" s="68" t="s">
        <v>282</v>
      </c>
      <c r="W371" s="69" t="s">
        <v>282</v>
      </c>
      <c r="X371" s="69" t="s">
        <v>282</v>
      </c>
      <c r="Y371" s="70" t="s">
        <v>282</v>
      </c>
    </row>
    <row r="372" spans="1:25">
      <c r="A372" s="64">
        <v>7</v>
      </c>
      <c r="B372" s="65" t="str">
        <f>VLOOKUP(Tabel10[[#This Row],[Code]],Ruimtegroepen[[Code]:[Ruimte omschrijving]],2,FALSE)</f>
        <v>Entree</v>
      </c>
      <c r="C372" s="66" t="s">
        <v>592</v>
      </c>
      <c r="D372" s="65" t="s">
        <v>14</v>
      </c>
      <c r="E372" s="66" t="s">
        <v>101</v>
      </c>
      <c r="F372" s="66" t="s">
        <v>595</v>
      </c>
      <c r="G372" s="71" t="s">
        <v>282</v>
      </c>
      <c r="H372" s="67" t="s">
        <v>282</v>
      </c>
      <c r="I372" s="67" t="s">
        <v>17</v>
      </c>
      <c r="J372" s="67" t="s">
        <v>282</v>
      </c>
      <c r="K372" s="67" t="s">
        <v>17</v>
      </c>
      <c r="L372" s="67" t="s">
        <v>282</v>
      </c>
      <c r="M372" s="67" t="s">
        <v>282</v>
      </c>
      <c r="N372" s="67" t="s">
        <v>282</v>
      </c>
      <c r="O372" s="68" t="s">
        <v>17</v>
      </c>
      <c r="P372" s="68" t="s">
        <v>17</v>
      </c>
      <c r="Q372" s="68" t="s">
        <v>15</v>
      </c>
      <c r="R372" s="68" t="s">
        <v>15</v>
      </c>
      <c r="S372" s="68" t="s">
        <v>16</v>
      </c>
      <c r="T372" s="68" t="s">
        <v>329</v>
      </c>
      <c r="U372" s="68" t="s">
        <v>249</v>
      </c>
      <c r="V372" s="68" t="s">
        <v>282</v>
      </c>
      <c r="W372" s="69" t="s">
        <v>282</v>
      </c>
      <c r="X372" s="69" t="s">
        <v>282</v>
      </c>
      <c r="Y372" s="70" t="s">
        <v>282</v>
      </c>
    </row>
    <row r="373" spans="1:25">
      <c r="A373" s="64">
        <v>7</v>
      </c>
      <c r="B373" s="65" t="str">
        <f>VLOOKUP(Tabel10[[#This Row],[Code]],Ruimtegroepen[[Code]:[Ruimte omschrijving]],2,FALSE)</f>
        <v>Entree</v>
      </c>
      <c r="C373" s="66" t="s">
        <v>592</v>
      </c>
      <c r="D373" s="65" t="s">
        <v>14</v>
      </c>
      <c r="E373" s="66" t="s">
        <v>102</v>
      </c>
      <c r="F373" s="66" t="s">
        <v>596</v>
      </c>
      <c r="G373" s="71" t="s">
        <v>282</v>
      </c>
      <c r="H373" s="67" t="s">
        <v>282</v>
      </c>
      <c r="I373" s="67" t="s">
        <v>17</v>
      </c>
      <c r="J373" s="67" t="s">
        <v>282</v>
      </c>
      <c r="K373" s="67" t="s">
        <v>17</v>
      </c>
      <c r="L373" s="67" t="s">
        <v>282</v>
      </c>
      <c r="M373" s="67" t="s">
        <v>282</v>
      </c>
      <c r="N373" s="67" t="s">
        <v>282</v>
      </c>
      <c r="O373" s="68" t="s">
        <v>17</v>
      </c>
      <c r="P373" s="68" t="s">
        <v>17</v>
      </c>
      <c r="Q373" s="68" t="s">
        <v>15</v>
      </c>
      <c r="R373" s="68" t="s">
        <v>15</v>
      </c>
      <c r="S373" s="68" t="s">
        <v>16</v>
      </c>
      <c r="T373" s="68" t="s">
        <v>329</v>
      </c>
      <c r="U373" s="68" t="s">
        <v>249</v>
      </c>
      <c r="V373" s="68" t="s">
        <v>282</v>
      </c>
      <c r="W373" s="69" t="s">
        <v>282</v>
      </c>
      <c r="X373" s="69" t="s">
        <v>282</v>
      </c>
      <c r="Y373" s="70" t="s">
        <v>282</v>
      </c>
    </row>
    <row r="374" spans="1:25">
      <c r="A374" s="64">
        <v>7</v>
      </c>
      <c r="B374" s="65" t="str">
        <f>VLOOKUP(Tabel10[[#This Row],[Code]],Ruimtegroepen[[Code]:[Ruimte omschrijving]],2,FALSE)</f>
        <v>Entree</v>
      </c>
      <c r="C374" s="66" t="s">
        <v>592</v>
      </c>
      <c r="D374" s="65" t="s">
        <v>14</v>
      </c>
      <c r="E374" s="66" t="s">
        <v>99</v>
      </c>
      <c r="F374" s="66" t="s">
        <v>594</v>
      </c>
      <c r="G374" s="71" t="s">
        <v>282</v>
      </c>
      <c r="H374" s="67" t="s">
        <v>17</v>
      </c>
      <c r="I374" s="67" t="s">
        <v>282</v>
      </c>
      <c r="J374" s="67" t="s">
        <v>282</v>
      </c>
      <c r="K374" s="67" t="s">
        <v>282</v>
      </c>
      <c r="L374" s="67" t="s">
        <v>282</v>
      </c>
      <c r="M374" s="67" t="s">
        <v>282</v>
      </c>
      <c r="N374" s="67" t="s">
        <v>282</v>
      </c>
      <c r="O374" s="68" t="s">
        <v>17</v>
      </c>
      <c r="P374" s="68" t="s">
        <v>17</v>
      </c>
      <c r="Q374" s="68" t="s">
        <v>15</v>
      </c>
      <c r="R374" s="68" t="s">
        <v>15</v>
      </c>
      <c r="S374" s="68" t="s">
        <v>16</v>
      </c>
      <c r="T374" s="68" t="s">
        <v>329</v>
      </c>
      <c r="U374" s="68" t="s">
        <v>249</v>
      </c>
      <c r="V374" s="68" t="s">
        <v>282</v>
      </c>
      <c r="W374" s="69" t="s">
        <v>282</v>
      </c>
      <c r="X374" s="69" t="s">
        <v>282</v>
      </c>
      <c r="Y374" s="70" t="s">
        <v>282</v>
      </c>
    </row>
    <row r="375" spans="1:25">
      <c r="A375" s="64">
        <v>7</v>
      </c>
      <c r="B375" s="65" t="str">
        <f>VLOOKUP(Tabel10[[#This Row],[Code]],Ruimtegroepen[[Code]:[Ruimte omschrijving]],2,FALSE)</f>
        <v>Entree</v>
      </c>
      <c r="C375" s="66" t="s">
        <v>592</v>
      </c>
      <c r="D375" s="65" t="s">
        <v>14</v>
      </c>
      <c r="E375" s="66" t="s">
        <v>1309</v>
      </c>
      <c r="F375" s="66" t="s">
        <v>1396</v>
      </c>
      <c r="G375" s="71" t="s">
        <v>282</v>
      </c>
      <c r="H375" s="67" t="s">
        <v>282</v>
      </c>
      <c r="I375" s="67" t="s">
        <v>17</v>
      </c>
      <c r="J375" s="67" t="s">
        <v>282</v>
      </c>
      <c r="K375" s="67" t="s">
        <v>17</v>
      </c>
      <c r="L375" s="67" t="s">
        <v>282</v>
      </c>
      <c r="M375" s="67" t="s">
        <v>282</v>
      </c>
      <c r="N375" s="67" t="s">
        <v>282</v>
      </c>
      <c r="O375" s="68" t="s">
        <v>17</v>
      </c>
      <c r="P375" s="68" t="s">
        <v>17</v>
      </c>
      <c r="Q375" s="68" t="s">
        <v>15</v>
      </c>
      <c r="R375" s="68" t="s">
        <v>15</v>
      </c>
      <c r="S375" s="68" t="s">
        <v>16</v>
      </c>
      <c r="T375" s="68" t="s">
        <v>329</v>
      </c>
      <c r="U375" s="68" t="s">
        <v>249</v>
      </c>
      <c r="V375" s="68" t="s">
        <v>282</v>
      </c>
      <c r="W375" s="69" t="s">
        <v>282</v>
      </c>
      <c r="X375" s="69" t="s">
        <v>282</v>
      </c>
      <c r="Y375" s="70" t="s">
        <v>282</v>
      </c>
    </row>
    <row r="376" spans="1:25">
      <c r="A376" s="64">
        <v>7</v>
      </c>
      <c r="B376" s="65" t="str">
        <f>VLOOKUP(Tabel10[[#This Row],[Code]],Ruimtegroepen[[Code]:[Ruimte omschrijving]],2,FALSE)</f>
        <v>Entree</v>
      </c>
      <c r="C376" s="66" t="s">
        <v>597</v>
      </c>
      <c r="D376" s="65" t="s">
        <v>13</v>
      </c>
      <c r="E376" s="66" t="s">
        <v>100</v>
      </c>
      <c r="F376" s="66" t="s">
        <v>598</v>
      </c>
      <c r="G376" s="71" t="s">
        <v>282</v>
      </c>
      <c r="H376" s="67" t="s">
        <v>282</v>
      </c>
      <c r="I376" s="67" t="s">
        <v>282</v>
      </c>
      <c r="J376" s="67" t="s">
        <v>15</v>
      </c>
      <c r="K376" s="67" t="s">
        <v>282</v>
      </c>
      <c r="L376" s="67" t="s">
        <v>282</v>
      </c>
      <c r="M376" s="67" t="s">
        <v>282</v>
      </c>
      <c r="N376" s="67" t="s">
        <v>282</v>
      </c>
      <c r="O376" s="68" t="s">
        <v>15</v>
      </c>
      <c r="P376" s="68" t="s">
        <v>15</v>
      </c>
      <c r="Q376" s="68" t="s">
        <v>15</v>
      </c>
      <c r="R376" s="68" t="s">
        <v>15</v>
      </c>
      <c r="S376" s="68" t="s">
        <v>16</v>
      </c>
      <c r="T376" s="68" t="s">
        <v>329</v>
      </c>
      <c r="U376" s="68" t="s">
        <v>249</v>
      </c>
      <c r="V376" s="68" t="s">
        <v>282</v>
      </c>
      <c r="W376" s="69" t="s">
        <v>282</v>
      </c>
      <c r="X376" s="69" t="s">
        <v>282</v>
      </c>
      <c r="Y376" s="70" t="s">
        <v>282</v>
      </c>
    </row>
    <row r="377" spans="1:25">
      <c r="A377" s="64">
        <v>7</v>
      </c>
      <c r="B377" s="65" t="str">
        <f>VLOOKUP(Tabel10[[#This Row],[Code]],Ruimtegroepen[[Code]:[Ruimte omschrijving]],2,FALSE)</f>
        <v>Entree</v>
      </c>
      <c r="C377" s="66" t="s">
        <v>597</v>
      </c>
      <c r="D377" s="65" t="s">
        <v>13</v>
      </c>
      <c r="E377" s="66" t="s">
        <v>99</v>
      </c>
      <c r="F377" s="66" t="s">
        <v>599</v>
      </c>
      <c r="G377" s="71" t="s">
        <v>282</v>
      </c>
      <c r="H377" s="67" t="s">
        <v>15</v>
      </c>
      <c r="I377" s="67" t="s">
        <v>282</v>
      </c>
      <c r="J377" s="67" t="s">
        <v>282</v>
      </c>
      <c r="K377" s="67" t="s">
        <v>282</v>
      </c>
      <c r="L377" s="67" t="s">
        <v>282</v>
      </c>
      <c r="M377" s="67" t="s">
        <v>282</v>
      </c>
      <c r="N377" s="67" t="s">
        <v>282</v>
      </c>
      <c r="O377" s="68" t="s">
        <v>15</v>
      </c>
      <c r="P377" s="68" t="s">
        <v>15</v>
      </c>
      <c r="Q377" s="68" t="s">
        <v>15</v>
      </c>
      <c r="R377" s="68" t="s">
        <v>15</v>
      </c>
      <c r="S377" s="68" t="s">
        <v>16</v>
      </c>
      <c r="T377" s="68" t="s">
        <v>329</v>
      </c>
      <c r="U377" s="68" t="s">
        <v>249</v>
      </c>
      <c r="V377" s="68" t="s">
        <v>282</v>
      </c>
      <c r="W377" s="69" t="s">
        <v>282</v>
      </c>
      <c r="X377" s="69" t="s">
        <v>282</v>
      </c>
      <c r="Y377" s="70" t="s">
        <v>282</v>
      </c>
    </row>
    <row r="378" spans="1:25">
      <c r="A378" s="64">
        <v>7</v>
      </c>
      <c r="B378" s="65" t="str">
        <f>VLOOKUP(Tabel10[[#This Row],[Code]],Ruimtegroepen[[Code]:[Ruimte omschrijving]],2,FALSE)</f>
        <v>Entree</v>
      </c>
      <c r="C378" s="66" t="s">
        <v>597</v>
      </c>
      <c r="D378" s="65" t="s">
        <v>13</v>
      </c>
      <c r="E378" s="66" t="s">
        <v>101</v>
      </c>
      <c r="F378" s="66" t="s">
        <v>600</v>
      </c>
      <c r="G378" s="71" t="s">
        <v>282</v>
      </c>
      <c r="H378" s="67" t="s">
        <v>282</v>
      </c>
      <c r="I378" s="67" t="s">
        <v>15</v>
      </c>
      <c r="J378" s="67" t="s">
        <v>282</v>
      </c>
      <c r="K378" s="67" t="s">
        <v>15</v>
      </c>
      <c r="L378" s="67" t="s">
        <v>282</v>
      </c>
      <c r="M378" s="67" t="s">
        <v>282</v>
      </c>
      <c r="N378" s="67" t="s">
        <v>282</v>
      </c>
      <c r="O378" s="68" t="s">
        <v>15</v>
      </c>
      <c r="P378" s="68" t="s">
        <v>15</v>
      </c>
      <c r="Q378" s="68" t="s">
        <v>15</v>
      </c>
      <c r="R378" s="68" t="s">
        <v>15</v>
      </c>
      <c r="S378" s="68" t="s">
        <v>16</v>
      </c>
      <c r="T378" s="68" t="s">
        <v>329</v>
      </c>
      <c r="U378" s="68" t="s">
        <v>249</v>
      </c>
      <c r="V378" s="68" t="s">
        <v>282</v>
      </c>
      <c r="W378" s="69" t="s">
        <v>282</v>
      </c>
      <c r="X378" s="69" t="s">
        <v>282</v>
      </c>
      <c r="Y378" s="70" t="s">
        <v>282</v>
      </c>
    </row>
    <row r="379" spans="1:25">
      <c r="A379" s="64">
        <v>7</v>
      </c>
      <c r="B379" s="65" t="str">
        <f>VLOOKUP(Tabel10[[#This Row],[Code]],Ruimtegroepen[[Code]:[Ruimte omschrijving]],2,FALSE)</f>
        <v>Entree</v>
      </c>
      <c r="C379" s="66" t="s">
        <v>597</v>
      </c>
      <c r="D379" s="65" t="s">
        <v>13</v>
      </c>
      <c r="E379" s="66" t="s">
        <v>102</v>
      </c>
      <c r="F379" s="66" t="s">
        <v>601</v>
      </c>
      <c r="G379" s="71" t="s">
        <v>282</v>
      </c>
      <c r="H379" s="67" t="s">
        <v>282</v>
      </c>
      <c r="I379" s="67" t="s">
        <v>15</v>
      </c>
      <c r="J379" s="67" t="s">
        <v>282</v>
      </c>
      <c r="K379" s="67" t="s">
        <v>15</v>
      </c>
      <c r="L379" s="67" t="s">
        <v>282</v>
      </c>
      <c r="M379" s="67" t="s">
        <v>282</v>
      </c>
      <c r="N379" s="67" t="s">
        <v>282</v>
      </c>
      <c r="O379" s="68" t="s">
        <v>15</v>
      </c>
      <c r="P379" s="68" t="s">
        <v>15</v>
      </c>
      <c r="Q379" s="68" t="s">
        <v>15</v>
      </c>
      <c r="R379" s="68" t="s">
        <v>15</v>
      </c>
      <c r="S379" s="68" t="s">
        <v>16</v>
      </c>
      <c r="T379" s="68" t="s">
        <v>329</v>
      </c>
      <c r="U379" s="68" t="s">
        <v>249</v>
      </c>
      <c r="V379" s="68" t="s">
        <v>282</v>
      </c>
      <c r="W379" s="69" t="s">
        <v>282</v>
      </c>
      <c r="X379" s="69" t="s">
        <v>282</v>
      </c>
      <c r="Y379" s="70" t="s">
        <v>282</v>
      </c>
    </row>
    <row r="380" spans="1:25">
      <c r="A380" s="64">
        <v>7</v>
      </c>
      <c r="B380" s="65" t="str">
        <f>VLOOKUP(Tabel10[[#This Row],[Code]],Ruimtegroepen[[Code]:[Ruimte omschrijving]],2,FALSE)</f>
        <v>Entree</v>
      </c>
      <c r="C380" s="66" t="s">
        <v>597</v>
      </c>
      <c r="D380" s="65" t="s">
        <v>13</v>
      </c>
      <c r="E380" s="66" t="s">
        <v>99</v>
      </c>
      <c r="F380" s="66" t="s">
        <v>599</v>
      </c>
      <c r="G380" s="71" t="s">
        <v>282</v>
      </c>
      <c r="H380" s="67" t="s">
        <v>15</v>
      </c>
      <c r="I380" s="67" t="s">
        <v>282</v>
      </c>
      <c r="J380" s="67" t="s">
        <v>282</v>
      </c>
      <c r="K380" s="67" t="s">
        <v>282</v>
      </c>
      <c r="L380" s="67" t="s">
        <v>282</v>
      </c>
      <c r="M380" s="67" t="s">
        <v>282</v>
      </c>
      <c r="N380" s="67" t="s">
        <v>282</v>
      </c>
      <c r="O380" s="68" t="s">
        <v>15</v>
      </c>
      <c r="P380" s="68" t="s">
        <v>15</v>
      </c>
      <c r="Q380" s="68" t="s">
        <v>15</v>
      </c>
      <c r="R380" s="68" t="s">
        <v>15</v>
      </c>
      <c r="S380" s="68" t="s">
        <v>16</v>
      </c>
      <c r="T380" s="68" t="s">
        <v>329</v>
      </c>
      <c r="U380" s="68" t="s">
        <v>249</v>
      </c>
      <c r="V380" s="68" t="s">
        <v>282</v>
      </c>
      <c r="W380" s="69" t="s">
        <v>282</v>
      </c>
      <c r="X380" s="69" t="s">
        <v>282</v>
      </c>
      <c r="Y380" s="70" t="s">
        <v>282</v>
      </c>
    </row>
    <row r="381" spans="1:25">
      <c r="A381" s="64">
        <v>7</v>
      </c>
      <c r="B381" s="65" t="str">
        <f>VLOOKUP(Tabel10[[#This Row],[Code]],Ruimtegroepen[[Code]:[Ruimte omschrijving]],2,FALSE)</f>
        <v>Entree</v>
      </c>
      <c r="C381" s="66" t="s">
        <v>597</v>
      </c>
      <c r="D381" s="65" t="s">
        <v>13</v>
      </c>
      <c r="E381" s="66" t="s">
        <v>1309</v>
      </c>
      <c r="F381" s="66" t="s">
        <v>1363</v>
      </c>
      <c r="G381" s="71" t="s">
        <v>282</v>
      </c>
      <c r="H381" s="67" t="s">
        <v>282</v>
      </c>
      <c r="I381" s="67" t="s">
        <v>15</v>
      </c>
      <c r="J381" s="67" t="s">
        <v>282</v>
      </c>
      <c r="K381" s="67" t="s">
        <v>15</v>
      </c>
      <c r="L381" s="67" t="s">
        <v>282</v>
      </c>
      <c r="M381" s="67" t="s">
        <v>282</v>
      </c>
      <c r="N381" s="67" t="s">
        <v>282</v>
      </c>
      <c r="O381" s="68" t="s">
        <v>15</v>
      </c>
      <c r="P381" s="68" t="s">
        <v>15</v>
      </c>
      <c r="Q381" s="68" t="s">
        <v>15</v>
      </c>
      <c r="R381" s="68" t="s">
        <v>15</v>
      </c>
      <c r="S381" s="68" t="s">
        <v>16</v>
      </c>
      <c r="T381" s="68" t="s">
        <v>329</v>
      </c>
      <c r="U381" s="68" t="s">
        <v>249</v>
      </c>
      <c r="V381" s="68" t="s">
        <v>282</v>
      </c>
      <c r="W381" s="69" t="s">
        <v>282</v>
      </c>
      <c r="X381" s="69" t="s">
        <v>282</v>
      </c>
      <c r="Y381" s="70" t="s">
        <v>282</v>
      </c>
    </row>
    <row r="382" spans="1:25">
      <c r="A382" s="64">
        <v>7</v>
      </c>
      <c r="B382" s="65" t="str">
        <f>VLOOKUP(Tabel10[[#This Row],[Code]],Ruimtegroepen[[Code]:[Ruimte omschrijving]],2,FALSE)</f>
        <v>Entree</v>
      </c>
      <c r="C382" s="66" t="s">
        <v>602</v>
      </c>
      <c r="D382" s="65" t="s">
        <v>0</v>
      </c>
      <c r="E382" s="66" t="s">
        <v>100</v>
      </c>
      <c r="F382" s="66" t="s">
        <v>603</v>
      </c>
      <c r="G382" s="71" t="s">
        <v>282</v>
      </c>
      <c r="H382" s="67" t="s">
        <v>282</v>
      </c>
      <c r="I382" s="67" t="s">
        <v>282</v>
      </c>
      <c r="J382" s="67" t="s">
        <v>16</v>
      </c>
      <c r="K382" s="67" t="s">
        <v>282</v>
      </c>
      <c r="L382" s="67" t="s">
        <v>282</v>
      </c>
      <c r="M382" s="67" t="s">
        <v>282</v>
      </c>
      <c r="N382" s="67" t="s">
        <v>282</v>
      </c>
      <c r="O382" s="68" t="s">
        <v>16</v>
      </c>
      <c r="P382" s="68" t="s">
        <v>16</v>
      </c>
      <c r="Q382" s="68" t="s">
        <v>16</v>
      </c>
      <c r="R382" s="68" t="s">
        <v>16</v>
      </c>
      <c r="S382" s="68" t="s">
        <v>16</v>
      </c>
      <c r="T382" s="68" t="s">
        <v>329</v>
      </c>
      <c r="U382" s="68" t="s">
        <v>249</v>
      </c>
      <c r="V382" s="68" t="s">
        <v>282</v>
      </c>
      <c r="W382" s="69" t="s">
        <v>282</v>
      </c>
      <c r="X382" s="69" t="s">
        <v>282</v>
      </c>
      <c r="Y382" s="70" t="s">
        <v>282</v>
      </c>
    </row>
    <row r="383" spans="1:25">
      <c r="A383" s="64">
        <v>7</v>
      </c>
      <c r="B383" s="65" t="str">
        <f>VLOOKUP(Tabel10[[#This Row],[Code]],Ruimtegroepen[[Code]:[Ruimte omschrijving]],2,FALSE)</f>
        <v>Entree</v>
      </c>
      <c r="C383" s="66" t="s">
        <v>602</v>
      </c>
      <c r="D383" s="65" t="s">
        <v>0</v>
      </c>
      <c r="E383" s="66" t="s">
        <v>99</v>
      </c>
      <c r="F383" s="66" t="s">
        <v>604</v>
      </c>
      <c r="G383" s="71" t="s">
        <v>282</v>
      </c>
      <c r="H383" s="67" t="s">
        <v>16</v>
      </c>
      <c r="I383" s="67" t="s">
        <v>282</v>
      </c>
      <c r="J383" s="67" t="s">
        <v>282</v>
      </c>
      <c r="K383" s="67" t="s">
        <v>282</v>
      </c>
      <c r="L383" s="67" t="s">
        <v>282</v>
      </c>
      <c r="M383" s="67" t="s">
        <v>282</v>
      </c>
      <c r="N383" s="67" t="s">
        <v>282</v>
      </c>
      <c r="O383" s="68" t="s">
        <v>16</v>
      </c>
      <c r="P383" s="68" t="s">
        <v>16</v>
      </c>
      <c r="Q383" s="68" t="s">
        <v>16</v>
      </c>
      <c r="R383" s="68" t="s">
        <v>16</v>
      </c>
      <c r="S383" s="68" t="s">
        <v>16</v>
      </c>
      <c r="T383" s="68" t="s">
        <v>329</v>
      </c>
      <c r="U383" s="68" t="s">
        <v>249</v>
      </c>
      <c r="V383" s="68" t="s">
        <v>282</v>
      </c>
      <c r="W383" s="69" t="s">
        <v>282</v>
      </c>
      <c r="X383" s="69" t="s">
        <v>282</v>
      </c>
      <c r="Y383" s="70" t="s">
        <v>282</v>
      </c>
    </row>
    <row r="384" spans="1:25">
      <c r="A384" s="64">
        <v>7</v>
      </c>
      <c r="B384" s="65" t="str">
        <f>VLOOKUP(Tabel10[[#This Row],[Code]],Ruimtegroepen[[Code]:[Ruimte omschrijving]],2,FALSE)</f>
        <v>Entree</v>
      </c>
      <c r="C384" s="66" t="s">
        <v>602</v>
      </c>
      <c r="D384" s="65" t="s">
        <v>0</v>
      </c>
      <c r="E384" s="66" t="s">
        <v>101</v>
      </c>
      <c r="F384" s="66" t="s">
        <v>605</v>
      </c>
      <c r="G384" s="71" t="s">
        <v>282</v>
      </c>
      <c r="H384" s="67" t="s">
        <v>282</v>
      </c>
      <c r="I384" s="67" t="s">
        <v>16</v>
      </c>
      <c r="J384" s="67" t="s">
        <v>282</v>
      </c>
      <c r="K384" s="67" t="s">
        <v>16</v>
      </c>
      <c r="L384" s="67" t="s">
        <v>282</v>
      </c>
      <c r="M384" s="67" t="s">
        <v>282</v>
      </c>
      <c r="N384" s="67" t="s">
        <v>282</v>
      </c>
      <c r="O384" s="68" t="s">
        <v>16</v>
      </c>
      <c r="P384" s="68" t="s">
        <v>16</v>
      </c>
      <c r="Q384" s="68" t="s">
        <v>16</v>
      </c>
      <c r="R384" s="68" t="s">
        <v>16</v>
      </c>
      <c r="S384" s="68" t="s">
        <v>16</v>
      </c>
      <c r="T384" s="68" t="s">
        <v>329</v>
      </c>
      <c r="U384" s="68" t="s">
        <v>249</v>
      </c>
      <c r="V384" s="68" t="s">
        <v>282</v>
      </c>
      <c r="W384" s="69" t="s">
        <v>282</v>
      </c>
      <c r="X384" s="69" t="s">
        <v>282</v>
      </c>
      <c r="Y384" s="70" t="s">
        <v>282</v>
      </c>
    </row>
    <row r="385" spans="1:25">
      <c r="A385" s="64">
        <v>7</v>
      </c>
      <c r="B385" s="65" t="str">
        <f>VLOOKUP(Tabel10[[#This Row],[Code]],Ruimtegroepen[[Code]:[Ruimte omschrijving]],2,FALSE)</f>
        <v>Entree</v>
      </c>
      <c r="C385" s="66" t="s">
        <v>602</v>
      </c>
      <c r="D385" s="65" t="s">
        <v>0</v>
      </c>
      <c r="E385" s="66" t="s">
        <v>102</v>
      </c>
      <c r="F385" s="66" t="s">
        <v>606</v>
      </c>
      <c r="G385" s="71" t="s">
        <v>282</v>
      </c>
      <c r="H385" s="67" t="s">
        <v>282</v>
      </c>
      <c r="I385" s="67" t="s">
        <v>16</v>
      </c>
      <c r="J385" s="67" t="s">
        <v>282</v>
      </c>
      <c r="K385" s="67" t="s">
        <v>16</v>
      </c>
      <c r="L385" s="67" t="s">
        <v>282</v>
      </c>
      <c r="M385" s="67" t="s">
        <v>282</v>
      </c>
      <c r="N385" s="67" t="s">
        <v>282</v>
      </c>
      <c r="O385" s="68" t="s">
        <v>16</v>
      </c>
      <c r="P385" s="68" t="s">
        <v>16</v>
      </c>
      <c r="Q385" s="68" t="s">
        <v>16</v>
      </c>
      <c r="R385" s="68" t="s">
        <v>16</v>
      </c>
      <c r="S385" s="68" t="s">
        <v>16</v>
      </c>
      <c r="T385" s="68" t="s">
        <v>329</v>
      </c>
      <c r="U385" s="68" t="s">
        <v>249</v>
      </c>
      <c r="V385" s="68" t="s">
        <v>282</v>
      </c>
      <c r="W385" s="69" t="s">
        <v>282</v>
      </c>
      <c r="X385" s="69" t="s">
        <v>282</v>
      </c>
      <c r="Y385" s="70" t="s">
        <v>282</v>
      </c>
    </row>
    <row r="386" spans="1:25">
      <c r="A386" s="64">
        <v>7</v>
      </c>
      <c r="B386" s="65" t="str">
        <f>VLOOKUP(Tabel10[[#This Row],[Code]],Ruimtegroepen[[Code]:[Ruimte omschrijving]],2,FALSE)</f>
        <v>Entree</v>
      </c>
      <c r="C386" s="66" t="s">
        <v>602</v>
      </c>
      <c r="D386" s="65" t="s">
        <v>0</v>
      </c>
      <c r="E386" s="66" t="s">
        <v>99</v>
      </c>
      <c r="F386" s="66" t="s">
        <v>604</v>
      </c>
      <c r="G386" s="71" t="s">
        <v>282</v>
      </c>
      <c r="H386" s="67" t="s">
        <v>16</v>
      </c>
      <c r="I386" s="67" t="s">
        <v>282</v>
      </c>
      <c r="J386" s="67" t="s">
        <v>282</v>
      </c>
      <c r="K386" s="67" t="s">
        <v>282</v>
      </c>
      <c r="L386" s="67" t="s">
        <v>282</v>
      </c>
      <c r="M386" s="67" t="s">
        <v>282</v>
      </c>
      <c r="N386" s="67" t="s">
        <v>282</v>
      </c>
      <c r="O386" s="68" t="s">
        <v>16</v>
      </c>
      <c r="P386" s="68" t="s">
        <v>16</v>
      </c>
      <c r="Q386" s="68" t="s">
        <v>16</v>
      </c>
      <c r="R386" s="68" t="s">
        <v>16</v>
      </c>
      <c r="S386" s="68" t="s">
        <v>16</v>
      </c>
      <c r="T386" s="68" t="s">
        <v>329</v>
      </c>
      <c r="U386" s="68" t="s">
        <v>249</v>
      </c>
      <c r="V386" s="68" t="s">
        <v>282</v>
      </c>
      <c r="W386" s="69" t="s">
        <v>282</v>
      </c>
      <c r="X386" s="69" t="s">
        <v>282</v>
      </c>
      <c r="Y386" s="70" t="s">
        <v>282</v>
      </c>
    </row>
    <row r="387" spans="1:25">
      <c r="A387" s="64">
        <v>7</v>
      </c>
      <c r="B387" s="65" t="str">
        <f>VLOOKUP(Tabel10[[#This Row],[Code]],Ruimtegroepen[[Code]:[Ruimte omschrijving]],2,FALSE)</f>
        <v>Entree</v>
      </c>
      <c r="C387" s="66" t="s">
        <v>602</v>
      </c>
      <c r="D387" s="65" t="s">
        <v>0</v>
      </c>
      <c r="E387" s="66" t="s">
        <v>1309</v>
      </c>
      <c r="F387" s="66" t="s">
        <v>1347</v>
      </c>
      <c r="G387" s="71" t="s">
        <v>282</v>
      </c>
      <c r="H387" s="67" t="s">
        <v>282</v>
      </c>
      <c r="I387" s="67" t="s">
        <v>16</v>
      </c>
      <c r="J387" s="67" t="s">
        <v>282</v>
      </c>
      <c r="K387" s="67" t="s">
        <v>16</v>
      </c>
      <c r="L387" s="67" t="s">
        <v>282</v>
      </c>
      <c r="M387" s="67" t="s">
        <v>282</v>
      </c>
      <c r="N387" s="67" t="s">
        <v>282</v>
      </c>
      <c r="O387" s="68" t="s">
        <v>16</v>
      </c>
      <c r="P387" s="68" t="s">
        <v>16</v>
      </c>
      <c r="Q387" s="68" t="s">
        <v>16</v>
      </c>
      <c r="R387" s="68" t="s">
        <v>16</v>
      </c>
      <c r="S387" s="68" t="s">
        <v>16</v>
      </c>
      <c r="T387" s="68" t="s">
        <v>329</v>
      </c>
      <c r="U387" s="68" t="s">
        <v>249</v>
      </c>
      <c r="V387" s="68" t="s">
        <v>282</v>
      </c>
      <c r="W387" s="69" t="s">
        <v>282</v>
      </c>
      <c r="X387" s="69" t="s">
        <v>282</v>
      </c>
      <c r="Y387" s="70" t="s">
        <v>282</v>
      </c>
    </row>
    <row r="388" spans="1:25">
      <c r="A388" s="64">
        <v>7</v>
      </c>
      <c r="B388" s="65" t="str">
        <f>VLOOKUP(Tabel10[[#This Row],[Code]],Ruimtegroepen[[Code]:[Ruimte omschrijving]],2,FALSE)</f>
        <v>Entree</v>
      </c>
      <c r="C388" s="66" t="s">
        <v>607</v>
      </c>
      <c r="D388" s="65" t="s">
        <v>27</v>
      </c>
      <c r="E388" s="66" t="s">
        <v>100</v>
      </c>
      <c r="F388" s="66" t="s">
        <v>608</v>
      </c>
      <c r="G388" s="71" t="s">
        <v>282</v>
      </c>
      <c r="H388" s="67" t="s">
        <v>282</v>
      </c>
      <c r="I388" s="67" t="s">
        <v>15</v>
      </c>
      <c r="J388" s="67" t="s">
        <v>282</v>
      </c>
      <c r="K388" s="67" t="s">
        <v>282</v>
      </c>
      <c r="L388" s="67" t="s">
        <v>282</v>
      </c>
      <c r="M388" s="67" t="s">
        <v>282</v>
      </c>
      <c r="N388" s="67" t="s">
        <v>282</v>
      </c>
      <c r="O388" s="68" t="s">
        <v>15</v>
      </c>
      <c r="P388" s="68" t="s">
        <v>15</v>
      </c>
      <c r="Q388" s="68" t="s">
        <v>15</v>
      </c>
      <c r="R388" s="68" t="s">
        <v>282</v>
      </c>
      <c r="S388" s="68" t="s">
        <v>282</v>
      </c>
      <c r="T388" s="68" t="s">
        <v>282</v>
      </c>
      <c r="U388" s="68" t="s">
        <v>282</v>
      </c>
      <c r="V388" s="68" t="s">
        <v>282</v>
      </c>
      <c r="W388" s="69" t="s">
        <v>282</v>
      </c>
      <c r="X388" s="69" t="s">
        <v>282</v>
      </c>
      <c r="Y388" s="70" t="s">
        <v>282</v>
      </c>
    </row>
    <row r="389" spans="1:25">
      <c r="A389" s="64">
        <v>7</v>
      </c>
      <c r="B389" s="65" t="str">
        <f>VLOOKUP(Tabel10[[#This Row],[Code]],Ruimtegroepen[[Code]:[Ruimte omschrijving]],2,FALSE)</f>
        <v>Entree</v>
      </c>
      <c r="C389" s="66" t="s">
        <v>607</v>
      </c>
      <c r="D389" s="65" t="s">
        <v>27</v>
      </c>
      <c r="E389" s="66" t="s">
        <v>99</v>
      </c>
      <c r="F389" s="66" t="s">
        <v>609</v>
      </c>
      <c r="G389" s="71" t="s">
        <v>282</v>
      </c>
      <c r="H389" s="67" t="s">
        <v>15</v>
      </c>
      <c r="I389" s="67" t="s">
        <v>282</v>
      </c>
      <c r="J389" s="67" t="s">
        <v>282</v>
      </c>
      <c r="K389" s="67" t="s">
        <v>282</v>
      </c>
      <c r="L389" s="67" t="s">
        <v>282</v>
      </c>
      <c r="M389" s="67" t="s">
        <v>282</v>
      </c>
      <c r="N389" s="67" t="s">
        <v>282</v>
      </c>
      <c r="O389" s="68" t="s">
        <v>15</v>
      </c>
      <c r="P389" s="68" t="s">
        <v>15</v>
      </c>
      <c r="Q389" s="68" t="s">
        <v>15</v>
      </c>
      <c r="R389" s="68" t="s">
        <v>282</v>
      </c>
      <c r="S389" s="68" t="s">
        <v>282</v>
      </c>
      <c r="T389" s="68" t="s">
        <v>282</v>
      </c>
      <c r="U389" s="68" t="s">
        <v>282</v>
      </c>
      <c r="V389" s="68" t="s">
        <v>282</v>
      </c>
      <c r="W389" s="69" t="s">
        <v>282</v>
      </c>
      <c r="X389" s="69" t="s">
        <v>282</v>
      </c>
      <c r="Y389" s="70" t="s">
        <v>282</v>
      </c>
    </row>
    <row r="390" spans="1:25">
      <c r="A390" s="64">
        <v>7</v>
      </c>
      <c r="B390" s="65" t="str">
        <f>VLOOKUP(Tabel10[[#This Row],[Code]],Ruimtegroepen[[Code]:[Ruimte omschrijving]],2,FALSE)</f>
        <v>Entree</v>
      </c>
      <c r="C390" s="66" t="s">
        <v>607</v>
      </c>
      <c r="D390" s="65" t="s">
        <v>27</v>
      </c>
      <c r="E390" s="66" t="s">
        <v>101</v>
      </c>
      <c r="F390" s="66" t="s">
        <v>610</v>
      </c>
      <c r="G390" s="71" t="s">
        <v>282</v>
      </c>
      <c r="H390" s="67" t="s">
        <v>282</v>
      </c>
      <c r="I390" s="67" t="s">
        <v>15</v>
      </c>
      <c r="J390" s="67" t="s">
        <v>282</v>
      </c>
      <c r="K390" s="67" t="s">
        <v>282</v>
      </c>
      <c r="L390" s="67" t="s">
        <v>282</v>
      </c>
      <c r="M390" s="67" t="s">
        <v>282</v>
      </c>
      <c r="N390" s="67" t="s">
        <v>282</v>
      </c>
      <c r="O390" s="68" t="s">
        <v>15</v>
      </c>
      <c r="P390" s="68" t="s">
        <v>15</v>
      </c>
      <c r="Q390" s="68" t="s">
        <v>15</v>
      </c>
      <c r="R390" s="68" t="s">
        <v>282</v>
      </c>
      <c r="S390" s="68" t="s">
        <v>282</v>
      </c>
      <c r="T390" s="68" t="s">
        <v>282</v>
      </c>
      <c r="U390" s="68" t="s">
        <v>282</v>
      </c>
      <c r="V390" s="68" t="s">
        <v>282</v>
      </c>
      <c r="W390" s="69" t="s">
        <v>282</v>
      </c>
      <c r="X390" s="69" t="s">
        <v>282</v>
      </c>
      <c r="Y390" s="70" t="s">
        <v>282</v>
      </c>
    </row>
    <row r="391" spans="1:25">
      <c r="A391" s="64">
        <v>7</v>
      </c>
      <c r="B391" s="65" t="str">
        <f>VLOOKUP(Tabel10[[#This Row],[Code]],Ruimtegroepen[[Code]:[Ruimte omschrijving]],2,FALSE)</f>
        <v>Entree</v>
      </c>
      <c r="C391" s="66" t="s">
        <v>607</v>
      </c>
      <c r="D391" s="65" t="s">
        <v>27</v>
      </c>
      <c r="E391" s="66" t="s">
        <v>102</v>
      </c>
      <c r="F391" s="66" t="s">
        <v>611</v>
      </c>
      <c r="G391" s="71" t="s">
        <v>282</v>
      </c>
      <c r="H391" s="67" t="s">
        <v>282</v>
      </c>
      <c r="I391" s="67" t="s">
        <v>15</v>
      </c>
      <c r="J391" s="67" t="s">
        <v>282</v>
      </c>
      <c r="K391" s="67" t="s">
        <v>282</v>
      </c>
      <c r="L391" s="67" t="s">
        <v>282</v>
      </c>
      <c r="M391" s="67" t="s">
        <v>282</v>
      </c>
      <c r="N391" s="67" t="s">
        <v>282</v>
      </c>
      <c r="O391" s="68" t="s">
        <v>15</v>
      </c>
      <c r="P391" s="68" t="s">
        <v>15</v>
      </c>
      <c r="Q391" s="68" t="s">
        <v>15</v>
      </c>
      <c r="R391" s="68" t="s">
        <v>282</v>
      </c>
      <c r="S391" s="68" t="s">
        <v>282</v>
      </c>
      <c r="T391" s="68" t="s">
        <v>282</v>
      </c>
      <c r="U391" s="68" t="s">
        <v>282</v>
      </c>
      <c r="V391" s="68" t="s">
        <v>282</v>
      </c>
      <c r="W391" s="69" t="s">
        <v>282</v>
      </c>
      <c r="X391" s="69" t="s">
        <v>282</v>
      </c>
      <c r="Y391" s="70" t="s">
        <v>282</v>
      </c>
    </row>
    <row r="392" spans="1:25">
      <c r="A392" s="64">
        <v>7</v>
      </c>
      <c r="B392" s="65" t="str">
        <f>VLOOKUP(Tabel10[[#This Row],[Code]],Ruimtegroepen[[Code]:[Ruimte omschrijving]],2,FALSE)</f>
        <v>Entree</v>
      </c>
      <c r="C392" s="66" t="s">
        <v>607</v>
      </c>
      <c r="D392" s="65" t="s">
        <v>27</v>
      </c>
      <c r="E392" s="66" t="s">
        <v>99</v>
      </c>
      <c r="F392" s="66" t="s">
        <v>609</v>
      </c>
      <c r="G392" s="71" t="s">
        <v>282</v>
      </c>
      <c r="H392" s="67" t="s">
        <v>15</v>
      </c>
      <c r="I392" s="67" t="s">
        <v>282</v>
      </c>
      <c r="J392" s="67" t="s">
        <v>282</v>
      </c>
      <c r="K392" s="67" t="s">
        <v>282</v>
      </c>
      <c r="L392" s="67" t="s">
        <v>282</v>
      </c>
      <c r="M392" s="67" t="s">
        <v>282</v>
      </c>
      <c r="N392" s="67" t="s">
        <v>282</v>
      </c>
      <c r="O392" s="68" t="s">
        <v>15</v>
      </c>
      <c r="P392" s="68" t="s">
        <v>15</v>
      </c>
      <c r="Q392" s="68" t="s">
        <v>15</v>
      </c>
      <c r="R392" s="68" t="s">
        <v>282</v>
      </c>
      <c r="S392" s="68" t="s">
        <v>282</v>
      </c>
      <c r="T392" s="68" t="s">
        <v>282</v>
      </c>
      <c r="U392" s="68" t="s">
        <v>282</v>
      </c>
      <c r="V392" s="68" t="s">
        <v>282</v>
      </c>
      <c r="W392" s="69" t="s">
        <v>282</v>
      </c>
      <c r="X392" s="69" t="s">
        <v>282</v>
      </c>
      <c r="Y392" s="70" t="s">
        <v>282</v>
      </c>
    </row>
    <row r="393" spans="1:25">
      <c r="A393" s="64">
        <v>7</v>
      </c>
      <c r="B393" s="65" t="str">
        <f>VLOOKUP(Tabel10[[#This Row],[Code]],Ruimtegroepen[[Code]:[Ruimte omschrijving]],2,FALSE)</f>
        <v>Entree</v>
      </c>
      <c r="C393" s="66" t="s">
        <v>607</v>
      </c>
      <c r="D393" s="65" t="s">
        <v>27</v>
      </c>
      <c r="E393" s="66" t="s">
        <v>1309</v>
      </c>
      <c r="F393" s="66" t="s">
        <v>1380</v>
      </c>
      <c r="G393" s="71" t="s">
        <v>282</v>
      </c>
      <c r="H393" s="67" t="s">
        <v>282</v>
      </c>
      <c r="I393" s="67" t="s">
        <v>15</v>
      </c>
      <c r="J393" s="67" t="s">
        <v>282</v>
      </c>
      <c r="K393" s="67" t="s">
        <v>282</v>
      </c>
      <c r="L393" s="67" t="s">
        <v>282</v>
      </c>
      <c r="M393" s="67" t="s">
        <v>282</v>
      </c>
      <c r="N393" s="67" t="s">
        <v>282</v>
      </c>
      <c r="O393" s="68" t="s">
        <v>15</v>
      </c>
      <c r="P393" s="68" t="s">
        <v>15</v>
      </c>
      <c r="Q393" s="68" t="s">
        <v>15</v>
      </c>
      <c r="R393" s="68" t="s">
        <v>282</v>
      </c>
      <c r="S393" s="68" t="s">
        <v>282</v>
      </c>
      <c r="T393" s="68" t="s">
        <v>282</v>
      </c>
      <c r="U393" s="68" t="s">
        <v>282</v>
      </c>
      <c r="V393" s="68" t="s">
        <v>282</v>
      </c>
      <c r="W393" s="69" t="s">
        <v>282</v>
      </c>
      <c r="X393" s="69" t="s">
        <v>282</v>
      </c>
      <c r="Y393" s="70" t="s">
        <v>282</v>
      </c>
    </row>
    <row r="394" spans="1:25">
      <c r="A394" s="64">
        <v>7</v>
      </c>
      <c r="B394" s="65" t="str">
        <f>VLOOKUP(Tabel10[[#This Row],[Code]],Ruimtegroepen[[Code]:[Ruimte omschrijving]],2,FALSE)</f>
        <v>Entree</v>
      </c>
      <c r="C394" s="66" t="s">
        <v>612</v>
      </c>
      <c r="D394" s="65" t="s">
        <v>28</v>
      </c>
      <c r="E394" s="66" t="s">
        <v>100</v>
      </c>
      <c r="F394" s="66" t="s">
        <v>613</v>
      </c>
      <c r="G394" s="71" t="s">
        <v>282</v>
      </c>
      <c r="H394" s="67" t="s">
        <v>282</v>
      </c>
      <c r="I394" s="67" t="s">
        <v>17</v>
      </c>
      <c r="J394" s="67" t="s">
        <v>282</v>
      </c>
      <c r="K394" s="67" t="s">
        <v>282</v>
      </c>
      <c r="L394" s="67" t="s">
        <v>282</v>
      </c>
      <c r="M394" s="67" t="s">
        <v>282</v>
      </c>
      <c r="N394" s="67" t="s">
        <v>282</v>
      </c>
      <c r="O394" s="68" t="s">
        <v>17</v>
      </c>
      <c r="P394" s="68" t="s">
        <v>17</v>
      </c>
      <c r="Q394" s="68" t="s">
        <v>15</v>
      </c>
      <c r="R394" s="68" t="s">
        <v>282</v>
      </c>
      <c r="S394" s="68" t="s">
        <v>282</v>
      </c>
      <c r="T394" s="68" t="s">
        <v>282</v>
      </c>
      <c r="U394" s="68" t="s">
        <v>282</v>
      </c>
      <c r="V394" s="68" t="s">
        <v>282</v>
      </c>
      <c r="W394" s="69" t="s">
        <v>282</v>
      </c>
      <c r="X394" s="69" t="s">
        <v>282</v>
      </c>
      <c r="Y394" s="70" t="s">
        <v>282</v>
      </c>
    </row>
    <row r="395" spans="1:25">
      <c r="A395" s="64">
        <v>7</v>
      </c>
      <c r="B395" s="65" t="str">
        <f>VLOOKUP(Tabel10[[#This Row],[Code]],Ruimtegroepen[[Code]:[Ruimte omschrijving]],2,FALSE)</f>
        <v>Entree</v>
      </c>
      <c r="C395" s="66" t="s">
        <v>612</v>
      </c>
      <c r="D395" s="65" t="s">
        <v>28</v>
      </c>
      <c r="E395" s="66" t="s">
        <v>99</v>
      </c>
      <c r="F395" s="66" t="s">
        <v>614</v>
      </c>
      <c r="G395" s="71" t="s">
        <v>282</v>
      </c>
      <c r="H395" s="67" t="s">
        <v>17</v>
      </c>
      <c r="I395" s="67" t="s">
        <v>282</v>
      </c>
      <c r="J395" s="67" t="s">
        <v>282</v>
      </c>
      <c r="K395" s="67" t="s">
        <v>282</v>
      </c>
      <c r="L395" s="67" t="s">
        <v>282</v>
      </c>
      <c r="M395" s="67" t="s">
        <v>282</v>
      </c>
      <c r="N395" s="67" t="s">
        <v>282</v>
      </c>
      <c r="O395" s="68" t="s">
        <v>17</v>
      </c>
      <c r="P395" s="68" t="s">
        <v>17</v>
      </c>
      <c r="Q395" s="68" t="s">
        <v>15</v>
      </c>
      <c r="R395" s="68" t="s">
        <v>282</v>
      </c>
      <c r="S395" s="68" t="s">
        <v>282</v>
      </c>
      <c r="T395" s="68" t="s">
        <v>282</v>
      </c>
      <c r="U395" s="68" t="s">
        <v>282</v>
      </c>
      <c r="V395" s="68" t="s">
        <v>282</v>
      </c>
      <c r="W395" s="69" t="s">
        <v>282</v>
      </c>
      <c r="X395" s="69" t="s">
        <v>282</v>
      </c>
      <c r="Y395" s="70" t="s">
        <v>282</v>
      </c>
    </row>
    <row r="396" spans="1:25">
      <c r="A396" s="64">
        <v>7</v>
      </c>
      <c r="B396" s="65" t="str">
        <f>VLOOKUP(Tabel10[[#This Row],[Code]],Ruimtegroepen[[Code]:[Ruimte omschrijving]],2,FALSE)</f>
        <v>Entree</v>
      </c>
      <c r="C396" s="66" t="s">
        <v>612</v>
      </c>
      <c r="D396" s="65" t="s">
        <v>28</v>
      </c>
      <c r="E396" s="66" t="s">
        <v>101</v>
      </c>
      <c r="F396" s="66" t="s">
        <v>615</v>
      </c>
      <c r="G396" s="71" t="s">
        <v>282</v>
      </c>
      <c r="H396" s="67" t="s">
        <v>282</v>
      </c>
      <c r="I396" s="67" t="s">
        <v>17</v>
      </c>
      <c r="J396" s="67" t="s">
        <v>282</v>
      </c>
      <c r="K396" s="67" t="s">
        <v>282</v>
      </c>
      <c r="L396" s="67" t="s">
        <v>282</v>
      </c>
      <c r="M396" s="67" t="s">
        <v>282</v>
      </c>
      <c r="N396" s="67" t="s">
        <v>282</v>
      </c>
      <c r="O396" s="68" t="s">
        <v>17</v>
      </c>
      <c r="P396" s="68" t="s">
        <v>17</v>
      </c>
      <c r="Q396" s="68" t="s">
        <v>15</v>
      </c>
      <c r="R396" s="68" t="s">
        <v>282</v>
      </c>
      <c r="S396" s="68" t="s">
        <v>282</v>
      </c>
      <c r="T396" s="68" t="s">
        <v>282</v>
      </c>
      <c r="U396" s="68" t="s">
        <v>282</v>
      </c>
      <c r="V396" s="68" t="s">
        <v>282</v>
      </c>
      <c r="W396" s="69" t="s">
        <v>282</v>
      </c>
      <c r="X396" s="69" t="s">
        <v>282</v>
      </c>
      <c r="Y396" s="70" t="s">
        <v>282</v>
      </c>
    </row>
    <row r="397" spans="1:25">
      <c r="A397" s="64">
        <v>7</v>
      </c>
      <c r="B397" s="65" t="str">
        <f>VLOOKUP(Tabel10[[#This Row],[Code]],Ruimtegroepen[[Code]:[Ruimte omschrijving]],2,FALSE)</f>
        <v>Entree</v>
      </c>
      <c r="C397" s="66" t="s">
        <v>612</v>
      </c>
      <c r="D397" s="65" t="s">
        <v>28</v>
      </c>
      <c r="E397" s="66" t="s">
        <v>102</v>
      </c>
      <c r="F397" s="66" t="s">
        <v>616</v>
      </c>
      <c r="G397" s="71" t="s">
        <v>282</v>
      </c>
      <c r="H397" s="67" t="s">
        <v>282</v>
      </c>
      <c r="I397" s="67" t="s">
        <v>17</v>
      </c>
      <c r="J397" s="67" t="s">
        <v>282</v>
      </c>
      <c r="K397" s="67" t="s">
        <v>282</v>
      </c>
      <c r="L397" s="67" t="s">
        <v>282</v>
      </c>
      <c r="M397" s="67" t="s">
        <v>282</v>
      </c>
      <c r="N397" s="67" t="s">
        <v>282</v>
      </c>
      <c r="O397" s="68" t="s">
        <v>17</v>
      </c>
      <c r="P397" s="68" t="s">
        <v>17</v>
      </c>
      <c r="Q397" s="68" t="s">
        <v>15</v>
      </c>
      <c r="R397" s="68" t="s">
        <v>282</v>
      </c>
      <c r="S397" s="68" t="s">
        <v>282</v>
      </c>
      <c r="T397" s="68" t="s">
        <v>282</v>
      </c>
      <c r="U397" s="68" t="s">
        <v>282</v>
      </c>
      <c r="V397" s="68" t="s">
        <v>282</v>
      </c>
      <c r="W397" s="69" t="s">
        <v>282</v>
      </c>
      <c r="X397" s="69" t="s">
        <v>282</v>
      </c>
      <c r="Y397" s="70" t="s">
        <v>282</v>
      </c>
    </row>
    <row r="398" spans="1:25">
      <c r="A398" s="64">
        <v>7</v>
      </c>
      <c r="B398" s="65" t="str">
        <f>VLOOKUP(Tabel10[[#This Row],[Code]],Ruimtegroepen[[Code]:[Ruimte omschrijving]],2,FALSE)</f>
        <v>Entree</v>
      </c>
      <c r="C398" s="66" t="s">
        <v>612</v>
      </c>
      <c r="D398" s="65" t="s">
        <v>28</v>
      </c>
      <c r="E398" s="66" t="s">
        <v>99</v>
      </c>
      <c r="F398" s="66" t="s">
        <v>614</v>
      </c>
      <c r="G398" s="71" t="s">
        <v>282</v>
      </c>
      <c r="H398" s="67" t="s">
        <v>17</v>
      </c>
      <c r="I398" s="67" t="s">
        <v>282</v>
      </c>
      <c r="J398" s="67" t="s">
        <v>282</v>
      </c>
      <c r="K398" s="67" t="s">
        <v>282</v>
      </c>
      <c r="L398" s="67" t="s">
        <v>282</v>
      </c>
      <c r="M398" s="67" t="s">
        <v>282</v>
      </c>
      <c r="N398" s="67" t="s">
        <v>282</v>
      </c>
      <c r="O398" s="68" t="s">
        <v>17</v>
      </c>
      <c r="P398" s="68" t="s">
        <v>17</v>
      </c>
      <c r="Q398" s="68" t="s">
        <v>15</v>
      </c>
      <c r="R398" s="68" t="s">
        <v>282</v>
      </c>
      <c r="S398" s="68" t="s">
        <v>282</v>
      </c>
      <c r="T398" s="68" t="s">
        <v>282</v>
      </c>
      <c r="U398" s="68" t="s">
        <v>282</v>
      </c>
      <c r="V398" s="68" t="s">
        <v>282</v>
      </c>
      <c r="W398" s="69" t="s">
        <v>282</v>
      </c>
      <c r="X398" s="69" t="s">
        <v>282</v>
      </c>
      <c r="Y398" s="70" t="s">
        <v>282</v>
      </c>
    </row>
    <row r="399" spans="1:25">
      <c r="A399" s="64">
        <v>7</v>
      </c>
      <c r="B399" s="65" t="str">
        <f>VLOOKUP(Tabel10[[#This Row],[Code]],Ruimtegroepen[[Code]:[Ruimte omschrijving]],2,FALSE)</f>
        <v>Entree</v>
      </c>
      <c r="C399" s="66" t="s">
        <v>612</v>
      </c>
      <c r="D399" s="65" t="s">
        <v>28</v>
      </c>
      <c r="E399" s="66" t="s">
        <v>1309</v>
      </c>
      <c r="F399" s="66" t="s">
        <v>1413</v>
      </c>
      <c r="G399" s="71" t="s">
        <v>282</v>
      </c>
      <c r="H399" s="67" t="s">
        <v>282</v>
      </c>
      <c r="I399" s="67" t="s">
        <v>17</v>
      </c>
      <c r="J399" s="67" t="s">
        <v>282</v>
      </c>
      <c r="K399" s="67" t="s">
        <v>282</v>
      </c>
      <c r="L399" s="67" t="s">
        <v>282</v>
      </c>
      <c r="M399" s="67" t="s">
        <v>282</v>
      </c>
      <c r="N399" s="67" t="s">
        <v>282</v>
      </c>
      <c r="O399" s="68" t="s">
        <v>17</v>
      </c>
      <c r="P399" s="68" t="s">
        <v>17</v>
      </c>
      <c r="Q399" s="68" t="s">
        <v>15</v>
      </c>
      <c r="R399" s="68" t="s">
        <v>282</v>
      </c>
      <c r="S399" s="68" t="s">
        <v>282</v>
      </c>
      <c r="T399" s="68" t="s">
        <v>282</v>
      </c>
      <c r="U399" s="68" t="s">
        <v>282</v>
      </c>
      <c r="V399" s="68" t="s">
        <v>282</v>
      </c>
      <c r="W399" s="69" t="s">
        <v>282</v>
      </c>
      <c r="X399" s="69" t="s">
        <v>282</v>
      </c>
      <c r="Y399" s="70" t="s">
        <v>282</v>
      </c>
    </row>
    <row r="400" spans="1:25">
      <c r="A400" s="64">
        <v>8</v>
      </c>
      <c r="B400" s="65" t="str">
        <f>VLOOKUP(Tabel10[[#This Row],[Code]],Ruimtegroepen[[Code]:[Ruimte omschrijving]],2,FALSE)</f>
        <v>Kinderopvang</v>
      </c>
      <c r="C400" s="66" t="s">
        <v>617</v>
      </c>
      <c r="D400" s="65" t="s">
        <v>29</v>
      </c>
      <c r="E400" s="66" t="s">
        <v>100</v>
      </c>
      <c r="F400" s="66" t="s">
        <v>618</v>
      </c>
      <c r="G400" s="71" t="s">
        <v>282</v>
      </c>
      <c r="H400" s="67" t="s">
        <v>282</v>
      </c>
      <c r="I400" s="67" t="s">
        <v>20</v>
      </c>
      <c r="J400" s="67" t="s">
        <v>15</v>
      </c>
      <c r="K400" s="67" t="s">
        <v>282</v>
      </c>
      <c r="L400" s="67" t="s">
        <v>282</v>
      </c>
      <c r="M400" s="67" t="s">
        <v>282</v>
      </c>
      <c r="N400" s="67" t="s">
        <v>2</v>
      </c>
      <c r="O400" s="68" t="s">
        <v>2</v>
      </c>
      <c r="P400" s="68" t="s">
        <v>2</v>
      </c>
      <c r="Q400" s="68" t="s">
        <v>15</v>
      </c>
      <c r="R400" s="68" t="s">
        <v>15</v>
      </c>
      <c r="S400" s="68" t="s">
        <v>16</v>
      </c>
      <c r="T400" s="68" t="s">
        <v>329</v>
      </c>
      <c r="U400" s="68" t="s">
        <v>249</v>
      </c>
      <c r="V400" s="68" t="s">
        <v>2</v>
      </c>
      <c r="W400" s="69" t="s">
        <v>282</v>
      </c>
      <c r="X400" s="69" t="s">
        <v>282</v>
      </c>
      <c r="Y400" s="70" t="s">
        <v>282</v>
      </c>
    </row>
    <row r="401" spans="1:25">
      <c r="A401" s="64">
        <v>8</v>
      </c>
      <c r="B401" s="65" t="str">
        <f>VLOOKUP(Tabel10[[#This Row],[Code]],Ruimtegroepen[[Code]:[Ruimte omschrijving]],2,FALSE)</f>
        <v>Kinderopvang</v>
      </c>
      <c r="C401" s="66" t="s">
        <v>617</v>
      </c>
      <c r="D401" s="65" t="s">
        <v>29</v>
      </c>
      <c r="E401" s="66" t="s">
        <v>99</v>
      </c>
      <c r="F401" s="66" t="s">
        <v>619</v>
      </c>
      <c r="G401" s="71" t="s">
        <v>282</v>
      </c>
      <c r="H401" s="67" t="s">
        <v>2</v>
      </c>
      <c r="I401" s="67" t="s">
        <v>282</v>
      </c>
      <c r="J401" s="67" t="s">
        <v>282</v>
      </c>
      <c r="K401" s="67" t="s">
        <v>282</v>
      </c>
      <c r="L401" s="67" t="s">
        <v>282</v>
      </c>
      <c r="M401" s="67" t="s">
        <v>282</v>
      </c>
      <c r="N401" s="67" t="s">
        <v>2</v>
      </c>
      <c r="O401" s="68" t="s">
        <v>2</v>
      </c>
      <c r="P401" s="68" t="s">
        <v>2</v>
      </c>
      <c r="Q401" s="68" t="s">
        <v>15</v>
      </c>
      <c r="R401" s="68" t="s">
        <v>15</v>
      </c>
      <c r="S401" s="68" t="s">
        <v>16</v>
      </c>
      <c r="T401" s="68" t="s">
        <v>329</v>
      </c>
      <c r="U401" s="68" t="s">
        <v>249</v>
      </c>
      <c r="V401" s="68" t="s">
        <v>2</v>
      </c>
      <c r="W401" s="69" t="s">
        <v>282</v>
      </c>
      <c r="X401" s="69" t="s">
        <v>282</v>
      </c>
      <c r="Y401" s="70" t="s">
        <v>282</v>
      </c>
    </row>
    <row r="402" spans="1:25">
      <c r="A402" s="64">
        <v>8</v>
      </c>
      <c r="B402" s="65" t="str">
        <f>VLOOKUP(Tabel10[[#This Row],[Code]],Ruimtegroepen[[Code]:[Ruimte omschrijving]],2,FALSE)</f>
        <v>Kinderopvang</v>
      </c>
      <c r="C402" s="66" t="s">
        <v>617</v>
      </c>
      <c r="D402" s="65" t="s">
        <v>29</v>
      </c>
      <c r="E402" s="66" t="s">
        <v>101</v>
      </c>
      <c r="F402" s="66" t="s">
        <v>620</v>
      </c>
      <c r="G402" s="71" t="s">
        <v>282</v>
      </c>
      <c r="H402" s="67" t="s">
        <v>282</v>
      </c>
      <c r="I402" s="67" t="s">
        <v>20</v>
      </c>
      <c r="J402" s="67" t="s">
        <v>15</v>
      </c>
      <c r="K402" s="67" t="s">
        <v>283</v>
      </c>
      <c r="L402" s="67" t="s">
        <v>282</v>
      </c>
      <c r="M402" s="67" t="s">
        <v>282</v>
      </c>
      <c r="N402" s="67" t="s">
        <v>2</v>
      </c>
      <c r="O402" s="68" t="s">
        <v>2</v>
      </c>
      <c r="P402" s="68" t="s">
        <v>2</v>
      </c>
      <c r="Q402" s="68" t="s">
        <v>15</v>
      </c>
      <c r="R402" s="68" t="s">
        <v>15</v>
      </c>
      <c r="S402" s="68" t="s">
        <v>16</v>
      </c>
      <c r="T402" s="68" t="s">
        <v>329</v>
      </c>
      <c r="U402" s="68" t="s">
        <v>249</v>
      </c>
      <c r="V402" s="68" t="s">
        <v>2</v>
      </c>
      <c r="W402" s="69" t="s">
        <v>282</v>
      </c>
      <c r="X402" s="69" t="s">
        <v>282</v>
      </c>
      <c r="Y402" s="70" t="s">
        <v>282</v>
      </c>
    </row>
    <row r="403" spans="1:25">
      <c r="A403" s="64">
        <v>8</v>
      </c>
      <c r="B403" s="65" t="str">
        <f>VLOOKUP(Tabel10[[#This Row],[Code]],Ruimtegroepen[[Code]:[Ruimte omschrijving]],2,FALSE)</f>
        <v>Kinderopvang</v>
      </c>
      <c r="C403" s="66" t="s">
        <v>617</v>
      </c>
      <c r="D403" s="65" t="s">
        <v>29</v>
      </c>
      <c r="E403" s="66" t="s">
        <v>102</v>
      </c>
      <c r="F403" s="66" t="s">
        <v>621</v>
      </c>
      <c r="G403" s="71" t="s">
        <v>282</v>
      </c>
      <c r="H403" s="67" t="s">
        <v>282</v>
      </c>
      <c r="I403" s="67" t="s">
        <v>20</v>
      </c>
      <c r="J403" s="67" t="s">
        <v>15</v>
      </c>
      <c r="K403" s="67" t="s">
        <v>283</v>
      </c>
      <c r="L403" s="67" t="s">
        <v>282</v>
      </c>
      <c r="M403" s="67" t="s">
        <v>282</v>
      </c>
      <c r="N403" s="67" t="s">
        <v>2</v>
      </c>
      <c r="O403" s="68" t="s">
        <v>2</v>
      </c>
      <c r="P403" s="68" t="s">
        <v>2</v>
      </c>
      <c r="Q403" s="68" t="s">
        <v>15</v>
      </c>
      <c r="R403" s="68" t="s">
        <v>15</v>
      </c>
      <c r="S403" s="68" t="s">
        <v>16</v>
      </c>
      <c r="T403" s="68" t="s">
        <v>329</v>
      </c>
      <c r="U403" s="68" t="s">
        <v>249</v>
      </c>
      <c r="V403" s="68" t="s">
        <v>2</v>
      </c>
      <c r="W403" s="69" t="s">
        <v>282</v>
      </c>
      <c r="X403" s="69" t="s">
        <v>282</v>
      </c>
      <c r="Y403" s="70" t="s">
        <v>282</v>
      </c>
    </row>
    <row r="404" spans="1:25">
      <c r="A404" s="64">
        <v>8</v>
      </c>
      <c r="B404" s="65" t="str">
        <f>VLOOKUP(Tabel10[[#This Row],[Code]],Ruimtegroepen[[Code]:[Ruimte omschrijving]],2,FALSE)</f>
        <v>Kinderopvang</v>
      </c>
      <c r="C404" s="66" t="s">
        <v>617</v>
      </c>
      <c r="D404" s="65" t="s">
        <v>29</v>
      </c>
      <c r="E404" s="66" t="s">
        <v>99</v>
      </c>
      <c r="F404" s="66" t="s">
        <v>619</v>
      </c>
      <c r="G404" s="71" t="s">
        <v>282</v>
      </c>
      <c r="H404" s="67" t="s">
        <v>2</v>
      </c>
      <c r="I404" s="67" t="s">
        <v>282</v>
      </c>
      <c r="J404" s="67" t="s">
        <v>282</v>
      </c>
      <c r="K404" s="67" t="s">
        <v>282</v>
      </c>
      <c r="L404" s="67" t="s">
        <v>282</v>
      </c>
      <c r="M404" s="67" t="s">
        <v>282</v>
      </c>
      <c r="N404" s="67" t="s">
        <v>2</v>
      </c>
      <c r="O404" s="68" t="s">
        <v>2</v>
      </c>
      <c r="P404" s="68" t="s">
        <v>2</v>
      </c>
      <c r="Q404" s="68" t="s">
        <v>15</v>
      </c>
      <c r="R404" s="68" t="s">
        <v>15</v>
      </c>
      <c r="S404" s="68" t="s">
        <v>16</v>
      </c>
      <c r="T404" s="68" t="s">
        <v>329</v>
      </c>
      <c r="U404" s="68" t="s">
        <v>249</v>
      </c>
      <c r="V404" s="68" t="s">
        <v>2</v>
      </c>
      <c r="W404" s="69" t="s">
        <v>282</v>
      </c>
      <c r="X404" s="69" t="s">
        <v>282</v>
      </c>
      <c r="Y404" s="70" t="s">
        <v>282</v>
      </c>
    </row>
    <row r="405" spans="1:25">
      <c r="A405" s="64">
        <v>8</v>
      </c>
      <c r="B405" s="65" t="str">
        <f>VLOOKUP(Tabel10[[#This Row],[Code]],Ruimtegroepen[[Code]:[Ruimte omschrijving]],2,FALSE)</f>
        <v>Kinderopvang</v>
      </c>
      <c r="C405" s="66" t="s">
        <v>617</v>
      </c>
      <c r="D405" s="65" t="s">
        <v>29</v>
      </c>
      <c r="E405" s="66" t="s">
        <v>1309</v>
      </c>
      <c r="F405" s="66" t="s">
        <v>1481</v>
      </c>
      <c r="G405" s="71" t="s">
        <v>282</v>
      </c>
      <c r="H405" s="67" t="s">
        <v>282</v>
      </c>
      <c r="I405" s="67" t="s">
        <v>20</v>
      </c>
      <c r="J405" s="67" t="s">
        <v>15</v>
      </c>
      <c r="K405" s="67" t="s">
        <v>283</v>
      </c>
      <c r="L405" s="67" t="s">
        <v>282</v>
      </c>
      <c r="M405" s="67" t="s">
        <v>282</v>
      </c>
      <c r="N405" s="67" t="s">
        <v>2</v>
      </c>
      <c r="O405" s="68" t="s">
        <v>2</v>
      </c>
      <c r="P405" s="68" t="s">
        <v>2</v>
      </c>
      <c r="Q405" s="68" t="s">
        <v>15</v>
      </c>
      <c r="R405" s="68" t="s">
        <v>15</v>
      </c>
      <c r="S405" s="68" t="s">
        <v>16</v>
      </c>
      <c r="T405" s="68" t="s">
        <v>329</v>
      </c>
      <c r="U405" s="68" t="s">
        <v>249</v>
      </c>
      <c r="V405" s="68" t="s">
        <v>2</v>
      </c>
      <c r="W405" s="69" t="s">
        <v>282</v>
      </c>
      <c r="X405" s="69" t="s">
        <v>282</v>
      </c>
      <c r="Y405" s="70" t="s">
        <v>282</v>
      </c>
    </row>
    <row r="406" spans="1:25">
      <c r="A406" s="64">
        <v>8</v>
      </c>
      <c r="B406" s="65" t="str">
        <f>VLOOKUP(Tabel10[[#This Row],[Code]],Ruimtegroepen[[Code]:[Ruimte omschrijving]],2,FALSE)</f>
        <v>Kinderopvang</v>
      </c>
      <c r="C406" s="66" t="s">
        <v>622</v>
      </c>
      <c r="D406" s="65" t="s">
        <v>1</v>
      </c>
      <c r="E406" s="66" t="s">
        <v>100</v>
      </c>
      <c r="F406" s="66" t="s">
        <v>623</v>
      </c>
      <c r="G406" s="71" t="s">
        <v>282</v>
      </c>
      <c r="H406" s="67" t="s">
        <v>282</v>
      </c>
      <c r="I406" s="67" t="s">
        <v>20</v>
      </c>
      <c r="J406" s="67" t="s">
        <v>15</v>
      </c>
      <c r="K406" s="67" t="s">
        <v>282</v>
      </c>
      <c r="L406" s="67" t="s">
        <v>282</v>
      </c>
      <c r="M406" s="67" t="s">
        <v>282</v>
      </c>
      <c r="N406" s="67" t="s">
        <v>282</v>
      </c>
      <c r="O406" s="68" t="s">
        <v>2</v>
      </c>
      <c r="P406" s="68" t="s">
        <v>2</v>
      </c>
      <c r="Q406" s="68" t="s">
        <v>15</v>
      </c>
      <c r="R406" s="68" t="s">
        <v>15</v>
      </c>
      <c r="S406" s="68" t="s">
        <v>16</v>
      </c>
      <c r="T406" s="68" t="s">
        <v>329</v>
      </c>
      <c r="U406" s="68" t="s">
        <v>249</v>
      </c>
      <c r="V406" s="68" t="s">
        <v>282</v>
      </c>
      <c r="W406" s="69" t="s">
        <v>282</v>
      </c>
      <c r="X406" s="69" t="s">
        <v>282</v>
      </c>
      <c r="Y406" s="70" t="s">
        <v>282</v>
      </c>
    </row>
    <row r="407" spans="1:25">
      <c r="A407" s="64">
        <v>8</v>
      </c>
      <c r="B407" s="65" t="str">
        <f>VLOOKUP(Tabel10[[#This Row],[Code]],Ruimtegroepen[[Code]:[Ruimte omschrijving]],2,FALSE)</f>
        <v>Kinderopvang</v>
      </c>
      <c r="C407" s="66" t="s">
        <v>622</v>
      </c>
      <c r="D407" s="65" t="s">
        <v>1</v>
      </c>
      <c r="E407" s="66" t="s">
        <v>99</v>
      </c>
      <c r="F407" s="66" t="s">
        <v>624</v>
      </c>
      <c r="G407" s="71" t="s">
        <v>282</v>
      </c>
      <c r="H407" s="67" t="s">
        <v>2</v>
      </c>
      <c r="I407" s="67" t="s">
        <v>282</v>
      </c>
      <c r="J407" s="67" t="s">
        <v>282</v>
      </c>
      <c r="K407" s="67" t="s">
        <v>282</v>
      </c>
      <c r="L407" s="67" t="s">
        <v>282</v>
      </c>
      <c r="M407" s="67" t="s">
        <v>282</v>
      </c>
      <c r="N407" s="67" t="s">
        <v>282</v>
      </c>
      <c r="O407" s="68" t="s">
        <v>2</v>
      </c>
      <c r="P407" s="68" t="s">
        <v>2</v>
      </c>
      <c r="Q407" s="68" t="s">
        <v>15</v>
      </c>
      <c r="R407" s="68" t="s">
        <v>15</v>
      </c>
      <c r="S407" s="68" t="s">
        <v>16</v>
      </c>
      <c r="T407" s="68" t="s">
        <v>329</v>
      </c>
      <c r="U407" s="68" t="s">
        <v>249</v>
      </c>
      <c r="V407" s="68" t="s">
        <v>282</v>
      </c>
      <c r="W407" s="69" t="s">
        <v>282</v>
      </c>
      <c r="X407" s="69" t="s">
        <v>282</v>
      </c>
      <c r="Y407" s="70" t="s">
        <v>282</v>
      </c>
    </row>
    <row r="408" spans="1:25">
      <c r="A408" s="64">
        <v>8</v>
      </c>
      <c r="B408" s="65" t="str">
        <f>VLOOKUP(Tabel10[[#This Row],[Code]],Ruimtegroepen[[Code]:[Ruimte omschrijving]],2,FALSE)</f>
        <v>Kinderopvang</v>
      </c>
      <c r="C408" s="66" t="s">
        <v>622</v>
      </c>
      <c r="D408" s="65" t="s">
        <v>1</v>
      </c>
      <c r="E408" s="66" t="s">
        <v>101</v>
      </c>
      <c r="F408" s="66" t="s">
        <v>625</v>
      </c>
      <c r="G408" s="71" t="s">
        <v>282</v>
      </c>
      <c r="H408" s="67" t="s">
        <v>282</v>
      </c>
      <c r="I408" s="67" t="s">
        <v>20</v>
      </c>
      <c r="J408" s="67" t="s">
        <v>15</v>
      </c>
      <c r="K408" s="67" t="s">
        <v>283</v>
      </c>
      <c r="L408" s="67" t="s">
        <v>282</v>
      </c>
      <c r="M408" s="67" t="s">
        <v>282</v>
      </c>
      <c r="N408" s="67" t="s">
        <v>282</v>
      </c>
      <c r="O408" s="68" t="s">
        <v>2</v>
      </c>
      <c r="P408" s="68" t="s">
        <v>2</v>
      </c>
      <c r="Q408" s="68" t="s">
        <v>15</v>
      </c>
      <c r="R408" s="68" t="s">
        <v>15</v>
      </c>
      <c r="S408" s="68" t="s">
        <v>16</v>
      </c>
      <c r="T408" s="68" t="s">
        <v>329</v>
      </c>
      <c r="U408" s="68" t="s">
        <v>249</v>
      </c>
      <c r="V408" s="68" t="s">
        <v>282</v>
      </c>
      <c r="W408" s="69" t="s">
        <v>282</v>
      </c>
      <c r="X408" s="69" t="s">
        <v>282</v>
      </c>
      <c r="Y408" s="70" t="s">
        <v>282</v>
      </c>
    </row>
    <row r="409" spans="1:25">
      <c r="A409" s="64">
        <v>8</v>
      </c>
      <c r="B409" s="65" t="str">
        <f>VLOOKUP(Tabel10[[#This Row],[Code]],Ruimtegroepen[[Code]:[Ruimte omschrijving]],2,FALSE)</f>
        <v>Kinderopvang</v>
      </c>
      <c r="C409" s="66" t="s">
        <v>622</v>
      </c>
      <c r="D409" s="65" t="s">
        <v>1</v>
      </c>
      <c r="E409" s="66" t="s">
        <v>102</v>
      </c>
      <c r="F409" s="66" t="s">
        <v>626</v>
      </c>
      <c r="G409" s="71" t="s">
        <v>282</v>
      </c>
      <c r="H409" s="67" t="s">
        <v>282</v>
      </c>
      <c r="I409" s="67" t="s">
        <v>2</v>
      </c>
      <c r="J409" s="67" t="s">
        <v>282</v>
      </c>
      <c r="K409" s="67" t="s">
        <v>283</v>
      </c>
      <c r="L409" s="67" t="s">
        <v>282</v>
      </c>
      <c r="M409" s="67" t="s">
        <v>282</v>
      </c>
      <c r="N409" s="67" t="s">
        <v>282</v>
      </c>
      <c r="O409" s="68" t="s">
        <v>2</v>
      </c>
      <c r="P409" s="68" t="s">
        <v>2</v>
      </c>
      <c r="Q409" s="68" t="s">
        <v>15</v>
      </c>
      <c r="R409" s="68" t="s">
        <v>15</v>
      </c>
      <c r="S409" s="68" t="s">
        <v>16</v>
      </c>
      <c r="T409" s="68" t="s">
        <v>329</v>
      </c>
      <c r="U409" s="68" t="s">
        <v>249</v>
      </c>
      <c r="V409" s="68" t="s">
        <v>282</v>
      </c>
      <c r="W409" s="69" t="s">
        <v>282</v>
      </c>
      <c r="X409" s="69" t="s">
        <v>282</v>
      </c>
      <c r="Y409" s="70" t="s">
        <v>282</v>
      </c>
    </row>
    <row r="410" spans="1:25">
      <c r="A410" s="64">
        <v>8</v>
      </c>
      <c r="B410" s="65" t="str">
        <f>VLOOKUP(Tabel10[[#This Row],[Code]],Ruimtegroepen[[Code]:[Ruimte omschrijving]],2,FALSE)</f>
        <v>Kinderopvang</v>
      </c>
      <c r="C410" s="66" t="s">
        <v>622</v>
      </c>
      <c r="D410" s="65" t="s">
        <v>1</v>
      </c>
      <c r="E410" s="66" t="s">
        <v>99</v>
      </c>
      <c r="F410" s="66" t="s">
        <v>624</v>
      </c>
      <c r="G410" s="71" t="s">
        <v>282</v>
      </c>
      <c r="H410" s="67" t="s">
        <v>2</v>
      </c>
      <c r="I410" s="67" t="s">
        <v>282</v>
      </c>
      <c r="J410" s="67" t="s">
        <v>282</v>
      </c>
      <c r="K410" s="67" t="s">
        <v>282</v>
      </c>
      <c r="L410" s="67" t="s">
        <v>282</v>
      </c>
      <c r="M410" s="67" t="s">
        <v>282</v>
      </c>
      <c r="N410" s="67" t="s">
        <v>282</v>
      </c>
      <c r="O410" s="68" t="s">
        <v>2</v>
      </c>
      <c r="P410" s="68" t="s">
        <v>2</v>
      </c>
      <c r="Q410" s="68" t="s">
        <v>15</v>
      </c>
      <c r="R410" s="68" t="s">
        <v>15</v>
      </c>
      <c r="S410" s="68" t="s">
        <v>16</v>
      </c>
      <c r="T410" s="68" t="s">
        <v>329</v>
      </c>
      <c r="U410" s="68" t="s">
        <v>249</v>
      </c>
      <c r="V410" s="68" t="s">
        <v>282</v>
      </c>
      <c r="W410" s="69" t="s">
        <v>282</v>
      </c>
      <c r="X410" s="69" t="s">
        <v>282</v>
      </c>
      <c r="Y410" s="70" t="s">
        <v>282</v>
      </c>
    </row>
    <row r="411" spans="1:25">
      <c r="A411" s="64">
        <v>8</v>
      </c>
      <c r="B411" s="65" t="str">
        <f>VLOOKUP(Tabel10[[#This Row],[Code]],Ruimtegroepen[[Code]:[Ruimte omschrijving]],2,FALSE)</f>
        <v>Kinderopvang</v>
      </c>
      <c r="C411" s="66" t="s">
        <v>622</v>
      </c>
      <c r="D411" s="65" t="s">
        <v>1</v>
      </c>
      <c r="E411" s="66" t="s">
        <v>1309</v>
      </c>
      <c r="F411" s="66" t="s">
        <v>1465</v>
      </c>
      <c r="G411" s="71" t="s">
        <v>282</v>
      </c>
      <c r="H411" s="67" t="s">
        <v>282</v>
      </c>
      <c r="I411" s="67" t="s">
        <v>2</v>
      </c>
      <c r="J411" s="67" t="s">
        <v>282</v>
      </c>
      <c r="K411" s="67" t="s">
        <v>283</v>
      </c>
      <c r="L411" s="67" t="s">
        <v>282</v>
      </c>
      <c r="M411" s="67" t="s">
        <v>282</v>
      </c>
      <c r="N411" s="67" t="s">
        <v>282</v>
      </c>
      <c r="O411" s="68" t="s">
        <v>2</v>
      </c>
      <c r="P411" s="68" t="s">
        <v>2</v>
      </c>
      <c r="Q411" s="68" t="s">
        <v>15</v>
      </c>
      <c r="R411" s="68" t="s">
        <v>15</v>
      </c>
      <c r="S411" s="68" t="s">
        <v>16</v>
      </c>
      <c r="T411" s="68" t="s">
        <v>329</v>
      </c>
      <c r="U411" s="68" t="s">
        <v>249</v>
      </c>
      <c r="V411" s="68" t="s">
        <v>282</v>
      </c>
      <c r="W411" s="69" t="s">
        <v>282</v>
      </c>
      <c r="X411" s="69" t="s">
        <v>282</v>
      </c>
      <c r="Y411" s="70" t="s">
        <v>282</v>
      </c>
    </row>
    <row r="412" spans="1:25">
      <c r="A412" s="64">
        <v>8</v>
      </c>
      <c r="B412" s="65" t="str">
        <f>VLOOKUP(Tabel10[[#This Row],[Code]],Ruimtegroepen[[Code]:[Ruimte omschrijving]],2,FALSE)</f>
        <v>Kinderopvang</v>
      </c>
      <c r="C412" s="66" t="s">
        <v>627</v>
      </c>
      <c r="D412" s="65" t="s">
        <v>21</v>
      </c>
      <c r="E412" s="66" t="s">
        <v>100</v>
      </c>
      <c r="F412" s="66" t="s">
        <v>628</v>
      </c>
      <c r="G412" s="71" t="s">
        <v>282</v>
      </c>
      <c r="H412" s="67" t="s">
        <v>282</v>
      </c>
      <c r="I412" s="67" t="s">
        <v>18</v>
      </c>
      <c r="J412" s="67" t="s">
        <v>15</v>
      </c>
      <c r="K412" s="67" t="s">
        <v>282</v>
      </c>
      <c r="L412" s="67" t="s">
        <v>282</v>
      </c>
      <c r="M412" s="67" t="s">
        <v>282</v>
      </c>
      <c r="N412" s="67" t="s">
        <v>282</v>
      </c>
      <c r="O412" s="68" t="s">
        <v>20</v>
      </c>
      <c r="P412" s="68" t="s">
        <v>20</v>
      </c>
      <c r="Q412" s="68" t="s">
        <v>15</v>
      </c>
      <c r="R412" s="68" t="s">
        <v>15</v>
      </c>
      <c r="S412" s="68" t="s">
        <v>16</v>
      </c>
      <c r="T412" s="68" t="s">
        <v>329</v>
      </c>
      <c r="U412" s="68" t="s">
        <v>249</v>
      </c>
      <c r="V412" s="68" t="s">
        <v>282</v>
      </c>
      <c r="W412" s="69" t="s">
        <v>282</v>
      </c>
      <c r="X412" s="69" t="s">
        <v>282</v>
      </c>
      <c r="Y412" s="70" t="s">
        <v>282</v>
      </c>
    </row>
    <row r="413" spans="1:25">
      <c r="A413" s="64">
        <v>8</v>
      </c>
      <c r="B413" s="65" t="str">
        <f>VLOOKUP(Tabel10[[#This Row],[Code]],Ruimtegroepen[[Code]:[Ruimte omschrijving]],2,FALSE)</f>
        <v>Kinderopvang</v>
      </c>
      <c r="C413" s="66" t="s">
        <v>627</v>
      </c>
      <c r="D413" s="65" t="s">
        <v>21</v>
      </c>
      <c r="E413" s="66" t="s">
        <v>99</v>
      </c>
      <c r="F413" s="66" t="s">
        <v>629</v>
      </c>
      <c r="G413" s="71" t="s">
        <v>282</v>
      </c>
      <c r="H413" s="67" t="s">
        <v>20</v>
      </c>
      <c r="I413" s="67" t="s">
        <v>282</v>
      </c>
      <c r="J413" s="67" t="s">
        <v>282</v>
      </c>
      <c r="K413" s="67" t="s">
        <v>282</v>
      </c>
      <c r="L413" s="67" t="s">
        <v>282</v>
      </c>
      <c r="M413" s="67" t="s">
        <v>282</v>
      </c>
      <c r="N413" s="67" t="s">
        <v>282</v>
      </c>
      <c r="O413" s="68" t="s">
        <v>20</v>
      </c>
      <c r="P413" s="68" t="s">
        <v>20</v>
      </c>
      <c r="Q413" s="68" t="s">
        <v>15</v>
      </c>
      <c r="R413" s="68" t="s">
        <v>15</v>
      </c>
      <c r="S413" s="68" t="s">
        <v>16</v>
      </c>
      <c r="T413" s="68" t="s">
        <v>329</v>
      </c>
      <c r="U413" s="68" t="s">
        <v>249</v>
      </c>
      <c r="V413" s="68" t="s">
        <v>282</v>
      </c>
      <c r="W413" s="69" t="s">
        <v>282</v>
      </c>
      <c r="X413" s="69" t="s">
        <v>282</v>
      </c>
      <c r="Y413" s="70" t="s">
        <v>282</v>
      </c>
    </row>
    <row r="414" spans="1:25">
      <c r="A414" s="64">
        <v>8</v>
      </c>
      <c r="B414" s="65" t="str">
        <f>VLOOKUP(Tabel10[[#This Row],[Code]],Ruimtegroepen[[Code]:[Ruimte omschrijving]],2,FALSE)</f>
        <v>Kinderopvang</v>
      </c>
      <c r="C414" s="66" t="s">
        <v>627</v>
      </c>
      <c r="D414" s="65" t="s">
        <v>21</v>
      </c>
      <c r="E414" s="66" t="s">
        <v>101</v>
      </c>
      <c r="F414" s="66" t="s">
        <v>630</v>
      </c>
      <c r="G414" s="71" t="s">
        <v>282</v>
      </c>
      <c r="H414" s="67" t="s">
        <v>282</v>
      </c>
      <c r="I414" s="67" t="s">
        <v>18</v>
      </c>
      <c r="J414" s="67" t="s">
        <v>15</v>
      </c>
      <c r="K414" s="67" t="s">
        <v>283</v>
      </c>
      <c r="L414" s="67" t="s">
        <v>282</v>
      </c>
      <c r="M414" s="67" t="s">
        <v>282</v>
      </c>
      <c r="N414" s="67" t="s">
        <v>282</v>
      </c>
      <c r="O414" s="68" t="s">
        <v>20</v>
      </c>
      <c r="P414" s="68" t="s">
        <v>20</v>
      </c>
      <c r="Q414" s="68" t="s">
        <v>15</v>
      </c>
      <c r="R414" s="68" t="s">
        <v>15</v>
      </c>
      <c r="S414" s="68" t="s">
        <v>16</v>
      </c>
      <c r="T414" s="68" t="s">
        <v>329</v>
      </c>
      <c r="U414" s="68" t="s">
        <v>249</v>
      </c>
      <c r="V414" s="68" t="s">
        <v>282</v>
      </c>
      <c r="W414" s="69" t="s">
        <v>282</v>
      </c>
      <c r="X414" s="69" t="s">
        <v>282</v>
      </c>
      <c r="Y414" s="70" t="s">
        <v>282</v>
      </c>
    </row>
    <row r="415" spans="1:25">
      <c r="A415" s="64">
        <v>8</v>
      </c>
      <c r="B415" s="65" t="str">
        <f>VLOOKUP(Tabel10[[#This Row],[Code]],Ruimtegroepen[[Code]:[Ruimte omschrijving]],2,FALSE)</f>
        <v>Kinderopvang</v>
      </c>
      <c r="C415" s="66" t="s">
        <v>627</v>
      </c>
      <c r="D415" s="65" t="s">
        <v>21</v>
      </c>
      <c r="E415" s="66" t="s">
        <v>102</v>
      </c>
      <c r="F415" s="66" t="s">
        <v>631</v>
      </c>
      <c r="G415" s="71" t="s">
        <v>282</v>
      </c>
      <c r="H415" s="67" t="s">
        <v>282</v>
      </c>
      <c r="I415" s="67" t="s">
        <v>18</v>
      </c>
      <c r="J415" s="67" t="s">
        <v>15</v>
      </c>
      <c r="K415" s="67" t="s">
        <v>283</v>
      </c>
      <c r="L415" s="67" t="s">
        <v>282</v>
      </c>
      <c r="M415" s="67" t="s">
        <v>282</v>
      </c>
      <c r="N415" s="67" t="s">
        <v>282</v>
      </c>
      <c r="O415" s="68" t="s">
        <v>20</v>
      </c>
      <c r="P415" s="68" t="s">
        <v>20</v>
      </c>
      <c r="Q415" s="68" t="s">
        <v>15</v>
      </c>
      <c r="R415" s="68" t="s">
        <v>15</v>
      </c>
      <c r="S415" s="68" t="s">
        <v>16</v>
      </c>
      <c r="T415" s="68" t="s">
        <v>329</v>
      </c>
      <c r="U415" s="68" t="s">
        <v>249</v>
      </c>
      <c r="V415" s="68" t="s">
        <v>282</v>
      </c>
      <c r="W415" s="69" t="s">
        <v>282</v>
      </c>
      <c r="X415" s="69" t="s">
        <v>282</v>
      </c>
      <c r="Y415" s="70" t="s">
        <v>282</v>
      </c>
    </row>
    <row r="416" spans="1:25">
      <c r="A416" s="64">
        <v>8</v>
      </c>
      <c r="B416" s="65" t="str">
        <f>VLOOKUP(Tabel10[[#This Row],[Code]],Ruimtegroepen[[Code]:[Ruimte omschrijving]],2,FALSE)</f>
        <v>Kinderopvang</v>
      </c>
      <c r="C416" s="66" t="s">
        <v>627</v>
      </c>
      <c r="D416" s="65" t="s">
        <v>21</v>
      </c>
      <c r="E416" s="66" t="s">
        <v>99</v>
      </c>
      <c r="F416" s="66" t="s">
        <v>629</v>
      </c>
      <c r="G416" s="71" t="s">
        <v>282</v>
      </c>
      <c r="H416" s="67" t="s">
        <v>20</v>
      </c>
      <c r="I416" s="67" t="s">
        <v>282</v>
      </c>
      <c r="J416" s="67" t="s">
        <v>282</v>
      </c>
      <c r="K416" s="67" t="s">
        <v>282</v>
      </c>
      <c r="L416" s="67" t="s">
        <v>282</v>
      </c>
      <c r="M416" s="67" t="s">
        <v>282</v>
      </c>
      <c r="N416" s="67" t="s">
        <v>282</v>
      </c>
      <c r="O416" s="68" t="s">
        <v>20</v>
      </c>
      <c r="P416" s="68" t="s">
        <v>20</v>
      </c>
      <c r="Q416" s="68" t="s">
        <v>15</v>
      </c>
      <c r="R416" s="68" t="s">
        <v>15</v>
      </c>
      <c r="S416" s="68" t="s">
        <v>16</v>
      </c>
      <c r="T416" s="68" t="s">
        <v>329</v>
      </c>
      <c r="U416" s="68" t="s">
        <v>249</v>
      </c>
      <c r="V416" s="68" t="s">
        <v>282</v>
      </c>
      <c r="W416" s="69" t="s">
        <v>282</v>
      </c>
      <c r="X416" s="69" t="s">
        <v>282</v>
      </c>
      <c r="Y416" s="70" t="s">
        <v>282</v>
      </c>
    </row>
    <row r="417" spans="1:25">
      <c r="A417" s="64">
        <v>8</v>
      </c>
      <c r="B417" s="65" t="str">
        <f>VLOOKUP(Tabel10[[#This Row],[Code]],Ruimtegroepen[[Code]:[Ruimte omschrijving]],2,FALSE)</f>
        <v>Kinderopvang</v>
      </c>
      <c r="C417" s="66" t="s">
        <v>627</v>
      </c>
      <c r="D417" s="65" t="s">
        <v>21</v>
      </c>
      <c r="E417" s="66" t="s">
        <v>1309</v>
      </c>
      <c r="F417" s="66" t="s">
        <v>1448</v>
      </c>
      <c r="G417" s="71" t="s">
        <v>282</v>
      </c>
      <c r="H417" s="67" t="s">
        <v>282</v>
      </c>
      <c r="I417" s="67" t="s">
        <v>18</v>
      </c>
      <c r="J417" s="67" t="s">
        <v>15</v>
      </c>
      <c r="K417" s="67" t="s">
        <v>283</v>
      </c>
      <c r="L417" s="67" t="s">
        <v>282</v>
      </c>
      <c r="M417" s="67" t="s">
        <v>282</v>
      </c>
      <c r="N417" s="67" t="s">
        <v>282</v>
      </c>
      <c r="O417" s="68" t="s">
        <v>20</v>
      </c>
      <c r="P417" s="68" t="s">
        <v>20</v>
      </c>
      <c r="Q417" s="68" t="s">
        <v>15</v>
      </c>
      <c r="R417" s="68" t="s">
        <v>15</v>
      </c>
      <c r="S417" s="68" t="s">
        <v>16</v>
      </c>
      <c r="T417" s="68" t="s">
        <v>329</v>
      </c>
      <c r="U417" s="68" t="s">
        <v>249</v>
      </c>
      <c r="V417" s="68" t="s">
        <v>282</v>
      </c>
      <c r="W417" s="69" t="s">
        <v>282</v>
      </c>
      <c r="X417" s="69" t="s">
        <v>282</v>
      </c>
      <c r="Y417" s="70" t="s">
        <v>282</v>
      </c>
    </row>
    <row r="418" spans="1:25">
      <c r="A418" s="64">
        <v>8</v>
      </c>
      <c r="B418" s="65" t="str">
        <f>VLOOKUP(Tabel10[[#This Row],[Code]],Ruimtegroepen[[Code]:[Ruimte omschrijving]],2,FALSE)</f>
        <v>Kinderopvang</v>
      </c>
      <c r="C418" s="66" t="s">
        <v>632</v>
      </c>
      <c r="D418" s="65" t="s">
        <v>12</v>
      </c>
      <c r="E418" s="66" t="s">
        <v>100</v>
      </c>
      <c r="F418" s="66" t="s">
        <v>633</v>
      </c>
      <c r="G418" s="71" t="s">
        <v>282</v>
      </c>
      <c r="H418" s="67" t="s">
        <v>282</v>
      </c>
      <c r="I418" s="67" t="s">
        <v>17</v>
      </c>
      <c r="J418" s="67" t="s">
        <v>15</v>
      </c>
      <c r="K418" s="67" t="s">
        <v>282</v>
      </c>
      <c r="L418" s="67" t="s">
        <v>282</v>
      </c>
      <c r="M418" s="67" t="s">
        <v>282</v>
      </c>
      <c r="N418" s="67" t="s">
        <v>282</v>
      </c>
      <c r="O418" s="68" t="s">
        <v>18</v>
      </c>
      <c r="P418" s="68" t="s">
        <v>18</v>
      </c>
      <c r="Q418" s="68" t="s">
        <v>15</v>
      </c>
      <c r="R418" s="68" t="s">
        <v>15</v>
      </c>
      <c r="S418" s="68" t="s">
        <v>16</v>
      </c>
      <c r="T418" s="68" t="s">
        <v>329</v>
      </c>
      <c r="U418" s="68" t="s">
        <v>249</v>
      </c>
      <c r="V418" s="68" t="s">
        <v>282</v>
      </c>
      <c r="W418" s="69" t="s">
        <v>282</v>
      </c>
      <c r="X418" s="69" t="s">
        <v>282</v>
      </c>
      <c r="Y418" s="70" t="s">
        <v>282</v>
      </c>
    </row>
    <row r="419" spans="1:25">
      <c r="A419" s="64">
        <v>8</v>
      </c>
      <c r="B419" s="65" t="str">
        <f>VLOOKUP(Tabel10[[#This Row],[Code]],Ruimtegroepen[[Code]:[Ruimte omschrijving]],2,FALSE)</f>
        <v>Kinderopvang</v>
      </c>
      <c r="C419" s="66" t="s">
        <v>632</v>
      </c>
      <c r="D419" s="65" t="s">
        <v>12</v>
      </c>
      <c r="E419" s="66" t="s">
        <v>99</v>
      </c>
      <c r="F419" s="66" t="s">
        <v>634</v>
      </c>
      <c r="G419" s="71" t="s">
        <v>282</v>
      </c>
      <c r="H419" s="67" t="s">
        <v>18</v>
      </c>
      <c r="I419" s="67" t="s">
        <v>282</v>
      </c>
      <c r="J419" s="67" t="s">
        <v>282</v>
      </c>
      <c r="K419" s="67" t="s">
        <v>282</v>
      </c>
      <c r="L419" s="67" t="s">
        <v>282</v>
      </c>
      <c r="M419" s="67" t="s">
        <v>282</v>
      </c>
      <c r="N419" s="67" t="s">
        <v>282</v>
      </c>
      <c r="O419" s="68" t="s">
        <v>18</v>
      </c>
      <c r="P419" s="68" t="s">
        <v>18</v>
      </c>
      <c r="Q419" s="68" t="s">
        <v>15</v>
      </c>
      <c r="R419" s="68" t="s">
        <v>15</v>
      </c>
      <c r="S419" s="68" t="s">
        <v>16</v>
      </c>
      <c r="T419" s="68" t="s">
        <v>329</v>
      </c>
      <c r="U419" s="68" t="s">
        <v>249</v>
      </c>
      <c r="V419" s="68" t="s">
        <v>282</v>
      </c>
      <c r="W419" s="69" t="s">
        <v>282</v>
      </c>
      <c r="X419" s="69" t="s">
        <v>282</v>
      </c>
      <c r="Y419" s="70" t="s">
        <v>282</v>
      </c>
    </row>
    <row r="420" spans="1:25">
      <c r="A420" s="64">
        <v>8</v>
      </c>
      <c r="B420" s="65" t="str">
        <f>VLOOKUP(Tabel10[[#This Row],[Code]],Ruimtegroepen[[Code]:[Ruimte omschrijving]],2,FALSE)</f>
        <v>Kinderopvang</v>
      </c>
      <c r="C420" s="66" t="s">
        <v>632</v>
      </c>
      <c r="D420" s="65" t="s">
        <v>12</v>
      </c>
      <c r="E420" s="66" t="s">
        <v>101</v>
      </c>
      <c r="F420" s="66" t="s">
        <v>635</v>
      </c>
      <c r="G420" s="71" t="s">
        <v>282</v>
      </c>
      <c r="H420" s="67" t="s">
        <v>282</v>
      </c>
      <c r="I420" s="67" t="s">
        <v>17</v>
      </c>
      <c r="J420" s="67" t="s">
        <v>15</v>
      </c>
      <c r="K420" s="67" t="s">
        <v>283</v>
      </c>
      <c r="L420" s="67" t="s">
        <v>282</v>
      </c>
      <c r="M420" s="67" t="s">
        <v>282</v>
      </c>
      <c r="N420" s="67" t="s">
        <v>282</v>
      </c>
      <c r="O420" s="68" t="s">
        <v>18</v>
      </c>
      <c r="P420" s="68" t="s">
        <v>18</v>
      </c>
      <c r="Q420" s="68" t="s">
        <v>15</v>
      </c>
      <c r="R420" s="68" t="s">
        <v>15</v>
      </c>
      <c r="S420" s="68" t="s">
        <v>16</v>
      </c>
      <c r="T420" s="68" t="s">
        <v>329</v>
      </c>
      <c r="U420" s="68" t="s">
        <v>249</v>
      </c>
      <c r="V420" s="68" t="s">
        <v>282</v>
      </c>
      <c r="W420" s="69" t="s">
        <v>282</v>
      </c>
      <c r="X420" s="69" t="s">
        <v>282</v>
      </c>
      <c r="Y420" s="70" t="s">
        <v>282</v>
      </c>
    </row>
    <row r="421" spans="1:25">
      <c r="A421" s="64">
        <v>8</v>
      </c>
      <c r="B421" s="65" t="str">
        <f>VLOOKUP(Tabel10[[#This Row],[Code]],Ruimtegroepen[[Code]:[Ruimte omschrijving]],2,FALSE)</f>
        <v>Kinderopvang</v>
      </c>
      <c r="C421" s="66" t="s">
        <v>632</v>
      </c>
      <c r="D421" s="65" t="s">
        <v>12</v>
      </c>
      <c r="E421" s="66" t="s">
        <v>102</v>
      </c>
      <c r="F421" s="66" t="s">
        <v>636</v>
      </c>
      <c r="G421" s="71" t="s">
        <v>282</v>
      </c>
      <c r="H421" s="67" t="s">
        <v>282</v>
      </c>
      <c r="I421" s="67" t="s">
        <v>17</v>
      </c>
      <c r="J421" s="67" t="s">
        <v>15</v>
      </c>
      <c r="K421" s="67" t="s">
        <v>283</v>
      </c>
      <c r="L421" s="67" t="s">
        <v>282</v>
      </c>
      <c r="M421" s="67" t="s">
        <v>282</v>
      </c>
      <c r="N421" s="67" t="s">
        <v>282</v>
      </c>
      <c r="O421" s="68" t="s">
        <v>18</v>
      </c>
      <c r="P421" s="68" t="s">
        <v>18</v>
      </c>
      <c r="Q421" s="68" t="s">
        <v>15</v>
      </c>
      <c r="R421" s="68" t="s">
        <v>15</v>
      </c>
      <c r="S421" s="68" t="s">
        <v>16</v>
      </c>
      <c r="T421" s="68" t="s">
        <v>329</v>
      </c>
      <c r="U421" s="68" t="s">
        <v>249</v>
      </c>
      <c r="V421" s="68" t="s">
        <v>282</v>
      </c>
      <c r="W421" s="69" t="s">
        <v>282</v>
      </c>
      <c r="X421" s="69" t="s">
        <v>282</v>
      </c>
      <c r="Y421" s="70" t="s">
        <v>282</v>
      </c>
    </row>
    <row r="422" spans="1:25">
      <c r="A422" s="64">
        <v>8</v>
      </c>
      <c r="B422" s="65" t="str">
        <f>VLOOKUP(Tabel10[[#This Row],[Code]],Ruimtegroepen[[Code]:[Ruimte omschrijving]],2,FALSE)</f>
        <v>Kinderopvang</v>
      </c>
      <c r="C422" s="66" t="s">
        <v>632</v>
      </c>
      <c r="D422" s="65" t="s">
        <v>12</v>
      </c>
      <c r="E422" s="66" t="s">
        <v>99</v>
      </c>
      <c r="F422" s="66" t="s">
        <v>634</v>
      </c>
      <c r="G422" s="71" t="s">
        <v>282</v>
      </c>
      <c r="H422" s="67" t="s">
        <v>18</v>
      </c>
      <c r="I422" s="67" t="s">
        <v>282</v>
      </c>
      <c r="J422" s="67" t="s">
        <v>282</v>
      </c>
      <c r="K422" s="67" t="s">
        <v>282</v>
      </c>
      <c r="L422" s="67" t="s">
        <v>282</v>
      </c>
      <c r="M422" s="67" t="s">
        <v>282</v>
      </c>
      <c r="N422" s="67" t="s">
        <v>282</v>
      </c>
      <c r="O422" s="68" t="s">
        <v>18</v>
      </c>
      <c r="P422" s="68" t="s">
        <v>18</v>
      </c>
      <c r="Q422" s="68" t="s">
        <v>15</v>
      </c>
      <c r="R422" s="68" t="s">
        <v>15</v>
      </c>
      <c r="S422" s="68" t="s">
        <v>16</v>
      </c>
      <c r="T422" s="68" t="s">
        <v>329</v>
      </c>
      <c r="U422" s="68" t="s">
        <v>249</v>
      </c>
      <c r="V422" s="68" t="s">
        <v>282</v>
      </c>
      <c r="W422" s="69" t="s">
        <v>282</v>
      </c>
      <c r="X422" s="69" t="s">
        <v>282</v>
      </c>
      <c r="Y422" s="70" t="s">
        <v>282</v>
      </c>
    </row>
    <row r="423" spans="1:25">
      <c r="A423" s="64">
        <v>8</v>
      </c>
      <c r="B423" s="65" t="str">
        <f>VLOOKUP(Tabel10[[#This Row],[Code]],Ruimtegroepen[[Code]:[Ruimte omschrijving]],2,FALSE)</f>
        <v>Kinderopvang</v>
      </c>
      <c r="C423" s="66" t="s">
        <v>632</v>
      </c>
      <c r="D423" s="65" t="s">
        <v>12</v>
      </c>
      <c r="E423" s="66" t="s">
        <v>1309</v>
      </c>
      <c r="F423" s="66" t="s">
        <v>1430</v>
      </c>
      <c r="G423" s="71" t="s">
        <v>282</v>
      </c>
      <c r="H423" s="67" t="s">
        <v>282</v>
      </c>
      <c r="I423" s="67" t="s">
        <v>17</v>
      </c>
      <c r="J423" s="67" t="s">
        <v>15</v>
      </c>
      <c r="K423" s="67" t="s">
        <v>283</v>
      </c>
      <c r="L423" s="67" t="s">
        <v>282</v>
      </c>
      <c r="M423" s="67" t="s">
        <v>282</v>
      </c>
      <c r="N423" s="67" t="s">
        <v>282</v>
      </c>
      <c r="O423" s="68" t="s">
        <v>18</v>
      </c>
      <c r="P423" s="68" t="s">
        <v>18</v>
      </c>
      <c r="Q423" s="68" t="s">
        <v>15</v>
      </c>
      <c r="R423" s="68" t="s">
        <v>15</v>
      </c>
      <c r="S423" s="68" t="s">
        <v>16</v>
      </c>
      <c r="T423" s="68" t="s">
        <v>329</v>
      </c>
      <c r="U423" s="68" t="s">
        <v>249</v>
      </c>
      <c r="V423" s="68" t="s">
        <v>282</v>
      </c>
      <c r="W423" s="69" t="s">
        <v>282</v>
      </c>
      <c r="X423" s="69" t="s">
        <v>282</v>
      </c>
      <c r="Y423" s="70" t="s">
        <v>282</v>
      </c>
    </row>
    <row r="424" spans="1:25">
      <c r="A424" s="64">
        <v>8</v>
      </c>
      <c r="B424" s="65" t="str">
        <f>VLOOKUP(Tabel10[[#This Row],[Code]],Ruimtegroepen[[Code]:[Ruimte omschrijving]],2,FALSE)</f>
        <v>Kinderopvang</v>
      </c>
      <c r="C424" s="66" t="s">
        <v>637</v>
      </c>
      <c r="D424" s="65" t="s">
        <v>14</v>
      </c>
      <c r="E424" s="66" t="s">
        <v>100</v>
      </c>
      <c r="F424" s="66" t="s">
        <v>638</v>
      </c>
      <c r="G424" s="71" t="s">
        <v>282</v>
      </c>
      <c r="H424" s="67" t="s">
        <v>282</v>
      </c>
      <c r="I424" s="67" t="s">
        <v>15</v>
      </c>
      <c r="J424" s="67" t="s">
        <v>15</v>
      </c>
      <c r="K424" s="67" t="s">
        <v>282</v>
      </c>
      <c r="L424" s="67" t="s">
        <v>282</v>
      </c>
      <c r="M424" s="67" t="s">
        <v>282</v>
      </c>
      <c r="N424" s="67" t="s">
        <v>282</v>
      </c>
      <c r="O424" s="68" t="s">
        <v>17</v>
      </c>
      <c r="P424" s="68" t="s">
        <v>17</v>
      </c>
      <c r="Q424" s="68" t="s">
        <v>15</v>
      </c>
      <c r="R424" s="68" t="s">
        <v>15</v>
      </c>
      <c r="S424" s="68" t="s">
        <v>16</v>
      </c>
      <c r="T424" s="68" t="s">
        <v>329</v>
      </c>
      <c r="U424" s="68" t="s">
        <v>249</v>
      </c>
      <c r="V424" s="68" t="s">
        <v>282</v>
      </c>
      <c r="W424" s="69" t="s">
        <v>282</v>
      </c>
      <c r="X424" s="69" t="s">
        <v>282</v>
      </c>
      <c r="Y424" s="70" t="s">
        <v>282</v>
      </c>
    </row>
    <row r="425" spans="1:25">
      <c r="A425" s="64">
        <v>8</v>
      </c>
      <c r="B425" s="65" t="str">
        <f>VLOOKUP(Tabel10[[#This Row],[Code]],Ruimtegroepen[[Code]:[Ruimte omschrijving]],2,FALSE)</f>
        <v>Kinderopvang</v>
      </c>
      <c r="C425" s="66" t="s">
        <v>637</v>
      </c>
      <c r="D425" s="65" t="s">
        <v>14</v>
      </c>
      <c r="E425" s="66" t="s">
        <v>99</v>
      </c>
      <c r="F425" s="66" t="s">
        <v>639</v>
      </c>
      <c r="G425" s="71" t="s">
        <v>282</v>
      </c>
      <c r="H425" s="67" t="s">
        <v>17</v>
      </c>
      <c r="I425" s="67" t="s">
        <v>282</v>
      </c>
      <c r="J425" s="67" t="s">
        <v>282</v>
      </c>
      <c r="K425" s="67" t="s">
        <v>282</v>
      </c>
      <c r="L425" s="67" t="s">
        <v>282</v>
      </c>
      <c r="M425" s="67" t="s">
        <v>282</v>
      </c>
      <c r="N425" s="67" t="s">
        <v>282</v>
      </c>
      <c r="O425" s="68" t="s">
        <v>17</v>
      </c>
      <c r="P425" s="68" t="s">
        <v>17</v>
      </c>
      <c r="Q425" s="68" t="s">
        <v>15</v>
      </c>
      <c r="R425" s="68" t="s">
        <v>15</v>
      </c>
      <c r="S425" s="68" t="s">
        <v>16</v>
      </c>
      <c r="T425" s="68" t="s">
        <v>329</v>
      </c>
      <c r="U425" s="68" t="s">
        <v>249</v>
      </c>
      <c r="V425" s="68" t="s">
        <v>282</v>
      </c>
      <c r="W425" s="69" t="s">
        <v>282</v>
      </c>
      <c r="X425" s="69" t="s">
        <v>282</v>
      </c>
      <c r="Y425" s="70" t="s">
        <v>282</v>
      </c>
    </row>
    <row r="426" spans="1:25">
      <c r="A426" s="64">
        <v>8</v>
      </c>
      <c r="B426" s="65" t="str">
        <f>VLOOKUP(Tabel10[[#This Row],[Code]],Ruimtegroepen[[Code]:[Ruimte omschrijving]],2,FALSE)</f>
        <v>Kinderopvang</v>
      </c>
      <c r="C426" s="66" t="s">
        <v>637</v>
      </c>
      <c r="D426" s="65" t="s">
        <v>14</v>
      </c>
      <c r="E426" s="66" t="s">
        <v>101</v>
      </c>
      <c r="F426" s="66" t="s">
        <v>640</v>
      </c>
      <c r="G426" s="71" t="s">
        <v>282</v>
      </c>
      <c r="H426" s="67" t="s">
        <v>282</v>
      </c>
      <c r="I426" s="67" t="s">
        <v>15</v>
      </c>
      <c r="J426" s="67" t="s">
        <v>15</v>
      </c>
      <c r="K426" s="67" t="s">
        <v>283</v>
      </c>
      <c r="L426" s="67" t="s">
        <v>282</v>
      </c>
      <c r="M426" s="67" t="s">
        <v>282</v>
      </c>
      <c r="N426" s="67" t="s">
        <v>282</v>
      </c>
      <c r="O426" s="68" t="s">
        <v>17</v>
      </c>
      <c r="P426" s="68" t="s">
        <v>17</v>
      </c>
      <c r="Q426" s="68" t="s">
        <v>15</v>
      </c>
      <c r="R426" s="68" t="s">
        <v>15</v>
      </c>
      <c r="S426" s="68" t="s">
        <v>16</v>
      </c>
      <c r="T426" s="68" t="s">
        <v>329</v>
      </c>
      <c r="U426" s="68" t="s">
        <v>249</v>
      </c>
      <c r="V426" s="68" t="s">
        <v>282</v>
      </c>
      <c r="W426" s="69" t="s">
        <v>282</v>
      </c>
      <c r="X426" s="69" t="s">
        <v>282</v>
      </c>
      <c r="Y426" s="70" t="s">
        <v>282</v>
      </c>
    </row>
    <row r="427" spans="1:25">
      <c r="A427" s="64">
        <v>8</v>
      </c>
      <c r="B427" s="65" t="str">
        <f>VLOOKUP(Tabel10[[#This Row],[Code]],Ruimtegroepen[[Code]:[Ruimte omschrijving]],2,FALSE)</f>
        <v>Kinderopvang</v>
      </c>
      <c r="C427" s="66" t="s">
        <v>637</v>
      </c>
      <c r="D427" s="65" t="s">
        <v>14</v>
      </c>
      <c r="E427" s="66" t="s">
        <v>102</v>
      </c>
      <c r="F427" s="66" t="s">
        <v>641</v>
      </c>
      <c r="G427" s="71" t="s">
        <v>282</v>
      </c>
      <c r="H427" s="67" t="s">
        <v>282</v>
      </c>
      <c r="I427" s="67" t="s">
        <v>15</v>
      </c>
      <c r="J427" s="67" t="s">
        <v>15</v>
      </c>
      <c r="K427" s="67" t="s">
        <v>283</v>
      </c>
      <c r="L427" s="67" t="s">
        <v>282</v>
      </c>
      <c r="M427" s="67" t="s">
        <v>282</v>
      </c>
      <c r="N427" s="67" t="s">
        <v>282</v>
      </c>
      <c r="O427" s="68" t="s">
        <v>17</v>
      </c>
      <c r="P427" s="68" t="s">
        <v>17</v>
      </c>
      <c r="Q427" s="68" t="s">
        <v>15</v>
      </c>
      <c r="R427" s="68" t="s">
        <v>15</v>
      </c>
      <c r="S427" s="68" t="s">
        <v>16</v>
      </c>
      <c r="T427" s="68" t="s">
        <v>329</v>
      </c>
      <c r="U427" s="68" t="s">
        <v>249</v>
      </c>
      <c r="V427" s="68" t="s">
        <v>282</v>
      </c>
      <c r="W427" s="69" t="s">
        <v>282</v>
      </c>
      <c r="X427" s="69" t="s">
        <v>282</v>
      </c>
      <c r="Y427" s="70" t="s">
        <v>282</v>
      </c>
    </row>
    <row r="428" spans="1:25">
      <c r="A428" s="64">
        <v>8</v>
      </c>
      <c r="B428" s="65" t="str">
        <f>VLOOKUP(Tabel10[[#This Row],[Code]],Ruimtegroepen[[Code]:[Ruimte omschrijving]],2,FALSE)</f>
        <v>Kinderopvang</v>
      </c>
      <c r="C428" s="66" t="s">
        <v>637</v>
      </c>
      <c r="D428" s="65" t="s">
        <v>14</v>
      </c>
      <c r="E428" s="66" t="s">
        <v>99</v>
      </c>
      <c r="F428" s="66" t="s">
        <v>639</v>
      </c>
      <c r="G428" s="71" t="s">
        <v>282</v>
      </c>
      <c r="H428" s="67" t="s">
        <v>17</v>
      </c>
      <c r="I428" s="67" t="s">
        <v>282</v>
      </c>
      <c r="J428" s="67" t="s">
        <v>282</v>
      </c>
      <c r="K428" s="67" t="s">
        <v>282</v>
      </c>
      <c r="L428" s="67" t="s">
        <v>282</v>
      </c>
      <c r="M428" s="67" t="s">
        <v>282</v>
      </c>
      <c r="N428" s="67" t="s">
        <v>282</v>
      </c>
      <c r="O428" s="68" t="s">
        <v>17</v>
      </c>
      <c r="P428" s="68" t="s">
        <v>17</v>
      </c>
      <c r="Q428" s="68" t="s">
        <v>15</v>
      </c>
      <c r="R428" s="68" t="s">
        <v>15</v>
      </c>
      <c r="S428" s="68" t="s">
        <v>16</v>
      </c>
      <c r="T428" s="68" t="s">
        <v>329</v>
      </c>
      <c r="U428" s="68" t="s">
        <v>249</v>
      </c>
      <c r="V428" s="68" t="s">
        <v>282</v>
      </c>
      <c r="W428" s="69" t="s">
        <v>282</v>
      </c>
      <c r="X428" s="69" t="s">
        <v>282</v>
      </c>
      <c r="Y428" s="70" t="s">
        <v>282</v>
      </c>
    </row>
    <row r="429" spans="1:25">
      <c r="A429" s="64">
        <v>8</v>
      </c>
      <c r="B429" s="65" t="str">
        <f>VLOOKUP(Tabel10[[#This Row],[Code]],Ruimtegroepen[[Code]:[Ruimte omschrijving]],2,FALSE)</f>
        <v>Kinderopvang</v>
      </c>
      <c r="C429" s="66" t="s">
        <v>637</v>
      </c>
      <c r="D429" s="65" t="s">
        <v>14</v>
      </c>
      <c r="E429" s="66" t="s">
        <v>1309</v>
      </c>
      <c r="F429" s="66" t="s">
        <v>1397</v>
      </c>
      <c r="G429" s="71" t="s">
        <v>282</v>
      </c>
      <c r="H429" s="67" t="s">
        <v>282</v>
      </c>
      <c r="I429" s="67" t="s">
        <v>15</v>
      </c>
      <c r="J429" s="67" t="s">
        <v>15</v>
      </c>
      <c r="K429" s="67" t="s">
        <v>283</v>
      </c>
      <c r="L429" s="67" t="s">
        <v>282</v>
      </c>
      <c r="M429" s="67" t="s">
        <v>282</v>
      </c>
      <c r="N429" s="67" t="s">
        <v>282</v>
      </c>
      <c r="O429" s="68" t="s">
        <v>17</v>
      </c>
      <c r="P429" s="68" t="s">
        <v>17</v>
      </c>
      <c r="Q429" s="68" t="s">
        <v>15</v>
      </c>
      <c r="R429" s="68" t="s">
        <v>15</v>
      </c>
      <c r="S429" s="68" t="s">
        <v>16</v>
      </c>
      <c r="T429" s="68" t="s">
        <v>329</v>
      </c>
      <c r="U429" s="68" t="s">
        <v>249</v>
      </c>
      <c r="V429" s="68" t="s">
        <v>282</v>
      </c>
      <c r="W429" s="69" t="s">
        <v>282</v>
      </c>
      <c r="X429" s="69" t="s">
        <v>282</v>
      </c>
      <c r="Y429" s="70" t="s">
        <v>282</v>
      </c>
    </row>
    <row r="430" spans="1:25">
      <c r="A430" s="64">
        <v>8</v>
      </c>
      <c r="B430" s="65" t="str">
        <f>VLOOKUP(Tabel10[[#This Row],[Code]],Ruimtegroepen[[Code]:[Ruimte omschrijving]],2,FALSE)</f>
        <v>Kinderopvang</v>
      </c>
      <c r="C430" s="66" t="s">
        <v>642</v>
      </c>
      <c r="D430" s="65" t="s">
        <v>13</v>
      </c>
      <c r="E430" s="66" t="s">
        <v>100</v>
      </c>
      <c r="F430" s="66" t="s">
        <v>643</v>
      </c>
      <c r="G430" s="71" t="s">
        <v>282</v>
      </c>
      <c r="H430" s="67" t="s">
        <v>282</v>
      </c>
      <c r="I430" s="67" t="s">
        <v>282</v>
      </c>
      <c r="J430" s="67" t="s">
        <v>15</v>
      </c>
      <c r="K430" s="67" t="s">
        <v>282</v>
      </c>
      <c r="L430" s="67" t="s">
        <v>282</v>
      </c>
      <c r="M430" s="67" t="s">
        <v>282</v>
      </c>
      <c r="N430" s="67" t="s">
        <v>282</v>
      </c>
      <c r="O430" s="68" t="s">
        <v>15</v>
      </c>
      <c r="P430" s="68" t="s">
        <v>15</v>
      </c>
      <c r="Q430" s="68" t="s">
        <v>15</v>
      </c>
      <c r="R430" s="68" t="s">
        <v>15</v>
      </c>
      <c r="S430" s="68" t="s">
        <v>16</v>
      </c>
      <c r="T430" s="68" t="s">
        <v>329</v>
      </c>
      <c r="U430" s="68" t="s">
        <v>249</v>
      </c>
      <c r="V430" s="68" t="s">
        <v>282</v>
      </c>
      <c r="W430" s="69" t="s">
        <v>282</v>
      </c>
      <c r="X430" s="69" t="s">
        <v>282</v>
      </c>
      <c r="Y430" s="70" t="s">
        <v>282</v>
      </c>
    </row>
    <row r="431" spans="1:25">
      <c r="A431" s="64">
        <v>8</v>
      </c>
      <c r="B431" s="65" t="str">
        <f>VLOOKUP(Tabel10[[#This Row],[Code]],Ruimtegroepen[[Code]:[Ruimte omschrijving]],2,FALSE)</f>
        <v>Kinderopvang</v>
      </c>
      <c r="C431" s="66" t="s">
        <v>642</v>
      </c>
      <c r="D431" s="65" t="s">
        <v>13</v>
      </c>
      <c r="E431" s="66" t="s">
        <v>99</v>
      </c>
      <c r="F431" s="66" t="s">
        <v>644</v>
      </c>
      <c r="G431" s="71" t="s">
        <v>282</v>
      </c>
      <c r="H431" s="67" t="s">
        <v>15</v>
      </c>
      <c r="I431" s="67" t="s">
        <v>282</v>
      </c>
      <c r="J431" s="67" t="s">
        <v>282</v>
      </c>
      <c r="K431" s="67" t="s">
        <v>282</v>
      </c>
      <c r="L431" s="67" t="s">
        <v>282</v>
      </c>
      <c r="M431" s="67" t="s">
        <v>282</v>
      </c>
      <c r="N431" s="67" t="s">
        <v>282</v>
      </c>
      <c r="O431" s="68" t="s">
        <v>15</v>
      </c>
      <c r="P431" s="68" t="s">
        <v>15</v>
      </c>
      <c r="Q431" s="68" t="s">
        <v>15</v>
      </c>
      <c r="R431" s="68" t="s">
        <v>15</v>
      </c>
      <c r="S431" s="68" t="s">
        <v>16</v>
      </c>
      <c r="T431" s="68" t="s">
        <v>329</v>
      </c>
      <c r="U431" s="68" t="s">
        <v>249</v>
      </c>
      <c r="V431" s="68" t="s">
        <v>282</v>
      </c>
      <c r="W431" s="69" t="s">
        <v>282</v>
      </c>
      <c r="X431" s="69" t="s">
        <v>282</v>
      </c>
      <c r="Y431" s="70" t="s">
        <v>282</v>
      </c>
    </row>
    <row r="432" spans="1:25">
      <c r="A432" s="64">
        <v>8</v>
      </c>
      <c r="B432" s="65" t="str">
        <f>VLOOKUP(Tabel10[[#This Row],[Code]],Ruimtegroepen[[Code]:[Ruimte omschrijving]],2,FALSE)</f>
        <v>Kinderopvang</v>
      </c>
      <c r="C432" s="66" t="s">
        <v>642</v>
      </c>
      <c r="D432" s="65" t="s">
        <v>13</v>
      </c>
      <c r="E432" s="66" t="s">
        <v>101</v>
      </c>
      <c r="F432" s="66" t="s">
        <v>645</v>
      </c>
      <c r="G432" s="71" t="s">
        <v>282</v>
      </c>
      <c r="H432" s="67" t="s">
        <v>282</v>
      </c>
      <c r="I432" s="67" t="s">
        <v>282</v>
      </c>
      <c r="J432" s="67" t="s">
        <v>15</v>
      </c>
      <c r="K432" s="67" t="s">
        <v>283</v>
      </c>
      <c r="L432" s="67" t="s">
        <v>282</v>
      </c>
      <c r="M432" s="67" t="s">
        <v>282</v>
      </c>
      <c r="N432" s="67" t="s">
        <v>282</v>
      </c>
      <c r="O432" s="68" t="s">
        <v>15</v>
      </c>
      <c r="P432" s="68" t="s">
        <v>15</v>
      </c>
      <c r="Q432" s="68" t="s">
        <v>15</v>
      </c>
      <c r="R432" s="68" t="s">
        <v>15</v>
      </c>
      <c r="S432" s="68" t="s">
        <v>16</v>
      </c>
      <c r="T432" s="68" t="s">
        <v>329</v>
      </c>
      <c r="U432" s="68" t="s">
        <v>249</v>
      </c>
      <c r="V432" s="68" t="s">
        <v>282</v>
      </c>
      <c r="W432" s="69" t="s">
        <v>282</v>
      </c>
      <c r="X432" s="69" t="s">
        <v>282</v>
      </c>
      <c r="Y432" s="70" t="s">
        <v>282</v>
      </c>
    </row>
    <row r="433" spans="1:25">
      <c r="A433" s="64">
        <v>8</v>
      </c>
      <c r="B433" s="65" t="str">
        <f>VLOOKUP(Tabel10[[#This Row],[Code]],Ruimtegroepen[[Code]:[Ruimte omschrijving]],2,FALSE)</f>
        <v>Kinderopvang</v>
      </c>
      <c r="C433" s="66" t="s">
        <v>642</v>
      </c>
      <c r="D433" s="65" t="s">
        <v>13</v>
      </c>
      <c r="E433" s="66" t="s">
        <v>102</v>
      </c>
      <c r="F433" s="66" t="s">
        <v>646</v>
      </c>
      <c r="G433" s="71" t="s">
        <v>282</v>
      </c>
      <c r="H433" s="67" t="s">
        <v>282</v>
      </c>
      <c r="I433" s="67" t="s">
        <v>282</v>
      </c>
      <c r="J433" s="67" t="s">
        <v>15</v>
      </c>
      <c r="K433" s="67" t="s">
        <v>283</v>
      </c>
      <c r="L433" s="67" t="s">
        <v>282</v>
      </c>
      <c r="M433" s="67" t="s">
        <v>282</v>
      </c>
      <c r="N433" s="67" t="s">
        <v>282</v>
      </c>
      <c r="O433" s="68" t="s">
        <v>15</v>
      </c>
      <c r="P433" s="68" t="s">
        <v>15</v>
      </c>
      <c r="Q433" s="68" t="s">
        <v>15</v>
      </c>
      <c r="R433" s="68" t="s">
        <v>15</v>
      </c>
      <c r="S433" s="68" t="s">
        <v>16</v>
      </c>
      <c r="T433" s="68" t="s">
        <v>329</v>
      </c>
      <c r="U433" s="68" t="s">
        <v>249</v>
      </c>
      <c r="V433" s="68" t="s">
        <v>282</v>
      </c>
      <c r="W433" s="69" t="s">
        <v>282</v>
      </c>
      <c r="X433" s="69" t="s">
        <v>282</v>
      </c>
      <c r="Y433" s="70" t="s">
        <v>282</v>
      </c>
    </row>
    <row r="434" spans="1:25">
      <c r="A434" s="64">
        <v>8</v>
      </c>
      <c r="B434" s="65" t="str">
        <f>VLOOKUP(Tabel10[[#This Row],[Code]],Ruimtegroepen[[Code]:[Ruimte omschrijving]],2,FALSE)</f>
        <v>Kinderopvang</v>
      </c>
      <c r="C434" s="66" t="s">
        <v>642</v>
      </c>
      <c r="D434" s="65" t="s">
        <v>13</v>
      </c>
      <c r="E434" s="66" t="s">
        <v>99</v>
      </c>
      <c r="F434" s="66" t="s">
        <v>644</v>
      </c>
      <c r="G434" s="71" t="s">
        <v>282</v>
      </c>
      <c r="H434" s="67" t="s">
        <v>15</v>
      </c>
      <c r="I434" s="67" t="s">
        <v>282</v>
      </c>
      <c r="J434" s="67" t="s">
        <v>282</v>
      </c>
      <c r="K434" s="67" t="s">
        <v>282</v>
      </c>
      <c r="L434" s="67" t="s">
        <v>282</v>
      </c>
      <c r="M434" s="67" t="s">
        <v>282</v>
      </c>
      <c r="N434" s="67" t="s">
        <v>282</v>
      </c>
      <c r="O434" s="68" t="s">
        <v>15</v>
      </c>
      <c r="P434" s="68" t="s">
        <v>15</v>
      </c>
      <c r="Q434" s="68" t="s">
        <v>15</v>
      </c>
      <c r="R434" s="68" t="s">
        <v>15</v>
      </c>
      <c r="S434" s="68" t="s">
        <v>16</v>
      </c>
      <c r="T434" s="68" t="s">
        <v>329</v>
      </c>
      <c r="U434" s="68" t="s">
        <v>249</v>
      </c>
      <c r="V434" s="68" t="s">
        <v>282</v>
      </c>
      <c r="W434" s="69" t="s">
        <v>282</v>
      </c>
      <c r="X434" s="69" t="s">
        <v>282</v>
      </c>
      <c r="Y434" s="70" t="s">
        <v>282</v>
      </c>
    </row>
    <row r="435" spans="1:25">
      <c r="A435" s="64">
        <v>8</v>
      </c>
      <c r="B435" s="65" t="str">
        <f>VLOOKUP(Tabel10[[#This Row],[Code]],Ruimtegroepen[[Code]:[Ruimte omschrijving]],2,FALSE)</f>
        <v>Kinderopvang</v>
      </c>
      <c r="C435" s="66" t="s">
        <v>642</v>
      </c>
      <c r="D435" s="65" t="s">
        <v>13</v>
      </c>
      <c r="E435" s="66" t="s">
        <v>1309</v>
      </c>
      <c r="F435" s="66" t="s">
        <v>1364</v>
      </c>
      <c r="G435" s="71" t="s">
        <v>282</v>
      </c>
      <c r="H435" s="67" t="s">
        <v>282</v>
      </c>
      <c r="I435" s="67" t="s">
        <v>282</v>
      </c>
      <c r="J435" s="67" t="s">
        <v>15</v>
      </c>
      <c r="K435" s="67" t="s">
        <v>283</v>
      </c>
      <c r="L435" s="67" t="s">
        <v>282</v>
      </c>
      <c r="M435" s="67" t="s">
        <v>282</v>
      </c>
      <c r="N435" s="67" t="s">
        <v>282</v>
      </c>
      <c r="O435" s="68" t="s">
        <v>15</v>
      </c>
      <c r="P435" s="68" t="s">
        <v>15</v>
      </c>
      <c r="Q435" s="68" t="s">
        <v>15</v>
      </c>
      <c r="R435" s="68" t="s">
        <v>15</v>
      </c>
      <c r="S435" s="68" t="s">
        <v>16</v>
      </c>
      <c r="T435" s="68" t="s">
        <v>329</v>
      </c>
      <c r="U435" s="68" t="s">
        <v>249</v>
      </c>
      <c r="V435" s="68" t="s">
        <v>282</v>
      </c>
      <c r="W435" s="69" t="s">
        <v>282</v>
      </c>
      <c r="X435" s="69" t="s">
        <v>282</v>
      </c>
      <c r="Y435" s="70" t="s">
        <v>282</v>
      </c>
    </row>
    <row r="436" spans="1:25">
      <c r="A436" s="64">
        <v>8</v>
      </c>
      <c r="B436" s="65" t="str">
        <f>VLOOKUP(Tabel10[[#This Row],[Code]],Ruimtegroepen[[Code]:[Ruimte omschrijving]],2,FALSE)</f>
        <v>Kinderopvang</v>
      </c>
      <c r="C436" s="66" t="s">
        <v>647</v>
      </c>
      <c r="D436" s="65" t="s">
        <v>0</v>
      </c>
      <c r="E436" s="66" t="s">
        <v>100</v>
      </c>
      <c r="F436" s="66" t="s">
        <v>648</v>
      </c>
      <c r="G436" s="71" t="s">
        <v>282</v>
      </c>
      <c r="H436" s="67" t="s">
        <v>282</v>
      </c>
      <c r="I436" s="67" t="s">
        <v>282</v>
      </c>
      <c r="J436" s="67" t="s">
        <v>16</v>
      </c>
      <c r="K436" s="67" t="s">
        <v>282</v>
      </c>
      <c r="L436" s="67" t="s">
        <v>282</v>
      </c>
      <c r="M436" s="67" t="s">
        <v>282</v>
      </c>
      <c r="N436" s="67" t="s">
        <v>282</v>
      </c>
      <c r="O436" s="68" t="s">
        <v>16</v>
      </c>
      <c r="P436" s="68" t="s">
        <v>16</v>
      </c>
      <c r="Q436" s="68" t="s">
        <v>16</v>
      </c>
      <c r="R436" s="68" t="s">
        <v>16</v>
      </c>
      <c r="S436" s="68" t="s">
        <v>16</v>
      </c>
      <c r="T436" s="68" t="s">
        <v>329</v>
      </c>
      <c r="U436" s="68" t="s">
        <v>249</v>
      </c>
      <c r="V436" s="68" t="s">
        <v>282</v>
      </c>
      <c r="W436" s="69" t="s">
        <v>282</v>
      </c>
      <c r="X436" s="69" t="s">
        <v>282</v>
      </c>
      <c r="Y436" s="70" t="s">
        <v>282</v>
      </c>
    </row>
    <row r="437" spans="1:25">
      <c r="A437" s="64">
        <v>8</v>
      </c>
      <c r="B437" s="65" t="str">
        <f>VLOOKUP(Tabel10[[#This Row],[Code]],Ruimtegroepen[[Code]:[Ruimte omschrijving]],2,FALSE)</f>
        <v>Kinderopvang</v>
      </c>
      <c r="C437" s="66" t="s">
        <v>647</v>
      </c>
      <c r="D437" s="65" t="s">
        <v>0</v>
      </c>
      <c r="E437" s="66" t="s">
        <v>99</v>
      </c>
      <c r="F437" s="66" t="s">
        <v>649</v>
      </c>
      <c r="G437" s="71" t="s">
        <v>282</v>
      </c>
      <c r="H437" s="67" t="s">
        <v>16</v>
      </c>
      <c r="I437" s="67" t="s">
        <v>282</v>
      </c>
      <c r="J437" s="67" t="s">
        <v>282</v>
      </c>
      <c r="K437" s="67" t="s">
        <v>282</v>
      </c>
      <c r="L437" s="67" t="s">
        <v>282</v>
      </c>
      <c r="M437" s="67" t="s">
        <v>282</v>
      </c>
      <c r="N437" s="67" t="s">
        <v>282</v>
      </c>
      <c r="O437" s="68" t="s">
        <v>16</v>
      </c>
      <c r="P437" s="68" t="s">
        <v>16</v>
      </c>
      <c r="Q437" s="68" t="s">
        <v>16</v>
      </c>
      <c r="R437" s="68" t="s">
        <v>16</v>
      </c>
      <c r="S437" s="68" t="s">
        <v>16</v>
      </c>
      <c r="T437" s="68" t="s">
        <v>329</v>
      </c>
      <c r="U437" s="68" t="s">
        <v>249</v>
      </c>
      <c r="V437" s="68" t="s">
        <v>282</v>
      </c>
      <c r="W437" s="69" t="s">
        <v>282</v>
      </c>
      <c r="X437" s="69" t="s">
        <v>282</v>
      </c>
      <c r="Y437" s="70" t="s">
        <v>282</v>
      </c>
    </row>
    <row r="438" spans="1:25">
      <c r="A438" s="64">
        <v>8</v>
      </c>
      <c r="B438" s="65" t="str">
        <f>VLOOKUP(Tabel10[[#This Row],[Code]],Ruimtegroepen[[Code]:[Ruimte omschrijving]],2,FALSE)</f>
        <v>Kinderopvang</v>
      </c>
      <c r="C438" s="66" t="s">
        <v>647</v>
      </c>
      <c r="D438" s="65" t="s">
        <v>0</v>
      </c>
      <c r="E438" s="66" t="s">
        <v>101</v>
      </c>
      <c r="F438" s="66" t="s">
        <v>650</v>
      </c>
      <c r="G438" s="71" t="s">
        <v>282</v>
      </c>
      <c r="H438" s="67" t="s">
        <v>282</v>
      </c>
      <c r="I438" s="67" t="s">
        <v>282</v>
      </c>
      <c r="J438" s="67" t="s">
        <v>16</v>
      </c>
      <c r="K438" s="67" t="s">
        <v>283</v>
      </c>
      <c r="L438" s="67" t="s">
        <v>282</v>
      </c>
      <c r="M438" s="67" t="s">
        <v>282</v>
      </c>
      <c r="N438" s="67" t="s">
        <v>282</v>
      </c>
      <c r="O438" s="68" t="s">
        <v>16</v>
      </c>
      <c r="P438" s="68" t="s">
        <v>16</v>
      </c>
      <c r="Q438" s="68" t="s">
        <v>16</v>
      </c>
      <c r="R438" s="68" t="s">
        <v>16</v>
      </c>
      <c r="S438" s="68" t="s">
        <v>16</v>
      </c>
      <c r="T438" s="68" t="s">
        <v>329</v>
      </c>
      <c r="U438" s="68" t="s">
        <v>249</v>
      </c>
      <c r="V438" s="68" t="s">
        <v>282</v>
      </c>
      <c r="W438" s="69" t="s">
        <v>282</v>
      </c>
      <c r="X438" s="69" t="s">
        <v>282</v>
      </c>
      <c r="Y438" s="70" t="s">
        <v>282</v>
      </c>
    </row>
    <row r="439" spans="1:25">
      <c r="A439" s="64">
        <v>8</v>
      </c>
      <c r="B439" s="65" t="str">
        <f>VLOOKUP(Tabel10[[#This Row],[Code]],Ruimtegroepen[[Code]:[Ruimte omschrijving]],2,FALSE)</f>
        <v>Kinderopvang</v>
      </c>
      <c r="C439" s="66" t="s">
        <v>647</v>
      </c>
      <c r="D439" s="65" t="s">
        <v>0</v>
      </c>
      <c r="E439" s="66" t="s">
        <v>102</v>
      </c>
      <c r="F439" s="66" t="s">
        <v>651</v>
      </c>
      <c r="G439" s="71" t="s">
        <v>282</v>
      </c>
      <c r="H439" s="67" t="s">
        <v>282</v>
      </c>
      <c r="I439" s="67" t="s">
        <v>282</v>
      </c>
      <c r="J439" s="67" t="s">
        <v>16</v>
      </c>
      <c r="K439" s="67" t="s">
        <v>283</v>
      </c>
      <c r="L439" s="67" t="s">
        <v>282</v>
      </c>
      <c r="M439" s="67" t="s">
        <v>282</v>
      </c>
      <c r="N439" s="67" t="s">
        <v>282</v>
      </c>
      <c r="O439" s="68" t="s">
        <v>16</v>
      </c>
      <c r="P439" s="68" t="s">
        <v>16</v>
      </c>
      <c r="Q439" s="68" t="s">
        <v>16</v>
      </c>
      <c r="R439" s="68" t="s">
        <v>16</v>
      </c>
      <c r="S439" s="68" t="s">
        <v>16</v>
      </c>
      <c r="T439" s="68" t="s">
        <v>329</v>
      </c>
      <c r="U439" s="68" t="s">
        <v>249</v>
      </c>
      <c r="V439" s="68" t="s">
        <v>282</v>
      </c>
      <c r="W439" s="69" t="s">
        <v>282</v>
      </c>
      <c r="X439" s="69" t="s">
        <v>282</v>
      </c>
      <c r="Y439" s="70" t="s">
        <v>282</v>
      </c>
    </row>
    <row r="440" spans="1:25">
      <c r="A440" s="64">
        <v>8</v>
      </c>
      <c r="B440" s="65" t="str">
        <f>VLOOKUP(Tabel10[[#This Row],[Code]],Ruimtegroepen[[Code]:[Ruimte omschrijving]],2,FALSE)</f>
        <v>Kinderopvang</v>
      </c>
      <c r="C440" s="66" t="s">
        <v>647</v>
      </c>
      <c r="D440" s="65" t="s">
        <v>0</v>
      </c>
      <c r="E440" s="66" t="s">
        <v>99</v>
      </c>
      <c r="F440" s="66" t="s">
        <v>649</v>
      </c>
      <c r="G440" s="71" t="s">
        <v>282</v>
      </c>
      <c r="H440" s="67" t="s">
        <v>16</v>
      </c>
      <c r="I440" s="67" t="s">
        <v>282</v>
      </c>
      <c r="J440" s="67" t="s">
        <v>282</v>
      </c>
      <c r="K440" s="67" t="s">
        <v>282</v>
      </c>
      <c r="L440" s="67" t="s">
        <v>282</v>
      </c>
      <c r="M440" s="67" t="s">
        <v>282</v>
      </c>
      <c r="N440" s="67" t="s">
        <v>282</v>
      </c>
      <c r="O440" s="68" t="s">
        <v>16</v>
      </c>
      <c r="P440" s="68" t="s">
        <v>16</v>
      </c>
      <c r="Q440" s="68" t="s">
        <v>16</v>
      </c>
      <c r="R440" s="68" t="s">
        <v>16</v>
      </c>
      <c r="S440" s="68" t="s">
        <v>16</v>
      </c>
      <c r="T440" s="68" t="s">
        <v>329</v>
      </c>
      <c r="U440" s="68" t="s">
        <v>249</v>
      </c>
      <c r="V440" s="68" t="s">
        <v>282</v>
      </c>
      <c r="W440" s="69" t="s">
        <v>282</v>
      </c>
      <c r="X440" s="69" t="s">
        <v>282</v>
      </c>
      <c r="Y440" s="70" t="s">
        <v>282</v>
      </c>
    </row>
    <row r="441" spans="1:25">
      <c r="A441" s="64">
        <v>8</v>
      </c>
      <c r="B441" s="65" t="str">
        <f>VLOOKUP(Tabel10[[#This Row],[Code]],Ruimtegroepen[[Code]:[Ruimte omschrijving]],2,FALSE)</f>
        <v>Kinderopvang</v>
      </c>
      <c r="C441" s="66" t="s">
        <v>647</v>
      </c>
      <c r="D441" s="65" t="s">
        <v>0</v>
      </c>
      <c r="E441" s="66" t="s">
        <v>1309</v>
      </c>
      <c r="F441" s="66" t="s">
        <v>1348</v>
      </c>
      <c r="G441" s="71" t="s">
        <v>282</v>
      </c>
      <c r="H441" s="67" t="s">
        <v>282</v>
      </c>
      <c r="I441" s="67" t="s">
        <v>282</v>
      </c>
      <c r="J441" s="67" t="s">
        <v>16</v>
      </c>
      <c r="K441" s="67" t="s">
        <v>283</v>
      </c>
      <c r="L441" s="67" t="s">
        <v>282</v>
      </c>
      <c r="M441" s="67" t="s">
        <v>282</v>
      </c>
      <c r="N441" s="67" t="s">
        <v>282</v>
      </c>
      <c r="O441" s="68" t="s">
        <v>16</v>
      </c>
      <c r="P441" s="68" t="s">
        <v>16</v>
      </c>
      <c r="Q441" s="68" t="s">
        <v>16</v>
      </c>
      <c r="R441" s="68" t="s">
        <v>16</v>
      </c>
      <c r="S441" s="68" t="s">
        <v>16</v>
      </c>
      <c r="T441" s="68" t="s">
        <v>329</v>
      </c>
      <c r="U441" s="68" t="s">
        <v>249</v>
      </c>
      <c r="V441" s="68" t="s">
        <v>282</v>
      </c>
      <c r="W441" s="69" t="s">
        <v>282</v>
      </c>
      <c r="X441" s="69" t="s">
        <v>282</v>
      </c>
      <c r="Y441" s="70" t="s">
        <v>282</v>
      </c>
    </row>
    <row r="442" spans="1:25">
      <c r="A442" s="64">
        <v>8</v>
      </c>
      <c r="B442" s="65" t="str">
        <f>VLOOKUP(Tabel10[[#This Row],[Code]],Ruimtegroepen[[Code]:[Ruimte omschrijving]],2,FALSE)</f>
        <v>Kinderopvang</v>
      </c>
      <c r="C442" s="66" t="s">
        <v>652</v>
      </c>
      <c r="D442" s="65" t="s">
        <v>27</v>
      </c>
      <c r="E442" s="66" t="s">
        <v>100</v>
      </c>
      <c r="F442" s="66" t="s">
        <v>653</v>
      </c>
      <c r="G442" s="71" t="s">
        <v>282</v>
      </c>
      <c r="H442" s="67" t="s">
        <v>282</v>
      </c>
      <c r="I442" s="67" t="s">
        <v>15</v>
      </c>
      <c r="J442" s="67" t="s">
        <v>282</v>
      </c>
      <c r="K442" s="67" t="s">
        <v>282</v>
      </c>
      <c r="L442" s="67" t="s">
        <v>282</v>
      </c>
      <c r="M442" s="67" t="s">
        <v>282</v>
      </c>
      <c r="N442" s="67" t="s">
        <v>282</v>
      </c>
      <c r="O442" s="68" t="s">
        <v>15</v>
      </c>
      <c r="P442" s="68" t="s">
        <v>15</v>
      </c>
      <c r="Q442" s="68" t="s">
        <v>15</v>
      </c>
      <c r="R442" s="68" t="s">
        <v>282</v>
      </c>
      <c r="S442" s="68" t="s">
        <v>282</v>
      </c>
      <c r="T442" s="68" t="s">
        <v>282</v>
      </c>
      <c r="U442" s="68" t="s">
        <v>282</v>
      </c>
      <c r="V442" s="68" t="s">
        <v>282</v>
      </c>
      <c r="W442" s="69" t="s">
        <v>282</v>
      </c>
      <c r="X442" s="69" t="s">
        <v>282</v>
      </c>
      <c r="Y442" s="70" t="s">
        <v>282</v>
      </c>
    </row>
    <row r="443" spans="1:25">
      <c r="A443" s="64">
        <v>8</v>
      </c>
      <c r="B443" s="65" t="str">
        <f>VLOOKUP(Tabel10[[#This Row],[Code]],Ruimtegroepen[[Code]:[Ruimte omschrijving]],2,FALSE)</f>
        <v>Kinderopvang</v>
      </c>
      <c r="C443" s="66" t="s">
        <v>652</v>
      </c>
      <c r="D443" s="65" t="s">
        <v>27</v>
      </c>
      <c r="E443" s="66" t="s">
        <v>99</v>
      </c>
      <c r="F443" s="66" t="s">
        <v>654</v>
      </c>
      <c r="G443" s="71" t="s">
        <v>282</v>
      </c>
      <c r="H443" s="67" t="s">
        <v>15</v>
      </c>
      <c r="I443" s="67" t="s">
        <v>282</v>
      </c>
      <c r="J443" s="67" t="s">
        <v>282</v>
      </c>
      <c r="K443" s="67" t="s">
        <v>282</v>
      </c>
      <c r="L443" s="67" t="s">
        <v>282</v>
      </c>
      <c r="M443" s="67" t="s">
        <v>282</v>
      </c>
      <c r="N443" s="67" t="s">
        <v>282</v>
      </c>
      <c r="O443" s="68" t="s">
        <v>15</v>
      </c>
      <c r="P443" s="68" t="s">
        <v>15</v>
      </c>
      <c r="Q443" s="68" t="s">
        <v>15</v>
      </c>
      <c r="R443" s="68" t="s">
        <v>282</v>
      </c>
      <c r="S443" s="68" t="s">
        <v>282</v>
      </c>
      <c r="T443" s="68" t="s">
        <v>282</v>
      </c>
      <c r="U443" s="68" t="s">
        <v>282</v>
      </c>
      <c r="V443" s="68" t="s">
        <v>282</v>
      </c>
      <c r="W443" s="69" t="s">
        <v>282</v>
      </c>
      <c r="X443" s="69" t="s">
        <v>282</v>
      </c>
      <c r="Y443" s="70" t="s">
        <v>282</v>
      </c>
    </row>
    <row r="444" spans="1:25">
      <c r="A444" s="64">
        <v>8</v>
      </c>
      <c r="B444" s="65" t="str">
        <f>VLOOKUP(Tabel10[[#This Row],[Code]],Ruimtegroepen[[Code]:[Ruimte omschrijving]],2,FALSE)</f>
        <v>Kinderopvang</v>
      </c>
      <c r="C444" s="66" t="s">
        <v>652</v>
      </c>
      <c r="D444" s="65" t="s">
        <v>27</v>
      </c>
      <c r="E444" s="66" t="s">
        <v>101</v>
      </c>
      <c r="F444" s="66" t="s">
        <v>655</v>
      </c>
      <c r="G444" s="71" t="s">
        <v>282</v>
      </c>
      <c r="H444" s="67" t="s">
        <v>282</v>
      </c>
      <c r="I444" s="67" t="s">
        <v>15</v>
      </c>
      <c r="J444" s="67" t="s">
        <v>282</v>
      </c>
      <c r="K444" s="67" t="s">
        <v>282</v>
      </c>
      <c r="L444" s="67" t="s">
        <v>282</v>
      </c>
      <c r="M444" s="67" t="s">
        <v>282</v>
      </c>
      <c r="N444" s="67" t="s">
        <v>282</v>
      </c>
      <c r="O444" s="68" t="s">
        <v>15</v>
      </c>
      <c r="P444" s="68" t="s">
        <v>15</v>
      </c>
      <c r="Q444" s="68" t="s">
        <v>15</v>
      </c>
      <c r="R444" s="68" t="s">
        <v>282</v>
      </c>
      <c r="S444" s="68" t="s">
        <v>282</v>
      </c>
      <c r="T444" s="68" t="s">
        <v>282</v>
      </c>
      <c r="U444" s="68" t="s">
        <v>282</v>
      </c>
      <c r="V444" s="68" t="s">
        <v>282</v>
      </c>
      <c r="W444" s="69" t="s">
        <v>282</v>
      </c>
      <c r="X444" s="69" t="s">
        <v>282</v>
      </c>
      <c r="Y444" s="70" t="s">
        <v>282</v>
      </c>
    </row>
    <row r="445" spans="1:25">
      <c r="A445" s="64">
        <v>8</v>
      </c>
      <c r="B445" s="65" t="str">
        <f>VLOOKUP(Tabel10[[#This Row],[Code]],Ruimtegroepen[[Code]:[Ruimte omschrijving]],2,FALSE)</f>
        <v>Kinderopvang</v>
      </c>
      <c r="C445" s="66" t="s">
        <v>652</v>
      </c>
      <c r="D445" s="65" t="s">
        <v>27</v>
      </c>
      <c r="E445" s="66" t="s">
        <v>102</v>
      </c>
      <c r="F445" s="66" t="s">
        <v>656</v>
      </c>
      <c r="G445" s="71" t="s">
        <v>282</v>
      </c>
      <c r="H445" s="67" t="s">
        <v>282</v>
      </c>
      <c r="I445" s="67" t="s">
        <v>15</v>
      </c>
      <c r="J445" s="67" t="s">
        <v>282</v>
      </c>
      <c r="K445" s="67" t="s">
        <v>282</v>
      </c>
      <c r="L445" s="67" t="s">
        <v>282</v>
      </c>
      <c r="M445" s="67" t="s">
        <v>282</v>
      </c>
      <c r="N445" s="67" t="s">
        <v>282</v>
      </c>
      <c r="O445" s="68" t="s">
        <v>15</v>
      </c>
      <c r="P445" s="68" t="s">
        <v>15</v>
      </c>
      <c r="Q445" s="68" t="s">
        <v>15</v>
      </c>
      <c r="R445" s="68" t="s">
        <v>282</v>
      </c>
      <c r="S445" s="68" t="s">
        <v>282</v>
      </c>
      <c r="T445" s="68" t="s">
        <v>282</v>
      </c>
      <c r="U445" s="68" t="s">
        <v>282</v>
      </c>
      <c r="V445" s="68" t="s">
        <v>282</v>
      </c>
      <c r="W445" s="69" t="s">
        <v>282</v>
      </c>
      <c r="X445" s="69" t="s">
        <v>282</v>
      </c>
      <c r="Y445" s="70" t="s">
        <v>282</v>
      </c>
    </row>
    <row r="446" spans="1:25">
      <c r="A446" s="64">
        <v>8</v>
      </c>
      <c r="B446" s="65" t="str">
        <f>VLOOKUP(Tabel10[[#This Row],[Code]],Ruimtegroepen[[Code]:[Ruimte omschrijving]],2,FALSE)</f>
        <v>Kinderopvang</v>
      </c>
      <c r="C446" s="66" t="s">
        <v>652</v>
      </c>
      <c r="D446" s="65" t="s">
        <v>27</v>
      </c>
      <c r="E446" s="66" t="s">
        <v>99</v>
      </c>
      <c r="F446" s="66" t="s">
        <v>654</v>
      </c>
      <c r="G446" s="71" t="s">
        <v>282</v>
      </c>
      <c r="H446" s="67" t="s">
        <v>15</v>
      </c>
      <c r="I446" s="67" t="s">
        <v>282</v>
      </c>
      <c r="J446" s="67" t="s">
        <v>282</v>
      </c>
      <c r="K446" s="67" t="s">
        <v>282</v>
      </c>
      <c r="L446" s="67" t="s">
        <v>282</v>
      </c>
      <c r="M446" s="67" t="s">
        <v>282</v>
      </c>
      <c r="N446" s="67" t="s">
        <v>282</v>
      </c>
      <c r="O446" s="68" t="s">
        <v>15</v>
      </c>
      <c r="P446" s="68" t="s">
        <v>15</v>
      </c>
      <c r="Q446" s="68" t="s">
        <v>15</v>
      </c>
      <c r="R446" s="68" t="s">
        <v>282</v>
      </c>
      <c r="S446" s="68" t="s">
        <v>282</v>
      </c>
      <c r="T446" s="68" t="s">
        <v>282</v>
      </c>
      <c r="U446" s="68" t="s">
        <v>282</v>
      </c>
      <c r="V446" s="68" t="s">
        <v>282</v>
      </c>
      <c r="W446" s="69" t="s">
        <v>282</v>
      </c>
      <c r="X446" s="69" t="s">
        <v>282</v>
      </c>
      <c r="Y446" s="70" t="s">
        <v>282</v>
      </c>
    </row>
    <row r="447" spans="1:25">
      <c r="A447" s="64">
        <v>8</v>
      </c>
      <c r="B447" s="65" t="str">
        <f>VLOOKUP(Tabel10[[#This Row],[Code]],Ruimtegroepen[[Code]:[Ruimte omschrijving]],2,FALSE)</f>
        <v>Kinderopvang</v>
      </c>
      <c r="C447" s="66" t="s">
        <v>652</v>
      </c>
      <c r="D447" s="65" t="s">
        <v>27</v>
      </c>
      <c r="E447" s="66" t="s">
        <v>1309</v>
      </c>
      <c r="F447" s="66" t="s">
        <v>1381</v>
      </c>
      <c r="G447" s="71" t="s">
        <v>282</v>
      </c>
      <c r="H447" s="67" t="s">
        <v>282</v>
      </c>
      <c r="I447" s="67" t="s">
        <v>15</v>
      </c>
      <c r="J447" s="67" t="s">
        <v>282</v>
      </c>
      <c r="K447" s="67" t="s">
        <v>282</v>
      </c>
      <c r="L447" s="67" t="s">
        <v>282</v>
      </c>
      <c r="M447" s="67" t="s">
        <v>282</v>
      </c>
      <c r="N447" s="67" t="s">
        <v>282</v>
      </c>
      <c r="O447" s="68" t="s">
        <v>15</v>
      </c>
      <c r="P447" s="68" t="s">
        <v>15</v>
      </c>
      <c r="Q447" s="68" t="s">
        <v>15</v>
      </c>
      <c r="R447" s="68" t="s">
        <v>282</v>
      </c>
      <c r="S447" s="68" t="s">
        <v>282</v>
      </c>
      <c r="T447" s="68" t="s">
        <v>282</v>
      </c>
      <c r="U447" s="68" t="s">
        <v>282</v>
      </c>
      <c r="V447" s="68" t="s">
        <v>282</v>
      </c>
      <c r="W447" s="69" t="s">
        <v>282</v>
      </c>
      <c r="X447" s="69" t="s">
        <v>282</v>
      </c>
      <c r="Y447" s="70" t="s">
        <v>282</v>
      </c>
    </row>
    <row r="448" spans="1:25">
      <c r="A448" s="64">
        <v>8</v>
      </c>
      <c r="B448" s="65" t="str">
        <f>VLOOKUP(Tabel10[[#This Row],[Code]],Ruimtegroepen[[Code]:[Ruimte omschrijving]],2,FALSE)</f>
        <v>Kinderopvang</v>
      </c>
      <c r="C448" s="66" t="s">
        <v>657</v>
      </c>
      <c r="D448" s="65" t="s">
        <v>28</v>
      </c>
      <c r="E448" s="66" t="s">
        <v>100</v>
      </c>
      <c r="F448" s="66" t="s">
        <v>658</v>
      </c>
      <c r="G448" s="71" t="s">
        <v>282</v>
      </c>
      <c r="H448" s="67" t="s">
        <v>282</v>
      </c>
      <c r="I448" s="67" t="s">
        <v>17</v>
      </c>
      <c r="J448" s="67" t="s">
        <v>282</v>
      </c>
      <c r="K448" s="67" t="s">
        <v>282</v>
      </c>
      <c r="L448" s="67" t="s">
        <v>282</v>
      </c>
      <c r="M448" s="67" t="s">
        <v>282</v>
      </c>
      <c r="N448" s="67" t="s">
        <v>282</v>
      </c>
      <c r="O448" s="68" t="s">
        <v>17</v>
      </c>
      <c r="P448" s="68" t="s">
        <v>17</v>
      </c>
      <c r="Q448" s="68" t="s">
        <v>15</v>
      </c>
      <c r="R448" s="68" t="s">
        <v>282</v>
      </c>
      <c r="S448" s="68" t="s">
        <v>282</v>
      </c>
      <c r="T448" s="68" t="s">
        <v>282</v>
      </c>
      <c r="U448" s="68" t="s">
        <v>282</v>
      </c>
      <c r="V448" s="68" t="s">
        <v>282</v>
      </c>
      <c r="W448" s="69" t="s">
        <v>282</v>
      </c>
      <c r="X448" s="69" t="s">
        <v>282</v>
      </c>
      <c r="Y448" s="70" t="s">
        <v>282</v>
      </c>
    </row>
    <row r="449" spans="1:25">
      <c r="A449" s="64">
        <v>8</v>
      </c>
      <c r="B449" s="65" t="str">
        <f>VLOOKUP(Tabel10[[#This Row],[Code]],Ruimtegroepen[[Code]:[Ruimte omschrijving]],2,FALSE)</f>
        <v>Kinderopvang</v>
      </c>
      <c r="C449" s="66" t="s">
        <v>657</v>
      </c>
      <c r="D449" s="65" t="s">
        <v>28</v>
      </c>
      <c r="E449" s="66" t="s">
        <v>99</v>
      </c>
      <c r="F449" s="66" t="s">
        <v>659</v>
      </c>
      <c r="G449" s="71" t="s">
        <v>282</v>
      </c>
      <c r="H449" s="67" t="s">
        <v>17</v>
      </c>
      <c r="I449" s="67" t="s">
        <v>282</v>
      </c>
      <c r="J449" s="67" t="s">
        <v>282</v>
      </c>
      <c r="K449" s="67" t="s">
        <v>282</v>
      </c>
      <c r="L449" s="67" t="s">
        <v>282</v>
      </c>
      <c r="M449" s="67" t="s">
        <v>282</v>
      </c>
      <c r="N449" s="67" t="s">
        <v>282</v>
      </c>
      <c r="O449" s="68" t="s">
        <v>17</v>
      </c>
      <c r="P449" s="68" t="s">
        <v>17</v>
      </c>
      <c r="Q449" s="68" t="s">
        <v>15</v>
      </c>
      <c r="R449" s="68" t="s">
        <v>282</v>
      </c>
      <c r="S449" s="68" t="s">
        <v>282</v>
      </c>
      <c r="T449" s="68" t="s">
        <v>282</v>
      </c>
      <c r="U449" s="68" t="s">
        <v>282</v>
      </c>
      <c r="V449" s="68" t="s">
        <v>282</v>
      </c>
      <c r="W449" s="69" t="s">
        <v>282</v>
      </c>
      <c r="X449" s="69" t="s">
        <v>282</v>
      </c>
      <c r="Y449" s="70" t="s">
        <v>282</v>
      </c>
    </row>
    <row r="450" spans="1:25">
      <c r="A450" s="64">
        <v>8</v>
      </c>
      <c r="B450" s="65" t="str">
        <f>VLOOKUP(Tabel10[[#This Row],[Code]],Ruimtegroepen[[Code]:[Ruimte omschrijving]],2,FALSE)</f>
        <v>Kinderopvang</v>
      </c>
      <c r="C450" s="66" t="s">
        <v>657</v>
      </c>
      <c r="D450" s="65" t="s">
        <v>28</v>
      </c>
      <c r="E450" s="66" t="s">
        <v>101</v>
      </c>
      <c r="F450" s="66" t="s">
        <v>660</v>
      </c>
      <c r="G450" s="71" t="s">
        <v>282</v>
      </c>
      <c r="H450" s="67" t="s">
        <v>282</v>
      </c>
      <c r="I450" s="67" t="s">
        <v>17</v>
      </c>
      <c r="J450" s="67" t="s">
        <v>282</v>
      </c>
      <c r="K450" s="67" t="s">
        <v>282</v>
      </c>
      <c r="L450" s="67" t="s">
        <v>282</v>
      </c>
      <c r="M450" s="67" t="s">
        <v>282</v>
      </c>
      <c r="N450" s="67" t="s">
        <v>282</v>
      </c>
      <c r="O450" s="68" t="s">
        <v>17</v>
      </c>
      <c r="P450" s="68" t="s">
        <v>17</v>
      </c>
      <c r="Q450" s="68" t="s">
        <v>15</v>
      </c>
      <c r="R450" s="68" t="s">
        <v>282</v>
      </c>
      <c r="S450" s="68" t="s">
        <v>282</v>
      </c>
      <c r="T450" s="68" t="s">
        <v>282</v>
      </c>
      <c r="U450" s="68" t="s">
        <v>282</v>
      </c>
      <c r="V450" s="68" t="s">
        <v>282</v>
      </c>
      <c r="W450" s="69" t="s">
        <v>282</v>
      </c>
      <c r="X450" s="69" t="s">
        <v>282</v>
      </c>
      <c r="Y450" s="70" t="s">
        <v>282</v>
      </c>
    </row>
    <row r="451" spans="1:25">
      <c r="A451" s="64">
        <v>8</v>
      </c>
      <c r="B451" s="65" t="str">
        <f>VLOOKUP(Tabel10[[#This Row],[Code]],Ruimtegroepen[[Code]:[Ruimte omschrijving]],2,FALSE)</f>
        <v>Kinderopvang</v>
      </c>
      <c r="C451" s="66" t="s">
        <v>657</v>
      </c>
      <c r="D451" s="65" t="s">
        <v>28</v>
      </c>
      <c r="E451" s="66" t="s">
        <v>102</v>
      </c>
      <c r="F451" s="66" t="s">
        <v>661</v>
      </c>
      <c r="G451" s="71" t="s">
        <v>282</v>
      </c>
      <c r="H451" s="67" t="s">
        <v>282</v>
      </c>
      <c r="I451" s="67" t="s">
        <v>17</v>
      </c>
      <c r="J451" s="67" t="s">
        <v>282</v>
      </c>
      <c r="K451" s="67" t="s">
        <v>282</v>
      </c>
      <c r="L451" s="67" t="s">
        <v>282</v>
      </c>
      <c r="M451" s="67" t="s">
        <v>282</v>
      </c>
      <c r="N451" s="67" t="s">
        <v>282</v>
      </c>
      <c r="O451" s="68" t="s">
        <v>17</v>
      </c>
      <c r="P451" s="68" t="s">
        <v>17</v>
      </c>
      <c r="Q451" s="68" t="s">
        <v>15</v>
      </c>
      <c r="R451" s="68" t="s">
        <v>282</v>
      </c>
      <c r="S451" s="68" t="s">
        <v>282</v>
      </c>
      <c r="T451" s="68" t="s">
        <v>282</v>
      </c>
      <c r="U451" s="68" t="s">
        <v>282</v>
      </c>
      <c r="V451" s="68" t="s">
        <v>282</v>
      </c>
      <c r="W451" s="69" t="s">
        <v>282</v>
      </c>
      <c r="X451" s="69" t="s">
        <v>282</v>
      </c>
      <c r="Y451" s="70" t="s">
        <v>282</v>
      </c>
    </row>
    <row r="452" spans="1:25">
      <c r="A452" s="64">
        <v>8</v>
      </c>
      <c r="B452" s="65" t="str">
        <f>VLOOKUP(Tabel10[[#This Row],[Code]],Ruimtegroepen[[Code]:[Ruimte omschrijving]],2,FALSE)</f>
        <v>Kinderopvang</v>
      </c>
      <c r="C452" s="66" t="s">
        <v>657</v>
      </c>
      <c r="D452" s="65" t="s">
        <v>28</v>
      </c>
      <c r="E452" s="66" t="s">
        <v>99</v>
      </c>
      <c r="F452" s="66" t="s">
        <v>659</v>
      </c>
      <c r="G452" s="71" t="s">
        <v>282</v>
      </c>
      <c r="H452" s="67" t="s">
        <v>17</v>
      </c>
      <c r="I452" s="67" t="s">
        <v>282</v>
      </c>
      <c r="J452" s="67" t="s">
        <v>282</v>
      </c>
      <c r="K452" s="67" t="s">
        <v>282</v>
      </c>
      <c r="L452" s="67" t="s">
        <v>282</v>
      </c>
      <c r="M452" s="67" t="s">
        <v>282</v>
      </c>
      <c r="N452" s="67" t="s">
        <v>282</v>
      </c>
      <c r="O452" s="68" t="s">
        <v>17</v>
      </c>
      <c r="P452" s="68" t="s">
        <v>17</v>
      </c>
      <c r="Q452" s="68" t="s">
        <v>15</v>
      </c>
      <c r="R452" s="68" t="s">
        <v>282</v>
      </c>
      <c r="S452" s="68" t="s">
        <v>282</v>
      </c>
      <c r="T452" s="68" t="s">
        <v>282</v>
      </c>
      <c r="U452" s="68" t="s">
        <v>282</v>
      </c>
      <c r="V452" s="68" t="s">
        <v>282</v>
      </c>
      <c r="W452" s="69" t="s">
        <v>282</v>
      </c>
      <c r="X452" s="69" t="s">
        <v>282</v>
      </c>
      <c r="Y452" s="70" t="s">
        <v>282</v>
      </c>
    </row>
    <row r="453" spans="1:25">
      <c r="A453" s="64">
        <v>8</v>
      </c>
      <c r="B453" s="65" t="str">
        <f>VLOOKUP(Tabel10[[#This Row],[Code]],Ruimtegroepen[[Code]:[Ruimte omschrijving]],2,FALSE)</f>
        <v>Kinderopvang</v>
      </c>
      <c r="C453" s="66" t="s">
        <v>657</v>
      </c>
      <c r="D453" s="65" t="s">
        <v>28</v>
      </c>
      <c r="E453" s="66" t="s">
        <v>1309</v>
      </c>
      <c r="F453" s="66" t="s">
        <v>1414</v>
      </c>
      <c r="G453" s="71" t="s">
        <v>282</v>
      </c>
      <c r="H453" s="67" t="s">
        <v>282</v>
      </c>
      <c r="I453" s="67" t="s">
        <v>17</v>
      </c>
      <c r="J453" s="67" t="s">
        <v>282</v>
      </c>
      <c r="K453" s="67" t="s">
        <v>282</v>
      </c>
      <c r="L453" s="67" t="s">
        <v>282</v>
      </c>
      <c r="M453" s="67" t="s">
        <v>282</v>
      </c>
      <c r="N453" s="67" t="s">
        <v>282</v>
      </c>
      <c r="O453" s="68" t="s">
        <v>17</v>
      </c>
      <c r="P453" s="68" t="s">
        <v>17</v>
      </c>
      <c r="Q453" s="68" t="s">
        <v>15</v>
      </c>
      <c r="R453" s="68" t="s">
        <v>282</v>
      </c>
      <c r="S453" s="68" t="s">
        <v>282</v>
      </c>
      <c r="T453" s="68" t="s">
        <v>282</v>
      </c>
      <c r="U453" s="68" t="s">
        <v>282</v>
      </c>
      <c r="V453" s="68" t="s">
        <v>282</v>
      </c>
      <c r="W453" s="69" t="s">
        <v>282</v>
      </c>
      <c r="X453" s="69" t="s">
        <v>282</v>
      </c>
      <c r="Y453" s="70" t="s">
        <v>282</v>
      </c>
    </row>
    <row r="454" spans="1:25">
      <c r="A454" s="64">
        <v>9</v>
      </c>
      <c r="B454" s="65" t="str">
        <f>VLOOKUP(Tabel10[[#This Row],[Code]],Ruimtegroepen[[Code]:[Ruimte omschrijving]],2,FALSE)</f>
        <v>Bibliotheek/OLC</v>
      </c>
      <c r="C454" s="66" t="s">
        <v>662</v>
      </c>
      <c r="D454" s="65" t="s">
        <v>29</v>
      </c>
      <c r="E454" s="66" t="s">
        <v>100</v>
      </c>
      <c r="F454" s="66" t="s">
        <v>663</v>
      </c>
      <c r="G454" s="71" t="s">
        <v>282</v>
      </c>
      <c r="H454" s="67" t="s">
        <v>282</v>
      </c>
      <c r="I454" s="67" t="s">
        <v>20</v>
      </c>
      <c r="J454" s="67" t="s">
        <v>15</v>
      </c>
      <c r="K454" s="67" t="s">
        <v>282</v>
      </c>
      <c r="L454" s="67" t="s">
        <v>282</v>
      </c>
      <c r="M454" s="67" t="s">
        <v>282</v>
      </c>
      <c r="N454" s="67" t="s">
        <v>2</v>
      </c>
      <c r="O454" s="68" t="s">
        <v>2</v>
      </c>
      <c r="P454" s="68" t="s">
        <v>2</v>
      </c>
      <c r="Q454" s="68" t="s">
        <v>15</v>
      </c>
      <c r="R454" s="68" t="s">
        <v>15</v>
      </c>
      <c r="S454" s="68" t="s">
        <v>16</v>
      </c>
      <c r="T454" s="68" t="s">
        <v>329</v>
      </c>
      <c r="U454" s="68" t="s">
        <v>249</v>
      </c>
      <c r="V454" s="68" t="s">
        <v>2</v>
      </c>
      <c r="W454" s="69" t="s">
        <v>282</v>
      </c>
      <c r="X454" s="69" t="s">
        <v>282</v>
      </c>
      <c r="Y454" s="70" t="s">
        <v>282</v>
      </c>
    </row>
    <row r="455" spans="1:25">
      <c r="A455" s="64">
        <v>9</v>
      </c>
      <c r="B455" s="65" t="str">
        <f>VLOOKUP(Tabel10[[#This Row],[Code]],Ruimtegroepen[[Code]:[Ruimte omschrijving]],2,FALSE)</f>
        <v>Bibliotheek/OLC</v>
      </c>
      <c r="C455" s="66" t="s">
        <v>662</v>
      </c>
      <c r="D455" s="65" t="s">
        <v>29</v>
      </c>
      <c r="E455" s="66" t="s">
        <v>99</v>
      </c>
      <c r="F455" s="66" t="s">
        <v>664</v>
      </c>
      <c r="G455" s="71" t="s">
        <v>282</v>
      </c>
      <c r="H455" s="67" t="s">
        <v>2</v>
      </c>
      <c r="I455" s="67" t="s">
        <v>282</v>
      </c>
      <c r="J455" s="67" t="s">
        <v>282</v>
      </c>
      <c r="K455" s="67" t="s">
        <v>282</v>
      </c>
      <c r="L455" s="67" t="s">
        <v>282</v>
      </c>
      <c r="M455" s="67" t="s">
        <v>282</v>
      </c>
      <c r="N455" s="67" t="s">
        <v>2</v>
      </c>
      <c r="O455" s="68" t="s">
        <v>2</v>
      </c>
      <c r="P455" s="68" t="s">
        <v>2</v>
      </c>
      <c r="Q455" s="68" t="s">
        <v>15</v>
      </c>
      <c r="R455" s="68" t="s">
        <v>15</v>
      </c>
      <c r="S455" s="68" t="s">
        <v>16</v>
      </c>
      <c r="T455" s="68" t="s">
        <v>329</v>
      </c>
      <c r="U455" s="68" t="s">
        <v>249</v>
      </c>
      <c r="V455" s="68" t="s">
        <v>2</v>
      </c>
      <c r="W455" s="69" t="s">
        <v>282</v>
      </c>
      <c r="X455" s="69" t="s">
        <v>282</v>
      </c>
      <c r="Y455" s="70" t="s">
        <v>282</v>
      </c>
    </row>
    <row r="456" spans="1:25">
      <c r="A456" s="64">
        <v>9</v>
      </c>
      <c r="B456" s="65" t="str">
        <f>VLOOKUP(Tabel10[[#This Row],[Code]],Ruimtegroepen[[Code]:[Ruimte omschrijving]],2,FALSE)</f>
        <v>Bibliotheek/OLC</v>
      </c>
      <c r="C456" s="66" t="s">
        <v>662</v>
      </c>
      <c r="D456" s="65" t="s">
        <v>29</v>
      </c>
      <c r="E456" s="66" t="s">
        <v>101</v>
      </c>
      <c r="F456" s="66" t="s">
        <v>665</v>
      </c>
      <c r="G456" s="71" t="s">
        <v>282</v>
      </c>
      <c r="H456" s="67" t="s">
        <v>282</v>
      </c>
      <c r="I456" s="67" t="s">
        <v>20</v>
      </c>
      <c r="J456" s="67" t="s">
        <v>15</v>
      </c>
      <c r="K456" s="67" t="s">
        <v>283</v>
      </c>
      <c r="L456" s="67" t="s">
        <v>282</v>
      </c>
      <c r="M456" s="67" t="s">
        <v>282</v>
      </c>
      <c r="N456" s="67" t="s">
        <v>2</v>
      </c>
      <c r="O456" s="68" t="s">
        <v>2</v>
      </c>
      <c r="P456" s="68" t="s">
        <v>2</v>
      </c>
      <c r="Q456" s="68" t="s">
        <v>15</v>
      </c>
      <c r="R456" s="68" t="s">
        <v>15</v>
      </c>
      <c r="S456" s="68" t="s">
        <v>16</v>
      </c>
      <c r="T456" s="68" t="s">
        <v>329</v>
      </c>
      <c r="U456" s="68" t="s">
        <v>249</v>
      </c>
      <c r="V456" s="68" t="s">
        <v>2</v>
      </c>
      <c r="W456" s="69" t="s">
        <v>282</v>
      </c>
      <c r="X456" s="69" t="s">
        <v>282</v>
      </c>
      <c r="Y456" s="70" t="s">
        <v>282</v>
      </c>
    </row>
    <row r="457" spans="1:25">
      <c r="A457" s="64">
        <v>9</v>
      </c>
      <c r="B457" s="65" t="str">
        <f>VLOOKUP(Tabel10[[#This Row],[Code]],Ruimtegroepen[[Code]:[Ruimte omschrijving]],2,FALSE)</f>
        <v>Bibliotheek/OLC</v>
      </c>
      <c r="C457" s="66" t="s">
        <v>662</v>
      </c>
      <c r="D457" s="65" t="s">
        <v>29</v>
      </c>
      <c r="E457" s="66" t="s">
        <v>102</v>
      </c>
      <c r="F457" s="66" t="s">
        <v>666</v>
      </c>
      <c r="G457" s="71" t="s">
        <v>282</v>
      </c>
      <c r="H457" s="67" t="s">
        <v>282</v>
      </c>
      <c r="I457" s="67" t="s">
        <v>20</v>
      </c>
      <c r="J457" s="67" t="s">
        <v>15</v>
      </c>
      <c r="K457" s="67" t="s">
        <v>283</v>
      </c>
      <c r="L457" s="67" t="s">
        <v>282</v>
      </c>
      <c r="M457" s="67" t="s">
        <v>282</v>
      </c>
      <c r="N457" s="67" t="s">
        <v>2</v>
      </c>
      <c r="O457" s="68" t="s">
        <v>2</v>
      </c>
      <c r="P457" s="68" t="s">
        <v>2</v>
      </c>
      <c r="Q457" s="68" t="s">
        <v>15</v>
      </c>
      <c r="R457" s="68" t="s">
        <v>15</v>
      </c>
      <c r="S457" s="68" t="s">
        <v>16</v>
      </c>
      <c r="T457" s="68" t="s">
        <v>329</v>
      </c>
      <c r="U457" s="68" t="s">
        <v>249</v>
      </c>
      <c r="V457" s="68" t="s">
        <v>2</v>
      </c>
      <c r="W457" s="69" t="s">
        <v>282</v>
      </c>
      <c r="X457" s="69" t="s">
        <v>282</v>
      </c>
      <c r="Y457" s="70" t="s">
        <v>282</v>
      </c>
    </row>
    <row r="458" spans="1:25">
      <c r="A458" s="64">
        <v>9</v>
      </c>
      <c r="B458" s="65" t="str">
        <f>VLOOKUP(Tabel10[[#This Row],[Code]],Ruimtegroepen[[Code]:[Ruimte omschrijving]],2,FALSE)</f>
        <v>Bibliotheek/OLC</v>
      </c>
      <c r="C458" s="66" t="s">
        <v>662</v>
      </c>
      <c r="D458" s="65" t="s">
        <v>29</v>
      </c>
      <c r="E458" s="66" t="s">
        <v>99</v>
      </c>
      <c r="F458" s="66" t="s">
        <v>664</v>
      </c>
      <c r="G458" s="71" t="s">
        <v>282</v>
      </c>
      <c r="H458" s="67" t="s">
        <v>2</v>
      </c>
      <c r="I458" s="67" t="s">
        <v>282</v>
      </c>
      <c r="J458" s="67" t="s">
        <v>282</v>
      </c>
      <c r="K458" s="67" t="s">
        <v>282</v>
      </c>
      <c r="L458" s="67" t="s">
        <v>282</v>
      </c>
      <c r="M458" s="67" t="s">
        <v>282</v>
      </c>
      <c r="N458" s="67" t="s">
        <v>2</v>
      </c>
      <c r="O458" s="68" t="s">
        <v>2</v>
      </c>
      <c r="P458" s="68" t="s">
        <v>2</v>
      </c>
      <c r="Q458" s="68" t="s">
        <v>15</v>
      </c>
      <c r="R458" s="68" t="s">
        <v>15</v>
      </c>
      <c r="S458" s="68" t="s">
        <v>16</v>
      </c>
      <c r="T458" s="68" t="s">
        <v>329</v>
      </c>
      <c r="U458" s="68" t="s">
        <v>249</v>
      </c>
      <c r="V458" s="68" t="s">
        <v>2</v>
      </c>
      <c r="W458" s="69" t="s">
        <v>282</v>
      </c>
      <c r="X458" s="69" t="s">
        <v>282</v>
      </c>
      <c r="Y458" s="70" t="s">
        <v>282</v>
      </c>
    </row>
    <row r="459" spans="1:25">
      <c r="A459" s="64">
        <v>9</v>
      </c>
      <c r="B459" s="65" t="str">
        <f>VLOOKUP(Tabel10[[#This Row],[Code]],Ruimtegroepen[[Code]:[Ruimte omschrijving]],2,FALSE)</f>
        <v>Bibliotheek/OLC</v>
      </c>
      <c r="C459" s="66" t="s">
        <v>662</v>
      </c>
      <c r="D459" s="65" t="s">
        <v>29</v>
      </c>
      <c r="E459" s="66" t="s">
        <v>1309</v>
      </c>
      <c r="F459" s="66" t="s">
        <v>1482</v>
      </c>
      <c r="G459" s="71" t="s">
        <v>282</v>
      </c>
      <c r="H459" s="67" t="s">
        <v>282</v>
      </c>
      <c r="I459" s="67" t="s">
        <v>20</v>
      </c>
      <c r="J459" s="67" t="s">
        <v>15</v>
      </c>
      <c r="K459" s="67" t="s">
        <v>283</v>
      </c>
      <c r="L459" s="67" t="s">
        <v>282</v>
      </c>
      <c r="M459" s="67" t="s">
        <v>282</v>
      </c>
      <c r="N459" s="67" t="s">
        <v>2</v>
      </c>
      <c r="O459" s="68" t="s">
        <v>2</v>
      </c>
      <c r="P459" s="68" t="s">
        <v>2</v>
      </c>
      <c r="Q459" s="68" t="s">
        <v>15</v>
      </c>
      <c r="R459" s="68" t="s">
        <v>15</v>
      </c>
      <c r="S459" s="68" t="s">
        <v>16</v>
      </c>
      <c r="T459" s="68" t="s">
        <v>329</v>
      </c>
      <c r="U459" s="68" t="s">
        <v>249</v>
      </c>
      <c r="V459" s="68" t="s">
        <v>2</v>
      </c>
      <c r="W459" s="69" t="s">
        <v>282</v>
      </c>
      <c r="X459" s="69" t="s">
        <v>282</v>
      </c>
      <c r="Y459" s="70" t="s">
        <v>282</v>
      </c>
    </row>
    <row r="460" spans="1:25">
      <c r="A460" s="64">
        <v>9</v>
      </c>
      <c r="B460" s="65" t="str">
        <f>VLOOKUP(Tabel10[[#This Row],[Code]],Ruimtegroepen[[Code]:[Ruimte omschrijving]],2,FALSE)</f>
        <v>Bibliotheek/OLC</v>
      </c>
      <c r="C460" s="66" t="s">
        <v>667</v>
      </c>
      <c r="D460" s="65" t="s">
        <v>1</v>
      </c>
      <c r="E460" s="66" t="s">
        <v>100</v>
      </c>
      <c r="F460" s="66" t="s">
        <v>668</v>
      </c>
      <c r="G460" s="71" t="s">
        <v>282</v>
      </c>
      <c r="H460" s="67" t="s">
        <v>282</v>
      </c>
      <c r="I460" s="67" t="s">
        <v>20</v>
      </c>
      <c r="J460" s="67" t="s">
        <v>15</v>
      </c>
      <c r="K460" s="67" t="s">
        <v>282</v>
      </c>
      <c r="L460" s="67" t="s">
        <v>282</v>
      </c>
      <c r="M460" s="67" t="s">
        <v>282</v>
      </c>
      <c r="N460" s="67" t="s">
        <v>282</v>
      </c>
      <c r="O460" s="68" t="s">
        <v>2</v>
      </c>
      <c r="P460" s="68" t="s">
        <v>2</v>
      </c>
      <c r="Q460" s="68" t="s">
        <v>15</v>
      </c>
      <c r="R460" s="68" t="s">
        <v>15</v>
      </c>
      <c r="S460" s="68" t="s">
        <v>16</v>
      </c>
      <c r="T460" s="68" t="s">
        <v>329</v>
      </c>
      <c r="U460" s="68" t="s">
        <v>249</v>
      </c>
      <c r="V460" s="68" t="s">
        <v>282</v>
      </c>
      <c r="W460" s="69" t="s">
        <v>282</v>
      </c>
      <c r="X460" s="69" t="s">
        <v>282</v>
      </c>
      <c r="Y460" s="70" t="s">
        <v>282</v>
      </c>
    </row>
    <row r="461" spans="1:25">
      <c r="A461" s="64">
        <v>9</v>
      </c>
      <c r="B461" s="65" t="str">
        <f>VLOOKUP(Tabel10[[#This Row],[Code]],Ruimtegroepen[[Code]:[Ruimte omschrijving]],2,FALSE)</f>
        <v>Bibliotheek/OLC</v>
      </c>
      <c r="C461" s="66" t="s">
        <v>667</v>
      </c>
      <c r="D461" s="65" t="s">
        <v>1</v>
      </c>
      <c r="E461" s="66" t="s">
        <v>99</v>
      </c>
      <c r="F461" s="66" t="s">
        <v>669</v>
      </c>
      <c r="G461" s="71" t="s">
        <v>282</v>
      </c>
      <c r="H461" s="67" t="s">
        <v>2</v>
      </c>
      <c r="I461" s="67" t="s">
        <v>282</v>
      </c>
      <c r="J461" s="67" t="s">
        <v>282</v>
      </c>
      <c r="K461" s="67" t="s">
        <v>282</v>
      </c>
      <c r="L461" s="67" t="s">
        <v>282</v>
      </c>
      <c r="M461" s="67" t="s">
        <v>282</v>
      </c>
      <c r="N461" s="67" t="s">
        <v>282</v>
      </c>
      <c r="O461" s="68" t="s">
        <v>2</v>
      </c>
      <c r="P461" s="68" t="s">
        <v>2</v>
      </c>
      <c r="Q461" s="68" t="s">
        <v>15</v>
      </c>
      <c r="R461" s="68" t="s">
        <v>15</v>
      </c>
      <c r="S461" s="68" t="s">
        <v>16</v>
      </c>
      <c r="T461" s="68" t="s">
        <v>329</v>
      </c>
      <c r="U461" s="68" t="s">
        <v>249</v>
      </c>
      <c r="V461" s="68" t="s">
        <v>282</v>
      </c>
      <c r="W461" s="69" t="s">
        <v>282</v>
      </c>
      <c r="X461" s="69" t="s">
        <v>282</v>
      </c>
      <c r="Y461" s="70" t="s">
        <v>282</v>
      </c>
    </row>
    <row r="462" spans="1:25">
      <c r="A462" s="64">
        <v>9</v>
      </c>
      <c r="B462" s="65" t="str">
        <f>VLOOKUP(Tabel10[[#This Row],[Code]],Ruimtegroepen[[Code]:[Ruimte omschrijving]],2,FALSE)</f>
        <v>Bibliotheek/OLC</v>
      </c>
      <c r="C462" s="66" t="s">
        <v>667</v>
      </c>
      <c r="D462" s="65" t="s">
        <v>1</v>
      </c>
      <c r="E462" s="66" t="s">
        <v>101</v>
      </c>
      <c r="F462" s="66" t="s">
        <v>670</v>
      </c>
      <c r="G462" s="71" t="s">
        <v>282</v>
      </c>
      <c r="H462" s="67" t="s">
        <v>282</v>
      </c>
      <c r="I462" s="67" t="s">
        <v>20</v>
      </c>
      <c r="J462" s="67" t="s">
        <v>15</v>
      </c>
      <c r="K462" s="67" t="s">
        <v>283</v>
      </c>
      <c r="L462" s="67" t="s">
        <v>282</v>
      </c>
      <c r="M462" s="67" t="s">
        <v>282</v>
      </c>
      <c r="N462" s="67" t="s">
        <v>282</v>
      </c>
      <c r="O462" s="68" t="s">
        <v>2</v>
      </c>
      <c r="P462" s="68" t="s">
        <v>2</v>
      </c>
      <c r="Q462" s="68" t="s">
        <v>15</v>
      </c>
      <c r="R462" s="68" t="s">
        <v>15</v>
      </c>
      <c r="S462" s="68" t="s">
        <v>16</v>
      </c>
      <c r="T462" s="68" t="s">
        <v>329</v>
      </c>
      <c r="U462" s="68" t="s">
        <v>249</v>
      </c>
      <c r="V462" s="68" t="s">
        <v>282</v>
      </c>
      <c r="W462" s="69" t="s">
        <v>282</v>
      </c>
      <c r="X462" s="69" t="s">
        <v>282</v>
      </c>
      <c r="Y462" s="70" t="s">
        <v>282</v>
      </c>
    </row>
    <row r="463" spans="1:25">
      <c r="A463" s="64">
        <v>9</v>
      </c>
      <c r="B463" s="65" t="str">
        <f>VLOOKUP(Tabel10[[#This Row],[Code]],Ruimtegroepen[[Code]:[Ruimte omschrijving]],2,FALSE)</f>
        <v>Bibliotheek/OLC</v>
      </c>
      <c r="C463" s="66" t="s">
        <v>667</v>
      </c>
      <c r="D463" s="65" t="s">
        <v>1</v>
      </c>
      <c r="E463" s="66" t="s">
        <v>102</v>
      </c>
      <c r="F463" s="66" t="s">
        <v>671</v>
      </c>
      <c r="G463" s="71" t="s">
        <v>282</v>
      </c>
      <c r="H463" s="67" t="s">
        <v>282</v>
      </c>
      <c r="I463" s="67" t="s">
        <v>2</v>
      </c>
      <c r="J463" s="67" t="s">
        <v>282</v>
      </c>
      <c r="K463" s="67" t="s">
        <v>283</v>
      </c>
      <c r="L463" s="67" t="s">
        <v>282</v>
      </c>
      <c r="M463" s="67" t="s">
        <v>282</v>
      </c>
      <c r="N463" s="67" t="s">
        <v>282</v>
      </c>
      <c r="O463" s="68" t="s">
        <v>2</v>
      </c>
      <c r="P463" s="68" t="s">
        <v>2</v>
      </c>
      <c r="Q463" s="68" t="s">
        <v>15</v>
      </c>
      <c r="R463" s="68" t="s">
        <v>15</v>
      </c>
      <c r="S463" s="68" t="s">
        <v>16</v>
      </c>
      <c r="T463" s="68" t="s">
        <v>329</v>
      </c>
      <c r="U463" s="68" t="s">
        <v>249</v>
      </c>
      <c r="V463" s="68" t="s">
        <v>282</v>
      </c>
      <c r="W463" s="69" t="s">
        <v>282</v>
      </c>
      <c r="X463" s="69" t="s">
        <v>282</v>
      </c>
      <c r="Y463" s="70" t="s">
        <v>282</v>
      </c>
    </row>
    <row r="464" spans="1:25">
      <c r="A464" s="64">
        <v>9</v>
      </c>
      <c r="B464" s="65" t="str">
        <f>VLOOKUP(Tabel10[[#This Row],[Code]],Ruimtegroepen[[Code]:[Ruimte omschrijving]],2,FALSE)</f>
        <v>Bibliotheek/OLC</v>
      </c>
      <c r="C464" s="66" t="s">
        <v>667</v>
      </c>
      <c r="D464" s="65" t="s">
        <v>1</v>
      </c>
      <c r="E464" s="66" t="s">
        <v>99</v>
      </c>
      <c r="F464" s="66" t="s">
        <v>669</v>
      </c>
      <c r="G464" s="71" t="s">
        <v>282</v>
      </c>
      <c r="H464" s="67" t="s">
        <v>2</v>
      </c>
      <c r="I464" s="67" t="s">
        <v>282</v>
      </c>
      <c r="J464" s="67" t="s">
        <v>282</v>
      </c>
      <c r="K464" s="67" t="s">
        <v>282</v>
      </c>
      <c r="L464" s="67" t="s">
        <v>282</v>
      </c>
      <c r="M464" s="67" t="s">
        <v>282</v>
      </c>
      <c r="N464" s="67" t="s">
        <v>282</v>
      </c>
      <c r="O464" s="68" t="s">
        <v>2</v>
      </c>
      <c r="P464" s="68" t="s">
        <v>2</v>
      </c>
      <c r="Q464" s="68" t="s">
        <v>15</v>
      </c>
      <c r="R464" s="68" t="s">
        <v>15</v>
      </c>
      <c r="S464" s="68" t="s">
        <v>16</v>
      </c>
      <c r="T464" s="68" t="s">
        <v>329</v>
      </c>
      <c r="U464" s="68" t="s">
        <v>249</v>
      </c>
      <c r="V464" s="68" t="s">
        <v>282</v>
      </c>
      <c r="W464" s="69" t="s">
        <v>282</v>
      </c>
      <c r="X464" s="69" t="s">
        <v>282</v>
      </c>
      <c r="Y464" s="70" t="s">
        <v>282</v>
      </c>
    </row>
    <row r="465" spans="1:25">
      <c r="A465" s="64">
        <v>9</v>
      </c>
      <c r="B465" s="65" t="str">
        <f>VLOOKUP(Tabel10[[#This Row],[Code]],Ruimtegroepen[[Code]:[Ruimte omschrijving]],2,FALSE)</f>
        <v>Bibliotheek/OLC</v>
      </c>
      <c r="C465" s="66" t="s">
        <v>667</v>
      </c>
      <c r="D465" s="65" t="s">
        <v>1</v>
      </c>
      <c r="E465" s="66" t="s">
        <v>1309</v>
      </c>
      <c r="F465" s="66" t="s">
        <v>1466</v>
      </c>
      <c r="G465" s="71" t="s">
        <v>282</v>
      </c>
      <c r="H465" s="67" t="s">
        <v>282</v>
      </c>
      <c r="I465" s="67" t="s">
        <v>2</v>
      </c>
      <c r="J465" s="67" t="s">
        <v>282</v>
      </c>
      <c r="K465" s="67" t="s">
        <v>283</v>
      </c>
      <c r="L465" s="67" t="s">
        <v>282</v>
      </c>
      <c r="M465" s="67" t="s">
        <v>282</v>
      </c>
      <c r="N465" s="67" t="s">
        <v>282</v>
      </c>
      <c r="O465" s="68" t="s">
        <v>2</v>
      </c>
      <c r="P465" s="68" t="s">
        <v>2</v>
      </c>
      <c r="Q465" s="68" t="s">
        <v>15</v>
      </c>
      <c r="R465" s="68" t="s">
        <v>15</v>
      </c>
      <c r="S465" s="68" t="s">
        <v>16</v>
      </c>
      <c r="T465" s="68" t="s">
        <v>329</v>
      </c>
      <c r="U465" s="68" t="s">
        <v>249</v>
      </c>
      <c r="V465" s="68" t="s">
        <v>282</v>
      </c>
      <c r="W465" s="69" t="s">
        <v>282</v>
      </c>
      <c r="X465" s="69" t="s">
        <v>282</v>
      </c>
      <c r="Y465" s="70" t="s">
        <v>282</v>
      </c>
    </row>
    <row r="466" spans="1:25">
      <c r="A466" s="64">
        <v>9</v>
      </c>
      <c r="B466" s="65" t="str">
        <f>VLOOKUP(Tabel10[[#This Row],[Code]],Ruimtegroepen[[Code]:[Ruimte omschrijving]],2,FALSE)</f>
        <v>Bibliotheek/OLC</v>
      </c>
      <c r="C466" s="66" t="s">
        <v>672</v>
      </c>
      <c r="D466" s="65" t="s">
        <v>21</v>
      </c>
      <c r="E466" s="66" t="s">
        <v>100</v>
      </c>
      <c r="F466" s="66" t="s">
        <v>673</v>
      </c>
      <c r="G466" s="71" t="s">
        <v>282</v>
      </c>
      <c r="H466" s="67" t="s">
        <v>282</v>
      </c>
      <c r="I466" s="67" t="s">
        <v>18</v>
      </c>
      <c r="J466" s="67" t="s">
        <v>15</v>
      </c>
      <c r="K466" s="67" t="s">
        <v>282</v>
      </c>
      <c r="L466" s="67" t="s">
        <v>282</v>
      </c>
      <c r="M466" s="67" t="s">
        <v>282</v>
      </c>
      <c r="N466" s="67" t="s">
        <v>282</v>
      </c>
      <c r="O466" s="68" t="s">
        <v>20</v>
      </c>
      <c r="P466" s="68" t="s">
        <v>20</v>
      </c>
      <c r="Q466" s="68" t="s">
        <v>15</v>
      </c>
      <c r="R466" s="68" t="s">
        <v>15</v>
      </c>
      <c r="S466" s="68" t="s">
        <v>16</v>
      </c>
      <c r="T466" s="68" t="s">
        <v>329</v>
      </c>
      <c r="U466" s="68" t="s">
        <v>249</v>
      </c>
      <c r="V466" s="68" t="s">
        <v>282</v>
      </c>
      <c r="W466" s="69" t="s">
        <v>282</v>
      </c>
      <c r="X466" s="69" t="s">
        <v>282</v>
      </c>
      <c r="Y466" s="70" t="s">
        <v>282</v>
      </c>
    </row>
    <row r="467" spans="1:25">
      <c r="A467" s="64">
        <v>9</v>
      </c>
      <c r="B467" s="65" t="str">
        <f>VLOOKUP(Tabel10[[#This Row],[Code]],Ruimtegroepen[[Code]:[Ruimte omschrijving]],2,FALSE)</f>
        <v>Bibliotheek/OLC</v>
      </c>
      <c r="C467" s="66" t="s">
        <v>672</v>
      </c>
      <c r="D467" s="65" t="s">
        <v>21</v>
      </c>
      <c r="E467" s="66" t="s">
        <v>99</v>
      </c>
      <c r="F467" s="66" t="s">
        <v>674</v>
      </c>
      <c r="G467" s="71" t="s">
        <v>282</v>
      </c>
      <c r="H467" s="67" t="s">
        <v>20</v>
      </c>
      <c r="I467" s="67" t="s">
        <v>282</v>
      </c>
      <c r="J467" s="67" t="s">
        <v>282</v>
      </c>
      <c r="K467" s="67" t="s">
        <v>282</v>
      </c>
      <c r="L467" s="67" t="s">
        <v>282</v>
      </c>
      <c r="M467" s="67" t="s">
        <v>282</v>
      </c>
      <c r="N467" s="67" t="s">
        <v>282</v>
      </c>
      <c r="O467" s="68" t="s">
        <v>20</v>
      </c>
      <c r="P467" s="68" t="s">
        <v>20</v>
      </c>
      <c r="Q467" s="68" t="s">
        <v>15</v>
      </c>
      <c r="R467" s="68" t="s">
        <v>15</v>
      </c>
      <c r="S467" s="68" t="s">
        <v>16</v>
      </c>
      <c r="T467" s="68" t="s">
        <v>329</v>
      </c>
      <c r="U467" s="68" t="s">
        <v>249</v>
      </c>
      <c r="V467" s="68" t="s">
        <v>282</v>
      </c>
      <c r="W467" s="69" t="s">
        <v>282</v>
      </c>
      <c r="X467" s="69" t="s">
        <v>282</v>
      </c>
      <c r="Y467" s="70" t="s">
        <v>282</v>
      </c>
    </row>
    <row r="468" spans="1:25">
      <c r="A468" s="64">
        <v>9</v>
      </c>
      <c r="B468" s="65" t="str">
        <f>VLOOKUP(Tabel10[[#This Row],[Code]],Ruimtegroepen[[Code]:[Ruimte omschrijving]],2,FALSE)</f>
        <v>Bibliotheek/OLC</v>
      </c>
      <c r="C468" s="66" t="s">
        <v>672</v>
      </c>
      <c r="D468" s="65" t="s">
        <v>21</v>
      </c>
      <c r="E468" s="66" t="s">
        <v>101</v>
      </c>
      <c r="F468" s="66" t="s">
        <v>675</v>
      </c>
      <c r="G468" s="71" t="s">
        <v>282</v>
      </c>
      <c r="H468" s="67" t="s">
        <v>282</v>
      </c>
      <c r="I468" s="67" t="s">
        <v>18</v>
      </c>
      <c r="J468" s="67" t="s">
        <v>15</v>
      </c>
      <c r="K468" s="67" t="s">
        <v>283</v>
      </c>
      <c r="L468" s="67" t="s">
        <v>282</v>
      </c>
      <c r="M468" s="67" t="s">
        <v>282</v>
      </c>
      <c r="N468" s="67" t="s">
        <v>282</v>
      </c>
      <c r="O468" s="68" t="s">
        <v>20</v>
      </c>
      <c r="P468" s="68" t="s">
        <v>20</v>
      </c>
      <c r="Q468" s="68" t="s">
        <v>15</v>
      </c>
      <c r="R468" s="68" t="s">
        <v>15</v>
      </c>
      <c r="S468" s="68" t="s">
        <v>16</v>
      </c>
      <c r="T468" s="68" t="s">
        <v>329</v>
      </c>
      <c r="U468" s="68" t="s">
        <v>249</v>
      </c>
      <c r="V468" s="68" t="s">
        <v>282</v>
      </c>
      <c r="W468" s="69" t="s">
        <v>282</v>
      </c>
      <c r="X468" s="69" t="s">
        <v>282</v>
      </c>
      <c r="Y468" s="70" t="s">
        <v>282</v>
      </c>
    </row>
    <row r="469" spans="1:25">
      <c r="A469" s="64">
        <v>9</v>
      </c>
      <c r="B469" s="65" t="str">
        <f>VLOOKUP(Tabel10[[#This Row],[Code]],Ruimtegroepen[[Code]:[Ruimte omschrijving]],2,FALSE)</f>
        <v>Bibliotheek/OLC</v>
      </c>
      <c r="C469" s="66" t="s">
        <v>672</v>
      </c>
      <c r="D469" s="65" t="s">
        <v>21</v>
      </c>
      <c r="E469" s="66" t="s">
        <v>102</v>
      </c>
      <c r="F469" s="66" t="s">
        <v>676</v>
      </c>
      <c r="G469" s="71" t="s">
        <v>282</v>
      </c>
      <c r="H469" s="67" t="s">
        <v>282</v>
      </c>
      <c r="I469" s="67" t="s">
        <v>18</v>
      </c>
      <c r="J469" s="67" t="s">
        <v>15</v>
      </c>
      <c r="K469" s="67" t="s">
        <v>283</v>
      </c>
      <c r="L469" s="67" t="s">
        <v>282</v>
      </c>
      <c r="M469" s="67" t="s">
        <v>282</v>
      </c>
      <c r="N469" s="67" t="s">
        <v>282</v>
      </c>
      <c r="O469" s="68" t="s">
        <v>20</v>
      </c>
      <c r="P469" s="68" t="s">
        <v>20</v>
      </c>
      <c r="Q469" s="68" t="s">
        <v>15</v>
      </c>
      <c r="R469" s="68" t="s">
        <v>15</v>
      </c>
      <c r="S469" s="68" t="s">
        <v>16</v>
      </c>
      <c r="T469" s="68" t="s">
        <v>329</v>
      </c>
      <c r="U469" s="68" t="s">
        <v>249</v>
      </c>
      <c r="V469" s="68" t="s">
        <v>282</v>
      </c>
      <c r="W469" s="69" t="s">
        <v>282</v>
      </c>
      <c r="X469" s="69" t="s">
        <v>282</v>
      </c>
      <c r="Y469" s="70" t="s">
        <v>282</v>
      </c>
    </row>
    <row r="470" spans="1:25">
      <c r="A470" s="64">
        <v>9</v>
      </c>
      <c r="B470" s="65" t="str">
        <f>VLOOKUP(Tabel10[[#This Row],[Code]],Ruimtegroepen[[Code]:[Ruimte omschrijving]],2,FALSE)</f>
        <v>Bibliotheek/OLC</v>
      </c>
      <c r="C470" s="66" t="s">
        <v>672</v>
      </c>
      <c r="D470" s="65" t="s">
        <v>21</v>
      </c>
      <c r="E470" s="66" t="s">
        <v>99</v>
      </c>
      <c r="F470" s="66" t="s">
        <v>674</v>
      </c>
      <c r="G470" s="71" t="s">
        <v>282</v>
      </c>
      <c r="H470" s="67" t="s">
        <v>20</v>
      </c>
      <c r="I470" s="67" t="s">
        <v>282</v>
      </c>
      <c r="J470" s="67" t="s">
        <v>282</v>
      </c>
      <c r="K470" s="67" t="s">
        <v>282</v>
      </c>
      <c r="L470" s="67" t="s">
        <v>282</v>
      </c>
      <c r="M470" s="67" t="s">
        <v>282</v>
      </c>
      <c r="N470" s="67" t="s">
        <v>282</v>
      </c>
      <c r="O470" s="68" t="s">
        <v>20</v>
      </c>
      <c r="P470" s="68" t="s">
        <v>20</v>
      </c>
      <c r="Q470" s="68" t="s">
        <v>15</v>
      </c>
      <c r="R470" s="68" t="s">
        <v>15</v>
      </c>
      <c r="S470" s="68" t="s">
        <v>16</v>
      </c>
      <c r="T470" s="68" t="s">
        <v>329</v>
      </c>
      <c r="U470" s="68" t="s">
        <v>249</v>
      </c>
      <c r="V470" s="68" t="s">
        <v>282</v>
      </c>
      <c r="W470" s="69" t="s">
        <v>282</v>
      </c>
      <c r="X470" s="69" t="s">
        <v>282</v>
      </c>
      <c r="Y470" s="70" t="s">
        <v>282</v>
      </c>
    </row>
    <row r="471" spans="1:25">
      <c r="A471" s="64">
        <v>9</v>
      </c>
      <c r="B471" s="65" t="str">
        <f>VLOOKUP(Tabel10[[#This Row],[Code]],Ruimtegroepen[[Code]:[Ruimte omschrijving]],2,FALSE)</f>
        <v>Bibliotheek/OLC</v>
      </c>
      <c r="C471" s="66" t="s">
        <v>672</v>
      </c>
      <c r="D471" s="65" t="s">
        <v>21</v>
      </c>
      <c r="E471" s="66" t="s">
        <v>1309</v>
      </c>
      <c r="F471" s="66" t="s">
        <v>1449</v>
      </c>
      <c r="G471" s="71" t="s">
        <v>282</v>
      </c>
      <c r="H471" s="67" t="s">
        <v>282</v>
      </c>
      <c r="I471" s="67" t="s">
        <v>18</v>
      </c>
      <c r="J471" s="67" t="s">
        <v>15</v>
      </c>
      <c r="K471" s="67" t="s">
        <v>283</v>
      </c>
      <c r="L471" s="67" t="s">
        <v>282</v>
      </c>
      <c r="M471" s="67" t="s">
        <v>282</v>
      </c>
      <c r="N471" s="67" t="s">
        <v>282</v>
      </c>
      <c r="O471" s="68" t="s">
        <v>20</v>
      </c>
      <c r="P471" s="68" t="s">
        <v>20</v>
      </c>
      <c r="Q471" s="68" t="s">
        <v>15</v>
      </c>
      <c r="R471" s="68" t="s">
        <v>15</v>
      </c>
      <c r="S471" s="68" t="s">
        <v>16</v>
      </c>
      <c r="T471" s="68" t="s">
        <v>329</v>
      </c>
      <c r="U471" s="68" t="s">
        <v>249</v>
      </c>
      <c r="V471" s="68" t="s">
        <v>282</v>
      </c>
      <c r="W471" s="69" t="s">
        <v>282</v>
      </c>
      <c r="X471" s="69" t="s">
        <v>282</v>
      </c>
      <c r="Y471" s="70" t="s">
        <v>282</v>
      </c>
    </row>
    <row r="472" spans="1:25">
      <c r="A472" s="64">
        <v>9</v>
      </c>
      <c r="B472" s="65" t="str">
        <f>VLOOKUP(Tabel10[[#This Row],[Code]],Ruimtegroepen[[Code]:[Ruimte omschrijving]],2,FALSE)</f>
        <v>Bibliotheek/OLC</v>
      </c>
      <c r="C472" s="66" t="s">
        <v>677</v>
      </c>
      <c r="D472" s="65" t="s">
        <v>12</v>
      </c>
      <c r="E472" s="66" t="s">
        <v>100</v>
      </c>
      <c r="F472" s="66" t="s">
        <v>678</v>
      </c>
      <c r="G472" s="71" t="s">
        <v>282</v>
      </c>
      <c r="H472" s="67" t="s">
        <v>282</v>
      </c>
      <c r="I472" s="67" t="s">
        <v>17</v>
      </c>
      <c r="J472" s="67" t="s">
        <v>15</v>
      </c>
      <c r="K472" s="67" t="s">
        <v>282</v>
      </c>
      <c r="L472" s="67" t="s">
        <v>282</v>
      </c>
      <c r="M472" s="67" t="s">
        <v>282</v>
      </c>
      <c r="N472" s="67" t="s">
        <v>282</v>
      </c>
      <c r="O472" s="68" t="s">
        <v>18</v>
      </c>
      <c r="P472" s="68" t="s">
        <v>18</v>
      </c>
      <c r="Q472" s="68" t="s">
        <v>15</v>
      </c>
      <c r="R472" s="68" t="s">
        <v>15</v>
      </c>
      <c r="S472" s="68" t="s">
        <v>16</v>
      </c>
      <c r="T472" s="68" t="s">
        <v>329</v>
      </c>
      <c r="U472" s="68" t="s">
        <v>249</v>
      </c>
      <c r="V472" s="68" t="s">
        <v>282</v>
      </c>
      <c r="W472" s="69" t="s">
        <v>282</v>
      </c>
      <c r="X472" s="69" t="s">
        <v>282</v>
      </c>
      <c r="Y472" s="70" t="s">
        <v>282</v>
      </c>
    </row>
    <row r="473" spans="1:25">
      <c r="A473" s="64">
        <v>9</v>
      </c>
      <c r="B473" s="65" t="str">
        <f>VLOOKUP(Tabel10[[#This Row],[Code]],Ruimtegroepen[[Code]:[Ruimte omschrijving]],2,FALSE)</f>
        <v>Bibliotheek/OLC</v>
      </c>
      <c r="C473" s="66" t="s">
        <v>677</v>
      </c>
      <c r="D473" s="65" t="s">
        <v>12</v>
      </c>
      <c r="E473" s="66" t="s">
        <v>99</v>
      </c>
      <c r="F473" s="66" t="s">
        <v>679</v>
      </c>
      <c r="G473" s="71" t="s">
        <v>282</v>
      </c>
      <c r="H473" s="67" t="s">
        <v>18</v>
      </c>
      <c r="I473" s="67" t="s">
        <v>282</v>
      </c>
      <c r="J473" s="67" t="s">
        <v>282</v>
      </c>
      <c r="K473" s="67" t="s">
        <v>282</v>
      </c>
      <c r="L473" s="67" t="s">
        <v>282</v>
      </c>
      <c r="M473" s="67" t="s">
        <v>282</v>
      </c>
      <c r="N473" s="67" t="s">
        <v>282</v>
      </c>
      <c r="O473" s="68" t="s">
        <v>18</v>
      </c>
      <c r="P473" s="68" t="s">
        <v>18</v>
      </c>
      <c r="Q473" s="68" t="s">
        <v>15</v>
      </c>
      <c r="R473" s="68" t="s">
        <v>15</v>
      </c>
      <c r="S473" s="68" t="s">
        <v>16</v>
      </c>
      <c r="T473" s="68" t="s">
        <v>329</v>
      </c>
      <c r="U473" s="68" t="s">
        <v>249</v>
      </c>
      <c r="V473" s="68" t="s">
        <v>282</v>
      </c>
      <c r="W473" s="69" t="s">
        <v>282</v>
      </c>
      <c r="X473" s="69" t="s">
        <v>282</v>
      </c>
      <c r="Y473" s="70" t="s">
        <v>282</v>
      </c>
    </row>
    <row r="474" spans="1:25">
      <c r="A474" s="64">
        <v>9</v>
      </c>
      <c r="B474" s="65" t="str">
        <f>VLOOKUP(Tabel10[[#This Row],[Code]],Ruimtegroepen[[Code]:[Ruimte omschrijving]],2,FALSE)</f>
        <v>Bibliotheek/OLC</v>
      </c>
      <c r="C474" s="66" t="s">
        <v>677</v>
      </c>
      <c r="D474" s="65" t="s">
        <v>12</v>
      </c>
      <c r="E474" s="66" t="s">
        <v>101</v>
      </c>
      <c r="F474" s="66" t="s">
        <v>680</v>
      </c>
      <c r="G474" s="71" t="s">
        <v>282</v>
      </c>
      <c r="H474" s="67" t="s">
        <v>282</v>
      </c>
      <c r="I474" s="67" t="s">
        <v>17</v>
      </c>
      <c r="J474" s="67" t="s">
        <v>15</v>
      </c>
      <c r="K474" s="67" t="s">
        <v>283</v>
      </c>
      <c r="L474" s="67" t="s">
        <v>282</v>
      </c>
      <c r="M474" s="67" t="s">
        <v>282</v>
      </c>
      <c r="N474" s="67" t="s">
        <v>282</v>
      </c>
      <c r="O474" s="68" t="s">
        <v>18</v>
      </c>
      <c r="P474" s="68" t="s">
        <v>18</v>
      </c>
      <c r="Q474" s="68" t="s">
        <v>15</v>
      </c>
      <c r="R474" s="68" t="s">
        <v>15</v>
      </c>
      <c r="S474" s="68" t="s">
        <v>16</v>
      </c>
      <c r="T474" s="68" t="s">
        <v>329</v>
      </c>
      <c r="U474" s="68" t="s">
        <v>249</v>
      </c>
      <c r="V474" s="68" t="s">
        <v>282</v>
      </c>
      <c r="W474" s="69" t="s">
        <v>282</v>
      </c>
      <c r="X474" s="69" t="s">
        <v>282</v>
      </c>
      <c r="Y474" s="70" t="s">
        <v>282</v>
      </c>
    </row>
    <row r="475" spans="1:25">
      <c r="A475" s="64">
        <v>9</v>
      </c>
      <c r="B475" s="65" t="str">
        <f>VLOOKUP(Tabel10[[#This Row],[Code]],Ruimtegroepen[[Code]:[Ruimte omschrijving]],2,FALSE)</f>
        <v>Bibliotheek/OLC</v>
      </c>
      <c r="C475" s="66" t="s">
        <v>677</v>
      </c>
      <c r="D475" s="65" t="s">
        <v>12</v>
      </c>
      <c r="E475" s="66" t="s">
        <v>102</v>
      </c>
      <c r="F475" s="66" t="s">
        <v>681</v>
      </c>
      <c r="G475" s="71" t="s">
        <v>282</v>
      </c>
      <c r="H475" s="67" t="s">
        <v>282</v>
      </c>
      <c r="I475" s="67" t="s">
        <v>17</v>
      </c>
      <c r="J475" s="67" t="s">
        <v>15</v>
      </c>
      <c r="K475" s="67" t="s">
        <v>283</v>
      </c>
      <c r="L475" s="67" t="s">
        <v>282</v>
      </c>
      <c r="M475" s="67" t="s">
        <v>282</v>
      </c>
      <c r="N475" s="67" t="s">
        <v>282</v>
      </c>
      <c r="O475" s="68" t="s">
        <v>18</v>
      </c>
      <c r="P475" s="68" t="s">
        <v>18</v>
      </c>
      <c r="Q475" s="68" t="s">
        <v>15</v>
      </c>
      <c r="R475" s="68" t="s">
        <v>15</v>
      </c>
      <c r="S475" s="68" t="s">
        <v>16</v>
      </c>
      <c r="T475" s="68" t="s">
        <v>329</v>
      </c>
      <c r="U475" s="68" t="s">
        <v>249</v>
      </c>
      <c r="V475" s="68" t="s">
        <v>282</v>
      </c>
      <c r="W475" s="69" t="s">
        <v>282</v>
      </c>
      <c r="X475" s="69" t="s">
        <v>282</v>
      </c>
      <c r="Y475" s="70" t="s">
        <v>282</v>
      </c>
    </row>
    <row r="476" spans="1:25">
      <c r="A476" s="64">
        <v>9</v>
      </c>
      <c r="B476" s="65" t="str">
        <f>VLOOKUP(Tabel10[[#This Row],[Code]],Ruimtegroepen[[Code]:[Ruimte omschrijving]],2,FALSE)</f>
        <v>Bibliotheek/OLC</v>
      </c>
      <c r="C476" s="66" t="s">
        <v>677</v>
      </c>
      <c r="D476" s="65" t="s">
        <v>12</v>
      </c>
      <c r="E476" s="66" t="s">
        <v>99</v>
      </c>
      <c r="F476" s="66" t="s">
        <v>679</v>
      </c>
      <c r="G476" s="71" t="s">
        <v>282</v>
      </c>
      <c r="H476" s="67" t="s">
        <v>18</v>
      </c>
      <c r="I476" s="67" t="s">
        <v>282</v>
      </c>
      <c r="J476" s="67" t="s">
        <v>282</v>
      </c>
      <c r="K476" s="67" t="s">
        <v>282</v>
      </c>
      <c r="L476" s="67" t="s">
        <v>282</v>
      </c>
      <c r="M476" s="67" t="s">
        <v>282</v>
      </c>
      <c r="N476" s="67" t="s">
        <v>282</v>
      </c>
      <c r="O476" s="68" t="s">
        <v>18</v>
      </c>
      <c r="P476" s="68" t="s">
        <v>18</v>
      </c>
      <c r="Q476" s="68" t="s">
        <v>15</v>
      </c>
      <c r="R476" s="68" t="s">
        <v>15</v>
      </c>
      <c r="S476" s="68" t="s">
        <v>16</v>
      </c>
      <c r="T476" s="68" t="s">
        <v>329</v>
      </c>
      <c r="U476" s="68" t="s">
        <v>249</v>
      </c>
      <c r="V476" s="68" t="s">
        <v>282</v>
      </c>
      <c r="W476" s="69" t="s">
        <v>282</v>
      </c>
      <c r="X476" s="69" t="s">
        <v>282</v>
      </c>
      <c r="Y476" s="70" t="s">
        <v>282</v>
      </c>
    </row>
    <row r="477" spans="1:25">
      <c r="A477" s="64">
        <v>9</v>
      </c>
      <c r="B477" s="65" t="str">
        <f>VLOOKUP(Tabel10[[#This Row],[Code]],Ruimtegroepen[[Code]:[Ruimte omschrijving]],2,FALSE)</f>
        <v>Bibliotheek/OLC</v>
      </c>
      <c r="C477" s="66" t="s">
        <v>677</v>
      </c>
      <c r="D477" s="65" t="s">
        <v>12</v>
      </c>
      <c r="E477" s="66" t="s">
        <v>1309</v>
      </c>
      <c r="F477" s="66" t="s">
        <v>1431</v>
      </c>
      <c r="G477" s="71" t="s">
        <v>282</v>
      </c>
      <c r="H477" s="67" t="s">
        <v>282</v>
      </c>
      <c r="I477" s="67" t="s">
        <v>17</v>
      </c>
      <c r="J477" s="67" t="s">
        <v>15</v>
      </c>
      <c r="K477" s="67" t="s">
        <v>283</v>
      </c>
      <c r="L477" s="67" t="s">
        <v>282</v>
      </c>
      <c r="M477" s="67" t="s">
        <v>282</v>
      </c>
      <c r="N477" s="67" t="s">
        <v>282</v>
      </c>
      <c r="O477" s="68" t="s">
        <v>18</v>
      </c>
      <c r="P477" s="68" t="s">
        <v>18</v>
      </c>
      <c r="Q477" s="68" t="s">
        <v>15</v>
      </c>
      <c r="R477" s="68" t="s">
        <v>15</v>
      </c>
      <c r="S477" s="68" t="s">
        <v>16</v>
      </c>
      <c r="T477" s="68" t="s">
        <v>329</v>
      </c>
      <c r="U477" s="68" t="s">
        <v>249</v>
      </c>
      <c r="V477" s="68" t="s">
        <v>282</v>
      </c>
      <c r="W477" s="69" t="s">
        <v>282</v>
      </c>
      <c r="X477" s="69" t="s">
        <v>282</v>
      </c>
      <c r="Y477" s="70" t="s">
        <v>282</v>
      </c>
    </row>
    <row r="478" spans="1:25">
      <c r="A478" s="64">
        <v>9</v>
      </c>
      <c r="B478" s="65" t="str">
        <f>VLOOKUP(Tabel10[[#This Row],[Code]],Ruimtegroepen[[Code]:[Ruimte omschrijving]],2,FALSE)</f>
        <v>Bibliotheek/OLC</v>
      </c>
      <c r="C478" s="66" t="s">
        <v>682</v>
      </c>
      <c r="D478" s="65" t="s">
        <v>14</v>
      </c>
      <c r="E478" s="66" t="s">
        <v>100</v>
      </c>
      <c r="F478" s="66" t="s">
        <v>683</v>
      </c>
      <c r="G478" s="71" t="s">
        <v>282</v>
      </c>
      <c r="H478" s="67" t="s">
        <v>282</v>
      </c>
      <c r="I478" s="67" t="s">
        <v>15</v>
      </c>
      <c r="J478" s="67" t="s">
        <v>15</v>
      </c>
      <c r="K478" s="67" t="s">
        <v>282</v>
      </c>
      <c r="L478" s="67" t="s">
        <v>282</v>
      </c>
      <c r="M478" s="67" t="s">
        <v>282</v>
      </c>
      <c r="N478" s="67" t="s">
        <v>282</v>
      </c>
      <c r="O478" s="68" t="s">
        <v>17</v>
      </c>
      <c r="P478" s="68" t="s">
        <v>17</v>
      </c>
      <c r="Q478" s="68" t="s">
        <v>15</v>
      </c>
      <c r="R478" s="68" t="s">
        <v>15</v>
      </c>
      <c r="S478" s="68" t="s">
        <v>16</v>
      </c>
      <c r="T478" s="68" t="s">
        <v>329</v>
      </c>
      <c r="U478" s="68" t="s">
        <v>249</v>
      </c>
      <c r="V478" s="68" t="s">
        <v>282</v>
      </c>
      <c r="W478" s="69" t="s">
        <v>282</v>
      </c>
      <c r="X478" s="69" t="s">
        <v>282</v>
      </c>
      <c r="Y478" s="70" t="s">
        <v>282</v>
      </c>
    </row>
    <row r="479" spans="1:25">
      <c r="A479" s="64">
        <v>9</v>
      </c>
      <c r="B479" s="65" t="str">
        <f>VLOOKUP(Tabel10[[#This Row],[Code]],Ruimtegroepen[[Code]:[Ruimte omschrijving]],2,FALSE)</f>
        <v>Bibliotheek/OLC</v>
      </c>
      <c r="C479" s="66" t="s">
        <v>682</v>
      </c>
      <c r="D479" s="65" t="s">
        <v>14</v>
      </c>
      <c r="E479" s="66" t="s">
        <v>99</v>
      </c>
      <c r="F479" s="66" t="s">
        <v>684</v>
      </c>
      <c r="G479" s="71" t="s">
        <v>282</v>
      </c>
      <c r="H479" s="67" t="s">
        <v>17</v>
      </c>
      <c r="I479" s="67" t="s">
        <v>282</v>
      </c>
      <c r="J479" s="67" t="s">
        <v>282</v>
      </c>
      <c r="K479" s="67" t="s">
        <v>282</v>
      </c>
      <c r="L479" s="67" t="s">
        <v>282</v>
      </c>
      <c r="M479" s="67" t="s">
        <v>282</v>
      </c>
      <c r="N479" s="67" t="s">
        <v>282</v>
      </c>
      <c r="O479" s="68" t="s">
        <v>17</v>
      </c>
      <c r="P479" s="68" t="s">
        <v>17</v>
      </c>
      <c r="Q479" s="68" t="s">
        <v>15</v>
      </c>
      <c r="R479" s="68" t="s">
        <v>15</v>
      </c>
      <c r="S479" s="68" t="s">
        <v>16</v>
      </c>
      <c r="T479" s="68" t="s">
        <v>329</v>
      </c>
      <c r="U479" s="68" t="s">
        <v>249</v>
      </c>
      <c r="V479" s="68" t="s">
        <v>282</v>
      </c>
      <c r="W479" s="69" t="s">
        <v>282</v>
      </c>
      <c r="X479" s="69" t="s">
        <v>282</v>
      </c>
      <c r="Y479" s="70" t="s">
        <v>282</v>
      </c>
    </row>
    <row r="480" spans="1:25">
      <c r="A480" s="64">
        <v>9</v>
      </c>
      <c r="B480" s="65" t="str">
        <f>VLOOKUP(Tabel10[[#This Row],[Code]],Ruimtegroepen[[Code]:[Ruimte omschrijving]],2,FALSE)</f>
        <v>Bibliotheek/OLC</v>
      </c>
      <c r="C480" s="66" t="s">
        <v>682</v>
      </c>
      <c r="D480" s="65" t="s">
        <v>14</v>
      </c>
      <c r="E480" s="66" t="s">
        <v>101</v>
      </c>
      <c r="F480" s="66" t="s">
        <v>685</v>
      </c>
      <c r="G480" s="71" t="s">
        <v>282</v>
      </c>
      <c r="H480" s="67" t="s">
        <v>282</v>
      </c>
      <c r="I480" s="67" t="s">
        <v>15</v>
      </c>
      <c r="J480" s="67" t="s">
        <v>15</v>
      </c>
      <c r="K480" s="67" t="s">
        <v>283</v>
      </c>
      <c r="L480" s="67" t="s">
        <v>282</v>
      </c>
      <c r="M480" s="67" t="s">
        <v>282</v>
      </c>
      <c r="N480" s="67" t="s">
        <v>282</v>
      </c>
      <c r="O480" s="68" t="s">
        <v>17</v>
      </c>
      <c r="P480" s="68" t="s">
        <v>17</v>
      </c>
      <c r="Q480" s="68" t="s">
        <v>15</v>
      </c>
      <c r="R480" s="68" t="s">
        <v>15</v>
      </c>
      <c r="S480" s="68" t="s">
        <v>16</v>
      </c>
      <c r="T480" s="68" t="s">
        <v>329</v>
      </c>
      <c r="U480" s="68" t="s">
        <v>249</v>
      </c>
      <c r="V480" s="68" t="s">
        <v>282</v>
      </c>
      <c r="W480" s="69" t="s">
        <v>282</v>
      </c>
      <c r="X480" s="69" t="s">
        <v>282</v>
      </c>
      <c r="Y480" s="70" t="s">
        <v>282</v>
      </c>
    </row>
    <row r="481" spans="1:25">
      <c r="A481" s="64">
        <v>9</v>
      </c>
      <c r="B481" s="65" t="str">
        <f>VLOOKUP(Tabel10[[#This Row],[Code]],Ruimtegroepen[[Code]:[Ruimte omschrijving]],2,FALSE)</f>
        <v>Bibliotheek/OLC</v>
      </c>
      <c r="C481" s="66" t="s">
        <v>682</v>
      </c>
      <c r="D481" s="65" t="s">
        <v>14</v>
      </c>
      <c r="E481" s="66" t="s">
        <v>102</v>
      </c>
      <c r="F481" s="66" t="s">
        <v>686</v>
      </c>
      <c r="G481" s="71" t="s">
        <v>282</v>
      </c>
      <c r="H481" s="67" t="s">
        <v>282</v>
      </c>
      <c r="I481" s="67" t="s">
        <v>15</v>
      </c>
      <c r="J481" s="67" t="s">
        <v>15</v>
      </c>
      <c r="K481" s="67" t="s">
        <v>283</v>
      </c>
      <c r="L481" s="67" t="s">
        <v>282</v>
      </c>
      <c r="M481" s="67" t="s">
        <v>282</v>
      </c>
      <c r="N481" s="67" t="s">
        <v>282</v>
      </c>
      <c r="O481" s="68" t="s">
        <v>17</v>
      </c>
      <c r="P481" s="68" t="s">
        <v>17</v>
      </c>
      <c r="Q481" s="68" t="s">
        <v>15</v>
      </c>
      <c r="R481" s="68" t="s">
        <v>15</v>
      </c>
      <c r="S481" s="68" t="s">
        <v>16</v>
      </c>
      <c r="T481" s="68" t="s">
        <v>329</v>
      </c>
      <c r="U481" s="68" t="s">
        <v>249</v>
      </c>
      <c r="V481" s="68" t="s">
        <v>282</v>
      </c>
      <c r="W481" s="69" t="s">
        <v>282</v>
      </c>
      <c r="X481" s="69" t="s">
        <v>282</v>
      </c>
      <c r="Y481" s="70" t="s">
        <v>282</v>
      </c>
    </row>
    <row r="482" spans="1:25">
      <c r="A482" s="64">
        <v>9</v>
      </c>
      <c r="B482" s="65" t="str">
        <f>VLOOKUP(Tabel10[[#This Row],[Code]],Ruimtegroepen[[Code]:[Ruimte omschrijving]],2,FALSE)</f>
        <v>Bibliotheek/OLC</v>
      </c>
      <c r="C482" s="66" t="s">
        <v>682</v>
      </c>
      <c r="D482" s="65" t="s">
        <v>14</v>
      </c>
      <c r="E482" s="66" t="s">
        <v>99</v>
      </c>
      <c r="F482" s="66" t="s">
        <v>684</v>
      </c>
      <c r="G482" s="71" t="s">
        <v>282</v>
      </c>
      <c r="H482" s="67" t="s">
        <v>17</v>
      </c>
      <c r="I482" s="67" t="s">
        <v>282</v>
      </c>
      <c r="J482" s="67" t="s">
        <v>282</v>
      </c>
      <c r="K482" s="67" t="s">
        <v>282</v>
      </c>
      <c r="L482" s="67" t="s">
        <v>282</v>
      </c>
      <c r="M482" s="67" t="s">
        <v>282</v>
      </c>
      <c r="N482" s="67" t="s">
        <v>282</v>
      </c>
      <c r="O482" s="68" t="s">
        <v>17</v>
      </c>
      <c r="P482" s="68" t="s">
        <v>17</v>
      </c>
      <c r="Q482" s="68" t="s">
        <v>15</v>
      </c>
      <c r="R482" s="68" t="s">
        <v>15</v>
      </c>
      <c r="S482" s="68" t="s">
        <v>16</v>
      </c>
      <c r="T482" s="68" t="s">
        <v>329</v>
      </c>
      <c r="U482" s="68" t="s">
        <v>249</v>
      </c>
      <c r="V482" s="68" t="s">
        <v>282</v>
      </c>
      <c r="W482" s="69" t="s">
        <v>282</v>
      </c>
      <c r="X482" s="69" t="s">
        <v>282</v>
      </c>
      <c r="Y482" s="70" t="s">
        <v>282</v>
      </c>
    </row>
    <row r="483" spans="1:25">
      <c r="A483" s="64">
        <v>9</v>
      </c>
      <c r="B483" s="65" t="str">
        <f>VLOOKUP(Tabel10[[#This Row],[Code]],Ruimtegroepen[[Code]:[Ruimte omschrijving]],2,FALSE)</f>
        <v>Bibliotheek/OLC</v>
      </c>
      <c r="C483" s="66" t="s">
        <v>682</v>
      </c>
      <c r="D483" s="65" t="s">
        <v>14</v>
      </c>
      <c r="E483" s="66" t="s">
        <v>1309</v>
      </c>
      <c r="F483" s="66" t="s">
        <v>1398</v>
      </c>
      <c r="G483" s="71" t="s">
        <v>282</v>
      </c>
      <c r="H483" s="67" t="s">
        <v>282</v>
      </c>
      <c r="I483" s="67" t="s">
        <v>15</v>
      </c>
      <c r="J483" s="67" t="s">
        <v>15</v>
      </c>
      <c r="K483" s="67" t="s">
        <v>283</v>
      </c>
      <c r="L483" s="67" t="s">
        <v>282</v>
      </c>
      <c r="M483" s="67" t="s">
        <v>282</v>
      </c>
      <c r="N483" s="67" t="s">
        <v>282</v>
      </c>
      <c r="O483" s="68" t="s">
        <v>17</v>
      </c>
      <c r="P483" s="68" t="s">
        <v>17</v>
      </c>
      <c r="Q483" s="68" t="s">
        <v>15</v>
      </c>
      <c r="R483" s="68" t="s">
        <v>15</v>
      </c>
      <c r="S483" s="68" t="s">
        <v>16</v>
      </c>
      <c r="T483" s="68" t="s">
        <v>329</v>
      </c>
      <c r="U483" s="68" t="s">
        <v>249</v>
      </c>
      <c r="V483" s="68" t="s">
        <v>282</v>
      </c>
      <c r="W483" s="69" t="s">
        <v>282</v>
      </c>
      <c r="X483" s="69" t="s">
        <v>282</v>
      </c>
      <c r="Y483" s="70" t="s">
        <v>282</v>
      </c>
    </row>
    <row r="484" spans="1:25">
      <c r="A484" s="64">
        <v>9</v>
      </c>
      <c r="B484" s="65" t="str">
        <f>VLOOKUP(Tabel10[[#This Row],[Code]],Ruimtegroepen[[Code]:[Ruimte omschrijving]],2,FALSE)</f>
        <v>Bibliotheek/OLC</v>
      </c>
      <c r="C484" s="66" t="s">
        <v>687</v>
      </c>
      <c r="D484" s="65" t="s">
        <v>13</v>
      </c>
      <c r="E484" s="66" t="s">
        <v>100</v>
      </c>
      <c r="F484" s="66" t="s">
        <v>688</v>
      </c>
      <c r="G484" s="71" t="s">
        <v>282</v>
      </c>
      <c r="H484" s="67" t="s">
        <v>282</v>
      </c>
      <c r="I484" s="67" t="s">
        <v>282</v>
      </c>
      <c r="J484" s="67" t="s">
        <v>15</v>
      </c>
      <c r="K484" s="67" t="s">
        <v>282</v>
      </c>
      <c r="L484" s="67" t="s">
        <v>282</v>
      </c>
      <c r="M484" s="67" t="s">
        <v>282</v>
      </c>
      <c r="N484" s="67" t="s">
        <v>282</v>
      </c>
      <c r="O484" s="68" t="s">
        <v>15</v>
      </c>
      <c r="P484" s="68" t="s">
        <v>15</v>
      </c>
      <c r="Q484" s="68" t="s">
        <v>15</v>
      </c>
      <c r="R484" s="68" t="s">
        <v>15</v>
      </c>
      <c r="S484" s="68" t="s">
        <v>16</v>
      </c>
      <c r="T484" s="68" t="s">
        <v>329</v>
      </c>
      <c r="U484" s="68" t="s">
        <v>249</v>
      </c>
      <c r="V484" s="68" t="s">
        <v>282</v>
      </c>
      <c r="W484" s="69" t="s">
        <v>282</v>
      </c>
      <c r="X484" s="69" t="s">
        <v>282</v>
      </c>
      <c r="Y484" s="70" t="s">
        <v>282</v>
      </c>
    </row>
    <row r="485" spans="1:25">
      <c r="A485" s="64">
        <v>9</v>
      </c>
      <c r="B485" s="65" t="str">
        <f>VLOOKUP(Tabel10[[#This Row],[Code]],Ruimtegroepen[[Code]:[Ruimte omschrijving]],2,FALSE)</f>
        <v>Bibliotheek/OLC</v>
      </c>
      <c r="C485" s="66" t="s">
        <v>687</v>
      </c>
      <c r="D485" s="65" t="s">
        <v>13</v>
      </c>
      <c r="E485" s="66" t="s">
        <v>99</v>
      </c>
      <c r="F485" s="66" t="s">
        <v>689</v>
      </c>
      <c r="G485" s="71" t="s">
        <v>282</v>
      </c>
      <c r="H485" s="67" t="s">
        <v>15</v>
      </c>
      <c r="I485" s="67" t="s">
        <v>282</v>
      </c>
      <c r="J485" s="67" t="s">
        <v>282</v>
      </c>
      <c r="K485" s="67" t="s">
        <v>282</v>
      </c>
      <c r="L485" s="67" t="s">
        <v>282</v>
      </c>
      <c r="M485" s="67" t="s">
        <v>282</v>
      </c>
      <c r="N485" s="67" t="s">
        <v>282</v>
      </c>
      <c r="O485" s="68" t="s">
        <v>15</v>
      </c>
      <c r="P485" s="68" t="s">
        <v>15</v>
      </c>
      <c r="Q485" s="68" t="s">
        <v>15</v>
      </c>
      <c r="R485" s="68" t="s">
        <v>15</v>
      </c>
      <c r="S485" s="68" t="s">
        <v>16</v>
      </c>
      <c r="T485" s="68" t="s">
        <v>329</v>
      </c>
      <c r="U485" s="68" t="s">
        <v>249</v>
      </c>
      <c r="V485" s="68" t="s">
        <v>282</v>
      </c>
      <c r="W485" s="69" t="s">
        <v>282</v>
      </c>
      <c r="X485" s="69" t="s">
        <v>282</v>
      </c>
      <c r="Y485" s="70" t="s">
        <v>282</v>
      </c>
    </row>
    <row r="486" spans="1:25">
      <c r="A486" s="64">
        <v>9</v>
      </c>
      <c r="B486" s="65" t="str">
        <f>VLOOKUP(Tabel10[[#This Row],[Code]],Ruimtegroepen[[Code]:[Ruimte omschrijving]],2,FALSE)</f>
        <v>Bibliotheek/OLC</v>
      </c>
      <c r="C486" s="66" t="s">
        <v>687</v>
      </c>
      <c r="D486" s="65" t="s">
        <v>13</v>
      </c>
      <c r="E486" s="66" t="s">
        <v>101</v>
      </c>
      <c r="F486" s="66" t="s">
        <v>690</v>
      </c>
      <c r="G486" s="71" t="s">
        <v>282</v>
      </c>
      <c r="H486" s="67" t="s">
        <v>282</v>
      </c>
      <c r="I486" s="67" t="s">
        <v>282</v>
      </c>
      <c r="J486" s="67" t="s">
        <v>15</v>
      </c>
      <c r="K486" s="67" t="s">
        <v>283</v>
      </c>
      <c r="L486" s="67" t="s">
        <v>282</v>
      </c>
      <c r="M486" s="67" t="s">
        <v>282</v>
      </c>
      <c r="N486" s="67" t="s">
        <v>282</v>
      </c>
      <c r="O486" s="68" t="s">
        <v>15</v>
      </c>
      <c r="P486" s="68" t="s">
        <v>15</v>
      </c>
      <c r="Q486" s="68" t="s">
        <v>15</v>
      </c>
      <c r="R486" s="68" t="s">
        <v>15</v>
      </c>
      <c r="S486" s="68" t="s">
        <v>16</v>
      </c>
      <c r="T486" s="68" t="s">
        <v>329</v>
      </c>
      <c r="U486" s="68" t="s">
        <v>249</v>
      </c>
      <c r="V486" s="68" t="s">
        <v>282</v>
      </c>
      <c r="W486" s="69" t="s">
        <v>282</v>
      </c>
      <c r="X486" s="69" t="s">
        <v>282</v>
      </c>
      <c r="Y486" s="70" t="s">
        <v>282</v>
      </c>
    </row>
    <row r="487" spans="1:25">
      <c r="A487" s="64">
        <v>9</v>
      </c>
      <c r="B487" s="65" t="str">
        <f>VLOOKUP(Tabel10[[#This Row],[Code]],Ruimtegroepen[[Code]:[Ruimte omschrijving]],2,FALSE)</f>
        <v>Bibliotheek/OLC</v>
      </c>
      <c r="C487" s="66" t="s">
        <v>687</v>
      </c>
      <c r="D487" s="65" t="s">
        <v>13</v>
      </c>
      <c r="E487" s="66" t="s">
        <v>102</v>
      </c>
      <c r="F487" s="66" t="s">
        <v>691</v>
      </c>
      <c r="G487" s="71" t="s">
        <v>282</v>
      </c>
      <c r="H487" s="67" t="s">
        <v>282</v>
      </c>
      <c r="I487" s="67" t="s">
        <v>282</v>
      </c>
      <c r="J487" s="67" t="s">
        <v>15</v>
      </c>
      <c r="K487" s="67" t="s">
        <v>283</v>
      </c>
      <c r="L487" s="67" t="s">
        <v>282</v>
      </c>
      <c r="M487" s="67" t="s">
        <v>282</v>
      </c>
      <c r="N487" s="67" t="s">
        <v>282</v>
      </c>
      <c r="O487" s="68" t="s">
        <v>15</v>
      </c>
      <c r="P487" s="68" t="s">
        <v>15</v>
      </c>
      <c r="Q487" s="68" t="s">
        <v>15</v>
      </c>
      <c r="R487" s="68" t="s">
        <v>15</v>
      </c>
      <c r="S487" s="68" t="s">
        <v>16</v>
      </c>
      <c r="T487" s="68" t="s">
        <v>329</v>
      </c>
      <c r="U487" s="68" t="s">
        <v>249</v>
      </c>
      <c r="V487" s="68" t="s">
        <v>282</v>
      </c>
      <c r="W487" s="69" t="s">
        <v>282</v>
      </c>
      <c r="X487" s="69" t="s">
        <v>282</v>
      </c>
      <c r="Y487" s="70" t="s">
        <v>282</v>
      </c>
    </row>
    <row r="488" spans="1:25">
      <c r="A488" s="64">
        <v>9</v>
      </c>
      <c r="B488" s="65" t="str">
        <f>VLOOKUP(Tabel10[[#This Row],[Code]],Ruimtegroepen[[Code]:[Ruimte omschrijving]],2,FALSE)</f>
        <v>Bibliotheek/OLC</v>
      </c>
      <c r="C488" s="66" t="s">
        <v>687</v>
      </c>
      <c r="D488" s="65" t="s">
        <v>13</v>
      </c>
      <c r="E488" s="66" t="s">
        <v>99</v>
      </c>
      <c r="F488" s="66" t="s">
        <v>689</v>
      </c>
      <c r="G488" s="71" t="s">
        <v>282</v>
      </c>
      <c r="H488" s="67" t="s">
        <v>15</v>
      </c>
      <c r="I488" s="67" t="s">
        <v>282</v>
      </c>
      <c r="J488" s="67" t="s">
        <v>282</v>
      </c>
      <c r="K488" s="67" t="s">
        <v>282</v>
      </c>
      <c r="L488" s="67" t="s">
        <v>282</v>
      </c>
      <c r="M488" s="67" t="s">
        <v>282</v>
      </c>
      <c r="N488" s="67" t="s">
        <v>282</v>
      </c>
      <c r="O488" s="68" t="s">
        <v>15</v>
      </c>
      <c r="P488" s="68" t="s">
        <v>15</v>
      </c>
      <c r="Q488" s="68" t="s">
        <v>15</v>
      </c>
      <c r="R488" s="68" t="s">
        <v>15</v>
      </c>
      <c r="S488" s="68" t="s">
        <v>16</v>
      </c>
      <c r="T488" s="68" t="s">
        <v>329</v>
      </c>
      <c r="U488" s="68" t="s">
        <v>249</v>
      </c>
      <c r="V488" s="68" t="s">
        <v>282</v>
      </c>
      <c r="W488" s="69" t="s">
        <v>282</v>
      </c>
      <c r="X488" s="69" t="s">
        <v>282</v>
      </c>
      <c r="Y488" s="70" t="s">
        <v>282</v>
      </c>
    </row>
    <row r="489" spans="1:25">
      <c r="A489" s="64">
        <v>9</v>
      </c>
      <c r="B489" s="65" t="str">
        <f>VLOOKUP(Tabel10[[#This Row],[Code]],Ruimtegroepen[[Code]:[Ruimte omschrijving]],2,FALSE)</f>
        <v>Bibliotheek/OLC</v>
      </c>
      <c r="C489" s="66" t="s">
        <v>687</v>
      </c>
      <c r="D489" s="65" t="s">
        <v>13</v>
      </c>
      <c r="E489" s="66" t="s">
        <v>1309</v>
      </c>
      <c r="F489" s="66" t="s">
        <v>1365</v>
      </c>
      <c r="G489" s="71" t="s">
        <v>282</v>
      </c>
      <c r="H489" s="67" t="s">
        <v>282</v>
      </c>
      <c r="I489" s="67" t="s">
        <v>282</v>
      </c>
      <c r="J489" s="67" t="s">
        <v>15</v>
      </c>
      <c r="K489" s="67" t="s">
        <v>283</v>
      </c>
      <c r="L489" s="67" t="s">
        <v>282</v>
      </c>
      <c r="M489" s="67" t="s">
        <v>282</v>
      </c>
      <c r="N489" s="67" t="s">
        <v>282</v>
      </c>
      <c r="O489" s="68" t="s">
        <v>15</v>
      </c>
      <c r="P489" s="68" t="s">
        <v>15</v>
      </c>
      <c r="Q489" s="68" t="s">
        <v>15</v>
      </c>
      <c r="R489" s="68" t="s">
        <v>15</v>
      </c>
      <c r="S489" s="68" t="s">
        <v>16</v>
      </c>
      <c r="T489" s="68" t="s">
        <v>329</v>
      </c>
      <c r="U489" s="68" t="s">
        <v>249</v>
      </c>
      <c r="V489" s="68" t="s">
        <v>282</v>
      </c>
      <c r="W489" s="69" t="s">
        <v>282</v>
      </c>
      <c r="X489" s="69" t="s">
        <v>282</v>
      </c>
      <c r="Y489" s="70" t="s">
        <v>282</v>
      </c>
    </row>
    <row r="490" spans="1:25">
      <c r="A490" s="64">
        <v>9</v>
      </c>
      <c r="B490" s="65" t="str">
        <f>VLOOKUP(Tabel10[[#This Row],[Code]],Ruimtegroepen[[Code]:[Ruimte omschrijving]],2,FALSE)</f>
        <v>Bibliotheek/OLC</v>
      </c>
      <c r="C490" s="66" t="s">
        <v>692</v>
      </c>
      <c r="D490" s="65" t="s">
        <v>0</v>
      </c>
      <c r="E490" s="66" t="s">
        <v>100</v>
      </c>
      <c r="F490" s="66" t="s">
        <v>693</v>
      </c>
      <c r="G490" s="71" t="s">
        <v>282</v>
      </c>
      <c r="H490" s="67" t="s">
        <v>282</v>
      </c>
      <c r="I490" s="67" t="s">
        <v>282</v>
      </c>
      <c r="J490" s="67" t="s">
        <v>16</v>
      </c>
      <c r="K490" s="67" t="s">
        <v>282</v>
      </c>
      <c r="L490" s="67" t="s">
        <v>282</v>
      </c>
      <c r="M490" s="67" t="s">
        <v>282</v>
      </c>
      <c r="N490" s="67" t="s">
        <v>282</v>
      </c>
      <c r="O490" s="68" t="s">
        <v>16</v>
      </c>
      <c r="P490" s="68" t="s">
        <v>16</v>
      </c>
      <c r="Q490" s="68" t="s">
        <v>16</v>
      </c>
      <c r="R490" s="68" t="s">
        <v>16</v>
      </c>
      <c r="S490" s="68" t="s">
        <v>16</v>
      </c>
      <c r="T490" s="68" t="s">
        <v>329</v>
      </c>
      <c r="U490" s="68" t="s">
        <v>249</v>
      </c>
      <c r="V490" s="68" t="s">
        <v>282</v>
      </c>
      <c r="W490" s="69" t="s">
        <v>282</v>
      </c>
      <c r="X490" s="69" t="s">
        <v>282</v>
      </c>
      <c r="Y490" s="70" t="s">
        <v>282</v>
      </c>
    </row>
    <row r="491" spans="1:25">
      <c r="A491" s="64">
        <v>9</v>
      </c>
      <c r="B491" s="65" t="str">
        <f>VLOOKUP(Tabel10[[#This Row],[Code]],Ruimtegroepen[[Code]:[Ruimte omschrijving]],2,FALSE)</f>
        <v>Bibliotheek/OLC</v>
      </c>
      <c r="C491" s="66" t="s">
        <v>692</v>
      </c>
      <c r="D491" s="65" t="s">
        <v>0</v>
      </c>
      <c r="E491" s="66" t="s">
        <v>99</v>
      </c>
      <c r="F491" s="66" t="s">
        <v>694</v>
      </c>
      <c r="G491" s="71" t="s">
        <v>282</v>
      </c>
      <c r="H491" s="67" t="s">
        <v>16</v>
      </c>
      <c r="I491" s="67" t="s">
        <v>282</v>
      </c>
      <c r="J491" s="67" t="s">
        <v>282</v>
      </c>
      <c r="K491" s="67" t="s">
        <v>282</v>
      </c>
      <c r="L491" s="67" t="s">
        <v>282</v>
      </c>
      <c r="M491" s="67" t="s">
        <v>282</v>
      </c>
      <c r="N491" s="67" t="s">
        <v>282</v>
      </c>
      <c r="O491" s="68" t="s">
        <v>16</v>
      </c>
      <c r="P491" s="68" t="s">
        <v>16</v>
      </c>
      <c r="Q491" s="68" t="s">
        <v>16</v>
      </c>
      <c r="R491" s="68" t="s">
        <v>16</v>
      </c>
      <c r="S491" s="68" t="s">
        <v>16</v>
      </c>
      <c r="T491" s="68" t="s">
        <v>329</v>
      </c>
      <c r="U491" s="68" t="s">
        <v>249</v>
      </c>
      <c r="V491" s="68" t="s">
        <v>282</v>
      </c>
      <c r="W491" s="69" t="s">
        <v>282</v>
      </c>
      <c r="X491" s="69" t="s">
        <v>282</v>
      </c>
      <c r="Y491" s="70" t="s">
        <v>282</v>
      </c>
    </row>
    <row r="492" spans="1:25">
      <c r="A492" s="64">
        <v>9</v>
      </c>
      <c r="B492" s="65" t="str">
        <f>VLOOKUP(Tabel10[[#This Row],[Code]],Ruimtegroepen[[Code]:[Ruimte omschrijving]],2,FALSE)</f>
        <v>Bibliotheek/OLC</v>
      </c>
      <c r="C492" s="66" t="s">
        <v>692</v>
      </c>
      <c r="D492" s="65" t="s">
        <v>0</v>
      </c>
      <c r="E492" s="66" t="s">
        <v>101</v>
      </c>
      <c r="F492" s="66" t="s">
        <v>695</v>
      </c>
      <c r="G492" s="71" t="s">
        <v>282</v>
      </c>
      <c r="H492" s="67" t="s">
        <v>282</v>
      </c>
      <c r="I492" s="67" t="s">
        <v>282</v>
      </c>
      <c r="J492" s="67" t="s">
        <v>16</v>
      </c>
      <c r="K492" s="67" t="s">
        <v>283</v>
      </c>
      <c r="L492" s="67" t="s">
        <v>282</v>
      </c>
      <c r="M492" s="67" t="s">
        <v>282</v>
      </c>
      <c r="N492" s="67" t="s">
        <v>282</v>
      </c>
      <c r="O492" s="68" t="s">
        <v>16</v>
      </c>
      <c r="P492" s="68" t="s">
        <v>16</v>
      </c>
      <c r="Q492" s="68" t="s">
        <v>16</v>
      </c>
      <c r="R492" s="68" t="s">
        <v>16</v>
      </c>
      <c r="S492" s="68" t="s">
        <v>16</v>
      </c>
      <c r="T492" s="68" t="s">
        <v>329</v>
      </c>
      <c r="U492" s="68" t="s">
        <v>249</v>
      </c>
      <c r="V492" s="68" t="s">
        <v>282</v>
      </c>
      <c r="W492" s="69" t="s">
        <v>282</v>
      </c>
      <c r="X492" s="69" t="s">
        <v>282</v>
      </c>
      <c r="Y492" s="70" t="s">
        <v>282</v>
      </c>
    </row>
    <row r="493" spans="1:25">
      <c r="A493" s="64">
        <v>9</v>
      </c>
      <c r="B493" s="65" t="str">
        <f>VLOOKUP(Tabel10[[#This Row],[Code]],Ruimtegroepen[[Code]:[Ruimte omschrijving]],2,FALSE)</f>
        <v>Bibliotheek/OLC</v>
      </c>
      <c r="C493" s="66" t="s">
        <v>692</v>
      </c>
      <c r="D493" s="65" t="s">
        <v>0</v>
      </c>
      <c r="E493" s="66" t="s">
        <v>102</v>
      </c>
      <c r="F493" s="66" t="s">
        <v>696</v>
      </c>
      <c r="G493" s="71" t="s">
        <v>282</v>
      </c>
      <c r="H493" s="67" t="s">
        <v>282</v>
      </c>
      <c r="I493" s="67" t="s">
        <v>282</v>
      </c>
      <c r="J493" s="67" t="s">
        <v>16</v>
      </c>
      <c r="K493" s="67" t="s">
        <v>283</v>
      </c>
      <c r="L493" s="67" t="s">
        <v>282</v>
      </c>
      <c r="M493" s="67" t="s">
        <v>282</v>
      </c>
      <c r="N493" s="67" t="s">
        <v>282</v>
      </c>
      <c r="O493" s="68" t="s">
        <v>16</v>
      </c>
      <c r="P493" s="68" t="s">
        <v>16</v>
      </c>
      <c r="Q493" s="68" t="s">
        <v>16</v>
      </c>
      <c r="R493" s="68" t="s">
        <v>16</v>
      </c>
      <c r="S493" s="68" t="s">
        <v>16</v>
      </c>
      <c r="T493" s="68" t="s">
        <v>329</v>
      </c>
      <c r="U493" s="68" t="s">
        <v>249</v>
      </c>
      <c r="V493" s="68" t="s">
        <v>282</v>
      </c>
      <c r="W493" s="69" t="s">
        <v>282</v>
      </c>
      <c r="X493" s="69" t="s">
        <v>282</v>
      </c>
      <c r="Y493" s="70" t="s">
        <v>282</v>
      </c>
    </row>
    <row r="494" spans="1:25">
      <c r="A494" s="64">
        <v>9</v>
      </c>
      <c r="B494" s="65" t="str">
        <f>VLOOKUP(Tabel10[[#This Row],[Code]],Ruimtegroepen[[Code]:[Ruimte omschrijving]],2,FALSE)</f>
        <v>Bibliotheek/OLC</v>
      </c>
      <c r="C494" s="66" t="s">
        <v>692</v>
      </c>
      <c r="D494" s="65" t="s">
        <v>0</v>
      </c>
      <c r="E494" s="66" t="s">
        <v>99</v>
      </c>
      <c r="F494" s="66" t="s">
        <v>694</v>
      </c>
      <c r="G494" s="71" t="s">
        <v>282</v>
      </c>
      <c r="H494" s="67" t="s">
        <v>16</v>
      </c>
      <c r="I494" s="67" t="s">
        <v>282</v>
      </c>
      <c r="J494" s="67" t="s">
        <v>282</v>
      </c>
      <c r="K494" s="67" t="s">
        <v>282</v>
      </c>
      <c r="L494" s="67" t="s">
        <v>282</v>
      </c>
      <c r="M494" s="67" t="s">
        <v>282</v>
      </c>
      <c r="N494" s="67" t="s">
        <v>282</v>
      </c>
      <c r="O494" s="68" t="s">
        <v>16</v>
      </c>
      <c r="P494" s="68" t="s">
        <v>16</v>
      </c>
      <c r="Q494" s="68" t="s">
        <v>16</v>
      </c>
      <c r="R494" s="68" t="s">
        <v>16</v>
      </c>
      <c r="S494" s="68" t="s">
        <v>16</v>
      </c>
      <c r="T494" s="68" t="s">
        <v>329</v>
      </c>
      <c r="U494" s="68" t="s">
        <v>249</v>
      </c>
      <c r="V494" s="68" t="s">
        <v>282</v>
      </c>
      <c r="W494" s="69" t="s">
        <v>282</v>
      </c>
      <c r="X494" s="69" t="s">
        <v>282</v>
      </c>
      <c r="Y494" s="70" t="s">
        <v>282</v>
      </c>
    </row>
    <row r="495" spans="1:25">
      <c r="A495" s="64">
        <v>9</v>
      </c>
      <c r="B495" s="65" t="str">
        <f>VLOOKUP(Tabel10[[#This Row],[Code]],Ruimtegroepen[[Code]:[Ruimte omschrijving]],2,FALSE)</f>
        <v>Bibliotheek/OLC</v>
      </c>
      <c r="C495" s="66" t="s">
        <v>692</v>
      </c>
      <c r="D495" s="65" t="s">
        <v>0</v>
      </c>
      <c r="E495" s="66" t="s">
        <v>1309</v>
      </c>
      <c r="F495" s="66" t="s">
        <v>1349</v>
      </c>
      <c r="G495" s="71" t="s">
        <v>282</v>
      </c>
      <c r="H495" s="67" t="s">
        <v>282</v>
      </c>
      <c r="I495" s="67" t="s">
        <v>282</v>
      </c>
      <c r="J495" s="67" t="s">
        <v>16</v>
      </c>
      <c r="K495" s="67" t="s">
        <v>283</v>
      </c>
      <c r="L495" s="67" t="s">
        <v>282</v>
      </c>
      <c r="M495" s="67" t="s">
        <v>282</v>
      </c>
      <c r="N495" s="67" t="s">
        <v>282</v>
      </c>
      <c r="O495" s="68" t="s">
        <v>16</v>
      </c>
      <c r="P495" s="68" t="s">
        <v>16</v>
      </c>
      <c r="Q495" s="68" t="s">
        <v>16</v>
      </c>
      <c r="R495" s="68" t="s">
        <v>16</v>
      </c>
      <c r="S495" s="68" t="s">
        <v>16</v>
      </c>
      <c r="T495" s="68" t="s">
        <v>329</v>
      </c>
      <c r="U495" s="68" t="s">
        <v>249</v>
      </c>
      <c r="V495" s="68" t="s">
        <v>282</v>
      </c>
      <c r="W495" s="69" t="s">
        <v>282</v>
      </c>
      <c r="X495" s="69" t="s">
        <v>282</v>
      </c>
      <c r="Y495" s="70" t="s">
        <v>282</v>
      </c>
    </row>
    <row r="496" spans="1:25">
      <c r="A496" s="64">
        <v>9</v>
      </c>
      <c r="B496" s="65" t="str">
        <f>VLOOKUP(Tabel10[[#This Row],[Code]],Ruimtegroepen[[Code]:[Ruimte omschrijving]],2,FALSE)</f>
        <v>Bibliotheek/OLC</v>
      </c>
      <c r="C496" s="66" t="s">
        <v>697</v>
      </c>
      <c r="D496" s="65" t="s">
        <v>27</v>
      </c>
      <c r="E496" s="66" t="s">
        <v>100</v>
      </c>
      <c r="F496" s="66" t="s">
        <v>698</v>
      </c>
      <c r="G496" s="71" t="s">
        <v>282</v>
      </c>
      <c r="H496" s="67" t="s">
        <v>282</v>
      </c>
      <c r="I496" s="67" t="s">
        <v>15</v>
      </c>
      <c r="J496" s="67" t="s">
        <v>282</v>
      </c>
      <c r="K496" s="67" t="s">
        <v>282</v>
      </c>
      <c r="L496" s="67" t="s">
        <v>282</v>
      </c>
      <c r="M496" s="67" t="s">
        <v>282</v>
      </c>
      <c r="N496" s="67" t="s">
        <v>282</v>
      </c>
      <c r="O496" s="68" t="s">
        <v>15</v>
      </c>
      <c r="P496" s="68" t="s">
        <v>15</v>
      </c>
      <c r="Q496" s="68" t="s">
        <v>15</v>
      </c>
      <c r="R496" s="68" t="s">
        <v>282</v>
      </c>
      <c r="S496" s="68" t="s">
        <v>282</v>
      </c>
      <c r="T496" s="68" t="s">
        <v>282</v>
      </c>
      <c r="U496" s="68" t="s">
        <v>282</v>
      </c>
      <c r="V496" s="68" t="s">
        <v>282</v>
      </c>
      <c r="W496" s="69" t="s">
        <v>282</v>
      </c>
      <c r="X496" s="69" t="s">
        <v>282</v>
      </c>
      <c r="Y496" s="70" t="s">
        <v>282</v>
      </c>
    </row>
    <row r="497" spans="1:25">
      <c r="A497" s="64">
        <v>9</v>
      </c>
      <c r="B497" s="65" t="str">
        <f>VLOOKUP(Tabel10[[#This Row],[Code]],Ruimtegroepen[[Code]:[Ruimte omschrijving]],2,FALSE)</f>
        <v>Bibliotheek/OLC</v>
      </c>
      <c r="C497" s="66" t="s">
        <v>697</v>
      </c>
      <c r="D497" s="65" t="s">
        <v>27</v>
      </c>
      <c r="E497" s="66" t="s">
        <v>99</v>
      </c>
      <c r="F497" s="66" t="s">
        <v>699</v>
      </c>
      <c r="G497" s="71" t="s">
        <v>282</v>
      </c>
      <c r="H497" s="67" t="s">
        <v>15</v>
      </c>
      <c r="I497" s="67" t="s">
        <v>282</v>
      </c>
      <c r="J497" s="67" t="s">
        <v>282</v>
      </c>
      <c r="K497" s="67" t="s">
        <v>282</v>
      </c>
      <c r="L497" s="67" t="s">
        <v>282</v>
      </c>
      <c r="M497" s="67" t="s">
        <v>282</v>
      </c>
      <c r="N497" s="67" t="s">
        <v>282</v>
      </c>
      <c r="O497" s="68" t="s">
        <v>15</v>
      </c>
      <c r="P497" s="68" t="s">
        <v>15</v>
      </c>
      <c r="Q497" s="68" t="s">
        <v>15</v>
      </c>
      <c r="R497" s="68" t="s">
        <v>282</v>
      </c>
      <c r="S497" s="68" t="s">
        <v>282</v>
      </c>
      <c r="T497" s="68" t="s">
        <v>282</v>
      </c>
      <c r="U497" s="68" t="s">
        <v>282</v>
      </c>
      <c r="V497" s="68" t="s">
        <v>282</v>
      </c>
      <c r="W497" s="69" t="s">
        <v>282</v>
      </c>
      <c r="X497" s="69" t="s">
        <v>282</v>
      </c>
      <c r="Y497" s="70" t="s">
        <v>282</v>
      </c>
    </row>
    <row r="498" spans="1:25">
      <c r="A498" s="64">
        <v>9</v>
      </c>
      <c r="B498" s="65" t="str">
        <f>VLOOKUP(Tabel10[[#This Row],[Code]],Ruimtegroepen[[Code]:[Ruimte omschrijving]],2,FALSE)</f>
        <v>Bibliotheek/OLC</v>
      </c>
      <c r="C498" s="66" t="s">
        <v>697</v>
      </c>
      <c r="D498" s="65" t="s">
        <v>27</v>
      </c>
      <c r="E498" s="66" t="s">
        <v>101</v>
      </c>
      <c r="F498" s="66" t="s">
        <v>700</v>
      </c>
      <c r="G498" s="71" t="s">
        <v>282</v>
      </c>
      <c r="H498" s="67" t="s">
        <v>282</v>
      </c>
      <c r="I498" s="67" t="s">
        <v>15</v>
      </c>
      <c r="J498" s="67" t="s">
        <v>282</v>
      </c>
      <c r="K498" s="67" t="s">
        <v>282</v>
      </c>
      <c r="L498" s="67" t="s">
        <v>282</v>
      </c>
      <c r="M498" s="67" t="s">
        <v>282</v>
      </c>
      <c r="N498" s="67" t="s">
        <v>282</v>
      </c>
      <c r="O498" s="68" t="s">
        <v>15</v>
      </c>
      <c r="P498" s="68" t="s">
        <v>15</v>
      </c>
      <c r="Q498" s="68" t="s">
        <v>15</v>
      </c>
      <c r="R498" s="68" t="s">
        <v>282</v>
      </c>
      <c r="S498" s="68" t="s">
        <v>282</v>
      </c>
      <c r="T498" s="68" t="s">
        <v>282</v>
      </c>
      <c r="U498" s="68" t="s">
        <v>282</v>
      </c>
      <c r="V498" s="68" t="s">
        <v>282</v>
      </c>
      <c r="W498" s="69" t="s">
        <v>282</v>
      </c>
      <c r="X498" s="69" t="s">
        <v>282</v>
      </c>
      <c r="Y498" s="70" t="s">
        <v>282</v>
      </c>
    </row>
    <row r="499" spans="1:25">
      <c r="A499" s="64">
        <v>9</v>
      </c>
      <c r="B499" s="65" t="str">
        <f>VLOOKUP(Tabel10[[#This Row],[Code]],Ruimtegroepen[[Code]:[Ruimte omschrijving]],2,FALSE)</f>
        <v>Bibliotheek/OLC</v>
      </c>
      <c r="C499" s="66" t="s">
        <v>697</v>
      </c>
      <c r="D499" s="65" t="s">
        <v>27</v>
      </c>
      <c r="E499" s="66" t="s">
        <v>102</v>
      </c>
      <c r="F499" s="66" t="s">
        <v>701</v>
      </c>
      <c r="G499" s="71" t="s">
        <v>282</v>
      </c>
      <c r="H499" s="67" t="s">
        <v>282</v>
      </c>
      <c r="I499" s="67" t="s">
        <v>15</v>
      </c>
      <c r="J499" s="67" t="s">
        <v>282</v>
      </c>
      <c r="K499" s="67" t="s">
        <v>282</v>
      </c>
      <c r="L499" s="67" t="s">
        <v>282</v>
      </c>
      <c r="M499" s="67" t="s">
        <v>282</v>
      </c>
      <c r="N499" s="67" t="s">
        <v>282</v>
      </c>
      <c r="O499" s="68" t="s">
        <v>15</v>
      </c>
      <c r="P499" s="68" t="s">
        <v>15</v>
      </c>
      <c r="Q499" s="68" t="s">
        <v>15</v>
      </c>
      <c r="R499" s="68" t="s">
        <v>282</v>
      </c>
      <c r="S499" s="68" t="s">
        <v>282</v>
      </c>
      <c r="T499" s="68" t="s">
        <v>282</v>
      </c>
      <c r="U499" s="68" t="s">
        <v>282</v>
      </c>
      <c r="V499" s="68" t="s">
        <v>282</v>
      </c>
      <c r="W499" s="69" t="s">
        <v>282</v>
      </c>
      <c r="X499" s="69" t="s">
        <v>282</v>
      </c>
      <c r="Y499" s="70" t="s">
        <v>282</v>
      </c>
    </row>
    <row r="500" spans="1:25">
      <c r="A500" s="64">
        <v>9</v>
      </c>
      <c r="B500" s="65" t="str">
        <f>VLOOKUP(Tabel10[[#This Row],[Code]],Ruimtegroepen[[Code]:[Ruimte omschrijving]],2,FALSE)</f>
        <v>Bibliotheek/OLC</v>
      </c>
      <c r="C500" s="66" t="s">
        <v>697</v>
      </c>
      <c r="D500" s="65" t="s">
        <v>27</v>
      </c>
      <c r="E500" s="66" t="s">
        <v>99</v>
      </c>
      <c r="F500" s="66" t="s">
        <v>699</v>
      </c>
      <c r="G500" s="71" t="s">
        <v>282</v>
      </c>
      <c r="H500" s="67" t="s">
        <v>15</v>
      </c>
      <c r="I500" s="67" t="s">
        <v>282</v>
      </c>
      <c r="J500" s="67" t="s">
        <v>282</v>
      </c>
      <c r="K500" s="67" t="s">
        <v>282</v>
      </c>
      <c r="L500" s="67" t="s">
        <v>282</v>
      </c>
      <c r="M500" s="67" t="s">
        <v>282</v>
      </c>
      <c r="N500" s="67" t="s">
        <v>282</v>
      </c>
      <c r="O500" s="68" t="s">
        <v>15</v>
      </c>
      <c r="P500" s="68" t="s">
        <v>15</v>
      </c>
      <c r="Q500" s="68" t="s">
        <v>15</v>
      </c>
      <c r="R500" s="68" t="s">
        <v>282</v>
      </c>
      <c r="S500" s="68" t="s">
        <v>282</v>
      </c>
      <c r="T500" s="68" t="s">
        <v>282</v>
      </c>
      <c r="U500" s="68" t="s">
        <v>282</v>
      </c>
      <c r="V500" s="68" t="s">
        <v>282</v>
      </c>
      <c r="W500" s="69" t="s">
        <v>282</v>
      </c>
      <c r="X500" s="69" t="s">
        <v>282</v>
      </c>
      <c r="Y500" s="70" t="s">
        <v>282</v>
      </c>
    </row>
    <row r="501" spans="1:25">
      <c r="A501" s="64">
        <v>9</v>
      </c>
      <c r="B501" s="65" t="str">
        <f>VLOOKUP(Tabel10[[#This Row],[Code]],Ruimtegroepen[[Code]:[Ruimte omschrijving]],2,FALSE)</f>
        <v>Bibliotheek/OLC</v>
      </c>
      <c r="C501" s="66" t="s">
        <v>697</v>
      </c>
      <c r="D501" s="65" t="s">
        <v>27</v>
      </c>
      <c r="E501" s="66" t="s">
        <v>1309</v>
      </c>
      <c r="F501" s="66" t="s">
        <v>1382</v>
      </c>
      <c r="G501" s="71" t="s">
        <v>282</v>
      </c>
      <c r="H501" s="67" t="s">
        <v>282</v>
      </c>
      <c r="I501" s="67" t="s">
        <v>15</v>
      </c>
      <c r="J501" s="67" t="s">
        <v>282</v>
      </c>
      <c r="K501" s="67" t="s">
        <v>282</v>
      </c>
      <c r="L501" s="67" t="s">
        <v>282</v>
      </c>
      <c r="M501" s="67" t="s">
        <v>282</v>
      </c>
      <c r="N501" s="67" t="s">
        <v>282</v>
      </c>
      <c r="O501" s="68" t="s">
        <v>15</v>
      </c>
      <c r="P501" s="68" t="s">
        <v>15</v>
      </c>
      <c r="Q501" s="68" t="s">
        <v>15</v>
      </c>
      <c r="R501" s="68" t="s">
        <v>282</v>
      </c>
      <c r="S501" s="68" t="s">
        <v>282</v>
      </c>
      <c r="T501" s="68" t="s">
        <v>282</v>
      </c>
      <c r="U501" s="68" t="s">
        <v>282</v>
      </c>
      <c r="V501" s="68" t="s">
        <v>282</v>
      </c>
      <c r="W501" s="69" t="s">
        <v>282</v>
      </c>
      <c r="X501" s="69" t="s">
        <v>282</v>
      </c>
      <c r="Y501" s="70" t="s">
        <v>282</v>
      </c>
    </row>
    <row r="502" spans="1:25">
      <c r="A502" s="64">
        <v>9</v>
      </c>
      <c r="B502" s="65" t="str">
        <f>VLOOKUP(Tabel10[[#This Row],[Code]],Ruimtegroepen[[Code]:[Ruimte omschrijving]],2,FALSE)</f>
        <v>Bibliotheek/OLC</v>
      </c>
      <c r="C502" s="66" t="s">
        <v>702</v>
      </c>
      <c r="D502" s="65" t="s">
        <v>28</v>
      </c>
      <c r="E502" s="66" t="s">
        <v>100</v>
      </c>
      <c r="F502" s="66" t="s">
        <v>703</v>
      </c>
      <c r="G502" s="71" t="s">
        <v>282</v>
      </c>
      <c r="H502" s="67" t="s">
        <v>282</v>
      </c>
      <c r="I502" s="67" t="s">
        <v>17</v>
      </c>
      <c r="J502" s="67" t="s">
        <v>282</v>
      </c>
      <c r="K502" s="67" t="s">
        <v>282</v>
      </c>
      <c r="L502" s="67" t="s">
        <v>282</v>
      </c>
      <c r="M502" s="67" t="s">
        <v>282</v>
      </c>
      <c r="N502" s="67" t="s">
        <v>282</v>
      </c>
      <c r="O502" s="68" t="s">
        <v>17</v>
      </c>
      <c r="P502" s="68" t="s">
        <v>17</v>
      </c>
      <c r="Q502" s="68" t="s">
        <v>15</v>
      </c>
      <c r="R502" s="68" t="s">
        <v>282</v>
      </c>
      <c r="S502" s="68" t="s">
        <v>282</v>
      </c>
      <c r="T502" s="68" t="s">
        <v>282</v>
      </c>
      <c r="U502" s="68" t="s">
        <v>282</v>
      </c>
      <c r="V502" s="68" t="s">
        <v>282</v>
      </c>
      <c r="W502" s="69" t="s">
        <v>282</v>
      </c>
      <c r="X502" s="69" t="s">
        <v>282</v>
      </c>
      <c r="Y502" s="70" t="s">
        <v>282</v>
      </c>
    </row>
    <row r="503" spans="1:25">
      <c r="A503" s="64">
        <v>9</v>
      </c>
      <c r="B503" s="65" t="str">
        <f>VLOOKUP(Tabel10[[#This Row],[Code]],Ruimtegroepen[[Code]:[Ruimte omschrijving]],2,FALSE)</f>
        <v>Bibliotheek/OLC</v>
      </c>
      <c r="C503" s="66" t="s">
        <v>702</v>
      </c>
      <c r="D503" s="65" t="s">
        <v>28</v>
      </c>
      <c r="E503" s="66" t="s">
        <v>99</v>
      </c>
      <c r="F503" s="66" t="s">
        <v>704</v>
      </c>
      <c r="G503" s="71" t="s">
        <v>282</v>
      </c>
      <c r="H503" s="67" t="s">
        <v>17</v>
      </c>
      <c r="I503" s="67" t="s">
        <v>282</v>
      </c>
      <c r="J503" s="67" t="s">
        <v>282</v>
      </c>
      <c r="K503" s="67" t="s">
        <v>282</v>
      </c>
      <c r="L503" s="67" t="s">
        <v>282</v>
      </c>
      <c r="M503" s="67" t="s">
        <v>282</v>
      </c>
      <c r="N503" s="67" t="s">
        <v>282</v>
      </c>
      <c r="O503" s="68" t="s">
        <v>17</v>
      </c>
      <c r="P503" s="68" t="s">
        <v>17</v>
      </c>
      <c r="Q503" s="68" t="s">
        <v>15</v>
      </c>
      <c r="R503" s="68" t="s">
        <v>282</v>
      </c>
      <c r="S503" s="68" t="s">
        <v>282</v>
      </c>
      <c r="T503" s="68" t="s">
        <v>282</v>
      </c>
      <c r="U503" s="68" t="s">
        <v>282</v>
      </c>
      <c r="V503" s="68" t="s">
        <v>282</v>
      </c>
      <c r="W503" s="69" t="s">
        <v>282</v>
      </c>
      <c r="X503" s="69" t="s">
        <v>282</v>
      </c>
      <c r="Y503" s="70" t="s">
        <v>282</v>
      </c>
    </row>
    <row r="504" spans="1:25">
      <c r="A504" s="64">
        <v>9</v>
      </c>
      <c r="B504" s="65" t="str">
        <f>VLOOKUP(Tabel10[[#This Row],[Code]],Ruimtegroepen[[Code]:[Ruimte omschrijving]],2,FALSE)</f>
        <v>Bibliotheek/OLC</v>
      </c>
      <c r="C504" s="66" t="s">
        <v>702</v>
      </c>
      <c r="D504" s="65" t="s">
        <v>28</v>
      </c>
      <c r="E504" s="66" t="s">
        <v>101</v>
      </c>
      <c r="F504" s="66" t="s">
        <v>705</v>
      </c>
      <c r="G504" s="71" t="s">
        <v>282</v>
      </c>
      <c r="H504" s="67" t="s">
        <v>282</v>
      </c>
      <c r="I504" s="67" t="s">
        <v>17</v>
      </c>
      <c r="J504" s="67" t="s">
        <v>282</v>
      </c>
      <c r="K504" s="67" t="s">
        <v>282</v>
      </c>
      <c r="L504" s="67" t="s">
        <v>282</v>
      </c>
      <c r="M504" s="67" t="s">
        <v>282</v>
      </c>
      <c r="N504" s="67" t="s">
        <v>282</v>
      </c>
      <c r="O504" s="68" t="s">
        <v>17</v>
      </c>
      <c r="P504" s="68" t="s">
        <v>17</v>
      </c>
      <c r="Q504" s="68" t="s">
        <v>15</v>
      </c>
      <c r="R504" s="68" t="s">
        <v>282</v>
      </c>
      <c r="S504" s="68" t="s">
        <v>282</v>
      </c>
      <c r="T504" s="68" t="s">
        <v>282</v>
      </c>
      <c r="U504" s="68" t="s">
        <v>282</v>
      </c>
      <c r="V504" s="68" t="s">
        <v>282</v>
      </c>
      <c r="W504" s="69" t="s">
        <v>282</v>
      </c>
      <c r="X504" s="69" t="s">
        <v>282</v>
      </c>
      <c r="Y504" s="70" t="s">
        <v>282</v>
      </c>
    </row>
    <row r="505" spans="1:25">
      <c r="A505" s="64">
        <v>9</v>
      </c>
      <c r="B505" s="65" t="str">
        <f>VLOOKUP(Tabel10[[#This Row],[Code]],Ruimtegroepen[[Code]:[Ruimte omschrijving]],2,FALSE)</f>
        <v>Bibliotheek/OLC</v>
      </c>
      <c r="C505" s="66" t="s">
        <v>702</v>
      </c>
      <c r="D505" s="65" t="s">
        <v>28</v>
      </c>
      <c r="E505" s="66" t="s">
        <v>102</v>
      </c>
      <c r="F505" s="66" t="s">
        <v>706</v>
      </c>
      <c r="G505" s="71" t="s">
        <v>282</v>
      </c>
      <c r="H505" s="67" t="s">
        <v>282</v>
      </c>
      <c r="I505" s="67" t="s">
        <v>17</v>
      </c>
      <c r="J505" s="67" t="s">
        <v>282</v>
      </c>
      <c r="K505" s="67" t="s">
        <v>282</v>
      </c>
      <c r="L505" s="67" t="s">
        <v>282</v>
      </c>
      <c r="M505" s="67" t="s">
        <v>282</v>
      </c>
      <c r="N505" s="67" t="s">
        <v>282</v>
      </c>
      <c r="O505" s="68" t="s">
        <v>17</v>
      </c>
      <c r="P505" s="68" t="s">
        <v>17</v>
      </c>
      <c r="Q505" s="68" t="s">
        <v>15</v>
      </c>
      <c r="R505" s="68" t="s">
        <v>282</v>
      </c>
      <c r="S505" s="68" t="s">
        <v>282</v>
      </c>
      <c r="T505" s="68" t="s">
        <v>282</v>
      </c>
      <c r="U505" s="68" t="s">
        <v>282</v>
      </c>
      <c r="V505" s="68" t="s">
        <v>282</v>
      </c>
      <c r="W505" s="69" t="s">
        <v>282</v>
      </c>
      <c r="X505" s="69" t="s">
        <v>282</v>
      </c>
      <c r="Y505" s="70" t="s">
        <v>282</v>
      </c>
    </row>
    <row r="506" spans="1:25">
      <c r="A506" s="64">
        <v>9</v>
      </c>
      <c r="B506" s="65" t="str">
        <f>VLOOKUP(Tabel10[[#This Row],[Code]],Ruimtegroepen[[Code]:[Ruimte omschrijving]],2,FALSE)</f>
        <v>Bibliotheek/OLC</v>
      </c>
      <c r="C506" s="66" t="s">
        <v>702</v>
      </c>
      <c r="D506" s="65" t="s">
        <v>28</v>
      </c>
      <c r="E506" s="66" t="s">
        <v>99</v>
      </c>
      <c r="F506" s="66" t="s">
        <v>704</v>
      </c>
      <c r="G506" s="71" t="s">
        <v>282</v>
      </c>
      <c r="H506" s="67" t="s">
        <v>17</v>
      </c>
      <c r="I506" s="67" t="s">
        <v>282</v>
      </c>
      <c r="J506" s="67" t="s">
        <v>282</v>
      </c>
      <c r="K506" s="67" t="s">
        <v>282</v>
      </c>
      <c r="L506" s="67" t="s">
        <v>282</v>
      </c>
      <c r="M506" s="67" t="s">
        <v>282</v>
      </c>
      <c r="N506" s="67" t="s">
        <v>282</v>
      </c>
      <c r="O506" s="68" t="s">
        <v>17</v>
      </c>
      <c r="P506" s="68" t="s">
        <v>17</v>
      </c>
      <c r="Q506" s="68" t="s">
        <v>15</v>
      </c>
      <c r="R506" s="68" t="s">
        <v>282</v>
      </c>
      <c r="S506" s="68" t="s">
        <v>282</v>
      </c>
      <c r="T506" s="68" t="s">
        <v>282</v>
      </c>
      <c r="U506" s="68" t="s">
        <v>282</v>
      </c>
      <c r="V506" s="68" t="s">
        <v>282</v>
      </c>
      <c r="W506" s="69" t="s">
        <v>282</v>
      </c>
      <c r="X506" s="69" t="s">
        <v>282</v>
      </c>
      <c r="Y506" s="70" t="s">
        <v>282</v>
      </c>
    </row>
    <row r="507" spans="1:25">
      <c r="A507" s="64">
        <v>9</v>
      </c>
      <c r="B507" s="65" t="str">
        <f>VLOOKUP(Tabel10[[#This Row],[Code]],Ruimtegroepen[[Code]:[Ruimte omschrijving]],2,FALSE)</f>
        <v>Bibliotheek/OLC</v>
      </c>
      <c r="C507" s="66" t="s">
        <v>702</v>
      </c>
      <c r="D507" s="65" t="s">
        <v>28</v>
      </c>
      <c r="E507" s="66" t="s">
        <v>1309</v>
      </c>
      <c r="F507" s="66" t="s">
        <v>1415</v>
      </c>
      <c r="G507" s="71" t="s">
        <v>282</v>
      </c>
      <c r="H507" s="67" t="s">
        <v>282</v>
      </c>
      <c r="I507" s="67" t="s">
        <v>17</v>
      </c>
      <c r="J507" s="67" t="s">
        <v>282</v>
      </c>
      <c r="K507" s="67" t="s">
        <v>282</v>
      </c>
      <c r="L507" s="67" t="s">
        <v>282</v>
      </c>
      <c r="M507" s="67" t="s">
        <v>282</v>
      </c>
      <c r="N507" s="67" t="s">
        <v>282</v>
      </c>
      <c r="O507" s="68" t="s">
        <v>17</v>
      </c>
      <c r="P507" s="68" t="s">
        <v>17</v>
      </c>
      <c r="Q507" s="68" t="s">
        <v>15</v>
      </c>
      <c r="R507" s="68" t="s">
        <v>282</v>
      </c>
      <c r="S507" s="68" t="s">
        <v>282</v>
      </c>
      <c r="T507" s="68" t="s">
        <v>282</v>
      </c>
      <c r="U507" s="68" t="s">
        <v>282</v>
      </c>
      <c r="V507" s="68" t="s">
        <v>282</v>
      </c>
      <c r="W507" s="69" t="s">
        <v>282</v>
      </c>
      <c r="X507" s="69" t="s">
        <v>282</v>
      </c>
      <c r="Y507" s="70" t="s">
        <v>282</v>
      </c>
    </row>
    <row r="508" spans="1:25">
      <c r="A508" s="64">
        <v>10</v>
      </c>
      <c r="B508" s="65" t="str">
        <f>VLOOKUP(Tabel10[[#This Row],[Code]],Ruimtegroepen[[Code]:[Ruimte omschrijving]],2,FALSE)</f>
        <v>Trappenhuizen/lift</v>
      </c>
      <c r="C508" s="66" t="s">
        <v>707</v>
      </c>
      <c r="D508" s="65" t="s">
        <v>29</v>
      </c>
      <c r="E508" s="66" t="s">
        <v>100</v>
      </c>
      <c r="F508" s="66" t="s">
        <v>708</v>
      </c>
      <c r="G508" s="71" t="s">
        <v>282</v>
      </c>
      <c r="H508" s="67" t="s">
        <v>282</v>
      </c>
      <c r="I508" s="67" t="s">
        <v>20</v>
      </c>
      <c r="J508" s="67" t="s">
        <v>15</v>
      </c>
      <c r="K508" s="67" t="s">
        <v>282</v>
      </c>
      <c r="L508" s="67" t="s">
        <v>282</v>
      </c>
      <c r="M508" s="67" t="s">
        <v>282</v>
      </c>
      <c r="N508" s="67" t="s">
        <v>2</v>
      </c>
      <c r="O508" s="68" t="s">
        <v>2</v>
      </c>
      <c r="P508" s="68" t="s">
        <v>2</v>
      </c>
      <c r="Q508" s="68" t="s">
        <v>15</v>
      </c>
      <c r="R508" s="68" t="s">
        <v>15</v>
      </c>
      <c r="S508" s="68" t="s">
        <v>16</v>
      </c>
      <c r="T508" s="68" t="s">
        <v>329</v>
      </c>
      <c r="U508" s="68" t="s">
        <v>249</v>
      </c>
      <c r="V508" s="68" t="s">
        <v>2</v>
      </c>
      <c r="W508" s="69" t="s">
        <v>282</v>
      </c>
      <c r="X508" s="69" t="s">
        <v>282</v>
      </c>
      <c r="Y508" s="70" t="s">
        <v>282</v>
      </c>
    </row>
    <row r="509" spans="1:25">
      <c r="A509" s="64">
        <v>10</v>
      </c>
      <c r="B509" s="65" t="str">
        <f>VLOOKUP(Tabel10[[#This Row],[Code]],Ruimtegroepen[[Code]:[Ruimte omschrijving]],2,FALSE)</f>
        <v>Trappenhuizen/lift</v>
      </c>
      <c r="C509" s="66" t="s">
        <v>707</v>
      </c>
      <c r="D509" s="65" t="s">
        <v>29</v>
      </c>
      <c r="E509" s="66" t="s">
        <v>99</v>
      </c>
      <c r="F509" s="66" t="s">
        <v>709</v>
      </c>
      <c r="G509" s="71" t="s">
        <v>282</v>
      </c>
      <c r="H509" s="67" t="s">
        <v>2</v>
      </c>
      <c r="I509" s="67" t="s">
        <v>282</v>
      </c>
      <c r="J509" s="67" t="s">
        <v>282</v>
      </c>
      <c r="K509" s="67" t="s">
        <v>282</v>
      </c>
      <c r="L509" s="67" t="s">
        <v>282</v>
      </c>
      <c r="M509" s="67" t="s">
        <v>282</v>
      </c>
      <c r="N509" s="67" t="s">
        <v>2</v>
      </c>
      <c r="O509" s="68" t="s">
        <v>2</v>
      </c>
      <c r="P509" s="68" t="s">
        <v>2</v>
      </c>
      <c r="Q509" s="68" t="s">
        <v>15</v>
      </c>
      <c r="R509" s="68" t="s">
        <v>15</v>
      </c>
      <c r="S509" s="68" t="s">
        <v>16</v>
      </c>
      <c r="T509" s="68" t="s">
        <v>329</v>
      </c>
      <c r="U509" s="68" t="s">
        <v>249</v>
      </c>
      <c r="V509" s="68" t="s">
        <v>2</v>
      </c>
      <c r="W509" s="69" t="s">
        <v>282</v>
      </c>
      <c r="X509" s="69" t="s">
        <v>282</v>
      </c>
      <c r="Y509" s="70" t="s">
        <v>282</v>
      </c>
    </row>
    <row r="510" spans="1:25">
      <c r="A510" s="64">
        <v>10</v>
      </c>
      <c r="B510" s="65" t="str">
        <f>VLOOKUP(Tabel10[[#This Row],[Code]],Ruimtegroepen[[Code]:[Ruimte omschrijving]],2,FALSE)</f>
        <v>Trappenhuizen/lift</v>
      </c>
      <c r="C510" s="66" t="s">
        <v>707</v>
      </c>
      <c r="D510" s="65" t="s">
        <v>29</v>
      </c>
      <c r="E510" s="66" t="s">
        <v>101</v>
      </c>
      <c r="F510" s="66" t="s">
        <v>710</v>
      </c>
      <c r="G510" s="71" t="s">
        <v>282</v>
      </c>
      <c r="H510" s="67" t="s">
        <v>282</v>
      </c>
      <c r="I510" s="67" t="s">
        <v>20</v>
      </c>
      <c r="J510" s="67" t="s">
        <v>15</v>
      </c>
      <c r="K510" s="67" t="s">
        <v>283</v>
      </c>
      <c r="L510" s="67" t="s">
        <v>282</v>
      </c>
      <c r="M510" s="67" t="s">
        <v>282</v>
      </c>
      <c r="N510" s="67" t="s">
        <v>2</v>
      </c>
      <c r="O510" s="68" t="s">
        <v>2</v>
      </c>
      <c r="P510" s="68" t="s">
        <v>2</v>
      </c>
      <c r="Q510" s="68" t="s">
        <v>15</v>
      </c>
      <c r="R510" s="68" t="s">
        <v>15</v>
      </c>
      <c r="S510" s="68" t="s">
        <v>16</v>
      </c>
      <c r="T510" s="68" t="s">
        <v>329</v>
      </c>
      <c r="U510" s="68" t="s">
        <v>249</v>
      </c>
      <c r="V510" s="68" t="s">
        <v>2</v>
      </c>
      <c r="W510" s="69" t="s">
        <v>282</v>
      </c>
      <c r="X510" s="69" t="s">
        <v>282</v>
      </c>
      <c r="Y510" s="70" t="s">
        <v>282</v>
      </c>
    </row>
    <row r="511" spans="1:25">
      <c r="A511" s="64">
        <v>10</v>
      </c>
      <c r="B511" s="65" t="str">
        <f>VLOOKUP(Tabel10[[#This Row],[Code]],Ruimtegroepen[[Code]:[Ruimte omschrijving]],2,FALSE)</f>
        <v>Trappenhuizen/lift</v>
      </c>
      <c r="C511" s="66" t="s">
        <v>707</v>
      </c>
      <c r="D511" s="65" t="s">
        <v>29</v>
      </c>
      <c r="E511" s="66" t="s">
        <v>102</v>
      </c>
      <c r="F511" s="66" t="s">
        <v>711</v>
      </c>
      <c r="G511" s="71" t="s">
        <v>282</v>
      </c>
      <c r="H511" s="67" t="s">
        <v>282</v>
      </c>
      <c r="I511" s="67" t="s">
        <v>20</v>
      </c>
      <c r="J511" s="67" t="s">
        <v>15</v>
      </c>
      <c r="K511" s="67" t="s">
        <v>283</v>
      </c>
      <c r="L511" s="67" t="s">
        <v>282</v>
      </c>
      <c r="M511" s="67" t="s">
        <v>282</v>
      </c>
      <c r="N511" s="67" t="s">
        <v>2</v>
      </c>
      <c r="O511" s="68" t="s">
        <v>2</v>
      </c>
      <c r="P511" s="68" t="s">
        <v>2</v>
      </c>
      <c r="Q511" s="68" t="s">
        <v>15</v>
      </c>
      <c r="R511" s="68" t="s">
        <v>15</v>
      </c>
      <c r="S511" s="68" t="s">
        <v>16</v>
      </c>
      <c r="T511" s="68" t="s">
        <v>329</v>
      </c>
      <c r="U511" s="68" t="s">
        <v>249</v>
      </c>
      <c r="V511" s="68" t="s">
        <v>2</v>
      </c>
      <c r="W511" s="69" t="s">
        <v>282</v>
      </c>
      <c r="X511" s="69" t="s">
        <v>282</v>
      </c>
      <c r="Y511" s="70" t="s">
        <v>282</v>
      </c>
    </row>
    <row r="512" spans="1:25">
      <c r="A512" s="64">
        <v>10</v>
      </c>
      <c r="B512" s="65" t="str">
        <f>VLOOKUP(Tabel10[[#This Row],[Code]],Ruimtegroepen[[Code]:[Ruimte omschrijving]],2,FALSE)</f>
        <v>Trappenhuizen/lift</v>
      </c>
      <c r="C512" s="66" t="s">
        <v>707</v>
      </c>
      <c r="D512" s="65" t="s">
        <v>29</v>
      </c>
      <c r="E512" s="66" t="s">
        <v>99</v>
      </c>
      <c r="F512" s="66" t="s">
        <v>709</v>
      </c>
      <c r="G512" s="71" t="s">
        <v>282</v>
      </c>
      <c r="H512" s="67" t="s">
        <v>2</v>
      </c>
      <c r="I512" s="67" t="s">
        <v>282</v>
      </c>
      <c r="J512" s="67" t="s">
        <v>282</v>
      </c>
      <c r="K512" s="67" t="s">
        <v>282</v>
      </c>
      <c r="L512" s="67" t="s">
        <v>282</v>
      </c>
      <c r="M512" s="67" t="s">
        <v>282</v>
      </c>
      <c r="N512" s="67" t="s">
        <v>2</v>
      </c>
      <c r="O512" s="68" t="s">
        <v>2</v>
      </c>
      <c r="P512" s="68" t="s">
        <v>2</v>
      </c>
      <c r="Q512" s="68" t="s">
        <v>15</v>
      </c>
      <c r="R512" s="68" t="s">
        <v>15</v>
      </c>
      <c r="S512" s="68" t="s">
        <v>16</v>
      </c>
      <c r="T512" s="68" t="s">
        <v>329</v>
      </c>
      <c r="U512" s="68" t="s">
        <v>249</v>
      </c>
      <c r="V512" s="68" t="s">
        <v>2</v>
      </c>
      <c r="W512" s="69" t="s">
        <v>282</v>
      </c>
      <c r="X512" s="69" t="s">
        <v>282</v>
      </c>
      <c r="Y512" s="70" t="s">
        <v>282</v>
      </c>
    </row>
    <row r="513" spans="1:25">
      <c r="A513" s="64">
        <v>10</v>
      </c>
      <c r="B513" s="65" t="str">
        <f>VLOOKUP(Tabel10[[#This Row],[Code]],Ruimtegroepen[[Code]:[Ruimte omschrijving]],2,FALSE)</f>
        <v>Trappenhuizen/lift</v>
      </c>
      <c r="C513" s="66" t="s">
        <v>707</v>
      </c>
      <c r="D513" s="65" t="s">
        <v>29</v>
      </c>
      <c r="E513" s="66" t="s">
        <v>1309</v>
      </c>
      <c r="F513" s="66" t="s">
        <v>1483</v>
      </c>
      <c r="G513" s="71" t="s">
        <v>282</v>
      </c>
      <c r="H513" s="67" t="s">
        <v>282</v>
      </c>
      <c r="I513" s="67" t="s">
        <v>20</v>
      </c>
      <c r="J513" s="67" t="s">
        <v>15</v>
      </c>
      <c r="K513" s="67" t="s">
        <v>283</v>
      </c>
      <c r="L513" s="67" t="s">
        <v>282</v>
      </c>
      <c r="M513" s="67" t="s">
        <v>282</v>
      </c>
      <c r="N513" s="67" t="s">
        <v>2</v>
      </c>
      <c r="O513" s="68" t="s">
        <v>2</v>
      </c>
      <c r="P513" s="68" t="s">
        <v>2</v>
      </c>
      <c r="Q513" s="68" t="s">
        <v>15</v>
      </c>
      <c r="R513" s="68" t="s">
        <v>15</v>
      </c>
      <c r="S513" s="68" t="s">
        <v>16</v>
      </c>
      <c r="T513" s="68" t="s">
        <v>329</v>
      </c>
      <c r="U513" s="68" t="s">
        <v>249</v>
      </c>
      <c r="V513" s="68" t="s">
        <v>2</v>
      </c>
      <c r="W513" s="69" t="s">
        <v>282</v>
      </c>
      <c r="X513" s="69" t="s">
        <v>282</v>
      </c>
      <c r="Y513" s="70" t="s">
        <v>282</v>
      </c>
    </row>
    <row r="514" spans="1:25">
      <c r="A514" s="64">
        <v>10</v>
      </c>
      <c r="B514" s="65" t="str">
        <f>VLOOKUP(Tabel10[[#This Row],[Code]],Ruimtegroepen[[Code]:[Ruimte omschrijving]],2,FALSE)</f>
        <v>Trappenhuizen/lift</v>
      </c>
      <c r="C514" s="66" t="s">
        <v>712</v>
      </c>
      <c r="D514" s="65" t="s">
        <v>1</v>
      </c>
      <c r="E514" s="66" t="s">
        <v>100</v>
      </c>
      <c r="F514" s="66" t="s">
        <v>713</v>
      </c>
      <c r="G514" s="71" t="s">
        <v>282</v>
      </c>
      <c r="H514" s="67" t="s">
        <v>282</v>
      </c>
      <c r="I514" s="67" t="s">
        <v>20</v>
      </c>
      <c r="J514" s="67" t="s">
        <v>15</v>
      </c>
      <c r="K514" s="67" t="s">
        <v>282</v>
      </c>
      <c r="L514" s="67" t="s">
        <v>282</v>
      </c>
      <c r="M514" s="67" t="s">
        <v>282</v>
      </c>
      <c r="N514" s="67" t="s">
        <v>282</v>
      </c>
      <c r="O514" s="68" t="s">
        <v>2</v>
      </c>
      <c r="P514" s="68" t="s">
        <v>2</v>
      </c>
      <c r="Q514" s="68" t="s">
        <v>15</v>
      </c>
      <c r="R514" s="68" t="s">
        <v>15</v>
      </c>
      <c r="S514" s="68" t="s">
        <v>16</v>
      </c>
      <c r="T514" s="68" t="s">
        <v>329</v>
      </c>
      <c r="U514" s="68" t="s">
        <v>249</v>
      </c>
      <c r="V514" s="68" t="s">
        <v>282</v>
      </c>
      <c r="W514" s="69" t="s">
        <v>282</v>
      </c>
      <c r="X514" s="69" t="s">
        <v>282</v>
      </c>
      <c r="Y514" s="70" t="s">
        <v>282</v>
      </c>
    </row>
    <row r="515" spans="1:25">
      <c r="A515" s="64">
        <v>10</v>
      </c>
      <c r="B515" s="65" t="str">
        <f>VLOOKUP(Tabel10[[#This Row],[Code]],Ruimtegroepen[[Code]:[Ruimte omschrijving]],2,FALSE)</f>
        <v>Trappenhuizen/lift</v>
      </c>
      <c r="C515" s="66" t="s">
        <v>712</v>
      </c>
      <c r="D515" s="65" t="s">
        <v>1</v>
      </c>
      <c r="E515" s="66" t="s">
        <v>99</v>
      </c>
      <c r="F515" s="66" t="s">
        <v>714</v>
      </c>
      <c r="G515" s="71" t="s">
        <v>282</v>
      </c>
      <c r="H515" s="67" t="s">
        <v>2</v>
      </c>
      <c r="I515" s="67" t="s">
        <v>282</v>
      </c>
      <c r="J515" s="67" t="s">
        <v>282</v>
      </c>
      <c r="K515" s="67" t="s">
        <v>282</v>
      </c>
      <c r="L515" s="67" t="s">
        <v>282</v>
      </c>
      <c r="M515" s="67" t="s">
        <v>282</v>
      </c>
      <c r="N515" s="67" t="s">
        <v>282</v>
      </c>
      <c r="O515" s="68" t="s">
        <v>2</v>
      </c>
      <c r="P515" s="68" t="s">
        <v>2</v>
      </c>
      <c r="Q515" s="68" t="s">
        <v>15</v>
      </c>
      <c r="R515" s="68" t="s">
        <v>15</v>
      </c>
      <c r="S515" s="68" t="s">
        <v>16</v>
      </c>
      <c r="T515" s="68" t="s">
        <v>329</v>
      </c>
      <c r="U515" s="68" t="s">
        <v>249</v>
      </c>
      <c r="V515" s="68" t="s">
        <v>282</v>
      </c>
      <c r="W515" s="69" t="s">
        <v>282</v>
      </c>
      <c r="X515" s="69" t="s">
        <v>282</v>
      </c>
      <c r="Y515" s="70" t="s">
        <v>282</v>
      </c>
    </row>
    <row r="516" spans="1:25">
      <c r="A516" s="64">
        <v>10</v>
      </c>
      <c r="B516" s="65" t="str">
        <f>VLOOKUP(Tabel10[[#This Row],[Code]],Ruimtegroepen[[Code]:[Ruimte omschrijving]],2,FALSE)</f>
        <v>Trappenhuizen/lift</v>
      </c>
      <c r="C516" s="66" t="s">
        <v>712</v>
      </c>
      <c r="D516" s="65" t="s">
        <v>1</v>
      </c>
      <c r="E516" s="66" t="s">
        <v>101</v>
      </c>
      <c r="F516" s="66" t="s">
        <v>715</v>
      </c>
      <c r="G516" s="71" t="s">
        <v>282</v>
      </c>
      <c r="H516" s="67" t="s">
        <v>282</v>
      </c>
      <c r="I516" s="67" t="s">
        <v>20</v>
      </c>
      <c r="J516" s="67" t="s">
        <v>15</v>
      </c>
      <c r="K516" s="67" t="s">
        <v>283</v>
      </c>
      <c r="L516" s="67" t="s">
        <v>282</v>
      </c>
      <c r="M516" s="67" t="s">
        <v>282</v>
      </c>
      <c r="N516" s="67" t="s">
        <v>282</v>
      </c>
      <c r="O516" s="68" t="s">
        <v>2</v>
      </c>
      <c r="P516" s="68" t="s">
        <v>2</v>
      </c>
      <c r="Q516" s="68" t="s">
        <v>15</v>
      </c>
      <c r="R516" s="68" t="s">
        <v>15</v>
      </c>
      <c r="S516" s="68" t="s">
        <v>16</v>
      </c>
      <c r="T516" s="68" t="s">
        <v>329</v>
      </c>
      <c r="U516" s="68" t="s">
        <v>249</v>
      </c>
      <c r="V516" s="68" t="s">
        <v>282</v>
      </c>
      <c r="W516" s="69" t="s">
        <v>282</v>
      </c>
      <c r="X516" s="69" t="s">
        <v>282</v>
      </c>
      <c r="Y516" s="70" t="s">
        <v>282</v>
      </c>
    </row>
    <row r="517" spans="1:25">
      <c r="A517" s="64">
        <v>10</v>
      </c>
      <c r="B517" s="65" t="str">
        <f>VLOOKUP(Tabel10[[#This Row],[Code]],Ruimtegroepen[[Code]:[Ruimte omschrijving]],2,FALSE)</f>
        <v>Trappenhuizen/lift</v>
      </c>
      <c r="C517" s="66" t="s">
        <v>712</v>
      </c>
      <c r="D517" s="65" t="s">
        <v>1</v>
      </c>
      <c r="E517" s="66" t="s">
        <v>102</v>
      </c>
      <c r="F517" s="66" t="s">
        <v>716</v>
      </c>
      <c r="G517" s="71" t="s">
        <v>282</v>
      </c>
      <c r="H517" s="67" t="s">
        <v>282</v>
      </c>
      <c r="I517" s="67" t="s">
        <v>2</v>
      </c>
      <c r="J517" s="67" t="s">
        <v>282</v>
      </c>
      <c r="K517" s="67" t="s">
        <v>283</v>
      </c>
      <c r="L517" s="67" t="s">
        <v>282</v>
      </c>
      <c r="M517" s="67" t="s">
        <v>282</v>
      </c>
      <c r="N517" s="67" t="s">
        <v>282</v>
      </c>
      <c r="O517" s="68" t="s">
        <v>2</v>
      </c>
      <c r="P517" s="68" t="s">
        <v>2</v>
      </c>
      <c r="Q517" s="68" t="s">
        <v>15</v>
      </c>
      <c r="R517" s="68" t="s">
        <v>15</v>
      </c>
      <c r="S517" s="68" t="s">
        <v>16</v>
      </c>
      <c r="T517" s="68" t="s">
        <v>329</v>
      </c>
      <c r="U517" s="68" t="s">
        <v>249</v>
      </c>
      <c r="V517" s="68" t="s">
        <v>282</v>
      </c>
      <c r="W517" s="69" t="s">
        <v>282</v>
      </c>
      <c r="X517" s="69" t="s">
        <v>282</v>
      </c>
      <c r="Y517" s="70" t="s">
        <v>282</v>
      </c>
    </row>
    <row r="518" spans="1:25">
      <c r="A518" s="64">
        <v>10</v>
      </c>
      <c r="B518" s="65" t="str">
        <f>VLOOKUP(Tabel10[[#This Row],[Code]],Ruimtegroepen[[Code]:[Ruimte omschrijving]],2,FALSE)</f>
        <v>Trappenhuizen/lift</v>
      </c>
      <c r="C518" s="66" t="s">
        <v>712</v>
      </c>
      <c r="D518" s="65" t="s">
        <v>1</v>
      </c>
      <c r="E518" s="66" t="s">
        <v>99</v>
      </c>
      <c r="F518" s="66" t="s">
        <v>714</v>
      </c>
      <c r="G518" s="71" t="s">
        <v>282</v>
      </c>
      <c r="H518" s="67" t="s">
        <v>2</v>
      </c>
      <c r="I518" s="67" t="s">
        <v>282</v>
      </c>
      <c r="J518" s="67" t="s">
        <v>282</v>
      </c>
      <c r="K518" s="67" t="s">
        <v>282</v>
      </c>
      <c r="L518" s="67" t="s">
        <v>282</v>
      </c>
      <c r="M518" s="67" t="s">
        <v>282</v>
      </c>
      <c r="N518" s="67" t="s">
        <v>282</v>
      </c>
      <c r="O518" s="68" t="s">
        <v>2</v>
      </c>
      <c r="P518" s="68" t="s">
        <v>2</v>
      </c>
      <c r="Q518" s="68" t="s">
        <v>15</v>
      </c>
      <c r="R518" s="68" t="s">
        <v>15</v>
      </c>
      <c r="S518" s="68" t="s">
        <v>16</v>
      </c>
      <c r="T518" s="68" t="s">
        <v>329</v>
      </c>
      <c r="U518" s="68" t="s">
        <v>249</v>
      </c>
      <c r="V518" s="68" t="s">
        <v>282</v>
      </c>
      <c r="W518" s="69" t="s">
        <v>282</v>
      </c>
      <c r="X518" s="69" t="s">
        <v>282</v>
      </c>
      <c r="Y518" s="70" t="s">
        <v>282</v>
      </c>
    </row>
    <row r="519" spans="1:25">
      <c r="A519" s="64">
        <v>10</v>
      </c>
      <c r="B519" s="65" t="str">
        <f>VLOOKUP(Tabel10[[#This Row],[Code]],Ruimtegroepen[[Code]:[Ruimte omschrijving]],2,FALSE)</f>
        <v>Trappenhuizen/lift</v>
      </c>
      <c r="C519" s="66" t="s">
        <v>712</v>
      </c>
      <c r="D519" s="65" t="s">
        <v>1</v>
      </c>
      <c r="E519" s="66" t="s">
        <v>1309</v>
      </c>
      <c r="F519" s="66" t="s">
        <v>1467</v>
      </c>
      <c r="G519" s="71" t="s">
        <v>282</v>
      </c>
      <c r="H519" s="67" t="s">
        <v>282</v>
      </c>
      <c r="I519" s="67" t="s">
        <v>2</v>
      </c>
      <c r="J519" s="67" t="s">
        <v>282</v>
      </c>
      <c r="K519" s="67" t="s">
        <v>283</v>
      </c>
      <c r="L519" s="67" t="s">
        <v>282</v>
      </c>
      <c r="M519" s="67" t="s">
        <v>282</v>
      </c>
      <c r="N519" s="67" t="s">
        <v>282</v>
      </c>
      <c r="O519" s="68" t="s">
        <v>2</v>
      </c>
      <c r="P519" s="68" t="s">
        <v>2</v>
      </c>
      <c r="Q519" s="68" t="s">
        <v>15</v>
      </c>
      <c r="R519" s="68" t="s">
        <v>15</v>
      </c>
      <c r="S519" s="68" t="s">
        <v>16</v>
      </c>
      <c r="T519" s="68" t="s">
        <v>329</v>
      </c>
      <c r="U519" s="68" t="s">
        <v>249</v>
      </c>
      <c r="V519" s="68" t="s">
        <v>282</v>
      </c>
      <c r="W519" s="69" t="s">
        <v>282</v>
      </c>
      <c r="X519" s="69" t="s">
        <v>282</v>
      </c>
      <c r="Y519" s="70" t="s">
        <v>282</v>
      </c>
    </row>
    <row r="520" spans="1:25">
      <c r="A520" s="64">
        <v>10</v>
      </c>
      <c r="B520" s="65" t="str">
        <f>VLOOKUP(Tabel10[[#This Row],[Code]],Ruimtegroepen[[Code]:[Ruimte omschrijving]],2,FALSE)</f>
        <v>Trappenhuizen/lift</v>
      </c>
      <c r="C520" s="66" t="s">
        <v>717</v>
      </c>
      <c r="D520" s="65" t="s">
        <v>21</v>
      </c>
      <c r="E520" s="66" t="s">
        <v>100</v>
      </c>
      <c r="F520" s="66" t="s">
        <v>718</v>
      </c>
      <c r="G520" s="71" t="s">
        <v>282</v>
      </c>
      <c r="H520" s="67" t="s">
        <v>282</v>
      </c>
      <c r="I520" s="67" t="s">
        <v>18</v>
      </c>
      <c r="J520" s="67" t="s">
        <v>15</v>
      </c>
      <c r="K520" s="67" t="s">
        <v>282</v>
      </c>
      <c r="L520" s="67" t="s">
        <v>282</v>
      </c>
      <c r="M520" s="67" t="s">
        <v>282</v>
      </c>
      <c r="N520" s="67" t="s">
        <v>282</v>
      </c>
      <c r="O520" s="68" t="s">
        <v>20</v>
      </c>
      <c r="P520" s="68" t="s">
        <v>20</v>
      </c>
      <c r="Q520" s="68" t="s">
        <v>15</v>
      </c>
      <c r="R520" s="68" t="s">
        <v>15</v>
      </c>
      <c r="S520" s="68" t="s">
        <v>16</v>
      </c>
      <c r="T520" s="68" t="s">
        <v>329</v>
      </c>
      <c r="U520" s="68" t="s">
        <v>249</v>
      </c>
      <c r="V520" s="68" t="s">
        <v>282</v>
      </c>
      <c r="W520" s="69" t="s">
        <v>282</v>
      </c>
      <c r="X520" s="69" t="s">
        <v>282</v>
      </c>
      <c r="Y520" s="70" t="s">
        <v>282</v>
      </c>
    </row>
    <row r="521" spans="1:25">
      <c r="A521" s="64">
        <v>10</v>
      </c>
      <c r="B521" s="65" t="str">
        <f>VLOOKUP(Tabel10[[#This Row],[Code]],Ruimtegroepen[[Code]:[Ruimte omschrijving]],2,FALSE)</f>
        <v>Trappenhuizen/lift</v>
      </c>
      <c r="C521" s="66" t="s">
        <v>717</v>
      </c>
      <c r="D521" s="65" t="s">
        <v>21</v>
      </c>
      <c r="E521" s="66" t="s">
        <v>99</v>
      </c>
      <c r="F521" s="66" t="s">
        <v>719</v>
      </c>
      <c r="G521" s="71" t="s">
        <v>282</v>
      </c>
      <c r="H521" s="67" t="s">
        <v>20</v>
      </c>
      <c r="I521" s="67" t="s">
        <v>282</v>
      </c>
      <c r="J521" s="67" t="s">
        <v>282</v>
      </c>
      <c r="K521" s="67" t="s">
        <v>282</v>
      </c>
      <c r="L521" s="67" t="s">
        <v>282</v>
      </c>
      <c r="M521" s="67" t="s">
        <v>282</v>
      </c>
      <c r="N521" s="67" t="s">
        <v>282</v>
      </c>
      <c r="O521" s="68" t="s">
        <v>20</v>
      </c>
      <c r="P521" s="68" t="s">
        <v>20</v>
      </c>
      <c r="Q521" s="68" t="s">
        <v>15</v>
      </c>
      <c r="R521" s="68" t="s">
        <v>15</v>
      </c>
      <c r="S521" s="68" t="s">
        <v>16</v>
      </c>
      <c r="T521" s="68" t="s">
        <v>329</v>
      </c>
      <c r="U521" s="68" t="s">
        <v>249</v>
      </c>
      <c r="V521" s="68" t="s">
        <v>282</v>
      </c>
      <c r="W521" s="69" t="s">
        <v>282</v>
      </c>
      <c r="X521" s="69" t="s">
        <v>282</v>
      </c>
      <c r="Y521" s="70" t="s">
        <v>282</v>
      </c>
    </row>
    <row r="522" spans="1:25">
      <c r="A522" s="64">
        <v>10</v>
      </c>
      <c r="B522" s="65" t="str">
        <f>VLOOKUP(Tabel10[[#This Row],[Code]],Ruimtegroepen[[Code]:[Ruimte omschrijving]],2,FALSE)</f>
        <v>Trappenhuizen/lift</v>
      </c>
      <c r="C522" s="66" t="s">
        <v>717</v>
      </c>
      <c r="D522" s="65" t="s">
        <v>21</v>
      </c>
      <c r="E522" s="66" t="s">
        <v>101</v>
      </c>
      <c r="F522" s="66" t="s">
        <v>720</v>
      </c>
      <c r="G522" s="71" t="s">
        <v>282</v>
      </c>
      <c r="H522" s="67" t="s">
        <v>282</v>
      </c>
      <c r="I522" s="67" t="s">
        <v>18</v>
      </c>
      <c r="J522" s="67" t="s">
        <v>15</v>
      </c>
      <c r="K522" s="67" t="s">
        <v>283</v>
      </c>
      <c r="L522" s="67" t="s">
        <v>282</v>
      </c>
      <c r="M522" s="67" t="s">
        <v>282</v>
      </c>
      <c r="N522" s="67" t="s">
        <v>282</v>
      </c>
      <c r="O522" s="68" t="s">
        <v>20</v>
      </c>
      <c r="P522" s="68" t="s">
        <v>20</v>
      </c>
      <c r="Q522" s="68" t="s">
        <v>15</v>
      </c>
      <c r="R522" s="68" t="s">
        <v>15</v>
      </c>
      <c r="S522" s="68" t="s">
        <v>16</v>
      </c>
      <c r="T522" s="68" t="s">
        <v>329</v>
      </c>
      <c r="U522" s="68" t="s">
        <v>249</v>
      </c>
      <c r="V522" s="68" t="s">
        <v>282</v>
      </c>
      <c r="W522" s="69" t="s">
        <v>282</v>
      </c>
      <c r="X522" s="69" t="s">
        <v>282</v>
      </c>
      <c r="Y522" s="70" t="s">
        <v>282</v>
      </c>
    </row>
    <row r="523" spans="1:25">
      <c r="A523" s="64">
        <v>10</v>
      </c>
      <c r="B523" s="65" t="str">
        <f>VLOOKUP(Tabel10[[#This Row],[Code]],Ruimtegroepen[[Code]:[Ruimte omschrijving]],2,FALSE)</f>
        <v>Trappenhuizen/lift</v>
      </c>
      <c r="C523" s="66" t="s">
        <v>717</v>
      </c>
      <c r="D523" s="65" t="s">
        <v>21</v>
      </c>
      <c r="E523" s="66" t="s">
        <v>102</v>
      </c>
      <c r="F523" s="66" t="s">
        <v>721</v>
      </c>
      <c r="G523" s="71" t="s">
        <v>282</v>
      </c>
      <c r="H523" s="67" t="s">
        <v>282</v>
      </c>
      <c r="I523" s="67" t="s">
        <v>18</v>
      </c>
      <c r="J523" s="67" t="s">
        <v>15</v>
      </c>
      <c r="K523" s="67" t="s">
        <v>283</v>
      </c>
      <c r="L523" s="67" t="s">
        <v>282</v>
      </c>
      <c r="M523" s="67" t="s">
        <v>282</v>
      </c>
      <c r="N523" s="67" t="s">
        <v>282</v>
      </c>
      <c r="O523" s="68" t="s">
        <v>20</v>
      </c>
      <c r="P523" s="68" t="s">
        <v>20</v>
      </c>
      <c r="Q523" s="68" t="s">
        <v>15</v>
      </c>
      <c r="R523" s="68" t="s">
        <v>15</v>
      </c>
      <c r="S523" s="68" t="s">
        <v>16</v>
      </c>
      <c r="T523" s="68" t="s">
        <v>329</v>
      </c>
      <c r="U523" s="68" t="s">
        <v>249</v>
      </c>
      <c r="V523" s="68" t="s">
        <v>282</v>
      </c>
      <c r="W523" s="69" t="s">
        <v>282</v>
      </c>
      <c r="X523" s="69" t="s">
        <v>282</v>
      </c>
      <c r="Y523" s="70" t="s">
        <v>282</v>
      </c>
    </row>
    <row r="524" spans="1:25">
      <c r="A524" s="64">
        <v>10</v>
      </c>
      <c r="B524" s="65" t="str">
        <f>VLOOKUP(Tabel10[[#This Row],[Code]],Ruimtegroepen[[Code]:[Ruimte omschrijving]],2,FALSE)</f>
        <v>Trappenhuizen/lift</v>
      </c>
      <c r="C524" s="66" t="s">
        <v>717</v>
      </c>
      <c r="D524" s="65" t="s">
        <v>21</v>
      </c>
      <c r="E524" s="66" t="s">
        <v>99</v>
      </c>
      <c r="F524" s="66" t="s">
        <v>719</v>
      </c>
      <c r="G524" s="71" t="s">
        <v>282</v>
      </c>
      <c r="H524" s="67" t="s">
        <v>20</v>
      </c>
      <c r="I524" s="67" t="s">
        <v>282</v>
      </c>
      <c r="J524" s="67" t="s">
        <v>282</v>
      </c>
      <c r="K524" s="67" t="s">
        <v>282</v>
      </c>
      <c r="L524" s="67" t="s">
        <v>282</v>
      </c>
      <c r="M524" s="67" t="s">
        <v>282</v>
      </c>
      <c r="N524" s="67" t="s">
        <v>282</v>
      </c>
      <c r="O524" s="68" t="s">
        <v>20</v>
      </c>
      <c r="P524" s="68" t="s">
        <v>20</v>
      </c>
      <c r="Q524" s="68" t="s">
        <v>15</v>
      </c>
      <c r="R524" s="68" t="s">
        <v>15</v>
      </c>
      <c r="S524" s="68" t="s">
        <v>16</v>
      </c>
      <c r="T524" s="68" t="s">
        <v>329</v>
      </c>
      <c r="U524" s="68" t="s">
        <v>249</v>
      </c>
      <c r="V524" s="68" t="s">
        <v>282</v>
      </c>
      <c r="W524" s="69" t="s">
        <v>282</v>
      </c>
      <c r="X524" s="69" t="s">
        <v>282</v>
      </c>
      <c r="Y524" s="70" t="s">
        <v>282</v>
      </c>
    </row>
    <row r="525" spans="1:25">
      <c r="A525" s="64">
        <v>10</v>
      </c>
      <c r="B525" s="65" t="str">
        <f>VLOOKUP(Tabel10[[#This Row],[Code]],Ruimtegroepen[[Code]:[Ruimte omschrijving]],2,FALSE)</f>
        <v>Trappenhuizen/lift</v>
      </c>
      <c r="C525" s="66" t="s">
        <v>717</v>
      </c>
      <c r="D525" s="65" t="s">
        <v>21</v>
      </c>
      <c r="E525" s="66" t="s">
        <v>1309</v>
      </c>
      <c r="F525" s="66" t="s">
        <v>1450</v>
      </c>
      <c r="G525" s="71" t="s">
        <v>282</v>
      </c>
      <c r="H525" s="67" t="s">
        <v>282</v>
      </c>
      <c r="I525" s="67" t="s">
        <v>18</v>
      </c>
      <c r="J525" s="67" t="s">
        <v>15</v>
      </c>
      <c r="K525" s="67" t="s">
        <v>283</v>
      </c>
      <c r="L525" s="67" t="s">
        <v>282</v>
      </c>
      <c r="M525" s="67" t="s">
        <v>282</v>
      </c>
      <c r="N525" s="67" t="s">
        <v>282</v>
      </c>
      <c r="O525" s="68" t="s">
        <v>20</v>
      </c>
      <c r="P525" s="68" t="s">
        <v>20</v>
      </c>
      <c r="Q525" s="68" t="s">
        <v>15</v>
      </c>
      <c r="R525" s="68" t="s">
        <v>15</v>
      </c>
      <c r="S525" s="68" t="s">
        <v>16</v>
      </c>
      <c r="T525" s="68" t="s">
        <v>329</v>
      </c>
      <c r="U525" s="68" t="s">
        <v>249</v>
      </c>
      <c r="V525" s="68" t="s">
        <v>282</v>
      </c>
      <c r="W525" s="69" t="s">
        <v>282</v>
      </c>
      <c r="X525" s="69" t="s">
        <v>282</v>
      </c>
      <c r="Y525" s="70" t="s">
        <v>282</v>
      </c>
    </row>
    <row r="526" spans="1:25">
      <c r="A526" s="64">
        <v>10</v>
      </c>
      <c r="B526" s="65" t="str">
        <f>VLOOKUP(Tabel10[[#This Row],[Code]],Ruimtegroepen[[Code]:[Ruimte omschrijving]],2,FALSE)</f>
        <v>Trappenhuizen/lift</v>
      </c>
      <c r="C526" s="66" t="s">
        <v>722</v>
      </c>
      <c r="D526" s="65" t="s">
        <v>12</v>
      </c>
      <c r="E526" s="66" t="s">
        <v>100</v>
      </c>
      <c r="F526" s="66" t="s">
        <v>723</v>
      </c>
      <c r="G526" s="71" t="s">
        <v>282</v>
      </c>
      <c r="H526" s="67" t="s">
        <v>282</v>
      </c>
      <c r="I526" s="67" t="s">
        <v>17</v>
      </c>
      <c r="J526" s="67" t="s">
        <v>15</v>
      </c>
      <c r="K526" s="67" t="s">
        <v>282</v>
      </c>
      <c r="L526" s="67" t="s">
        <v>282</v>
      </c>
      <c r="M526" s="67" t="s">
        <v>282</v>
      </c>
      <c r="N526" s="67" t="s">
        <v>282</v>
      </c>
      <c r="O526" s="68" t="s">
        <v>18</v>
      </c>
      <c r="P526" s="68" t="s">
        <v>18</v>
      </c>
      <c r="Q526" s="68" t="s">
        <v>15</v>
      </c>
      <c r="R526" s="68" t="s">
        <v>15</v>
      </c>
      <c r="S526" s="68" t="s">
        <v>16</v>
      </c>
      <c r="T526" s="68" t="s">
        <v>329</v>
      </c>
      <c r="U526" s="68" t="s">
        <v>249</v>
      </c>
      <c r="V526" s="68" t="s">
        <v>282</v>
      </c>
      <c r="W526" s="69" t="s">
        <v>282</v>
      </c>
      <c r="X526" s="69" t="s">
        <v>282</v>
      </c>
      <c r="Y526" s="70" t="s">
        <v>282</v>
      </c>
    </row>
    <row r="527" spans="1:25">
      <c r="A527" s="64">
        <v>10</v>
      </c>
      <c r="B527" s="65" t="str">
        <f>VLOOKUP(Tabel10[[#This Row],[Code]],Ruimtegroepen[[Code]:[Ruimte omschrijving]],2,FALSE)</f>
        <v>Trappenhuizen/lift</v>
      </c>
      <c r="C527" s="66" t="s">
        <v>722</v>
      </c>
      <c r="D527" s="65" t="s">
        <v>12</v>
      </c>
      <c r="E527" s="66" t="s">
        <v>99</v>
      </c>
      <c r="F527" s="66" t="s">
        <v>724</v>
      </c>
      <c r="G527" s="71" t="s">
        <v>282</v>
      </c>
      <c r="H527" s="67" t="s">
        <v>18</v>
      </c>
      <c r="I527" s="67" t="s">
        <v>282</v>
      </c>
      <c r="J527" s="67" t="s">
        <v>282</v>
      </c>
      <c r="K527" s="67" t="s">
        <v>282</v>
      </c>
      <c r="L527" s="67" t="s">
        <v>282</v>
      </c>
      <c r="M527" s="67" t="s">
        <v>282</v>
      </c>
      <c r="N527" s="67" t="s">
        <v>282</v>
      </c>
      <c r="O527" s="68" t="s">
        <v>18</v>
      </c>
      <c r="P527" s="68" t="s">
        <v>18</v>
      </c>
      <c r="Q527" s="68" t="s">
        <v>15</v>
      </c>
      <c r="R527" s="68" t="s">
        <v>15</v>
      </c>
      <c r="S527" s="68" t="s">
        <v>16</v>
      </c>
      <c r="T527" s="68" t="s">
        <v>329</v>
      </c>
      <c r="U527" s="68" t="s">
        <v>249</v>
      </c>
      <c r="V527" s="68" t="s">
        <v>282</v>
      </c>
      <c r="W527" s="69" t="s">
        <v>282</v>
      </c>
      <c r="X527" s="69" t="s">
        <v>282</v>
      </c>
      <c r="Y527" s="70" t="s">
        <v>282</v>
      </c>
    </row>
    <row r="528" spans="1:25">
      <c r="A528" s="64">
        <v>10</v>
      </c>
      <c r="B528" s="65" t="str">
        <f>VLOOKUP(Tabel10[[#This Row],[Code]],Ruimtegroepen[[Code]:[Ruimte omschrijving]],2,FALSE)</f>
        <v>Trappenhuizen/lift</v>
      </c>
      <c r="C528" s="66" t="s">
        <v>722</v>
      </c>
      <c r="D528" s="65" t="s">
        <v>12</v>
      </c>
      <c r="E528" s="66" t="s">
        <v>101</v>
      </c>
      <c r="F528" s="66" t="s">
        <v>725</v>
      </c>
      <c r="G528" s="71" t="s">
        <v>282</v>
      </c>
      <c r="H528" s="67" t="s">
        <v>282</v>
      </c>
      <c r="I528" s="67" t="s">
        <v>17</v>
      </c>
      <c r="J528" s="67" t="s">
        <v>15</v>
      </c>
      <c r="K528" s="67" t="s">
        <v>283</v>
      </c>
      <c r="L528" s="67" t="s">
        <v>282</v>
      </c>
      <c r="M528" s="67" t="s">
        <v>282</v>
      </c>
      <c r="N528" s="67" t="s">
        <v>282</v>
      </c>
      <c r="O528" s="68" t="s">
        <v>18</v>
      </c>
      <c r="P528" s="68" t="s">
        <v>18</v>
      </c>
      <c r="Q528" s="68" t="s">
        <v>15</v>
      </c>
      <c r="R528" s="68" t="s">
        <v>15</v>
      </c>
      <c r="S528" s="68" t="s">
        <v>16</v>
      </c>
      <c r="T528" s="68" t="s">
        <v>329</v>
      </c>
      <c r="U528" s="68" t="s">
        <v>249</v>
      </c>
      <c r="V528" s="68" t="s">
        <v>282</v>
      </c>
      <c r="W528" s="69" t="s">
        <v>282</v>
      </c>
      <c r="X528" s="69" t="s">
        <v>282</v>
      </c>
      <c r="Y528" s="70" t="s">
        <v>282</v>
      </c>
    </row>
    <row r="529" spans="1:25">
      <c r="A529" s="64">
        <v>10</v>
      </c>
      <c r="B529" s="65" t="str">
        <f>VLOOKUP(Tabel10[[#This Row],[Code]],Ruimtegroepen[[Code]:[Ruimte omschrijving]],2,FALSE)</f>
        <v>Trappenhuizen/lift</v>
      </c>
      <c r="C529" s="66" t="s">
        <v>722</v>
      </c>
      <c r="D529" s="65" t="s">
        <v>12</v>
      </c>
      <c r="E529" s="66" t="s">
        <v>102</v>
      </c>
      <c r="F529" s="66" t="s">
        <v>726</v>
      </c>
      <c r="G529" s="71" t="s">
        <v>282</v>
      </c>
      <c r="H529" s="67" t="s">
        <v>282</v>
      </c>
      <c r="I529" s="67" t="s">
        <v>17</v>
      </c>
      <c r="J529" s="67" t="s">
        <v>15</v>
      </c>
      <c r="K529" s="67" t="s">
        <v>283</v>
      </c>
      <c r="L529" s="67" t="s">
        <v>282</v>
      </c>
      <c r="M529" s="67" t="s">
        <v>282</v>
      </c>
      <c r="N529" s="67" t="s">
        <v>282</v>
      </c>
      <c r="O529" s="68" t="s">
        <v>18</v>
      </c>
      <c r="P529" s="68" t="s">
        <v>18</v>
      </c>
      <c r="Q529" s="68" t="s">
        <v>15</v>
      </c>
      <c r="R529" s="68" t="s">
        <v>15</v>
      </c>
      <c r="S529" s="68" t="s">
        <v>16</v>
      </c>
      <c r="T529" s="68" t="s">
        <v>329</v>
      </c>
      <c r="U529" s="68" t="s">
        <v>249</v>
      </c>
      <c r="V529" s="68" t="s">
        <v>282</v>
      </c>
      <c r="W529" s="69" t="s">
        <v>282</v>
      </c>
      <c r="X529" s="69" t="s">
        <v>282</v>
      </c>
      <c r="Y529" s="70" t="s">
        <v>282</v>
      </c>
    </row>
    <row r="530" spans="1:25">
      <c r="A530" s="64">
        <v>10</v>
      </c>
      <c r="B530" s="65" t="str">
        <f>VLOOKUP(Tabel10[[#This Row],[Code]],Ruimtegroepen[[Code]:[Ruimte omschrijving]],2,FALSE)</f>
        <v>Trappenhuizen/lift</v>
      </c>
      <c r="C530" s="66" t="s">
        <v>722</v>
      </c>
      <c r="D530" s="65" t="s">
        <v>12</v>
      </c>
      <c r="E530" s="66" t="s">
        <v>99</v>
      </c>
      <c r="F530" s="66" t="s">
        <v>724</v>
      </c>
      <c r="G530" s="71" t="s">
        <v>282</v>
      </c>
      <c r="H530" s="67" t="s">
        <v>18</v>
      </c>
      <c r="I530" s="67" t="s">
        <v>282</v>
      </c>
      <c r="J530" s="67" t="s">
        <v>282</v>
      </c>
      <c r="K530" s="67" t="s">
        <v>282</v>
      </c>
      <c r="L530" s="67" t="s">
        <v>282</v>
      </c>
      <c r="M530" s="67" t="s">
        <v>282</v>
      </c>
      <c r="N530" s="67" t="s">
        <v>282</v>
      </c>
      <c r="O530" s="68" t="s">
        <v>18</v>
      </c>
      <c r="P530" s="68" t="s">
        <v>18</v>
      </c>
      <c r="Q530" s="68" t="s">
        <v>15</v>
      </c>
      <c r="R530" s="68" t="s">
        <v>15</v>
      </c>
      <c r="S530" s="68" t="s">
        <v>16</v>
      </c>
      <c r="T530" s="68" t="s">
        <v>329</v>
      </c>
      <c r="U530" s="68" t="s">
        <v>249</v>
      </c>
      <c r="V530" s="68" t="s">
        <v>282</v>
      </c>
      <c r="W530" s="69" t="s">
        <v>282</v>
      </c>
      <c r="X530" s="69" t="s">
        <v>282</v>
      </c>
      <c r="Y530" s="70" t="s">
        <v>282</v>
      </c>
    </row>
    <row r="531" spans="1:25">
      <c r="A531" s="64">
        <v>10</v>
      </c>
      <c r="B531" s="65" t="str">
        <f>VLOOKUP(Tabel10[[#This Row],[Code]],Ruimtegroepen[[Code]:[Ruimte omschrijving]],2,FALSE)</f>
        <v>Trappenhuizen/lift</v>
      </c>
      <c r="C531" s="66" t="s">
        <v>722</v>
      </c>
      <c r="D531" s="65" t="s">
        <v>12</v>
      </c>
      <c r="E531" s="66" t="s">
        <v>1309</v>
      </c>
      <c r="F531" s="66" t="s">
        <v>1432</v>
      </c>
      <c r="G531" s="71" t="s">
        <v>282</v>
      </c>
      <c r="H531" s="67" t="s">
        <v>282</v>
      </c>
      <c r="I531" s="67" t="s">
        <v>17</v>
      </c>
      <c r="J531" s="67" t="s">
        <v>15</v>
      </c>
      <c r="K531" s="67" t="s">
        <v>283</v>
      </c>
      <c r="L531" s="67" t="s">
        <v>282</v>
      </c>
      <c r="M531" s="67" t="s">
        <v>282</v>
      </c>
      <c r="N531" s="67" t="s">
        <v>282</v>
      </c>
      <c r="O531" s="68" t="s">
        <v>18</v>
      </c>
      <c r="P531" s="68" t="s">
        <v>18</v>
      </c>
      <c r="Q531" s="68" t="s">
        <v>15</v>
      </c>
      <c r="R531" s="68" t="s">
        <v>15</v>
      </c>
      <c r="S531" s="68" t="s">
        <v>16</v>
      </c>
      <c r="T531" s="68" t="s">
        <v>329</v>
      </c>
      <c r="U531" s="68" t="s">
        <v>249</v>
      </c>
      <c r="V531" s="68" t="s">
        <v>282</v>
      </c>
      <c r="W531" s="69" t="s">
        <v>282</v>
      </c>
      <c r="X531" s="69" t="s">
        <v>282</v>
      </c>
      <c r="Y531" s="70" t="s">
        <v>282</v>
      </c>
    </row>
    <row r="532" spans="1:25">
      <c r="A532" s="64">
        <v>10</v>
      </c>
      <c r="B532" s="65" t="str">
        <f>VLOOKUP(Tabel10[[#This Row],[Code]],Ruimtegroepen[[Code]:[Ruimte omschrijving]],2,FALSE)</f>
        <v>Trappenhuizen/lift</v>
      </c>
      <c r="C532" s="66" t="s">
        <v>727</v>
      </c>
      <c r="D532" s="65" t="s">
        <v>14</v>
      </c>
      <c r="E532" s="66" t="s">
        <v>100</v>
      </c>
      <c r="F532" s="66" t="s">
        <v>728</v>
      </c>
      <c r="G532" s="71" t="s">
        <v>282</v>
      </c>
      <c r="H532" s="67" t="s">
        <v>282</v>
      </c>
      <c r="I532" s="67" t="s">
        <v>15</v>
      </c>
      <c r="J532" s="67" t="s">
        <v>15</v>
      </c>
      <c r="K532" s="67" t="s">
        <v>282</v>
      </c>
      <c r="L532" s="67" t="s">
        <v>282</v>
      </c>
      <c r="M532" s="67" t="s">
        <v>282</v>
      </c>
      <c r="N532" s="67" t="s">
        <v>282</v>
      </c>
      <c r="O532" s="68" t="s">
        <v>17</v>
      </c>
      <c r="P532" s="68" t="s">
        <v>17</v>
      </c>
      <c r="Q532" s="68" t="s">
        <v>15</v>
      </c>
      <c r="R532" s="68" t="s">
        <v>15</v>
      </c>
      <c r="S532" s="68" t="s">
        <v>16</v>
      </c>
      <c r="T532" s="68" t="s">
        <v>329</v>
      </c>
      <c r="U532" s="68" t="s">
        <v>249</v>
      </c>
      <c r="V532" s="68" t="s">
        <v>282</v>
      </c>
      <c r="W532" s="69" t="s">
        <v>282</v>
      </c>
      <c r="X532" s="69" t="s">
        <v>282</v>
      </c>
      <c r="Y532" s="70" t="s">
        <v>282</v>
      </c>
    </row>
    <row r="533" spans="1:25">
      <c r="A533" s="64">
        <v>10</v>
      </c>
      <c r="B533" s="65" t="str">
        <f>VLOOKUP(Tabel10[[#This Row],[Code]],Ruimtegroepen[[Code]:[Ruimte omschrijving]],2,FALSE)</f>
        <v>Trappenhuizen/lift</v>
      </c>
      <c r="C533" s="66" t="s">
        <v>727</v>
      </c>
      <c r="D533" s="65" t="s">
        <v>14</v>
      </c>
      <c r="E533" s="66" t="s">
        <v>99</v>
      </c>
      <c r="F533" s="66" t="s">
        <v>729</v>
      </c>
      <c r="G533" s="71" t="s">
        <v>282</v>
      </c>
      <c r="H533" s="67" t="s">
        <v>17</v>
      </c>
      <c r="I533" s="67" t="s">
        <v>282</v>
      </c>
      <c r="J533" s="67" t="s">
        <v>282</v>
      </c>
      <c r="K533" s="67" t="s">
        <v>282</v>
      </c>
      <c r="L533" s="67" t="s">
        <v>282</v>
      </c>
      <c r="M533" s="67" t="s">
        <v>282</v>
      </c>
      <c r="N533" s="67" t="s">
        <v>282</v>
      </c>
      <c r="O533" s="68" t="s">
        <v>17</v>
      </c>
      <c r="P533" s="68" t="s">
        <v>17</v>
      </c>
      <c r="Q533" s="68" t="s">
        <v>15</v>
      </c>
      <c r="R533" s="68" t="s">
        <v>15</v>
      </c>
      <c r="S533" s="68" t="s">
        <v>16</v>
      </c>
      <c r="T533" s="68" t="s">
        <v>329</v>
      </c>
      <c r="U533" s="68" t="s">
        <v>249</v>
      </c>
      <c r="V533" s="68" t="s">
        <v>282</v>
      </c>
      <c r="W533" s="69" t="s">
        <v>282</v>
      </c>
      <c r="X533" s="69" t="s">
        <v>282</v>
      </c>
      <c r="Y533" s="70" t="s">
        <v>282</v>
      </c>
    </row>
    <row r="534" spans="1:25">
      <c r="A534" s="64">
        <v>10</v>
      </c>
      <c r="B534" s="65" t="str">
        <f>VLOOKUP(Tabel10[[#This Row],[Code]],Ruimtegroepen[[Code]:[Ruimte omschrijving]],2,FALSE)</f>
        <v>Trappenhuizen/lift</v>
      </c>
      <c r="C534" s="66" t="s">
        <v>727</v>
      </c>
      <c r="D534" s="65" t="s">
        <v>14</v>
      </c>
      <c r="E534" s="66" t="s">
        <v>101</v>
      </c>
      <c r="F534" s="66" t="s">
        <v>730</v>
      </c>
      <c r="G534" s="71" t="s">
        <v>282</v>
      </c>
      <c r="H534" s="67" t="s">
        <v>282</v>
      </c>
      <c r="I534" s="67" t="s">
        <v>15</v>
      </c>
      <c r="J534" s="67" t="s">
        <v>15</v>
      </c>
      <c r="K534" s="67" t="s">
        <v>283</v>
      </c>
      <c r="L534" s="67" t="s">
        <v>282</v>
      </c>
      <c r="M534" s="67" t="s">
        <v>282</v>
      </c>
      <c r="N534" s="67" t="s">
        <v>282</v>
      </c>
      <c r="O534" s="68" t="s">
        <v>17</v>
      </c>
      <c r="P534" s="68" t="s">
        <v>17</v>
      </c>
      <c r="Q534" s="68" t="s">
        <v>15</v>
      </c>
      <c r="R534" s="68" t="s">
        <v>15</v>
      </c>
      <c r="S534" s="68" t="s">
        <v>16</v>
      </c>
      <c r="T534" s="68" t="s">
        <v>329</v>
      </c>
      <c r="U534" s="68" t="s">
        <v>249</v>
      </c>
      <c r="V534" s="68" t="s">
        <v>282</v>
      </c>
      <c r="W534" s="69" t="s">
        <v>282</v>
      </c>
      <c r="X534" s="69" t="s">
        <v>282</v>
      </c>
      <c r="Y534" s="70" t="s">
        <v>282</v>
      </c>
    </row>
    <row r="535" spans="1:25">
      <c r="A535" s="64">
        <v>10</v>
      </c>
      <c r="B535" s="65" t="str">
        <f>VLOOKUP(Tabel10[[#This Row],[Code]],Ruimtegroepen[[Code]:[Ruimte omschrijving]],2,FALSE)</f>
        <v>Trappenhuizen/lift</v>
      </c>
      <c r="C535" s="66" t="s">
        <v>727</v>
      </c>
      <c r="D535" s="65" t="s">
        <v>14</v>
      </c>
      <c r="E535" s="66" t="s">
        <v>102</v>
      </c>
      <c r="F535" s="66" t="s">
        <v>731</v>
      </c>
      <c r="G535" s="71" t="s">
        <v>282</v>
      </c>
      <c r="H535" s="67" t="s">
        <v>282</v>
      </c>
      <c r="I535" s="67" t="s">
        <v>15</v>
      </c>
      <c r="J535" s="67" t="s">
        <v>15</v>
      </c>
      <c r="K535" s="67" t="s">
        <v>283</v>
      </c>
      <c r="L535" s="67" t="s">
        <v>282</v>
      </c>
      <c r="M535" s="67" t="s">
        <v>282</v>
      </c>
      <c r="N535" s="67" t="s">
        <v>282</v>
      </c>
      <c r="O535" s="68" t="s">
        <v>17</v>
      </c>
      <c r="P535" s="68" t="s">
        <v>17</v>
      </c>
      <c r="Q535" s="68" t="s">
        <v>15</v>
      </c>
      <c r="R535" s="68" t="s">
        <v>15</v>
      </c>
      <c r="S535" s="68" t="s">
        <v>16</v>
      </c>
      <c r="T535" s="68" t="s">
        <v>329</v>
      </c>
      <c r="U535" s="68" t="s">
        <v>249</v>
      </c>
      <c r="V535" s="68" t="s">
        <v>282</v>
      </c>
      <c r="W535" s="69" t="s">
        <v>282</v>
      </c>
      <c r="X535" s="69" t="s">
        <v>282</v>
      </c>
      <c r="Y535" s="70" t="s">
        <v>282</v>
      </c>
    </row>
    <row r="536" spans="1:25">
      <c r="A536" s="64">
        <v>10</v>
      </c>
      <c r="B536" s="65" t="str">
        <f>VLOOKUP(Tabel10[[#This Row],[Code]],Ruimtegroepen[[Code]:[Ruimte omschrijving]],2,FALSE)</f>
        <v>Trappenhuizen/lift</v>
      </c>
      <c r="C536" s="66" t="s">
        <v>727</v>
      </c>
      <c r="D536" s="65" t="s">
        <v>14</v>
      </c>
      <c r="E536" s="66" t="s">
        <v>99</v>
      </c>
      <c r="F536" s="66" t="s">
        <v>729</v>
      </c>
      <c r="G536" s="71" t="s">
        <v>282</v>
      </c>
      <c r="H536" s="67" t="s">
        <v>17</v>
      </c>
      <c r="I536" s="67" t="s">
        <v>282</v>
      </c>
      <c r="J536" s="67" t="s">
        <v>282</v>
      </c>
      <c r="K536" s="67" t="s">
        <v>282</v>
      </c>
      <c r="L536" s="67" t="s">
        <v>282</v>
      </c>
      <c r="M536" s="67" t="s">
        <v>282</v>
      </c>
      <c r="N536" s="67" t="s">
        <v>282</v>
      </c>
      <c r="O536" s="68" t="s">
        <v>17</v>
      </c>
      <c r="P536" s="68" t="s">
        <v>17</v>
      </c>
      <c r="Q536" s="68" t="s">
        <v>15</v>
      </c>
      <c r="R536" s="68" t="s">
        <v>15</v>
      </c>
      <c r="S536" s="68" t="s">
        <v>16</v>
      </c>
      <c r="T536" s="68" t="s">
        <v>329</v>
      </c>
      <c r="U536" s="68" t="s">
        <v>249</v>
      </c>
      <c r="V536" s="68" t="s">
        <v>282</v>
      </c>
      <c r="W536" s="69" t="s">
        <v>282</v>
      </c>
      <c r="X536" s="69" t="s">
        <v>282</v>
      </c>
      <c r="Y536" s="70" t="s">
        <v>282</v>
      </c>
    </row>
    <row r="537" spans="1:25">
      <c r="A537" s="64">
        <v>10</v>
      </c>
      <c r="B537" s="65" t="str">
        <f>VLOOKUP(Tabel10[[#This Row],[Code]],Ruimtegroepen[[Code]:[Ruimte omschrijving]],2,FALSE)</f>
        <v>Trappenhuizen/lift</v>
      </c>
      <c r="C537" s="66" t="s">
        <v>727</v>
      </c>
      <c r="D537" s="65" t="s">
        <v>14</v>
      </c>
      <c r="E537" s="66" t="s">
        <v>1309</v>
      </c>
      <c r="F537" s="66" t="s">
        <v>1399</v>
      </c>
      <c r="G537" s="71" t="s">
        <v>282</v>
      </c>
      <c r="H537" s="67" t="s">
        <v>282</v>
      </c>
      <c r="I537" s="67" t="s">
        <v>15</v>
      </c>
      <c r="J537" s="67" t="s">
        <v>15</v>
      </c>
      <c r="K537" s="67" t="s">
        <v>283</v>
      </c>
      <c r="L537" s="67" t="s">
        <v>282</v>
      </c>
      <c r="M537" s="67" t="s">
        <v>282</v>
      </c>
      <c r="N537" s="67" t="s">
        <v>282</v>
      </c>
      <c r="O537" s="68" t="s">
        <v>17</v>
      </c>
      <c r="P537" s="68" t="s">
        <v>17</v>
      </c>
      <c r="Q537" s="68" t="s">
        <v>15</v>
      </c>
      <c r="R537" s="68" t="s">
        <v>15</v>
      </c>
      <c r="S537" s="68" t="s">
        <v>16</v>
      </c>
      <c r="T537" s="68" t="s">
        <v>329</v>
      </c>
      <c r="U537" s="68" t="s">
        <v>249</v>
      </c>
      <c r="V537" s="68" t="s">
        <v>282</v>
      </c>
      <c r="W537" s="69" t="s">
        <v>282</v>
      </c>
      <c r="X537" s="69" t="s">
        <v>282</v>
      </c>
      <c r="Y537" s="70" t="s">
        <v>282</v>
      </c>
    </row>
    <row r="538" spans="1:25">
      <c r="A538" s="64">
        <v>10</v>
      </c>
      <c r="B538" s="65" t="str">
        <f>VLOOKUP(Tabel10[[#This Row],[Code]],Ruimtegroepen[[Code]:[Ruimte omschrijving]],2,FALSE)</f>
        <v>Trappenhuizen/lift</v>
      </c>
      <c r="C538" s="66" t="s">
        <v>732</v>
      </c>
      <c r="D538" s="65" t="s">
        <v>13</v>
      </c>
      <c r="E538" s="66" t="s">
        <v>100</v>
      </c>
      <c r="F538" s="66" t="s">
        <v>733</v>
      </c>
      <c r="G538" s="71" t="s">
        <v>282</v>
      </c>
      <c r="H538" s="67" t="s">
        <v>282</v>
      </c>
      <c r="I538" s="67" t="s">
        <v>282</v>
      </c>
      <c r="J538" s="67" t="s">
        <v>15</v>
      </c>
      <c r="K538" s="67" t="s">
        <v>282</v>
      </c>
      <c r="L538" s="67" t="s">
        <v>282</v>
      </c>
      <c r="M538" s="67" t="s">
        <v>282</v>
      </c>
      <c r="N538" s="67" t="s">
        <v>282</v>
      </c>
      <c r="O538" s="68" t="s">
        <v>15</v>
      </c>
      <c r="P538" s="68" t="s">
        <v>15</v>
      </c>
      <c r="Q538" s="68" t="s">
        <v>15</v>
      </c>
      <c r="R538" s="68" t="s">
        <v>15</v>
      </c>
      <c r="S538" s="68" t="s">
        <v>16</v>
      </c>
      <c r="T538" s="68" t="s">
        <v>329</v>
      </c>
      <c r="U538" s="68" t="s">
        <v>249</v>
      </c>
      <c r="V538" s="68" t="s">
        <v>282</v>
      </c>
      <c r="W538" s="69" t="s">
        <v>282</v>
      </c>
      <c r="X538" s="69" t="s">
        <v>282</v>
      </c>
      <c r="Y538" s="70" t="s">
        <v>282</v>
      </c>
    </row>
    <row r="539" spans="1:25">
      <c r="A539" s="64">
        <v>10</v>
      </c>
      <c r="B539" s="65" t="str">
        <f>VLOOKUP(Tabel10[[#This Row],[Code]],Ruimtegroepen[[Code]:[Ruimte omschrijving]],2,FALSE)</f>
        <v>Trappenhuizen/lift</v>
      </c>
      <c r="C539" s="66" t="s">
        <v>732</v>
      </c>
      <c r="D539" s="65" t="s">
        <v>13</v>
      </c>
      <c r="E539" s="66" t="s">
        <v>99</v>
      </c>
      <c r="F539" s="66" t="s">
        <v>734</v>
      </c>
      <c r="G539" s="71" t="s">
        <v>282</v>
      </c>
      <c r="H539" s="67" t="s">
        <v>15</v>
      </c>
      <c r="I539" s="67" t="s">
        <v>282</v>
      </c>
      <c r="J539" s="67" t="s">
        <v>282</v>
      </c>
      <c r="K539" s="67" t="s">
        <v>282</v>
      </c>
      <c r="L539" s="67" t="s">
        <v>282</v>
      </c>
      <c r="M539" s="67" t="s">
        <v>282</v>
      </c>
      <c r="N539" s="67" t="s">
        <v>282</v>
      </c>
      <c r="O539" s="68" t="s">
        <v>15</v>
      </c>
      <c r="P539" s="68" t="s">
        <v>15</v>
      </c>
      <c r="Q539" s="68" t="s">
        <v>15</v>
      </c>
      <c r="R539" s="68" t="s">
        <v>15</v>
      </c>
      <c r="S539" s="68" t="s">
        <v>16</v>
      </c>
      <c r="T539" s="68" t="s">
        <v>329</v>
      </c>
      <c r="U539" s="68" t="s">
        <v>249</v>
      </c>
      <c r="V539" s="68" t="s">
        <v>282</v>
      </c>
      <c r="W539" s="69" t="s">
        <v>282</v>
      </c>
      <c r="X539" s="69" t="s">
        <v>282</v>
      </c>
      <c r="Y539" s="70" t="s">
        <v>282</v>
      </c>
    </row>
    <row r="540" spans="1:25">
      <c r="A540" s="64">
        <v>10</v>
      </c>
      <c r="B540" s="65" t="str">
        <f>VLOOKUP(Tabel10[[#This Row],[Code]],Ruimtegroepen[[Code]:[Ruimte omschrijving]],2,FALSE)</f>
        <v>Trappenhuizen/lift</v>
      </c>
      <c r="C540" s="66" t="s">
        <v>732</v>
      </c>
      <c r="D540" s="65" t="s">
        <v>13</v>
      </c>
      <c r="E540" s="66" t="s">
        <v>101</v>
      </c>
      <c r="F540" s="66" t="s">
        <v>735</v>
      </c>
      <c r="G540" s="71" t="s">
        <v>282</v>
      </c>
      <c r="H540" s="67" t="s">
        <v>282</v>
      </c>
      <c r="I540" s="67" t="s">
        <v>282</v>
      </c>
      <c r="J540" s="67" t="s">
        <v>15</v>
      </c>
      <c r="K540" s="67" t="s">
        <v>283</v>
      </c>
      <c r="L540" s="67" t="s">
        <v>282</v>
      </c>
      <c r="M540" s="67" t="s">
        <v>282</v>
      </c>
      <c r="N540" s="67" t="s">
        <v>282</v>
      </c>
      <c r="O540" s="68" t="s">
        <v>15</v>
      </c>
      <c r="P540" s="68" t="s">
        <v>15</v>
      </c>
      <c r="Q540" s="68" t="s">
        <v>15</v>
      </c>
      <c r="R540" s="68" t="s">
        <v>15</v>
      </c>
      <c r="S540" s="68" t="s">
        <v>16</v>
      </c>
      <c r="T540" s="68" t="s">
        <v>329</v>
      </c>
      <c r="U540" s="68" t="s">
        <v>249</v>
      </c>
      <c r="V540" s="68" t="s">
        <v>282</v>
      </c>
      <c r="W540" s="69" t="s">
        <v>282</v>
      </c>
      <c r="X540" s="69" t="s">
        <v>282</v>
      </c>
      <c r="Y540" s="70" t="s">
        <v>282</v>
      </c>
    </row>
    <row r="541" spans="1:25">
      <c r="A541" s="64">
        <v>10</v>
      </c>
      <c r="B541" s="65" t="str">
        <f>VLOOKUP(Tabel10[[#This Row],[Code]],Ruimtegroepen[[Code]:[Ruimte omschrijving]],2,FALSE)</f>
        <v>Trappenhuizen/lift</v>
      </c>
      <c r="C541" s="66" t="s">
        <v>732</v>
      </c>
      <c r="D541" s="65" t="s">
        <v>13</v>
      </c>
      <c r="E541" s="66" t="s">
        <v>102</v>
      </c>
      <c r="F541" s="66" t="s">
        <v>736</v>
      </c>
      <c r="G541" s="71" t="s">
        <v>282</v>
      </c>
      <c r="H541" s="67" t="s">
        <v>282</v>
      </c>
      <c r="I541" s="67" t="s">
        <v>282</v>
      </c>
      <c r="J541" s="67" t="s">
        <v>15</v>
      </c>
      <c r="K541" s="67" t="s">
        <v>283</v>
      </c>
      <c r="L541" s="67" t="s">
        <v>282</v>
      </c>
      <c r="M541" s="67" t="s">
        <v>282</v>
      </c>
      <c r="N541" s="67" t="s">
        <v>282</v>
      </c>
      <c r="O541" s="68" t="s">
        <v>15</v>
      </c>
      <c r="P541" s="68" t="s">
        <v>15</v>
      </c>
      <c r="Q541" s="68" t="s">
        <v>15</v>
      </c>
      <c r="R541" s="68" t="s">
        <v>15</v>
      </c>
      <c r="S541" s="68" t="s">
        <v>16</v>
      </c>
      <c r="T541" s="68" t="s">
        <v>329</v>
      </c>
      <c r="U541" s="68" t="s">
        <v>249</v>
      </c>
      <c r="V541" s="68" t="s">
        <v>282</v>
      </c>
      <c r="W541" s="69" t="s">
        <v>282</v>
      </c>
      <c r="X541" s="69" t="s">
        <v>282</v>
      </c>
      <c r="Y541" s="70" t="s">
        <v>282</v>
      </c>
    </row>
    <row r="542" spans="1:25">
      <c r="A542" s="64">
        <v>10</v>
      </c>
      <c r="B542" s="65" t="str">
        <f>VLOOKUP(Tabel10[[#This Row],[Code]],Ruimtegroepen[[Code]:[Ruimte omschrijving]],2,FALSE)</f>
        <v>Trappenhuizen/lift</v>
      </c>
      <c r="C542" s="66" t="s">
        <v>732</v>
      </c>
      <c r="D542" s="65" t="s">
        <v>13</v>
      </c>
      <c r="E542" s="66" t="s">
        <v>99</v>
      </c>
      <c r="F542" s="66" t="s">
        <v>734</v>
      </c>
      <c r="G542" s="71" t="s">
        <v>282</v>
      </c>
      <c r="H542" s="67" t="s">
        <v>15</v>
      </c>
      <c r="I542" s="67" t="s">
        <v>282</v>
      </c>
      <c r="J542" s="67" t="s">
        <v>282</v>
      </c>
      <c r="K542" s="67" t="s">
        <v>282</v>
      </c>
      <c r="L542" s="67" t="s">
        <v>282</v>
      </c>
      <c r="M542" s="67" t="s">
        <v>282</v>
      </c>
      <c r="N542" s="67" t="s">
        <v>282</v>
      </c>
      <c r="O542" s="68" t="s">
        <v>15</v>
      </c>
      <c r="P542" s="68" t="s">
        <v>15</v>
      </c>
      <c r="Q542" s="68" t="s">
        <v>15</v>
      </c>
      <c r="R542" s="68" t="s">
        <v>15</v>
      </c>
      <c r="S542" s="68" t="s">
        <v>16</v>
      </c>
      <c r="T542" s="68" t="s">
        <v>329</v>
      </c>
      <c r="U542" s="68" t="s">
        <v>249</v>
      </c>
      <c r="V542" s="68" t="s">
        <v>282</v>
      </c>
      <c r="W542" s="69" t="s">
        <v>282</v>
      </c>
      <c r="X542" s="69" t="s">
        <v>282</v>
      </c>
      <c r="Y542" s="70" t="s">
        <v>282</v>
      </c>
    </row>
    <row r="543" spans="1:25">
      <c r="A543" s="64">
        <v>10</v>
      </c>
      <c r="B543" s="65" t="str">
        <f>VLOOKUP(Tabel10[[#This Row],[Code]],Ruimtegroepen[[Code]:[Ruimte omschrijving]],2,FALSE)</f>
        <v>Trappenhuizen/lift</v>
      </c>
      <c r="C543" s="66" t="s">
        <v>732</v>
      </c>
      <c r="D543" s="65" t="s">
        <v>13</v>
      </c>
      <c r="E543" s="66" t="s">
        <v>1309</v>
      </c>
      <c r="F543" s="66" t="s">
        <v>1366</v>
      </c>
      <c r="G543" s="71" t="s">
        <v>282</v>
      </c>
      <c r="H543" s="67" t="s">
        <v>282</v>
      </c>
      <c r="I543" s="67" t="s">
        <v>282</v>
      </c>
      <c r="J543" s="67" t="s">
        <v>15</v>
      </c>
      <c r="K543" s="67" t="s">
        <v>283</v>
      </c>
      <c r="L543" s="67" t="s">
        <v>282</v>
      </c>
      <c r="M543" s="67" t="s">
        <v>282</v>
      </c>
      <c r="N543" s="67" t="s">
        <v>282</v>
      </c>
      <c r="O543" s="68" t="s">
        <v>15</v>
      </c>
      <c r="P543" s="68" t="s">
        <v>15</v>
      </c>
      <c r="Q543" s="68" t="s">
        <v>15</v>
      </c>
      <c r="R543" s="68" t="s">
        <v>15</v>
      </c>
      <c r="S543" s="68" t="s">
        <v>16</v>
      </c>
      <c r="T543" s="68" t="s">
        <v>329</v>
      </c>
      <c r="U543" s="68" t="s">
        <v>249</v>
      </c>
      <c r="V543" s="68" t="s">
        <v>282</v>
      </c>
      <c r="W543" s="69" t="s">
        <v>282</v>
      </c>
      <c r="X543" s="69" t="s">
        <v>282</v>
      </c>
      <c r="Y543" s="70" t="s">
        <v>282</v>
      </c>
    </row>
    <row r="544" spans="1:25">
      <c r="A544" s="64">
        <v>10</v>
      </c>
      <c r="B544" s="65" t="str">
        <f>VLOOKUP(Tabel10[[#This Row],[Code]],Ruimtegroepen[[Code]:[Ruimte omschrijving]],2,FALSE)</f>
        <v>Trappenhuizen/lift</v>
      </c>
      <c r="C544" s="66" t="s">
        <v>737</v>
      </c>
      <c r="D544" s="65" t="s">
        <v>0</v>
      </c>
      <c r="E544" s="66" t="s">
        <v>100</v>
      </c>
      <c r="F544" s="66" t="s">
        <v>738</v>
      </c>
      <c r="G544" s="71" t="s">
        <v>282</v>
      </c>
      <c r="H544" s="67" t="s">
        <v>282</v>
      </c>
      <c r="I544" s="67" t="s">
        <v>282</v>
      </c>
      <c r="J544" s="67" t="s">
        <v>16</v>
      </c>
      <c r="K544" s="67" t="s">
        <v>282</v>
      </c>
      <c r="L544" s="67" t="s">
        <v>282</v>
      </c>
      <c r="M544" s="67" t="s">
        <v>282</v>
      </c>
      <c r="N544" s="67" t="s">
        <v>282</v>
      </c>
      <c r="O544" s="68" t="s">
        <v>16</v>
      </c>
      <c r="P544" s="68" t="s">
        <v>16</v>
      </c>
      <c r="Q544" s="68" t="s">
        <v>16</v>
      </c>
      <c r="R544" s="68" t="s">
        <v>16</v>
      </c>
      <c r="S544" s="68" t="s">
        <v>16</v>
      </c>
      <c r="T544" s="68" t="s">
        <v>329</v>
      </c>
      <c r="U544" s="68" t="s">
        <v>249</v>
      </c>
      <c r="V544" s="68" t="s">
        <v>282</v>
      </c>
      <c r="W544" s="69" t="s">
        <v>282</v>
      </c>
      <c r="X544" s="69" t="s">
        <v>282</v>
      </c>
      <c r="Y544" s="70" t="s">
        <v>282</v>
      </c>
    </row>
    <row r="545" spans="1:25">
      <c r="A545" s="64">
        <v>10</v>
      </c>
      <c r="B545" s="65" t="str">
        <f>VLOOKUP(Tabel10[[#This Row],[Code]],Ruimtegroepen[[Code]:[Ruimte omschrijving]],2,FALSE)</f>
        <v>Trappenhuizen/lift</v>
      </c>
      <c r="C545" s="66" t="s">
        <v>737</v>
      </c>
      <c r="D545" s="65" t="s">
        <v>0</v>
      </c>
      <c r="E545" s="66" t="s">
        <v>99</v>
      </c>
      <c r="F545" s="66" t="s">
        <v>739</v>
      </c>
      <c r="G545" s="71" t="s">
        <v>282</v>
      </c>
      <c r="H545" s="67" t="s">
        <v>16</v>
      </c>
      <c r="I545" s="67" t="s">
        <v>282</v>
      </c>
      <c r="J545" s="67" t="s">
        <v>282</v>
      </c>
      <c r="K545" s="67" t="s">
        <v>282</v>
      </c>
      <c r="L545" s="67" t="s">
        <v>282</v>
      </c>
      <c r="M545" s="67" t="s">
        <v>282</v>
      </c>
      <c r="N545" s="67" t="s">
        <v>282</v>
      </c>
      <c r="O545" s="68" t="s">
        <v>16</v>
      </c>
      <c r="P545" s="68" t="s">
        <v>16</v>
      </c>
      <c r="Q545" s="68" t="s">
        <v>16</v>
      </c>
      <c r="R545" s="68" t="s">
        <v>16</v>
      </c>
      <c r="S545" s="68" t="s">
        <v>16</v>
      </c>
      <c r="T545" s="68" t="s">
        <v>329</v>
      </c>
      <c r="U545" s="68" t="s">
        <v>249</v>
      </c>
      <c r="V545" s="68" t="s">
        <v>282</v>
      </c>
      <c r="W545" s="69" t="s">
        <v>282</v>
      </c>
      <c r="X545" s="69" t="s">
        <v>282</v>
      </c>
      <c r="Y545" s="70" t="s">
        <v>282</v>
      </c>
    </row>
    <row r="546" spans="1:25">
      <c r="A546" s="64">
        <v>10</v>
      </c>
      <c r="B546" s="65" t="str">
        <f>VLOOKUP(Tabel10[[#This Row],[Code]],Ruimtegroepen[[Code]:[Ruimte omschrijving]],2,FALSE)</f>
        <v>Trappenhuizen/lift</v>
      </c>
      <c r="C546" s="66" t="s">
        <v>737</v>
      </c>
      <c r="D546" s="65" t="s">
        <v>0</v>
      </c>
      <c r="E546" s="66" t="s">
        <v>101</v>
      </c>
      <c r="F546" s="66" t="s">
        <v>740</v>
      </c>
      <c r="G546" s="71" t="s">
        <v>282</v>
      </c>
      <c r="H546" s="67" t="s">
        <v>282</v>
      </c>
      <c r="I546" s="67" t="s">
        <v>282</v>
      </c>
      <c r="J546" s="67" t="s">
        <v>16</v>
      </c>
      <c r="K546" s="67" t="s">
        <v>283</v>
      </c>
      <c r="L546" s="67" t="s">
        <v>282</v>
      </c>
      <c r="M546" s="67" t="s">
        <v>282</v>
      </c>
      <c r="N546" s="67" t="s">
        <v>282</v>
      </c>
      <c r="O546" s="68" t="s">
        <v>16</v>
      </c>
      <c r="P546" s="68" t="s">
        <v>16</v>
      </c>
      <c r="Q546" s="68" t="s">
        <v>16</v>
      </c>
      <c r="R546" s="68" t="s">
        <v>16</v>
      </c>
      <c r="S546" s="68" t="s">
        <v>16</v>
      </c>
      <c r="T546" s="68" t="s">
        <v>329</v>
      </c>
      <c r="U546" s="68" t="s">
        <v>249</v>
      </c>
      <c r="V546" s="68" t="s">
        <v>282</v>
      </c>
      <c r="W546" s="69" t="s">
        <v>282</v>
      </c>
      <c r="X546" s="69" t="s">
        <v>282</v>
      </c>
      <c r="Y546" s="70" t="s">
        <v>282</v>
      </c>
    </row>
    <row r="547" spans="1:25">
      <c r="A547" s="64">
        <v>10</v>
      </c>
      <c r="B547" s="65" t="str">
        <f>VLOOKUP(Tabel10[[#This Row],[Code]],Ruimtegroepen[[Code]:[Ruimte omschrijving]],2,FALSE)</f>
        <v>Trappenhuizen/lift</v>
      </c>
      <c r="C547" s="66" t="s">
        <v>737</v>
      </c>
      <c r="D547" s="65" t="s">
        <v>0</v>
      </c>
      <c r="E547" s="66" t="s">
        <v>102</v>
      </c>
      <c r="F547" s="66" t="s">
        <v>741</v>
      </c>
      <c r="G547" s="71" t="s">
        <v>282</v>
      </c>
      <c r="H547" s="67" t="s">
        <v>282</v>
      </c>
      <c r="I547" s="67" t="s">
        <v>282</v>
      </c>
      <c r="J547" s="67" t="s">
        <v>16</v>
      </c>
      <c r="K547" s="67" t="s">
        <v>283</v>
      </c>
      <c r="L547" s="67" t="s">
        <v>282</v>
      </c>
      <c r="M547" s="67" t="s">
        <v>282</v>
      </c>
      <c r="N547" s="67" t="s">
        <v>282</v>
      </c>
      <c r="O547" s="68" t="s">
        <v>16</v>
      </c>
      <c r="P547" s="68" t="s">
        <v>16</v>
      </c>
      <c r="Q547" s="68" t="s">
        <v>16</v>
      </c>
      <c r="R547" s="68" t="s">
        <v>16</v>
      </c>
      <c r="S547" s="68" t="s">
        <v>16</v>
      </c>
      <c r="T547" s="68" t="s">
        <v>329</v>
      </c>
      <c r="U547" s="68" t="s">
        <v>249</v>
      </c>
      <c r="V547" s="68" t="s">
        <v>282</v>
      </c>
      <c r="W547" s="69" t="s">
        <v>282</v>
      </c>
      <c r="X547" s="69" t="s">
        <v>282</v>
      </c>
      <c r="Y547" s="70" t="s">
        <v>282</v>
      </c>
    </row>
    <row r="548" spans="1:25">
      <c r="A548" s="64">
        <v>10</v>
      </c>
      <c r="B548" s="65" t="str">
        <f>VLOOKUP(Tabel10[[#This Row],[Code]],Ruimtegroepen[[Code]:[Ruimte omschrijving]],2,FALSE)</f>
        <v>Trappenhuizen/lift</v>
      </c>
      <c r="C548" s="66" t="s">
        <v>737</v>
      </c>
      <c r="D548" s="65" t="s">
        <v>0</v>
      </c>
      <c r="E548" s="66" t="s">
        <v>99</v>
      </c>
      <c r="F548" s="66" t="s">
        <v>739</v>
      </c>
      <c r="G548" s="71" t="s">
        <v>282</v>
      </c>
      <c r="H548" s="67" t="s">
        <v>16</v>
      </c>
      <c r="I548" s="67" t="s">
        <v>282</v>
      </c>
      <c r="J548" s="67" t="s">
        <v>282</v>
      </c>
      <c r="K548" s="67" t="s">
        <v>282</v>
      </c>
      <c r="L548" s="67" t="s">
        <v>282</v>
      </c>
      <c r="M548" s="67" t="s">
        <v>282</v>
      </c>
      <c r="N548" s="67" t="s">
        <v>282</v>
      </c>
      <c r="O548" s="68" t="s">
        <v>16</v>
      </c>
      <c r="P548" s="68" t="s">
        <v>16</v>
      </c>
      <c r="Q548" s="68" t="s">
        <v>16</v>
      </c>
      <c r="R548" s="68" t="s">
        <v>16</v>
      </c>
      <c r="S548" s="68" t="s">
        <v>16</v>
      </c>
      <c r="T548" s="68" t="s">
        <v>329</v>
      </c>
      <c r="U548" s="68" t="s">
        <v>249</v>
      </c>
      <c r="V548" s="68" t="s">
        <v>282</v>
      </c>
      <c r="W548" s="69" t="s">
        <v>282</v>
      </c>
      <c r="X548" s="69" t="s">
        <v>282</v>
      </c>
      <c r="Y548" s="70" t="s">
        <v>282</v>
      </c>
    </row>
    <row r="549" spans="1:25">
      <c r="A549" s="64">
        <v>10</v>
      </c>
      <c r="B549" s="65" t="str">
        <f>VLOOKUP(Tabel10[[#This Row],[Code]],Ruimtegroepen[[Code]:[Ruimte omschrijving]],2,FALSE)</f>
        <v>Trappenhuizen/lift</v>
      </c>
      <c r="C549" s="66" t="s">
        <v>737</v>
      </c>
      <c r="D549" s="65" t="s">
        <v>0</v>
      </c>
      <c r="E549" s="66" t="s">
        <v>1309</v>
      </c>
      <c r="F549" s="66" t="s">
        <v>1350</v>
      </c>
      <c r="G549" s="71" t="s">
        <v>282</v>
      </c>
      <c r="H549" s="67" t="s">
        <v>282</v>
      </c>
      <c r="I549" s="67" t="s">
        <v>282</v>
      </c>
      <c r="J549" s="67" t="s">
        <v>16</v>
      </c>
      <c r="K549" s="67" t="s">
        <v>283</v>
      </c>
      <c r="L549" s="67" t="s">
        <v>282</v>
      </c>
      <c r="M549" s="67" t="s">
        <v>282</v>
      </c>
      <c r="N549" s="67" t="s">
        <v>282</v>
      </c>
      <c r="O549" s="68" t="s">
        <v>16</v>
      </c>
      <c r="P549" s="68" t="s">
        <v>16</v>
      </c>
      <c r="Q549" s="68" t="s">
        <v>16</v>
      </c>
      <c r="R549" s="68" t="s">
        <v>16</v>
      </c>
      <c r="S549" s="68" t="s">
        <v>16</v>
      </c>
      <c r="T549" s="68" t="s">
        <v>329</v>
      </c>
      <c r="U549" s="68" t="s">
        <v>249</v>
      </c>
      <c r="V549" s="68" t="s">
        <v>282</v>
      </c>
      <c r="W549" s="69" t="s">
        <v>282</v>
      </c>
      <c r="X549" s="69" t="s">
        <v>282</v>
      </c>
      <c r="Y549" s="70" t="s">
        <v>282</v>
      </c>
    </row>
    <row r="550" spans="1:25">
      <c r="A550" s="64">
        <v>10</v>
      </c>
      <c r="B550" s="65" t="str">
        <f>VLOOKUP(Tabel10[[#This Row],[Code]],Ruimtegroepen[[Code]:[Ruimte omschrijving]],2,FALSE)</f>
        <v>Trappenhuizen/lift</v>
      </c>
      <c r="C550" s="66" t="s">
        <v>742</v>
      </c>
      <c r="D550" s="65" t="s">
        <v>27</v>
      </c>
      <c r="E550" s="66" t="s">
        <v>100</v>
      </c>
      <c r="F550" s="66" t="s">
        <v>743</v>
      </c>
      <c r="G550" s="71" t="s">
        <v>282</v>
      </c>
      <c r="H550" s="67" t="s">
        <v>282</v>
      </c>
      <c r="I550" s="67" t="s">
        <v>15</v>
      </c>
      <c r="J550" s="67" t="s">
        <v>282</v>
      </c>
      <c r="K550" s="67" t="s">
        <v>282</v>
      </c>
      <c r="L550" s="67" t="s">
        <v>282</v>
      </c>
      <c r="M550" s="67" t="s">
        <v>282</v>
      </c>
      <c r="N550" s="67" t="s">
        <v>282</v>
      </c>
      <c r="O550" s="68" t="s">
        <v>15</v>
      </c>
      <c r="P550" s="68" t="s">
        <v>15</v>
      </c>
      <c r="Q550" s="68" t="s">
        <v>15</v>
      </c>
      <c r="R550" s="68" t="s">
        <v>282</v>
      </c>
      <c r="S550" s="68" t="s">
        <v>282</v>
      </c>
      <c r="T550" s="68" t="s">
        <v>282</v>
      </c>
      <c r="U550" s="68" t="s">
        <v>282</v>
      </c>
      <c r="V550" s="68" t="s">
        <v>282</v>
      </c>
      <c r="W550" s="69" t="s">
        <v>282</v>
      </c>
      <c r="X550" s="69" t="s">
        <v>282</v>
      </c>
      <c r="Y550" s="70" t="s">
        <v>282</v>
      </c>
    </row>
    <row r="551" spans="1:25">
      <c r="A551" s="64">
        <v>10</v>
      </c>
      <c r="B551" s="65" t="str">
        <f>VLOOKUP(Tabel10[[#This Row],[Code]],Ruimtegroepen[[Code]:[Ruimte omschrijving]],2,FALSE)</f>
        <v>Trappenhuizen/lift</v>
      </c>
      <c r="C551" s="66" t="s">
        <v>742</v>
      </c>
      <c r="D551" s="65" t="s">
        <v>27</v>
      </c>
      <c r="E551" s="66" t="s">
        <v>99</v>
      </c>
      <c r="F551" s="66" t="s">
        <v>744</v>
      </c>
      <c r="G551" s="71" t="s">
        <v>282</v>
      </c>
      <c r="H551" s="67" t="s">
        <v>15</v>
      </c>
      <c r="I551" s="67" t="s">
        <v>282</v>
      </c>
      <c r="J551" s="67" t="s">
        <v>282</v>
      </c>
      <c r="K551" s="67" t="s">
        <v>282</v>
      </c>
      <c r="L551" s="67" t="s">
        <v>282</v>
      </c>
      <c r="M551" s="67" t="s">
        <v>282</v>
      </c>
      <c r="N551" s="67" t="s">
        <v>282</v>
      </c>
      <c r="O551" s="68" t="s">
        <v>15</v>
      </c>
      <c r="P551" s="68" t="s">
        <v>15</v>
      </c>
      <c r="Q551" s="68" t="s">
        <v>15</v>
      </c>
      <c r="R551" s="68" t="s">
        <v>282</v>
      </c>
      <c r="S551" s="68" t="s">
        <v>282</v>
      </c>
      <c r="T551" s="68" t="s">
        <v>282</v>
      </c>
      <c r="U551" s="68" t="s">
        <v>282</v>
      </c>
      <c r="V551" s="68" t="s">
        <v>282</v>
      </c>
      <c r="W551" s="69" t="s">
        <v>282</v>
      </c>
      <c r="X551" s="69" t="s">
        <v>282</v>
      </c>
      <c r="Y551" s="70" t="s">
        <v>282</v>
      </c>
    </row>
    <row r="552" spans="1:25">
      <c r="A552" s="64">
        <v>10</v>
      </c>
      <c r="B552" s="65" t="str">
        <f>VLOOKUP(Tabel10[[#This Row],[Code]],Ruimtegroepen[[Code]:[Ruimte omschrijving]],2,FALSE)</f>
        <v>Trappenhuizen/lift</v>
      </c>
      <c r="C552" s="66" t="s">
        <v>742</v>
      </c>
      <c r="D552" s="65" t="s">
        <v>27</v>
      </c>
      <c r="E552" s="66" t="s">
        <v>101</v>
      </c>
      <c r="F552" s="66" t="s">
        <v>745</v>
      </c>
      <c r="G552" s="71" t="s">
        <v>282</v>
      </c>
      <c r="H552" s="67" t="s">
        <v>282</v>
      </c>
      <c r="I552" s="67" t="s">
        <v>15</v>
      </c>
      <c r="J552" s="67" t="s">
        <v>282</v>
      </c>
      <c r="K552" s="67" t="s">
        <v>282</v>
      </c>
      <c r="L552" s="67" t="s">
        <v>282</v>
      </c>
      <c r="M552" s="67" t="s">
        <v>282</v>
      </c>
      <c r="N552" s="67" t="s">
        <v>282</v>
      </c>
      <c r="O552" s="68" t="s">
        <v>15</v>
      </c>
      <c r="P552" s="68" t="s">
        <v>15</v>
      </c>
      <c r="Q552" s="68" t="s">
        <v>15</v>
      </c>
      <c r="R552" s="68" t="s">
        <v>282</v>
      </c>
      <c r="S552" s="68" t="s">
        <v>282</v>
      </c>
      <c r="T552" s="68" t="s">
        <v>282</v>
      </c>
      <c r="U552" s="68" t="s">
        <v>282</v>
      </c>
      <c r="V552" s="68" t="s">
        <v>282</v>
      </c>
      <c r="W552" s="69" t="s">
        <v>282</v>
      </c>
      <c r="X552" s="69" t="s">
        <v>282</v>
      </c>
      <c r="Y552" s="70" t="s">
        <v>282</v>
      </c>
    </row>
    <row r="553" spans="1:25">
      <c r="A553" s="64">
        <v>10</v>
      </c>
      <c r="B553" s="65" t="str">
        <f>VLOOKUP(Tabel10[[#This Row],[Code]],Ruimtegroepen[[Code]:[Ruimte omschrijving]],2,FALSE)</f>
        <v>Trappenhuizen/lift</v>
      </c>
      <c r="C553" s="66" t="s">
        <v>742</v>
      </c>
      <c r="D553" s="65" t="s">
        <v>27</v>
      </c>
      <c r="E553" s="66" t="s">
        <v>102</v>
      </c>
      <c r="F553" s="66" t="s">
        <v>746</v>
      </c>
      <c r="G553" s="71" t="s">
        <v>282</v>
      </c>
      <c r="H553" s="67" t="s">
        <v>282</v>
      </c>
      <c r="I553" s="67" t="s">
        <v>15</v>
      </c>
      <c r="J553" s="67" t="s">
        <v>282</v>
      </c>
      <c r="K553" s="67" t="s">
        <v>282</v>
      </c>
      <c r="L553" s="67" t="s">
        <v>282</v>
      </c>
      <c r="M553" s="67" t="s">
        <v>282</v>
      </c>
      <c r="N553" s="67" t="s">
        <v>282</v>
      </c>
      <c r="O553" s="68" t="s">
        <v>15</v>
      </c>
      <c r="P553" s="68" t="s">
        <v>15</v>
      </c>
      <c r="Q553" s="68" t="s">
        <v>15</v>
      </c>
      <c r="R553" s="68" t="s">
        <v>282</v>
      </c>
      <c r="S553" s="68" t="s">
        <v>282</v>
      </c>
      <c r="T553" s="68" t="s">
        <v>282</v>
      </c>
      <c r="U553" s="68" t="s">
        <v>282</v>
      </c>
      <c r="V553" s="68" t="s">
        <v>282</v>
      </c>
      <c r="W553" s="69" t="s">
        <v>282</v>
      </c>
      <c r="X553" s="69" t="s">
        <v>282</v>
      </c>
      <c r="Y553" s="70" t="s">
        <v>282</v>
      </c>
    </row>
    <row r="554" spans="1:25">
      <c r="A554" s="64">
        <v>10</v>
      </c>
      <c r="B554" s="65" t="str">
        <f>VLOOKUP(Tabel10[[#This Row],[Code]],Ruimtegroepen[[Code]:[Ruimte omschrijving]],2,FALSE)</f>
        <v>Trappenhuizen/lift</v>
      </c>
      <c r="C554" s="66" t="s">
        <v>742</v>
      </c>
      <c r="D554" s="65" t="s">
        <v>27</v>
      </c>
      <c r="E554" s="66" t="s">
        <v>99</v>
      </c>
      <c r="F554" s="66" t="s">
        <v>744</v>
      </c>
      <c r="G554" s="71" t="s">
        <v>282</v>
      </c>
      <c r="H554" s="67" t="s">
        <v>15</v>
      </c>
      <c r="I554" s="67" t="s">
        <v>282</v>
      </c>
      <c r="J554" s="67" t="s">
        <v>282</v>
      </c>
      <c r="K554" s="67" t="s">
        <v>282</v>
      </c>
      <c r="L554" s="67" t="s">
        <v>282</v>
      </c>
      <c r="M554" s="67" t="s">
        <v>282</v>
      </c>
      <c r="N554" s="67" t="s">
        <v>282</v>
      </c>
      <c r="O554" s="68" t="s">
        <v>15</v>
      </c>
      <c r="P554" s="68" t="s">
        <v>15</v>
      </c>
      <c r="Q554" s="68" t="s">
        <v>15</v>
      </c>
      <c r="R554" s="68" t="s">
        <v>282</v>
      </c>
      <c r="S554" s="68" t="s">
        <v>282</v>
      </c>
      <c r="T554" s="68" t="s">
        <v>282</v>
      </c>
      <c r="U554" s="68" t="s">
        <v>282</v>
      </c>
      <c r="V554" s="68" t="s">
        <v>282</v>
      </c>
      <c r="W554" s="69" t="s">
        <v>282</v>
      </c>
      <c r="X554" s="69" t="s">
        <v>282</v>
      </c>
      <c r="Y554" s="70" t="s">
        <v>282</v>
      </c>
    </row>
    <row r="555" spans="1:25">
      <c r="A555" s="64">
        <v>10</v>
      </c>
      <c r="B555" s="65" t="str">
        <f>VLOOKUP(Tabel10[[#This Row],[Code]],Ruimtegroepen[[Code]:[Ruimte omschrijving]],2,FALSE)</f>
        <v>Trappenhuizen/lift</v>
      </c>
      <c r="C555" s="66" t="s">
        <v>742</v>
      </c>
      <c r="D555" s="65" t="s">
        <v>27</v>
      </c>
      <c r="E555" s="66" t="s">
        <v>1309</v>
      </c>
      <c r="F555" s="66" t="s">
        <v>1383</v>
      </c>
      <c r="G555" s="71" t="s">
        <v>282</v>
      </c>
      <c r="H555" s="67" t="s">
        <v>282</v>
      </c>
      <c r="I555" s="67" t="s">
        <v>15</v>
      </c>
      <c r="J555" s="67" t="s">
        <v>282</v>
      </c>
      <c r="K555" s="67" t="s">
        <v>282</v>
      </c>
      <c r="L555" s="67" t="s">
        <v>282</v>
      </c>
      <c r="M555" s="67" t="s">
        <v>282</v>
      </c>
      <c r="N555" s="67" t="s">
        <v>282</v>
      </c>
      <c r="O555" s="68" t="s">
        <v>15</v>
      </c>
      <c r="P555" s="68" t="s">
        <v>15</v>
      </c>
      <c r="Q555" s="68" t="s">
        <v>15</v>
      </c>
      <c r="R555" s="68" t="s">
        <v>282</v>
      </c>
      <c r="S555" s="68" t="s">
        <v>282</v>
      </c>
      <c r="T555" s="68" t="s">
        <v>282</v>
      </c>
      <c r="U555" s="68" t="s">
        <v>282</v>
      </c>
      <c r="V555" s="68" t="s">
        <v>282</v>
      </c>
      <c r="W555" s="69" t="s">
        <v>282</v>
      </c>
      <c r="X555" s="69" t="s">
        <v>282</v>
      </c>
      <c r="Y555" s="70" t="s">
        <v>282</v>
      </c>
    </row>
    <row r="556" spans="1:25">
      <c r="A556" s="64">
        <v>10</v>
      </c>
      <c r="B556" s="65" t="str">
        <f>VLOOKUP(Tabel10[[#This Row],[Code]],Ruimtegroepen[[Code]:[Ruimte omschrijving]],2,FALSE)</f>
        <v>Trappenhuizen/lift</v>
      </c>
      <c r="C556" s="66" t="s">
        <v>747</v>
      </c>
      <c r="D556" s="65" t="s">
        <v>28</v>
      </c>
      <c r="E556" s="66" t="s">
        <v>100</v>
      </c>
      <c r="F556" s="66" t="s">
        <v>748</v>
      </c>
      <c r="G556" s="71" t="s">
        <v>282</v>
      </c>
      <c r="H556" s="67" t="s">
        <v>282</v>
      </c>
      <c r="I556" s="67" t="s">
        <v>17</v>
      </c>
      <c r="J556" s="67" t="s">
        <v>282</v>
      </c>
      <c r="K556" s="67" t="s">
        <v>282</v>
      </c>
      <c r="L556" s="67" t="s">
        <v>282</v>
      </c>
      <c r="M556" s="67" t="s">
        <v>282</v>
      </c>
      <c r="N556" s="67" t="s">
        <v>282</v>
      </c>
      <c r="O556" s="68" t="s">
        <v>17</v>
      </c>
      <c r="P556" s="68" t="s">
        <v>17</v>
      </c>
      <c r="Q556" s="68" t="s">
        <v>15</v>
      </c>
      <c r="R556" s="68" t="s">
        <v>282</v>
      </c>
      <c r="S556" s="68" t="s">
        <v>282</v>
      </c>
      <c r="T556" s="68" t="s">
        <v>282</v>
      </c>
      <c r="U556" s="68" t="s">
        <v>282</v>
      </c>
      <c r="V556" s="68" t="s">
        <v>282</v>
      </c>
      <c r="W556" s="69" t="s">
        <v>282</v>
      </c>
      <c r="X556" s="69" t="s">
        <v>282</v>
      </c>
      <c r="Y556" s="70" t="s">
        <v>282</v>
      </c>
    </row>
    <row r="557" spans="1:25">
      <c r="A557" s="64">
        <v>10</v>
      </c>
      <c r="B557" s="65" t="str">
        <f>VLOOKUP(Tabel10[[#This Row],[Code]],Ruimtegroepen[[Code]:[Ruimte omschrijving]],2,FALSE)</f>
        <v>Trappenhuizen/lift</v>
      </c>
      <c r="C557" s="66" t="s">
        <v>747</v>
      </c>
      <c r="D557" s="65" t="s">
        <v>28</v>
      </c>
      <c r="E557" s="66" t="s">
        <v>99</v>
      </c>
      <c r="F557" s="66" t="s">
        <v>749</v>
      </c>
      <c r="G557" s="71" t="s">
        <v>282</v>
      </c>
      <c r="H557" s="67" t="s">
        <v>17</v>
      </c>
      <c r="I557" s="67" t="s">
        <v>282</v>
      </c>
      <c r="J557" s="67" t="s">
        <v>282</v>
      </c>
      <c r="K557" s="67" t="s">
        <v>282</v>
      </c>
      <c r="L557" s="67" t="s">
        <v>282</v>
      </c>
      <c r="M557" s="67" t="s">
        <v>282</v>
      </c>
      <c r="N557" s="67" t="s">
        <v>282</v>
      </c>
      <c r="O557" s="68" t="s">
        <v>17</v>
      </c>
      <c r="P557" s="68" t="s">
        <v>17</v>
      </c>
      <c r="Q557" s="68" t="s">
        <v>15</v>
      </c>
      <c r="R557" s="68" t="s">
        <v>282</v>
      </c>
      <c r="S557" s="68" t="s">
        <v>282</v>
      </c>
      <c r="T557" s="68" t="s">
        <v>282</v>
      </c>
      <c r="U557" s="68" t="s">
        <v>282</v>
      </c>
      <c r="V557" s="68" t="s">
        <v>282</v>
      </c>
      <c r="W557" s="69" t="s">
        <v>282</v>
      </c>
      <c r="X557" s="69" t="s">
        <v>282</v>
      </c>
      <c r="Y557" s="70" t="s">
        <v>282</v>
      </c>
    </row>
    <row r="558" spans="1:25">
      <c r="A558" s="64">
        <v>10</v>
      </c>
      <c r="B558" s="65" t="str">
        <f>VLOOKUP(Tabel10[[#This Row],[Code]],Ruimtegroepen[[Code]:[Ruimte omschrijving]],2,FALSE)</f>
        <v>Trappenhuizen/lift</v>
      </c>
      <c r="C558" s="66" t="s">
        <v>747</v>
      </c>
      <c r="D558" s="65" t="s">
        <v>28</v>
      </c>
      <c r="E558" s="66" t="s">
        <v>101</v>
      </c>
      <c r="F558" s="66" t="s">
        <v>750</v>
      </c>
      <c r="G558" s="71" t="s">
        <v>282</v>
      </c>
      <c r="H558" s="67" t="s">
        <v>282</v>
      </c>
      <c r="I558" s="67" t="s">
        <v>17</v>
      </c>
      <c r="J558" s="67" t="s">
        <v>282</v>
      </c>
      <c r="K558" s="67" t="s">
        <v>282</v>
      </c>
      <c r="L558" s="67" t="s">
        <v>282</v>
      </c>
      <c r="M558" s="67" t="s">
        <v>282</v>
      </c>
      <c r="N558" s="67" t="s">
        <v>282</v>
      </c>
      <c r="O558" s="68" t="s">
        <v>17</v>
      </c>
      <c r="P558" s="68" t="s">
        <v>17</v>
      </c>
      <c r="Q558" s="68" t="s">
        <v>15</v>
      </c>
      <c r="R558" s="68" t="s">
        <v>282</v>
      </c>
      <c r="S558" s="68" t="s">
        <v>282</v>
      </c>
      <c r="T558" s="68" t="s">
        <v>282</v>
      </c>
      <c r="U558" s="68" t="s">
        <v>282</v>
      </c>
      <c r="V558" s="68" t="s">
        <v>282</v>
      </c>
      <c r="W558" s="69" t="s">
        <v>282</v>
      </c>
      <c r="X558" s="69" t="s">
        <v>282</v>
      </c>
      <c r="Y558" s="70" t="s">
        <v>282</v>
      </c>
    </row>
    <row r="559" spans="1:25">
      <c r="A559" s="64">
        <v>10</v>
      </c>
      <c r="B559" s="65" t="str">
        <f>VLOOKUP(Tabel10[[#This Row],[Code]],Ruimtegroepen[[Code]:[Ruimte omschrijving]],2,FALSE)</f>
        <v>Trappenhuizen/lift</v>
      </c>
      <c r="C559" s="66" t="s">
        <v>747</v>
      </c>
      <c r="D559" s="65" t="s">
        <v>28</v>
      </c>
      <c r="E559" s="66" t="s">
        <v>102</v>
      </c>
      <c r="F559" s="66" t="s">
        <v>751</v>
      </c>
      <c r="G559" s="71" t="s">
        <v>282</v>
      </c>
      <c r="H559" s="67" t="s">
        <v>282</v>
      </c>
      <c r="I559" s="67" t="s">
        <v>17</v>
      </c>
      <c r="J559" s="67" t="s">
        <v>282</v>
      </c>
      <c r="K559" s="67" t="s">
        <v>282</v>
      </c>
      <c r="L559" s="67" t="s">
        <v>282</v>
      </c>
      <c r="M559" s="67" t="s">
        <v>282</v>
      </c>
      <c r="N559" s="67" t="s">
        <v>282</v>
      </c>
      <c r="O559" s="68" t="s">
        <v>17</v>
      </c>
      <c r="P559" s="68" t="s">
        <v>17</v>
      </c>
      <c r="Q559" s="68" t="s">
        <v>15</v>
      </c>
      <c r="R559" s="68" t="s">
        <v>282</v>
      </c>
      <c r="S559" s="68" t="s">
        <v>282</v>
      </c>
      <c r="T559" s="68" t="s">
        <v>282</v>
      </c>
      <c r="U559" s="68" t="s">
        <v>282</v>
      </c>
      <c r="V559" s="68" t="s">
        <v>282</v>
      </c>
      <c r="W559" s="69" t="s">
        <v>282</v>
      </c>
      <c r="X559" s="69" t="s">
        <v>282</v>
      </c>
      <c r="Y559" s="70" t="s">
        <v>282</v>
      </c>
    </row>
    <row r="560" spans="1:25">
      <c r="A560" s="64">
        <v>10</v>
      </c>
      <c r="B560" s="65" t="str">
        <f>VLOOKUP(Tabel10[[#This Row],[Code]],Ruimtegroepen[[Code]:[Ruimte omschrijving]],2,FALSE)</f>
        <v>Trappenhuizen/lift</v>
      </c>
      <c r="C560" s="66" t="s">
        <v>747</v>
      </c>
      <c r="D560" s="65" t="s">
        <v>28</v>
      </c>
      <c r="E560" s="66" t="s">
        <v>99</v>
      </c>
      <c r="F560" s="66" t="s">
        <v>749</v>
      </c>
      <c r="G560" s="71" t="s">
        <v>282</v>
      </c>
      <c r="H560" s="67" t="s">
        <v>17</v>
      </c>
      <c r="I560" s="67" t="s">
        <v>282</v>
      </c>
      <c r="J560" s="67" t="s">
        <v>282</v>
      </c>
      <c r="K560" s="67" t="s">
        <v>282</v>
      </c>
      <c r="L560" s="67" t="s">
        <v>282</v>
      </c>
      <c r="M560" s="67" t="s">
        <v>282</v>
      </c>
      <c r="N560" s="67" t="s">
        <v>282</v>
      </c>
      <c r="O560" s="68" t="s">
        <v>17</v>
      </c>
      <c r="P560" s="68" t="s">
        <v>17</v>
      </c>
      <c r="Q560" s="68" t="s">
        <v>15</v>
      </c>
      <c r="R560" s="68" t="s">
        <v>282</v>
      </c>
      <c r="S560" s="68" t="s">
        <v>282</v>
      </c>
      <c r="T560" s="68" t="s">
        <v>282</v>
      </c>
      <c r="U560" s="68" t="s">
        <v>282</v>
      </c>
      <c r="V560" s="68" t="s">
        <v>282</v>
      </c>
      <c r="W560" s="69" t="s">
        <v>282</v>
      </c>
      <c r="X560" s="69" t="s">
        <v>282</v>
      </c>
      <c r="Y560" s="70" t="s">
        <v>282</v>
      </c>
    </row>
    <row r="561" spans="1:25">
      <c r="A561" s="64">
        <v>10</v>
      </c>
      <c r="B561" s="65" t="str">
        <f>VLOOKUP(Tabel10[[#This Row],[Code]],Ruimtegroepen[[Code]:[Ruimte omschrijving]],2,FALSE)</f>
        <v>Trappenhuizen/lift</v>
      </c>
      <c r="C561" s="66" t="s">
        <v>747</v>
      </c>
      <c r="D561" s="65" t="s">
        <v>28</v>
      </c>
      <c r="E561" s="66" t="s">
        <v>1309</v>
      </c>
      <c r="F561" s="66" t="s">
        <v>1416</v>
      </c>
      <c r="G561" s="71" t="s">
        <v>282</v>
      </c>
      <c r="H561" s="67" t="s">
        <v>282</v>
      </c>
      <c r="I561" s="67" t="s">
        <v>17</v>
      </c>
      <c r="J561" s="67" t="s">
        <v>282</v>
      </c>
      <c r="K561" s="67" t="s">
        <v>282</v>
      </c>
      <c r="L561" s="67" t="s">
        <v>282</v>
      </c>
      <c r="M561" s="67" t="s">
        <v>282</v>
      </c>
      <c r="N561" s="67" t="s">
        <v>282</v>
      </c>
      <c r="O561" s="68" t="s">
        <v>17</v>
      </c>
      <c r="P561" s="68" t="s">
        <v>17</v>
      </c>
      <c r="Q561" s="68" t="s">
        <v>15</v>
      </c>
      <c r="R561" s="68" t="s">
        <v>282</v>
      </c>
      <c r="S561" s="68" t="s">
        <v>282</v>
      </c>
      <c r="T561" s="68" t="s">
        <v>282</v>
      </c>
      <c r="U561" s="68" t="s">
        <v>282</v>
      </c>
      <c r="V561" s="68" t="s">
        <v>282</v>
      </c>
      <c r="W561" s="69" t="s">
        <v>282</v>
      </c>
      <c r="X561" s="69" t="s">
        <v>282</v>
      </c>
      <c r="Y561" s="70" t="s">
        <v>282</v>
      </c>
    </row>
    <row r="562" spans="1:25">
      <c r="A562" s="64">
        <v>11</v>
      </c>
      <c r="B562" s="65" t="str">
        <f>VLOOKUP(Tabel10[[#This Row],[Code]],Ruimtegroepen[[Code]:[Ruimte omschrijving]],2,FALSE)</f>
        <v>Garderobes</v>
      </c>
      <c r="C562" s="66" t="s">
        <v>752</v>
      </c>
      <c r="D562" s="65" t="s">
        <v>29</v>
      </c>
      <c r="E562" s="66" t="s">
        <v>100</v>
      </c>
      <c r="F562" s="66" t="s">
        <v>753</v>
      </c>
      <c r="G562" s="71" t="s">
        <v>282</v>
      </c>
      <c r="H562" s="67" t="s">
        <v>282</v>
      </c>
      <c r="I562" s="67" t="s">
        <v>20</v>
      </c>
      <c r="J562" s="67" t="s">
        <v>15</v>
      </c>
      <c r="K562" s="67" t="s">
        <v>282</v>
      </c>
      <c r="L562" s="67" t="s">
        <v>282</v>
      </c>
      <c r="M562" s="67" t="s">
        <v>282</v>
      </c>
      <c r="N562" s="67" t="s">
        <v>2</v>
      </c>
      <c r="O562" s="68" t="s">
        <v>2</v>
      </c>
      <c r="P562" s="68" t="s">
        <v>2</v>
      </c>
      <c r="Q562" s="68" t="s">
        <v>15</v>
      </c>
      <c r="R562" s="68" t="s">
        <v>15</v>
      </c>
      <c r="S562" s="68" t="s">
        <v>16</v>
      </c>
      <c r="T562" s="68" t="s">
        <v>329</v>
      </c>
      <c r="U562" s="68" t="s">
        <v>249</v>
      </c>
      <c r="V562" s="68" t="s">
        <v>2</v>
      </c>
      <c r="W562" s="69" t="s">
        <v>282</v>
      </c>
      <c r="X562" s="69" t="s">
        <v>282</v>
      </c>
      <c r="Y562" s="70" t="s">
        <v>282</v>
      </c>
    </row>
    <row r="563" spans="1:25">
      <c r="A563" s="64">
        <v>11</v>
      </c>
      <c r="B563" s="65" t="str">
        <f>VLOOKUP(Tabel10[[#This Row],[Code]],Ruimtegroepen[[Code]:[Ruimte omschrijving]],2,FALSE)</f>
        <v>Garderobes</v>
      </c>
      <c r="C563" s="66" t="s">
        <v>752</v>
      </c>
      <c r="D563" s="65" t="s">
        <v>29</v>
      </c>
      <c r="E563" s="66" t="s">
        <v>99</v>
      </c>
      <c r="F563" s="66" t="s">
        <v>754</v>
      </c>
      <c r="G563" s="71" t="s">
        <v>282</v>
      </c>
      <c r="H563" s="67" t="s">
        <v>2</v>
      </c>
      <c r="I563" s="67" t="s">
        <v>282</v>
      </c>
      <c r="J563" s="67" t="s">
        <v>282</v>
      </c>
      <c r="K563" s="67" t="s">
        <v>282</v>
      </c>
      <c r="L563" s="67" t="s">
        <v>282</v>
      </c>
      <c r="M563" s="67" t="s">
        <v>282</v>
      </c>
      <c r="N563" s="67" t="s">
        <v>2</v>
      </c>
      <c r="O563" s="68" t="s">
        <v>2</v>
      </c>
      <c r="P563" s="68" t="s">
        <v>2</v>
      </c>
      <c r="Q563" s="68" t="s">
        <v>15</v>
      </c>
      <c r="R563" s="68" t="s">
        <v>15</v>
      </c>
      <c r="S563" s="68" t="s">
        <v>16</v>
      </c>
      <c r="T563" s="68" t="s">
        <v>329</v>
      </c>
      <c r="U563" s="68" t="s">
        <v>249</v>
      </c>
      <c r="V563" s="68" t="s">
        <v>2</v>
      </c>
      <c r="W563" s="69" t="s">
        <v>282</v>
      </c>
      <c r="X563" s="69" t="s">
        <v>282</v>
      </c>
      <c r="Y563" s="70" t="s">
        <v>282</v>
      </c>
    </row>
    <row r="564" spans="1:25">
      <c r="A564" s="64">
        <v>11</v>
      </c>
      <c r="B564" s="65" t="str">
        <f>VLOOKUP(Tabel10[[#This Row],[Code]],Ruimtegroepen[[Code]:[Ruimte omschrijving]],2,FALSE)</f>
        <v>Garderobes</v>
      </c>
      <c r="C564" s="66" t="s">
        <v>752</v>
      </c>
      <c r="D564" s="65" t="s">
        <v>29</v>
      </c>
      <c r="E564" s="66" t="s">
        <v>101</v>
      </c>
      <c r="F564" s="66" t="s">
        <v>755</v>
      </c>
      <c r="G564" s="71" t="s">
        <v>282</v>
      </c>
      <c r="H564" s="67" t="s">
        <v>282</v>
      </c>
      <c r="I564" s="67" t="s">
        <v>20</v>
      </c>
      <c r="J564" s="67" t="s">
        <v>15</v>
      </c>
      <c r="K564" s="67" t="s">
        <v>283</v>
      </c>
      <c r="L564" s="67" t="s">
        <v>282</v>
      </c>
      <c r="M564" s="67" t="s">
        <v>282</v>
      </c>
      <c r="N564" s="67" t="s">
        <v>2</v>
      </c>
      <c r="O564" s="68" t="s">
        <v>2</v>
      </c>
      <c r="P564" s="68" t="s">
        <v>2</v>
      </c>
      <c r="Q564" s="68" t="s">
        <v>15</v>
      </c>
      <c r="R564" s="68" t="s">
        <v>15</v>
      </c>
      <c r="S564" s="68" t="s">
        <v>16</v>
      </c>
      <c r="T564" s="68" t="s">
        <v>329</v>
      </c>
      <c r="U564" s="68" t="s">
        <v>249</v>
      </c>
      <c r="V564" s="68" t="s">
        <v>2</v>
      </c>
      <c r="W564" s="69" t="s">
        <v>282</v>
      </c>
      <c r="X564" s="69" t="s">
        <v>282</v>
      </c>
      <c r="Y564" s="70" t="s">
        <v>282</v>
      </c>
    </row>
    <row r="565" spans="1:25">
      <c r="A565" s="64">
        <v>11</v>
      </c>
      <c r="B565" s="65" t="str">
        <f>VLOOKUP(Tabel10[[#This Row],[Code]],Ruimtegroepen[[Code]:[Ruimte omschrijving]],2,FALSE)</f>
        <v>Garderobes</v>
      </c>
      <c r="C565" s="66" t="s">
        <v>752</v>
      </c>
      <c r="D565" s="65" t="s">
        <v>29</v>
      </c>
      <c r="E565" s="66" t="s">
        <v>102</v>
      </c>
      <c r="F565" s="66" t="s">
        <v>756</v>
      </c>
      <c r="G565" s="71" t="s">
        <v>282</v>
      </c>
      <c r="H565" s="67" t="s">
        <v>282</v>
      </c>
      <c r="I565" s="67" t="s">
        <v>20</v>
      </c>
      <c r="J565" s="67" t="s">
        <v>15</v>
      </c>
      <c r="K565" s="67" t="s">
        <v>283</v>
      </c>
      <c r="L565" s="67" t="s">
        <v>282</v>
      </c>
      <c r="M565" s="67" t="s">
        <v>282</v>
      </c>
      <c r="N565" s="67" t="s">
        <v>2</v>
      </c>
      <c r="O565" s="68" t="s">
        <v>2</v>
      </c>
      <c r="P565" s="68" t="s">
        <v>2</v>
      </c>
      <c r="Q565" s="68" t="s">
        <v>15</v>
      </c>
      <c r="R565" s="68" t="s">
        <v>15</v>
      </c>
      <c r="S565" s="68" t="s">
        <v>16</v>
      </c>
      <c r="T565" s="68" t="s">
        <v>329</v>
      </c>
      <c r="U565" s="68" t="s">
        <v>249</v>
      </c>
      <c r="V565" s="68" t="s">
        <v>2</v>
      </c>
      <c r="W565" s="69" t="s">
        <v>282</v>
      </c>
      <c r="X565" s="69" t="s">
        <v>282</v>
      </c>
      <c r="Y565" s="70" t="s">
        <v>282</v>
      </c>
    </row>
    <row r="566" spans="1:25">
      <c r="A566" s="64">
        <v>11</v>
      </c>
      <c r="B566" s="65" t="str">
        <f>VLOOKUP(Tabel10[[#This Row],[Code]],Ruimtegroepen[[Code]:[Ruimte omschrijving]],2,FALSE)</f>
        <v>Garderobes</v>
      </c>
      <c r="C566" s="66" t="s">
        <v>752</v>
      </c>
      <c r="D566" s="65" t="s">
        <v>29</v>
      </c>
      <c r="E566" s="66" t="s">
        <v>99</v>
      </c>
      <c r="F566" s="66" t="s">
        <v>754</v>
      </c>
      <c r="G566" s="71" t="s">
        <v>282</v>
      </c>
      <c r="H566" s="67" t="s">
        <v>2</v>
      </c>
      <c r="I566" s="67" t="s">
        <v>282</v>
      </c>
      <c r="J566" s="67" t="s">
        <v>282</v>
      </c>
      <c r="K566" s="67" t="s">
        <v>282</v>
      </c>
      <c r="L566" s="67" t="s">
        <v>282</v>
      </c>
      <c r="M566" s="67" t="s">
        <v>282</v>
      </c>
      <c r="N566" s="67" t="s">
        <v>2</v>
      </c>
      <c r="O566" s="68" t="s">
        <v>2</v>
      </c>
      <c r="P566" s="68" t="s">
        <v>2</v>
      </c>
      <c r="Q566" s="68" t="s">
        <v>15</v>
      </c>
      <c r="R566" s="68" t="s">
        <v>15</v>
      </c>
      <c r="S566" s="68" t="s">
        <v>16</v>
      </c>
      <c r="T566" s="68" t="s">
        <v>329</v>
      </c>
      <c r="U566" s="68" t="s">
        <v>249</v>
      </c>
      <c r="V566" s="68" t="s">
        <v>2</v>
      </c>
      <c r="W566" s="69" t="s">
        <v>282</v>
      </c>
      <c r="X566" s="69" t="s">
        <v>282</v>
      </c>
      <c r="Y566" s="70" t="s">
        <v>282</v>
      </c>
    </row>
    <row r="567" spans="1:25">
      <c r="A567" s="64">
        <v>11</v>
      </c>
      <c r="B567" s="65" t="str">
        <f>VLOOKUP(Tabel10[[#This Row],[Code]],Ruimtegroepen[[Code]:[Ruimte omschrijving]],2,FALSE)</f>
        <v>Garderobes</v>
      </c>
      <c r="C567" s="66" t="s">
        <v>752</v>
      </c>
      <c r="D567" s="65" t="s">
        <v>29</v>
      </c>
      <c r="E567" s="66" t="s">
        <v>1309</v>
      </c>
      <c r="F567" s="66" t="s">
        <v>1484</v>
      </c>
      <c r="G567" s="71" t="s">
        <v>282</v>
      </c>
      <c r="H567" s="67" t="s">
        <v>282</v>
      </c>
      <c r="I567" s="67" t="s">
        <v>20</v>
      </c>
      <c r="J567" s="67" t="s">
        <v>15</v>
      </c>
      <c r="K567" s="67" t="s">
        <v>283</v>
      </c>
      <c r="L567" s="67" t="s">
        <v>282</v>
      </c>
      <c r="M567" s="67" t="s">
        <v>282</v>
      </c>
      <c r="N567" s="67" t="s">
        <v>2</v>
      </c>
      <c r="O567" s="68" t="s">
        <v>2</v>
      </c>
      <c r="P567" s="68" t="s">
        <v>2</v>
      </c>
      <c r="Q567" s="68" t="s">
        <v>15</v>
      </c>
      <c r="R567" s="68" t="s">
        <v>15</v>
      </c>
      <c r="S567" s="68" t="s">
        <v>16</v>
      </c>
      <c r="T567" s="68" t="s">
        <v>329</v>
      </c>
      <c r="U567" s="68" t="s">
        <v>249</v>
      </c>
      <c r="V567" s="68" t="s">
        <v>2</v>
      </c>
      <c r="W567" s="69" t="s">
        <v>282</v>
      </c>
      <c r="X567" s="69" t="s">
        <v>282</v>
      </c>
      <c r="Y567" s="70" t="s">
        <v>282</v>
      </c>
    </row>
    <row r="568" spans="1:25">
      <c r="A568" s="64">
        <v>11</v>
      </c>
      <c r="B568" s="65" t="str">
        <f>VLOOKUP(Tabel10[[#This Row],[Code]],Ruimtegroepen[[Code]:[Ruimte omschrijving]],2,FALSE)</f>
        <v>Garderobes</v>
      </c>
      <c r="C568" s="66" t="s">
        <v>757</v>
      </c>
      <c r="D568" s="65" t="s">
        <v>1</v>
      </c>
      <c r="E568" s="66" t="s">
        <v>100</v>
      </c>
      <c r="F568" s="66" t="s">
        <v>758</v>
      </c>
      <c r="G568" s="71" t="s">
        <v>282</v>
      </c>
      <c r="H568" s="67" t="s">
        <v>282</v>
      </c>
      <c r="I568" s="67" t="s">
        <v>20</v>
      </c>
      <c r="J568" s="67" t="s">
        <v>15</v>
      </c>
      <c r="K568" s="67" t="s">
        <v>282</v>
      </c>
      <c r="L568" s="67" t="s">
        <v>282</v>
      </c>
      <c r="M568" s="67" t="s">
        <v>282</v>
      </c>
      <c r="N568" s="67" t="s">
        <v>282</v>
      </c>
      <c r="O568" s="68" t="s">
        <v>2</v>
      </c>
      <c r="P568" s="68" t="s">
        <v>2</v>
      </c>
      <c r="Q568" s="68" t="s">
        <v>15</v>
      </c>
      <c r="R568" s="68" t="s">
        <v>15</v>
      </c>
      <c r="S568" s="68" t="s">
        <v>16</v>
      </c>
      <c r="T568" s="68" t="s">
        <v>329</v>
      </c>
      <c r="U568" s="68" t="s">
        <v>249</v>
      </c>
      <c r="V568" s="68" t="s">
        <v>282</v>
      </c>
      <c r="W568" s="69" t="s">
        <v>282</v>
      </c>
      <c r="X568" s="69" t="s">
        <v>282</v>
      </c>
      <c r="Y568" s="70" t="s">
        <v>282</v>
      </c>
    </row>
    <row r="569" spans="1:25">
      <c r="A569" s="64">
        <v>11</v>
      </c>
      <c r="B569" s="65" t="str">
        <f>VLOOKUP(Tabel10[[#This Row],[Code]],Ruimtegroepen[[Code]:[Ruimte omschrijving]],2,FALSE)</f>
        <v>Garderobes</v>
      </c>
      <c r="C569" s="66" t="s">
        <v>757</v>
      </c>
      <c r="D569" s="65" t="s">
        <v>1</v>
      </c>
      <c r="E569" s="66" t="s">
        <v>99</v>
      </c>
      <c r="F569" s="66" t="s">
        <v>759</v>
      </c>
      <c r="G569" s="71" t="s">
        <v>282</v>
      </c>
      <c r="H569" s="67" t="s">
        <v>2</v>
      </c>
      <c r="I569" s="67" t="s">
        <v>282</v>
      </c>
      <c r="J569" s="67" t="s">
        <v>282</v>
      </c>
      <c r="K569" s="67" t="s">
        <v>282</v>
      </c>
      <c r="L569" s="67" t="s">
        <v>282</v>
      </c>
      <c r="M569" s="67" t="s">
        <v>282</v>
      </c>
      <c r="N569" s="67" t="s">
        <v>282</v>
      </c>
      <c r="O569" s="68" t="s">
        <v>2</v>
      </c>
      <c r="P569" s="68" t="s">
        <v>2</v>
      </c>
      <c r="Q569" s="68" t="s">
        <v>15</v>
      </c>
      <c r="R569" s="68" t="s">
        <v>15</v>
      </c>
      <c r="S569" s="68" t="s">
        <v>16</v>
      </c>
      <c r="T569" s="68" t="s">
        <v>329</v>
      </c>
      <c r="U569" s="68" t="s">
        <v>249</v>
      </c>
      <c r="V569" s="68" t="s">
        <v>282</v>
      </c>
      <c r="W569" s="69" t="s">
        <v>282</v>
      </c>
      <c r="X569" s="69" t="s">
        <v>282</v>
      </c>
      <c r="Y569" s="70" t="s">
        <v>282</v>
      </c>
    </row>
    <row r="570" spans="1:25">
      <c r="A570" s="64">
        <v>11</v>
      </c>
      <c r="B570" s="65" t="str">
        <f>VLOOKUP(Tabel10[[#This Row],[Code]],Ruimtegroepen[[Code]:[Ruimte omschrijving]],2,FALSE)</f>
        <v>Garderobes</v>
      </c>
      <c r="C570" s="66" t="s">
        <v>757</v>
      </c>
      <c r="D570" s="65" t="s">
        <v>1</v>
      </c>
      <c r="E570" s="66" t="s">
        <v>101</v>
      </c>
      <c r="F570" s="66" t="s">
        <v>760</v>
      </c>
      <c r="G570" s="71" t="s">
        <v>282</v>
      </c>
      <c r="H570" s="67" t="s">
        <v>282</v>
      </c>
      <c r="I570" s="67" t="s">
        <v>20</v>
      </c>
      <c r="J570" s="67" t="s">
        <v>15</v>
      </c>
      <c r="K570" s="67" t="s">
        <v>283</v>
      </c>
      <c r="L570" s="67" t="s">
        <v>282</v>
      </c>
      <c r="M570" s="67" t="s">
        <v>282</v>
      </c>
      <c r="N570" s="67" t="s">
        <v>282</v>
      </c>
      <c r="O570" s="68" t="s">
        <v>2</v>
      </c>
      <c r="P570" s="68" t="s">
        <v>2</v>
      </c>
      <c r="Q570" s="68" t="s">
        <v>15</v>
      </c>
      <c r="R570" s="68" t="s">
        <v>15</v>
      </c>
      <c r="S570" s="68" t="s">
        <v>16</v>
      </c>
      <c r="T570" s="68" t="s">
        <v>329</v>
      </c>
      <c r="U570" s="68" t="s">
        <v>249</v>
      </c>
      <c r="V570" s="68" t="s">
        <v>282</v>
      </c>
      <c r="W570" s="69" t="s">
        <v>282</v>
      </c>
      <c r="X570" s="69" t="s">
        <v>282</v>
      </c>
      <c r="Y570" s="70" t="s">
        <v>282</v>
      </c>
    </row>
    <row r="571" spans="1:25">
      <c r="A571" s="64">
        <v>11</v>
      </c>
      <c r="B571" s="65" t="str">
        <f>VLOOKUP(Tabel10[[#This Row],[Code]],Ruimtegroepen[[Code]:[Ruimte omschrijving]],2,FALSE)</f>
        <v>Garderobes</v>
      </c>
      <c r="C571" s="66" t="s">
        <v>757</v>
      </c>
      <c r="D571" s="65" t="s">
        <v>1</v>
      </c>
      <c r="E571" s="66" t="s">
        <v>102</v>
      </c>
      <c r="F571" s="66" t="s">
        <v>761</v>
      </c>
      <c r="G571" s="71" t="s">
        <v>282</v>
      </c>
      <c r="H571" s="67" t="s">
        <v>282</v>
      </c>
      <c r="I571" s="67" t="s">
        <v>2</v>
      </c>
      <c r="J571" s="67" t="s">
        <v>282</v>
      </c>
      <c r="K571" s="67" t="s">
        <v>283</v>
      </c>
      <c r="L571" s="67" t="s">
        <v>282</v>
      </c>
      <c r="M571" s="67" t="s">
        <v>282</v>
      </c>
      <c r="N571" s="67" t="s">
        <v>282</v>
      </c>
      <c r="O571" s="68" t="s">
        <v>2</v>
      </c>
      <c r="P571" s="68" t="s">
        <v>2</v>
      </c>
      <c r="Q571" s="68" t="s">
        <v>15</v>
      </c>
      <c r="R571" s="68" t="s">
        <v>15</v>
      </c>
      <c r="S571" s="68" t="s">
        <v>16</v>
      </c>
      <c r="T571" s="68" t="s">
        <v>329</v>
      </c>
      <c r="U571" s="68" t="s">
        <v>249</v>
      </c>
      <c r="V571" s="68" t="s">
        <v>282</v>
      </c>
      <c r="W571" s="69" t="s">
        <v>282</v>
      </c>
      <c r="X571" s="69" t="s">
        <v>282</v>
      </c>
      <c r="Y571" s="70" t="s">
        <v>282</v>
      </c>
    </row>
    <row r="572" spans="1:25">
      <c r="A572" s="64">
        <v>11</v>
      </c>
      <c r="B572" s="65" t="str">
        <f>VLOOKUP(Tabel10[[#This Row],[Code]],Ruimtegroepen[[Code]:[Ruimte omschrijving]],2,FALSE)</f>
        <v>Garderobes</v>
      </c>
      <c r="C572" s="66" t="s">
        <v>757</v>
      </c>
      <c r="D572" s="65" t="s">
        <v>1</v>
      </c>
      <c r="E572" s="66" t="s">
        <v>99</v>
      </c>
      <c r="F572" s="66" t="s">
        <v>759</v>
      </c>
      <c r="G572" s="71" t="s">
        <v>282</v>
      </c>
      <c r="H572" s="67" t="s">
        <v>2</v>
      </c>
      <c r="I572" s="67" t="s">
        <v>282</v>
      </c>
      <c r="J572" s="67" t="s">
        <v>282</v>
      </c>
      <c r="K572" s="67" t="s">
        <v>282</v>
      </c>
      <c r="L572" s="67" t="s">
        <v>282</v>
      </c>
      <c r="M572" s="67" t="s">
        <v>282</v>
      </c>
      <c r="N572" s="67" t="s">
        <v>282</v>
      </c>
      <c r="O572" s="68" t="s">
        <v>2</v>
      </c>
      <c r="P572" s="68" t="s">
        <v>2</v>
      </c>
      <c r="Q572" s="68" t="s">
        <v>15</v>
      </c>
      <c r="R572" s="68" t="s">
        <v>15</v>
      </c>
      <c r="S572" s="68" t="s">
        <v>16</v>
      </c>
      <c r="T572" s="68" t="s">
        <v>329</v>
      </c>
      <c r="U572" s="68" t="s">
        <v>249</v>
      </c>
      <c r="V572" s="68" t="s">
        <v>282</v>
      </c>
      <c r="W572" s="69" t="s">
        <v>282</v>
      </c>
      <c r="X572" s="69" t="s">
        <v>282</v>
      </c>
      <c r="Y572" s="70" t="s">
        <v>282</v>
      </c>
    </row>
    <row r="573" spans="1:25">
      <c r="A573" s="64">
        <v>11</v>
      </c>
      <c r="B573" s="65" t="str">
        <f>VLOOKUP(Tabel10[[#This Row],[Code]],Ruimtegroepen[[Code]:[Ruimte omschrijving]],2,FALSE)</f>
        <v>Garderobes</v>
      </c>
      <c r="C573" s="66" t="s">
        <v>757</v>
      </c>
      <c r="D573" s="65" t="s">
        <v>1</v>
      </c>
      <c r="E573" s="66" t="s">
        <v>1309</v>
      </c>
      <c r="F573" s="66" t="s">
        <v>1468</v>
      </c>
      <c r="G573" s="71" t="s">
        <v>282</v>
      </c>
      <c r="H573" s="67" t="s">
        <v>282</v>
      </c>
      <c r="I573" s="67" t="s">
        <v>2</v>
      </c>
      <c r="J573" s="67" t="s">
        <v>282</v>
      </c>
      <c r="K573" s="67" t="s">
        <v>283</v>
      </c>
      <c r="L573" s="67" t="s">
        <v>282</v>
      </c>
      <c r="M573" s="67" t="s">
        <v>282</v>
      </c>
      <c r="N573" s="67" t="s">
        <v>282</v>
      </c>
      <c r="O573" s="68" t="s">
        <v>2</v>
      </c>
      <c r="P573" s="68" t="s">
        <v>2</v>
      </c>
      <c r="Q573" s="68" t="s">
        <v>15</v>
      </c>
      <c r="R573" s="68" t="s">
        <v>15</v>
      </c>
      <c r="S573" s="68" t="s">
        <v>16</v>
      </c>
      <c r="T573" s="68" t="s">
        <v>329</v>
      </c>
      <c r="U573" s="68" t="s">
        <v>249</v>
      </c>
      <c r="V573" s="68" t="s">
        <v>282</v>
      </c>
      <c r="W573" s="69" t="s">
        <v>282</v>
      </c>
      <c r="X573" s="69" t="s">
        <v>282</v>
      </c>
      <c r="Y573" s="70" t="s">
        <v>282</v>
      </c>
    </row>
    <row r="574" spans="1:25">
      <c r="A574" s="64">
        <v>11</v>
      </c>
      <c r="B574" s="65" t="str">
        <f>VLOOKUP(Tabel10[[#This Row],[Code]],Ruimtegroepen[[Code]:[Ruimte omschrijving]],2,FALSE)</f>
        <v>Garderobes</v>
      </c>
      <c r="C574" s="66" t="s">
        <v>762</v>
      </c>
      <c r="D574" s="65" t="s">
        <v>21</v>
      </c>
      <c r="E574" s="66" t="s">
        <v>100</v>
      </c>
      <c r="F574" s="66" t="s">
        <v>763</v>
      </c>
      <c r="G574" s="71" t="s">
        <v>282</v>
      </c>
      <c r="H574" s="67" t="s">
        <v>282</v>
      </c>
      <c r="I574" s="67" t="s">
        <v>18</v>
      </c>
      <c r="J574" s="67" t="s">
        <v>15</v>
      </c>
      <c r="K574" s="67" t="s">
        <v>282</v>
      </c>
      <c r="L574" s="67" t="s">
        <v>282</v>
      </c>
      <c r="M574" s="67" t="s">
        <v>282</v>
      </c>
      <c r="N574" s="67" t="s">
        <v>282</v>
      </c>
      <c r="O574" s="68" t="s">
        <v>20</v>
      </c>
      <c r="P574" s="68" t="s">
        <v>20</v>
      </c>
      <c r="Q574" s="68" t="s">
        <v>15</v>
      </c>
      <c r="R574" s="68" t="s">
        <v>15</v>
      </c>
      <c r="S574" s="68" t="s">
        <v>16</v>
      </c>
      <c r="T574" s="68" t="s">
        <v>329</v>
      </c>
      <c r="U574" s="68" t="s">
        <v>249</v>
      </c>
      <c r="V574" s="68" t="s">
        <v>282</v>
      </c>
      <c r="W574" s="69" t="s">
        <v>282</v>
      </c>
      <c r="X574" s="69" t="s">
        <v>282</v>
      </c>
      <c r="Y574" s="70" t="s">
        <v>282</v>
      </c>
    </row>
    <row r="575" spans="1:25">
      <c r="A575" s="64">
        <v>11</v>
      </c>
      <c r="B575" s="65" t="str">
        <f>VLOOKUP(Tabel10[[#This Row],[Code]],Ruimtegroepen[[Code]:[Ruimte omschrijving]],2,FALSE)</f>
        <v>Garderobes</v>
      </c>
      <c r="C575" s="66" t="s">
        <v>762</v>
      </c>
      <c r="D575" s="65" t="s">
        <v>21</v>
      </c>
      <c r="E575" s="66" t="s">
        <v>99</v>
      </c>
      <c r="F575" s="66" t="s">
        <v>764</v>
      </c>
      <c r="G575" s="71" t="s">
        <v>282</v>
      </c>
      <c r="H575" s="67" t="s">
        <v>20</v>
      </c>
      <c r="I575" s="67" t="s">
        <v>282</v>
      </c>
      <c r="J575" s="67" t="s">
        <v>282</v>
      </c>
      <c r="K575" s="67" t="s">
        <v>282</v>
      </c>
      <c r="L575" s="67" t="s">
        <v>282</v>
      </c>
      <c r="M575" s="67" t="s">
        <v>282</v>
      </c>
      <c r="N575" s="67" t="s">
        <v>282</v>
      </c>
      <c r="O575" s="68" t="s">
        <v>20</v>
      </c>
      <c r="P575" s="68" t="s">
        <v>20</v>
      </c>
      <c r="Q575" s="68" t="s">
        <v>15</v>
      </c>
      <c r="R575" s="68" t="s">
        <v>15</v>
      </c>
      <c r="S575" s="68" t="s">
        <v>16</v>
      </c>
      <c r="T575" s="68" t="s">
        <v>329</v>
      </c>
      <c r="U575" s="68" t="s">
        <v>249</v>
      </c>
      <c r="V575" s="68" t="s">
        <v>282</v>
      </c>
      <c r="W575" s="69" t="s">
        <v>282</v>
      </c>
      <c r="X575" s="69" t="s">
        <v>282</v>
      </c>
      <c r="Y575" s="70" t="s">
        <v>282</v>
      </c>
    </row>
    <row r="576" spans="1:25">
      <c r="A576" s="64">
        <v>11</v>
      </c>
      <c r="B576" s="65" t="str">
        <f>VLOOKUP(Tabel10[[#This Row],[Code]],Ruimtegroepen[[Code]:[Ruimte omschrijving]],2,FALSE)</f>
        <v>Garderobes</v>
      </c>
      <c r="C576" s="66" t="s">
        <v>762</v>
      </c>
      <c r="D576" s="65" t="s">
        <v>21</v>
      </c>
      <c r="E576" s="66" t="s">
        <v>101</v>
      </c>
      <c r="F576" s="66" t="s">
        <v>765</v>
      </c>
      <c r="G576" s="71" t="s">
        <v>282</v>
      </c>
      <c r="H576" s="67" t="s">
        <v>282</v>
      </c>
      <c r="I576" s="67" t="s">
        <v>18</v>
      </c>
      <c r="J576" s="67" t="s">
        <v>15</v>
      </c>
      <c r="K576" s="67" t="s">
        <v>283</v>
      </c>
      <c r="L576" s="67" t="s">
        <v>282</v>
      </c>
      <c r="M576" s="67" t="s">
        <v>282</v>
      </c>
      <c r="N576" s="67" t="s">
        <v>282</v>
      </c>
      <c r="O576" s="68" t="s">
        <v>20</v>
      </c>
      <c r="P576" s="68" t="s">
        <v>20</v>
      </c>
      <c r="Q576" s="68" t="s">
        <v>15</v>
      </c>
      <c r="R576" s="68" t="s">
        <v>15</v>
      </c>
      <c r="S576" s="68" t="s">
        <v>16</v>
      </c>
      <c r="T576" s="68" t="s">
        <v>329</v>
      </c>
      <c r="U576" s="68" t="s">
        <v>249</v>
      </c>
      <c r="V576" s="68" t="s">
        <v>282</v>
      </c>
      <c r="W576" s="69" t="s">
        <v>282</v>
      </c>
      <c r="X576" s="69" t="s">
        <v>282</v>
      </c>
      <c r="Y576" s="70" t="s">
        <v>282</v>
      </c>
    </row>
    <row r="577" spans="1:25">
      <c r="A577" s="64">
        <v>11</v>
      </c>
      <c r="B577" s="65" t="str">
        <f>VLOOKUP(Tabel10[[#This Row],[Code]],Ruimtegroepen[[Code]:[Ruimte omschrijving]],2,FALSE)</f>
        <v>Garderobes</v>
      </c>
      <c r="C577" s="66" t="s">
        <v>762</v>
      </c>
      <c r="D577" s="65" t="s">
        <v>21</v>
      </c>
      <c r="E577" s="66" t="s">
        <v>102</v>
      </c>
      <c r="F577" s="66" t="s">
        <v>766</v>
      </c>
      <c r="G577" s="71" t="s">
        <v>282</v>
      </c>
      <c r="H577" s="67" t="s">
        <v>282</v>
      </c>
      <c r="I577" s="67" t="s">
        <v>18</v>
      </c>
      <c r="J577" s="67" t="s">
        <v>15</v>
      </c>
      <c r="K577" s="67" t="s">
        <v>283</v>
      </c>
      <c r="L577" s="67" t="s">
        <v>282</v>
      </c>
      <c r="M577" s="67" t="s">
        <v>282</v>
      </c>
      <c r="N577" s="67" t="s">
        <v>282</v>
      </c>
      <c r="O577" s="68" t="s">
        <v>20</v>
      </c>
      <c r="P577" s="68" t="s">
        <v>20</v>
      </c>
      <c r="Q577" s="68" t="s">
        <v>15</v>
      </c>
      <c r="R577" s="68" t="s">
        <v>15</v>
      </c>
      <c r="S577" s="68" t="s">
        <v>16</v>
      </c>
      <c r="T577" s="68" t="s">
        <v>329</v>
      </c>
      <c r="U577" s="68" t="s">
        <v>249</v>
      </c>
      <c r="V577" s="68" t="s">
        <v>282</v>
      </c>
      <c r="W577" s="69" t="s">
        <v>282</v>
      </c>
      <c r="X577" s="69" t="s">
        <v>282</v>
      </c>
      <c r="Y577" s="70" t="s">
        <v>282</v>
      </c>
    </row>
    <row r="578" spans="1:25">
      <c r="A578" s="64">
        <v>11</v>
      </c>
      <c r="B578" s="65" t="str">
        <f>VLOOKUP(Tabel10[[#This Row],[Code]],Ruimtegroepen[[Code]:[Ruimte omschrijving]],2,FALSE)</f>
        <v>Garderobes</v>
      </c>
      <c r="C578" s="66" t="s">
        <v>762</v>
      </c>
      <c r="D578" s="65" t="s">
        <v>21</v>
      </c>
      <c r="E578" s="66" t="s">
        <v>99</v>
      </c>
      <c r="F578" s="66" t="s">
        <v>764</v>
      </c>
      <c r="G578" s="71" t="s">
        <v>282</v>
      </c>
      <c r="H578" s="67" t="s">
        <v>20</v>
      </c>
      <c r="I578" s="67" t="s">
        <v>282</v>
      </c>
      <c r="J578" s="67" t="s">
        <v>282</v>
      </c>
      <c r="K578" s="67" t="s">
        <v>282</v>
      </c>
      <c r="L578" s="67" t="s">
        <v>282</v>
      </c>
      <c r="M578" s="67" t="s">
        <v>282</v>
      </c>
      <c r="N578" s="67" t="s">
        <v>282</v>
      </c>
      <c r="O578" s="68" t="s">
        <v>20</v>
      </c>
      <c r="P578" s="68" t="s">
        <v>20</v>
      </c>
      <c r="Q578" s="68" t="s">
        <v>15</v>
      </c>
      <c r="R578" s="68" t="s">
        <v>15</v>
      </c>
      <c r="S578" s="68" t="s">
        <v>16</v>
      </c>
      <c r="T578" s="68" t="s">
        <v>329</v>
      </c>
      <c r="U578" s="68" t="s">
        <v>249</v>
      </c>
      <c r="V578" s="68" t="s">
        <v>282</v>
      </c>
      <c r="W578" s="69" t="s">
        <v>282</v>
      </c>
      <c r="X578" s="69" t="s">
        <v>282</v>
      </c>
      <c r="Y578" s="70" t="s">
        <v>282</v>
      </c>
    </row>
    <row r="579" spans="1:25">
      <c r="A579" s="64">
        <v>11</v>
      </c>
      <c r="B579" s="65" t="str">
        <f>VLOOKUP(Tabel10[[#This Row],[Code]],Ruimtegroepen[[Code]:[Ruimte omschrijving]],2,FALSE)</f>
        <v>Garderobes</v>
      </c>
      <c r="C579" s="66" t="s">
        <v>762</v>
      </c>
      <c r="D579" s="65" t="s">
        <v>21</v>
      </c>
      <c r="E579" s="66" t="s">
        <v>1309</v>
      </c>
      <c r="F579" s="66" t="s">
        <v>1451</v>
      </c>
      <c r="G579" s="71" t="s">
        <v>282</v>
      </c>
      <c r="H579" s="67" t="s">
        <v>282</v>
      </c>
      <c r="I579" s="67" t="s">
        <v>18</v>
      </c>
      <c r="J579" s="67" t="s">
        <v>15</v>
      </c>
      <c r="K579" s="67" t="s">
        <v>283</v>
      </c>
      <c r="L579" s="67" t="s">
        <v>282</v>
      </c>
      <c r="M579" s="67" t="s">
        <v>282</v>
      </c>
      <c r="N579" s="67" t="s">
        <v>282</v>
      </c>
      <c r="O579" s="68" t="s">
        <v>20</v>
      </c>
      <c r="P579" s="68" t="s">
        <v>20</v>
      </c>
      <c r="Q579" s="68" t="s">
        <v>15</v>
      </c>
      <c r="R579" s="68" t="s">
        <v>15</v>
      </c>
      <c r="S579" s="68" t="s">
        <v>16</v>
      </c>
      <c r="T579" s="68" t="s">
        <v>329</v>
      </c>
      <c r="U579" s="68" t="s">
        <v>249</v>
      </c>
      <c r="V579" s="68" t="s">
        <v>282</v>
      </c>
      <c r="W579" s="69" t="s">
        <v>282</v>
      </c>
      <c r="X579" s="69" t="s">
        <v>282</v>
      </c>
      <c r="Y579" s="70" t="s">
        <v>282</v>
      </c>
    </row>
    <row r="580" spans="1:25">
      <c r="A580" s="64">
        <v>11</v>
      </c>
      <c r="B580" s="65" t="str">
        <f>VLOOKUP(Tabel10[[#This Row],[Code]],Ruimtegroepen[[Code]:[Ruimte omschrijving]],2,FALSE)</f>
        <v>Garderobes</v>
      </c>
      <c r="C580" s="66" t="s">
        <v>767</v>
      </c>
      <c r="D580" s="65" t="s">
        <v>12</v>
      </c>
      <c r="E580" s="66" t="s">
        <v>100</v>
      </c>
      <c r="F580" s="66" t="s">
        <v>768</v>
      </c>
      <c r="G580" s="71" t="s">
        <v>282</v>
      </c>
      <c r="H580" s="67" t="s">
        <v>282</v>
      </c>
      <c r="I580" s="67" t="s">
        <v>17</v>
      </c>
      <c r="J580" s="67" t="s">
        <v>15</v>
      </c>
      <c r="K580" s="67" t="s">
        <v>282</v>
      </c>
      <c r="L580" s="67" t="s">
        <v>282</v>
      </c>
      <c r="M580" s="67" t="s">
        <v>282</v>
      </c>
      <c r="N580" s="67" t="s">
        <v>282</v>
      </c>
      <c r="O580" s="68" t="s">
        <v>18</v>
      </c>
      <c r="P580" s="68" t="s">
        <v>18</v>
      </c>
      <c r="Q580" s="68" t="s">
        <v>15</v>
      </c>
      <c r="R580" s="68" t="s">
        <v>15</v>
      </c>
      <c r="S580" s="68" t="s">
        <v>16</v>
      </c>
      <c r="T580" s="68" t="s">
        <v>329</v>
      </c>
      <c r="U580" s="68" t="s">
        <v>249</v>
      </c>
      <c r="V580" s="68" t="s">
        <v>282</v>
      </c>
      <c r="W580" s="69" t="s">
        <v>282</v>
      </c>
      <c r="X580" s="69" t="s">
        <v>282</v>
      </c>
      <c r="Y580" s="70" t="s">
        <v>282</v>
      </c>
    </row>
    <row r="581" spans="1:25">
      <c r="A581" s="64">
        <v>11</v>
      </c>
      <c r="B581" s="65" t="str">
        <f>VLOOKUP(Tabel10[[#This Row],[Code]],Ruimtegroepen[[Code]:[Ruimte omschrijving]],2,FALSE)</f>
        <v>Garderobes</v>
      </c>
      <c r="C581" s="66" t="s">
        <v>767</v>
      </c>
      <c r="D581" s="65" t="s">
        <v>12</v>
      </c>
      <c r="E581" s="66" t="s">
        <v>99</v>
      </c>
      <c r="F581" s="66" t="s">
        <v>769</v>
      </c>
      <c r="G581" s="71" t="s">
        <v>282</v>
      </c>
      <c r="H581" s="67" t="s">
        <v>18</v>
      </c>
      <c r="I581" s="67" t="s">
        <v>282</v>
      </c>
      <c r="J581" s="67" t="s">
        <v>282</v>
      </c>
      <c r="K581" s="67" t="s">
        <v>282</v>
      </c>
      <c r="L581" s="67" t="s">
        <v>282</v>
      </c>
      <c r="M581" s="67" t="s">
        <v>282</v>
      </c>
      <c r="N581" s="67" t="s">
        <v>282</v>
      </c>
      <c r="O581" s="68" t="s">
        <v>18</v>
      </c>
      <c r="P581" s="68" t="s">
        <v>18</v>
      </c>
      <c r="Q581" s="68" t="s">
        <v>15</v>
      </c>
      <c r="R581" s="68" t="s">
        <v>15</v>
      </c>
      <c r="S581" s="68" t="s">
        <v>16</v>
      </c>
      <c r="T581" s="68" t="s">
        <v>329</v>
      </c>
      <c r="U581" s="68" t="s">
        <v>249</v>
      </c>
      <c r="V581" s="68" t="s">
        <v>282</v>
      </c>
      <c r="W581" s="69" t="s">
        <v>282</v>
      </c>
      <c r="X581" s="69" t="s">
        <v>282</v>
      </c>
      <c r="Y581" s="70" t="s">
        <v>282</v>
      </c>
    </row>
    <row r="582" spans="1:25">
      <c r="A582" s="64">
        <v>11</v>
      </c>
      <c r="B582" s="65" t="str">
        <f>VLOOKUP(Tabel10[[#This Row],[Code]],Ruimtegroepen[[Code]:[Ruimte omschrijving]],2,FALSE)</f>
        <v>Garderobes</v>
      </c>
      <c r="C582" s="66" t="s">
        <v>767</v>
      </c>
      <c r="D582" s="65" t="s">
        <v>12</v>
      </c>
      <c r="E582" s="66" t="s">
        <v>101</v>
      </c>
      <c r="F582" s="66" t="s">
        <v>770</v>
      </c>
      <c r="G582" s="71" t="s">
        <v>282</v>
      </c>
      <c r="H582" s="67" t="s">
        <v>282</v>
      </c>
      <c r="I582" s="67" t="s">
        <v>17</v>
      </c>
      <c r="J582" s="67" t="s">
        <v>15</v>
      </c>
      <c r="K582" s="67" t="s">
        <v>283</v>
      </c>
      <c r="L582" s="67" t="s">
        <v>282</v>
      </c>
      <c r="M582" s="67" t="s">
        <v>282</v>
      </c>
      <c r="N582" s="67" t="s">
        <v>282</v>
      </c>
      <c r="O582" s="68" t="s">
        <v>18</v>
      </c>
      <c r="P582" s="68" t="s">
        <v>18</v>
      </c>
      <c r="Q582" s="68" t="s">
        <v>15</v>
      </c>
      <c r="R582" s="68" t="s">
        <v>15</v>
      </c>
      <c r="S582" s="68" t="s">
        <v>16</v>
      </c>
      <c r="T582" s="68" t="s">
        <v>329</v>
      </c>
      <c r="U582" s="68" t="s">
        <v>249</v>
      </c>
      <c r="V582" s="68" t="s">
        <v>282</v>
      </c>
      <c r="W582" s="69" t="s">
        <v>282</v>
      </c>
      <c r="X582" s="69" t="s">
        <v>282</v>
      </c>
      <c r="Y582" s="70" t="s">
        <v>282</v>
      </c>
    </row>
    <row r="583" spans="1:25">
      <c r="A583" s="64">
        <v>11</v>
      </c>
      <c r="B583" s="65" t="str">
        <f>VLOOKUP(Tabel10[[#This Row],[Code]],Ruimtegroepen[[Code]:[Ruimte omschrijving]],2,FALSE)</f>
        <v>Garderobes</v>
      </c>
      <c r="C583" s="66" t="s">
        <v>767</v>
      </c>
      <c r="D583" s="65" t="s">
        <v>12</v>
      </c>
      <c r="E583" s="66" t="s">
        <v>102</v>
      </c>
      <c r="F583" s="66" t="s">
        <v>771</v>
      </c>
      <c r="G583" s="71" t="s">
        <v>282</v>
      </c>
      <c r="H583" s="67" t="s">
        <v>282</v>
      </c>
      <c r="I583" s="67" t="s">
        <v>17</v>
      </c>
      <c r="J583" s="67" t="s">
        <v>15</v>
      </c>
      <c r="K583" s="67" t="s">
        <v>283</v>
      </c>
      <c r="L583" s="67" t="s">
        <v>282</v>
      </c>
      <c r="M583" s="67" t="s">
        <v>282</v>
      </c>
      <c r="N583" s="67" t="s">
        <v>282</v>
      </c>
      <c r="O583" s="68" t="s">
        <v>18</v>
      </c>
      <c r="P583" s="68" t="s">
        <v>18</v>
      </c>
      <c r="Q583" s="68" t="s">
        <v>15</v>
      </c>
      <c r="R583" s="68" t="s">
        <v>15</v>
      </c>
      <c r="S583" s="68" t="s">
        <v>16</v>
      </c>
      <c r="T583" s="68" t="s">
        <v>329</v>
      </c>
      <c r="U583" s="68" t="s">
        <v>249</v>
      </c>
      <c r="V583" s="68" t="s">
        <v>282</v>
      </c>
      <c r="W583" s="69" t="s">
        <v>282</v>
      </c>
      <c r="X583" s="69" t="s">
        <v>282</v>
      </c>
      <c r="Y583" s="70" t="s">
        <v>282</v>
      </c>
    </row>
    <row r="584" spans="1:25">
      <c r="A584" s="64">
        <v>11</v>
      </c>
      <c r="B584" s="65" t="str">
        <f>VLOOKUP(Tabel10[[#This Row],[Code]],Ruimtegroepen[[Code]:[Ruimte omschrijving]],2,FALSE)</f>
        <v>Garderobes</v>
      </c>
      <c r="C584" s="66" t="s">
        <v>767</v>
      </c>
      <c r="D584" s="65" t="s">
        <v>12</v>
      </c>
      <c r="E584" s="66" t="s">
        <v>99</v>
      </c>
      <c r="F584" s="66" t="s">
        <v>769</v>
      </c>
      <c r="G584" s="71" t="s">
        <v>282</v>
      </c>
      <c r="H584" s="67" t="s">
        <v>18</v>
      </c>
      <c r="I584" s="67" t="s">
        <v>282</v>
      </c>
      <c r="J584" s="67" t="s">
        <v>282</v>
      </c>
      <c r="K584" s="67" t="s">
        <v>282</v>
      </c>
      <c r="L584" s="67" t="s">
        <v>282</v>
      </c>
      <c r="M584" s="67" t="s">
        <v>282</v>
      </c>
      <c r="N584" s="67" t="s">
        <v>282</v>
      </c>
      <c r="O584" s="68" t="s">
        <v>18</v>
      </c>
      <c r="P584" s="68" t="s">
        <v>18</v>
      </c>
      <c r="Q584" s="68" t="s">
        <v>15</v>
      </c>
      <c r="R584" s="68" t="s">
        <v>15</v>
      </c>
      <c r="S584" s="68" t="s">
        <v>16</v>
      </c>
      <c r="T584" s="68" t="s">
        <v>329</v>
      </c>
      <c r="U584" s="68" t="s">
        <v>249</v>
      </c>
      <c r="V584" s="68" t="s">
        <v>282</v>
      </c>
      <c r="W584" s="69" t="s">
        <v>282</v>
      </c>
      <c r="X584" s="69" t="s">
        <v>282</v>
      </c>
      <c r="Y584" s="70" t="s">
        <v>282</v>
      </c>
    </row>
    <row r="585" spans="1:25">
      <c r="A585" s="64">
        <v>11</v>
      </c>
      <c r="B585" s="65" t="str">
        <f>VLOOKUP(Tabel10[[#This Row],[Code]],Ruimtegroepen[[Code]:[Ruimte omschrijving]],2,FALSE)</f>
        <v>Garderobes</v>
      </c>
      <c r="C585" s="66" t="s">
        <v>767</v>
      </c>
      <c r="D585" s="65" t="s">
        <v>12</v>
      </c>
      <c r="E585" s="66" t="s">
        <v>1309</v>
      </c>
      <c r="F585" s="66" t="s">
        <v>1433</v>
      </c>
      <c r="G585" s="71" t="s">
        <v>282</v>
      </c>
      <c r="H585" s="67" t="s">
        <v>282</v>
      </c>
      <c r="I585" s="67" t="s">
        <v>17</v>
      </c>
      <c r="J585" s="67" t="s">
        <v>15</v>
      </c>
      <c r="K585" s="67" t="s">
        <v>283</v>
      </c>
      <c r="L585" s="67" t="s">
        <v>282</v>
      </c>
      <c r="M585" s="67" t="s">
        <v>282</v>
      </c>
      <c r="N585" s="67" t="s">
        <v>282</v>
      </c>
      <c r="O585" s="68" t="s">
        <v>18</v>
      </c>
      <c r="P585" s="68" t="s">
        <v>18</v>
      </c>
      <c r="Q585" s="68" t="s">
        <v>15</v>
      </c>
      <c r="R585" s="68" t="s">
        <v>15</v>
      </c>
      <c r="S585" s="68" t="s">
        <v>16</v>
      </c>
      <c r="T585" s="68" t="s">
        <v>329</v>
      </c>
      <c r="U585" s="68" t="s">
        <v>249</v>
      </c>
      <c r="V585" s="68" t="s">
        <v>282</v>
      </c>
      <c r="W585" s="69" t="s">
        <v>282</v>
      </c>
      <c r="X585" s="69" t="s">
        <v>282</v>
      </c>
      <c r="Y585" s="70" t="s">
        <v>282</v>
      </c>
    </row>
    <row r="586" spans="1:25">
      <c r="A586" s="64">
        <v>11</v>
      </c>
      <c r="B586" s="65" t="str">
        <f>VLOOKUP(Tabel10[[#This Row],[Code]],Ruimtegroepen[[Code]:[Ruimte omschrijving]],2,FALSE)</f>
        <v>Garderobes</v>
      </c>
      <c r="C586" s="66" t="s">
        <v>772</v>
      </c>
      <c r="D586" s="65" t="s">
        <v>14</v>
      </c>
      <c r="E586" s="66" t="s">
        <v>100</v>
      </c>
      <c r="F586" s="66" t="s">
        <v>773</v>
      </c>
      <c r="G586" s="71" t="s">
        <v>282</v>
      </c>
      <c r="H586" s="67" t="s">
        <v>282</v>
      </c>
      <c r="I586" s="67" t="s">
        <v>15</v>
      </c>
      <c r="J586" s="67" t="s">
        <v>15</v>
      </c>
      <c r="K586" s="67" t="s">
        <v>282</v>
      </c>
      <c r="L586" s="67" t="s">
        <v>282</v>
      </c>
      <c r="M586" s="67" t="s">
        <v>282</v>
      </c>
      <c r="N586" s="67" t="s">
        <v>282</v>
      </c>
      <c r="O586" s="68" t="s">
        <v>17</v>
      </c>
      <c r="P586" s="68" t="s">
        <v>17</v>
      </c>
      <c r="Q586" s="68" t="s">
        <v>15</v>
      </c>
      <c r="R586" s="68" t="s">
        <v>15</v>
      </c>
      <c r="S586" s="68" t="s">
        <v>16</v>
      </c>
      <c r="T586" s="68" t="s">
        <v>329</v>
      </c>
      <c r="U586" s="68" t="s">
        <v>249</v>
      </c>
      <c r="V586" s="68" t="s">
        <v>282</v>
      </c>
      <c r="W586" s="69" t="s">
        <v>282</v>
      </c>
      <c r="X586" s="69" t="s">
        <v>282</v>
      </c>
      <c r="Y586" s="70" t="s">
        <v>282</v>
      </c>
    </row>
    <row r="587" spans="1:25">
      <c r="A587" s="64">
        <v>11</v>
      </c>
      <c r="B587" s="65" t="str">
        <f>VLOOKUP(Tabel10[[#This Row],[Code]],Ruimtegroepen[[Code]:[Ruimte omschrijving]],2,FALSE)</f>
        <v>Garderobes</v>
      </c>
      <c r="C587" s="66" t="s">
        <v>772</v>
      </c>
      <c r="D587" s="65" t="s">
        <v>14</v>
      </c>
      <c r="E587" s="66" t="s">
        <v>99</v>
      </c>
      <c r="F587" s="66" t="s">
        <v>774</v>
      </c>
      <c r="G587" s="71" t="s">
        <v>282</v>
      </c>
      <c r="H587" s="67" t="s">
        <v>17</v>
      </c>
      <c r="I587" s="67" t="s">
        <v>282</v>
      </c>
      <c r="J587" s="67" t="s">
        <v>282</v>
      </c>
      <c r="K587" s="67" t="s">
        <v>282</v>
      </c>
      <c r="L587" s="67" t="s">
        <v>282</v>
      </c>
      <c r="M587" s="67" t="s">
        <v>282</v>
      </c>
      <c r="N587" s="67" t="s">
        <v>282</v>
      </c>
      <c r="O587" s="68" t="s">
        <v>17</v>
      </c>
      <c r="P587" s="68" t="s">
        <v>17</v>
      </c>
      <c r="Q587" s="68" t="s">
        <v>15</v>
      </c>
      <c r="R587" s="68" t="s">
        <v>15</v>
      </c>
      <c r="S587" s="68" t="s">
        <v>16</v>
      </c>
      <c r="T587" s="68" t="s">
        <v>329</v>
      </c>
      <c r="U587" s="68" t="s">
        <v>249</v>
      </c>
      <c r="V587" s="68" t="s">
        <v>282</v>
      </c>
      <c r="W587" s="69" t="s">
        <v>282</v>
      </c>
      <c r="X587" s="69" t="s">
        <v>282</v>
      </c>
      <c r="Y587" s="70" t="s">
        <v>282</v>
      </c>
    </row>
    <row r="588" spans="1:25">
      <c r="A588" s="64">
        <v>11</v>
      </c>
      <c r="B588" s="65" t="str">
        <f>VLOOKUP(Tabel10[[#This Row],[Code]],Ruimtegroepen[[Code]:[Ruimte omschrijving]],2,FALSE)</f>
        <v>Garderobes</v>
      </c>
      <c r="C588" s="66" t="s">
        <v>772</v>
      </c>
      <c r="D588" s="65" t="s">
        <v>14</v>
      </c>
      <c r="E588" s="66" t="s">
        <v>101</v>
      </c>
      <c r="F588" s="66" t="s">
        <v>775</v>
      </c>
      <c r="G588" s="71" t="s">
        <v>282</v>
      </c>
      <c r="H588" s="67" t="s">
        <v>282</v>
      </c>
      <c r="I588" s="67" t="s">
        <v>15</v>
      </c>
      <c r="J588" s="67" t="s">
        <v>15</v>
      </c>
      <c r="K588" s="67" t="s">
        <v>283</v>
      </c>
      <c r="L588" s="67" t="s">
        <v>282</v>
      </c>
      <c r="M588" s="67" t="s">
        <v>282</v>
      </c>
      <c r="N588" s="67" t="s">
        <v>282</v>
      </c>
      <c r="O588" s="68" t="s">
        <v>17</v>
      </c>
      <c r="P588" s="68" t="s">
        <v>17</v>
      </c>
      <c r="Q588" s="68" t="s">
        <v>15</v>
      </c>
      <c r="R588" s="68" t="s">
        <v>15</v>
      </c>
      <c r="S588" s="68" t="s">
        <v>16</v>
      </c>
      <c r="T588" s="68" t="s">
        <v>329</v>
      </c>
      <c r="U588" s="68" t="s">
        <v>249</v>
      </c>
      <c r="V588" s="68" t="s">
        <v>282</v>
      </c>
      <c r="W588" s="69" t="s">
        <v>282</v>
      </c>
      <c r="X588" s="69" t="s">
        <v>282</v>
      </c>
      <c r="Y588" s="70" t="s">
        <v>282</v>
      </c>
    </row>
    <row r="589" spans="1:25">
      <c r="A589" s="64">
        <v>11</v>
      </c>
      <c r="B589" s="65" t="str">
        <f>VLOOKUP(Tabel10[[#This Row],[Code]],Ruimtegroepen[[Code]:[Ruimte omschrijving]],2,FALSE)</f>
        <v>Garderobes</v>
      </c>
      <c r="C589" s="66" t="s">
        <v>772</v>
      </c>
      <c r="D589" s="65" t="s">
        <v>14</v>
      </c>
      <c r="E589" s="66" t="s">
        <v>102</v>
      </c>
      <c r="F589" s="66" t="s">
        <v>776</v>
      </c>
      <c r="G589" s="71" t="s">
        <v>282</v>
      </c>
      <c r="H589" s="67" t="s">
        <v>282</v>
      </c>
      <c r="I589" s="67" t="s">
        <v>15</v>
      </c>
      <c r="J589" s="67" t="s">
        <v>15</v>
      </c>
      <c r="K589" s="67" t="s">
        <v>283</v>
      </c>
      <c r="L589" s="67" t="s">
        <v>282</v>
      </c>
      <c r="M589" s="67" t="s">
        <v>282</v>
      </c>
      <c r="N589" s="67" t="s">
        <v>282</v>
      </c>
      <c r="O589" s="68" t="s">
        <v>17</v>
      </c>
      <c r="P589" s="68" t="s">
        <v>17</v>
      </c>
      <c r="Q589" s="68" t="s">
        <v>15</v>
      </c>
      <c r="R589" s="68" t="s">
        <v>15</v>
      </c>
      <c r="S589" s="68" t="s">
        <v>16</v>
      </c>
      <c r="T589" s="68" t="s">
        <v>329</v>
      </c>
      <c r="U589" s="68" t="s">
        <v>249</v>
      </c>
      <c r="V589" s="68" t="s">
        <v>282</v>
      </c>
      <c r="W589" s="69" t="s">
        <v>282</v>
      </c>
      <c r="X589" s="69" t="s">
        <v>282</v>
      </c>
      <c r="Y589" s="70" t="s">
        <v>282</v>
      </c>
    </row>
    <row r="590" spans="1:25">
      <c r="A590" s="64">
        <v>11</v>
      </c>
      <c r="B590" s="65" t="str">
        <f>VLOOKUP(Tabel10[[#This Row],[Code]],Ruimtegroepen[[Code]:[Ruimte omschrijving]],2,FALSE)</f>
        <v>Garderobes</v>
      </c>
      <c r="C590" s="66" t="s">
        <v>772</v>
      </c>
      <c r="D590" s="65" t="s">
        <v>14</v>
      </c>
      <c r="E590" s="66" t="s">
        <v>99</v>
      </c>
      <c r="F590" s="66" t="s">
        <v>774</v>
      </c>
      <c r="G590" s="71" t="s">
        <v>282</v>
      </c>
      <c r="H590" s="67" t="s">
        <v>17</v>
      </c>
      <c r="I590" s="67" t="s">
        <v>282</v>
      </c>
      <c r="J590" s="67" t="s">
        <v>282</v>
      </c>
      <c r="K590" s="67" t="s">
        <v>282</v>
      </c>
      <c r="L590" s="67" t="s">
        <v>282</v>
      </c>
      <c r="M590" s="67" t="s">
        <v>282</v>
      </c>
      <c r="N590" s="67" t="s">
        <v>282</v>
      </c>
      <c r="O590" s="68" t="s">
        <v>17</v>
      </c>
      <c r="P590" s="68" t="s">
        <v>17</v>
      </c>
      <c r="Q590" s="68" t="s">
        <v>15</v>
      </c>
      <c r="R590" s="68" t="s">
        <v>15</v>
      </c>
      <c r="S590" s="68" t="s">
        <v>16</v>
      </c>
      <c r="T590" s="68" t="s">
        <v>329</v>
      </c>
      <c r="U590" s="68" t="s">
        <v>249</v>
      </c>
      <c r="V590" s="68" t="s">
        <v>282</v>
      </c>
      <c r="W590" s="69" t="s">
        <v>282</v>
      </c>
      <c r="X590" s="69" t="s">
        <v>282</v>
      </c>
      <c r="Y590" s="70" t="s">
        <v>282</v>
      </c>
    </row>
    <row r="591" spans="1:25">
      <c r="A591" s="64">
        <v>11</v>
      </c>
      <c r="B591" s="65" t="str">
        <f>VLOOKUP(Tabel10[[#This Row],[Code]],Ruimtegroepen[[Code]:[Ruimte omschrijving]],2,FALSE)</f>
        <v>Garderobes</v>
      </c>
      <c r="C591" s="66" t="s">
        <v>772</v>
      </c>
      <c r="D591" s="65" t="s">
        <v>14</v>
      </c>
      <c r="E591" s="66" t="s">
        <v>1309</v>
      </c>
      <c r="F591" s="66" t="s">
        <v>1400</v>
      </c>
      <c r="G591" s="71" t="s">
        <v>282</v>
      </c>
      <c r="H591" s="67" t="s">
        <v>282</v>
      </c>
      <c r="I591" s="67" t="s">
        <v>15</v>
      </c>
      <c r="J591" s="67" t="s">
        <v>15</v>
      </c>
      <c r="K591" s="67" t="s">
        <v>283</v>
      </c>
      <c r="L591" s="67" t="s">
        <v>282</v>
      </c>
      <c r="M591" s="67" t="s">
        <v>282</v>
      </c>
      <c r="N591" s="67" t="s">
        <v>282</v>
      </c>
      <c r="O591" s="68" t="s">
        <v>17</v>
      </c>
      <c r="P591" s="68" t="s">
        <v>17</v>
      </c>
      <c r="Q591" s="68" t="s">
        <v>15</v>
      </c>
      <c r="R591" s="68" t="s">
        <v>15</v>
      </c>
      <c r="S591" s="68" t="s">
        <v>16</v>
      </c>
      <c r="T591" s="68" t="s">
        <v>329</v>
      </c>
      <c r="U591" s="68" t="s">
        <v>249</v>
      </c>
      <c r="V591" s="68" t="s">
        <v>282</v>
      </c>
      <c r="W591" s="69" t="s">
        <v>282</v>
      </c>
      <c r="X591" s="69" t="s">
        <v>282</v>
      </c>
      <c r="Y591" s="70" t="s">
        <v>282</v>
      </c>
    </row>
    <row r="592" spans="1:25">
      <c r="A592" s="64">
        <v>11</v>
      </c>
      <c r="B592" s="65" t="str">
        <f>VLOOKUP(Tabel10[[#This Row],[Code]],Ruimtegroepen[[Code]:[Ruimte omschrijving]],2,FALSE)</f>
        <v>Garderobes</v>
      </c>
      <c r="C592" s="66" t="s">
        <v>777</v>
      </c>
      <c r="D592" s="65" t="s">
        <v>13</v>
      </c>
      <c r="E592" s="66" t="s">
        <v>100</v>
      </c>
      <c r="F592" s="66" t="s">
        <v>778</v>
      </c>
      <c r="G592" s="71" t="s">
        <v>282</v>
      </c>
      <c r="H592" s="67" t="s">
        <v>282</v>
      </c>
      <c r="I592" s="67" t="s">
        <v>282</v>
      </c>
      <c r="J592" s="67" t="s">
        <v>15</v>
      </c>
      <c r="K592" s="67" t="s">
        <v>282</v>
      </c>
      <c r="L592" s="67" t="s">
        <v>282</v>
      </c>
      <c r="M592" s="67" t="s">
        <v>282</v>
      </c>
      <c r="N592" s="67" t="s">
        <v>282</v>
      </c>
      <c r="O592" s="68" t="s">
        <v>15</v>
      </c>
      <c r="P592" s="68" t="s">
        <v>15</v>
      </c>
      <c r="Q592" s="68" t="s">
        <v>15</v>
      </c>
      <c r="R592" s="68" t="s">
        <v>15</v>
      </c>
      <c r="S592" s="68" t="s">
        <v>16</v>
      </c>
      <c r="T592" s="68" t="s">
        <v>329</v>
      </c>
      <c r="U592" s="68" t="s">
        <v>249</v>
      </c>
      <c r="V592" s="68" t="s">
        <v>282</v>
      </c>
      <c r="W592" s="69" t="s">
        <v>282</v>
      </c>
      <c r="X592" s="69" t="s">
        <v>282</v>
      </c>
      <c r="Y592" s="70" t="s">
        <v>282</v>
      </c>
    </row>
    <row r="593" spans="1:25">
      <c r="A593" s="64">
        <v>11</v>
      </c>
      <c r="B593" s="65" t="str">
        <f>VLOOKUP(Tabel10[[#This Row],[Code]],Ruimtegroepen[[Code]:[Ruimte omschrijving]],2,FALSE)</f>
        <v>Garderobes</v>
      </c>
      <c r="C593" s="66" t="s">
        <v>777</v>
      </c>
      <c r="D593" s="65" t="s">
        <v>13</v>
      </c>
      <c r="E593" s="66" t="s">
        <v>99</v>
      </c>
      <c r="F593" s="66" t="s">
        <v>779</v>
      </c>
      <c r="G593" s="71" t="s">
        <v>282</v>
      </c>
      <c r="H593" s="67" t="s">
        <v>15</v>
      </c>
      <c r="I593" s="67" t="s">
        <v>282</v>
      </c>
      <c r="J593" s="67" t="s">
        <v>282</v>
      </c>
      <c r="K593" s="67" t="s">
        <v>282</v>
      </c>
      <c r="L593" s="67" t="s">
        <v>282</v>
      </c>
      <c r="M593" s="67" t="s">
        <v>282</v>
      </c>
      <c r="N593" s="67" t="s">
        <v>282</v>
      </c>
      <c r="O593" s="68" t="s">
        <v>15</v>
      </c>
      <c r="P593" s="68" t="s">
        <v>15</v>
      </c>
      <c r="Q593" s="68" t="s">
        <v>15</v>
      </c>
      <c r="R593" s="68" t="s">
        <v>15</v>
      </c>
      <c r="S593" s="68" t="s">
        <v>16</v>
      </c>
      <c r="T593" s="68" t="s">
        <v>329</v>
      </c>
      <c r="U593" s="68" t="s">
        <v>249</v>
      </c>
      <c r="V593" s="68" t="s">
        <v>282</v>
      </c>
      <c r="W593" s="69" t="s">
        <v>282</v>
      </c>
      <c r="X593" s="69" t="s">
        <v>282</v>
      </c>
      <c r="Y593" s="70" t="s">
        <v>282</v>
      </c>
    </row>
    <row r="594" spans="1:25">
      <c r="A594" s="64">
        <v>11</v>
      </c>
      <c r="B594" s="65" t="str">
        <f>VLOOKUP(Tabel10[[#This Row],[Code]],Ruimtegroepen[[Code]:[Ruimte omschrijving]],2,FALSE)</f>
        <v>Garderobes</v>
      </c>
      <c r="C594" s="66" t="s">
        <v>777</v>
      </c>
      <c r="D594" s="65" t="s">
        <v>13</v>
      </c>
      <c r="E594" s="66" t="s">
        <v>101</v>
      </c>
      <c r="F594" s="66" t="s">
        <v>780</v>
      </c>
      <c r="G594" s="71" t="s">
        <v>282</v>
      </c>
      <c r="H594" s="67" t="s">
        <v>282</v>
      </c>
      <c r="I594" s="67" t="s">
        <v>282</v>
      </c>
      <c r="J594" s="67" t="s">
        <v>15</v>
      </c>
      <c r="K594" s="67" t="s">
        <v>283</v>
      </c>
      <c r="L594" s="67" t="s">
        <v>282</v>
      </c>
      <c r="M594" s="67" t="s">
        <v>282</v>
      </c>
      <c r="N594" s="67" t="s">
        <v>282</v>
      </c>
      <c r="O594" s="68" t="s">
        <v>15</v>
      </c>
      <c r="P594" s="68" t="s">
        <v>15</v>
      </c>
      <c r="Q594" s="68" t="s">
        <v>15</v>
      </c>
      <c r="R594" s="68" t="s">
        <v>15</v>
      </c>
      <c r="S594" s="68" t="s">
        <v>16</v>
      </c>
      <c r="T594" s="68" t="s">
        <v>329</v>
      </c>
      <c r="U594" s="68" t="s">
        <v>249</v>
      </c>
      <c r="V594" s="68" t="s">
        <v>282</v>
      </c>
      <c r="W594" s="69" t="s">
        <v>282</v>
      </c>
      <c r="X594" s="69" t="s">
        <v>282</v>
      </c>
      <c r="Y594" s="70" t="s">
        <v>282</v>
      </c>
    </row>
    <row r="595" spans="1:25">
      <c r="A595" s="64">
        <v>11</v>
      </c>
      <c r="B595" s="65" t="str">
        <f>VLOOKUP(Tabel10[[#This Row],[Code]],Ruimtegroepen[[Code]:[Ruimte omschrijving]],2,FALSE)</f>
        <v>Garderobes</v>
      </c>
      <c r="C595" s="66" t="s">
        <v>777</v>
      </c>
      <c r="D595" s="65" t="s">
        <v>13</v>
      </c>
      <c r="E595" s="66" t="s">
        <v>102</v>
      </c>
      <c r="F595" s="66" t="s">
        <v>781</v>
      </c>
      <c r="G595" s="71" t="s">
        <v>282</v>
      </c>
      <c r="H595" s="67" t="s">
        <v>282</v>
      </c>
      <c r="I595" s="67" t="s">
        <v>282</v>
      </c>
      <c r="J595" s="67" t="s">
        <v>15</v>
      </c>
      <c r="K595" s="67" t="s">
        <v>283</v>
      </c>
      <c r="L595" s="67" t="s">
        <v>282</v>
      </c>
      <c r="M595" s="67" t="s">
        <v>282</v>
      </c>
      <c r="N595" s="67" t="s">
        <v>282</v>
      </c>
      <c r="O595" s="68" t="s">
        <v>15</v>
      </c>
      <c r="P595" s="68" t="s">
        <v>15</v>
      </c>
      <c r="Q595" s="68" t="s">
        <v>15</v>
      </c>
      <c r="R595" s="68" t="s">
        <v>15</v>
      </c>
      <c r="S595" s="68" t="s">
        <v>16</v>
      </c>
      <c r="T595" s="68" t="s">
        <v>329</v>
      </c>
      <c r="U595" s="68" t="s">
        <v>249</v>
      </c>
      <c r="V595" s="68" t="s">
        <v>282</v>
      </c>
      <c r="W595" s="69" t="s">
        <v>282</v>
      </c>
      <c r="X595" s="69" t="s">
        <v>282</v>
      </c>
      <c r="Y595" s="70" t="s">
        <v>282</v>
      </c>
    </row>
    <row r="596" spans="1:25">
      <c r="A596" s="64">
        <v>11</v>
      </c>
      <c r="B596" s="65" t="str">
        <f>VLOOKUP(Tabel10[[#This Row],[Code]],Ruimtegroepen[[Code]:[Ruimte omschrijving]],2,FALSE)</f>
        <v>Garderobes</v>
      </c>
      <c r="C596" s="66" t="s">
        <v>777</v>
      </c>
      <c r="D596" s="65" t="s">
        <v>13</v>
      </c>
      <c r="E596" s="66" t="s">
        <v>99</v>
      </c>
      <c r="F596" s="66" t="s">
        <v>779</v>
      </c>
      <c r="G596" s="71" t="s">
        <v>282</v>
      </c>
      <c r="H596" s="67" t="s">
        <v>15</v>
      </c>
      <c r="I596" s="67" t="s">
        <v>282</v>
      </c>
      <c r="J596" s="67" t="s">
        <v>282</v>
      </c>
      <c r="K596" s="67" t="s">
        <v>282</v>
      </c>
      <c r="L596" s="67" t="s">
        <v>282</v>
      </c>
      <c r="M596" s="67" t="s">
        <v>282</v>
      </c>
      <c r="N596" s="67" t="s">
        <v>282</v>
      </c>
      <c r="O596" s="68" t="s">
        <v>15</v>
      </c>
      <c r="P596" s="68" t="s">
        <v>15</v>
      </c>
      <c r="Q596" s="68" t="s">
        <v>15</v>
      </c>
      <c r="R596" s="68" t="s">
        <v>15</v>
      </c>
      <c r="S596" s="68" t="s">
        <v>16</v>
      </c>
      <c r="T596" s="68" t="s">
        <v>329</v>
      </c>
      <c r="U596" s="68" t="s">
        <v>249</v>
      </c>
      <c r="V596" s="68" t="s">
        <v>282</v>
      </c>
      <c r="W596" s="69" t="s">
        <v>282</v>
      </c>
      <c r="X596" s="69" t="s">
        <v>282</v>
      </c>
      <c r="Y596" s="70" t="s">
        <v>282</v>
      </c>
    </row>
    <row r="597" spans="1:25">
      <c r="A597" s="64">
        <v>11</v>
      </c>
      <c r="B597" s="65" t="str">
        <f>VLOOKUP(Tabel10[[#This Row],[Code]],Ruimtegroepen[[Code]:[Ruimte omschrijving]],2,FALSE)</f>
        <v>Garderobes</v>
      </c>
      <c r="C597" s="66" t="s">
        <v>777</v>
      </c>
      <c r="D597" s="65" t="s">
        <v>13</v>
      </c>
      <c r="E597" s="66" t="s">
        <v>1309</v>
      </c>
      <c r="F597" s="66" t="s">
        <v>1367</v>
      </c>
      <c r="G597" s="71" t="s">
        <v>282</v>
      </c>
      <c r="H597" s="67" t="s">
        <v>282</v>
      </c>
      <c r="I597" s="67" t="s">
        <v>282</v>
      </c>
      <c r="J597" s="67" t="s">
        <v>15</v>
      </c>
      <c r="K597" s="67" t="s">
        <v>283</v>
      </c>
      <c r="L597" s="67" t="s">
        <v>282</v>
      </c>
      <c r="M597" s="67" t="s">
        <v>282</v>
      </c>
      <c r="N597" s="67" t="s">
        <v>282</v>
      </c>
      <c r="O597" s="68" t="s">
        <v>15</v>
      </c>
      <c r="P597" s="68" t="s">
        <v>15</v>
      </c>
      <c r="Q597" s="68" t="s">
        <v>15</v>
      </c>
      <c r="R597" s="68" t="s">
        <v>15</v>
      </c>
      <c r="S597" s="68" t="s">
        <v>16</v>
      </c>
      <c r="T597" s="68" t="s">
        <v>329</v>
      </c>
      <c r="U597" s="68" t="s">
        <v>249</v>
      </c>
      <c r="V597" s="68" t="s">
        <v>282</v>
      </c>
      <c r="W597" s="69" t="s">
        <v>282</v>
      </c>
      <c r="X597" s="69" t="s">
        <v>282</v>
      </c>
      <c r="Y597" s="70" t="s">
        <v>282</v>
      </c>
    </row>
    <row r="598" spans="1:25">
      <c r="A598" s="64">
        <v>11</v>
      </c>
      <c r="B598" s="65" t="str">
        <f>VLOOKUP(Tabel10[[#This Row],[Code]],Ruimtegroepen[[Code]:[Ruimte omschrijving]],2,FALSE)</f>
        <v>Garderobes</v>
      </c>
      <c r="C598" s="66" t="s">
        <v>782</v>
      </c>
      <c r="D598" s="65" t="s">
        <v>0</v>
      </c>
      <c r="E598" s="66" t="s">
        <v>100</v>
      </c>
      <c r="F598" s="66" t="s">
        <v>783</v>
      </c>
      <c r="G598" s="71" t="s">
        <v>282</v>
      </c>
      <c r="H598" s="67" t="s">
        <v>282</v>
      </c>
      <c r="I598" s="67" t="s">
        <v>282</v>
      </c>
      <c r="J598" s="67" t="s">
        <v>16</v>
      </c>
      <c r="K598" s="67" t="s">
        <v>282</v>
      </c>
      <c r="L598" s="67" t="s">
        <v>282</v>
      </c>
      <c r="M598" s="67" t="s">
        <v>282</v>
      </c>
      <c r="N598" s="67" t="s">
        <v>282</v>
      </c>
      <c r="O598" s="68" t="s">
        <v>16</v>
      </c>
      <c r="P598" s="68" t="s">
        <v>16</v>
      </c>
      <c r="Q598" s="68" t="s">
        <v>16</v>
      </c>
      <c r="R598" s="68" t="s">
        <v>16</v>
      </c>
      <c r="S598" s="68" t="s">
        <v>16</v>
      </c>
      <c r="T598" s="68" t="s">
        <v>329</v>
      </c>
      <c r="U598" s="68" t="s">
        <v>249</v>
      </c>
      <c r="V598" s="68" t="s">
        <v>282</v>
      </c>
      <c r="W598" s="69" t="s">
        <v>282</v>
      </c>
      <c r="X598" s="69" t="s">
        <v>282</v>
      </c>
      <c r="Y598" s="70" t="s">
        <v>282</v>
      </c>
    </row>
    <row r="599" spans="1:25">
      <c r="A599" s="64">
        <v>11</v>
      </c>
      <c r="B599" s="65" t="str">
        <f>VLOOKUP(Tabel10[[#This Row],[Code]],Ruimtegroepen[[Code]:[Ruimte omschrijving]],2,FALSE)</f>
        <v>Garderobes</v>
      </c>
      <c r="C599" s="66" t="s">
        <v>782</v>
      </c>
      <c r="D599" s="65" t="s">
        <v>0</v>
      </c>
      <c r="E599" s="66" t="s">
        <v>99</v>
      </c>
      <c r="F599" s="66" t="s">
        <v>784</v>
      </c>
      <c r="G599" s="71" t="s">
        <v>282</v>
      </c>
      <c r="H599" s="67" t="s">
        <v>16</v>
      </c>
      <c r="I599" s="67" t="s">
        <v>282</v>
      </c>
      <c r="J599" s="67" t="s">
        <v>282</v>
      </c>
      <c r="K599" s="67" t="s">
        <v>282</v>
      </c>
      <c r="L599" s="67" t="s">
        <v>282</v>
      </c>
      <c r="M599" s="67" t="s">
        <v>282</v>
      </c>
      <c r="N599" s="67" t="s">
        <v>282</v>
      </c>
      <c r="O599" s="68" t="s">
        <v>16</v>
      </c>
      <c r="P599" s="68" t="s">
        <v>16</v>
      </c>
      <c r="Q599" s="68" t="s">
        <v>16</v>
      </c>
      <c r="R599" s="68" t="s">
        <v>16</v>
      </c>
      <c r="S599" s="68" t="s">
        <v>16</v>
      </c>
      <c r="T599" s="68" t="s">
        <v>329</v>
      </c>
      <c r="U599" s="68" t="s">
        <v>249</v>
      </c>
      <c r="V599" s="68" t="s">
        <v>282</v>
      </c>
      <c r="W599" s="69" t="s">
        <v>282</v>
      </c>
      <c r="X599" s="69" t="s">
        <v>282</v>
      </c>
      <c r="Y599" s="70" t="s">
        <v>282</v>
      </c>
    </row>
    <row r="600" spans="1:25">
      <c r="A600" s="64">
        <v>11</v>
      </c>
      <c r="B600" s="65" t="str">
        <f>VLOOKUP(Tabel10[[#This Row],[Code]],Ruimtegroepen[[Code]:[Ruimte omschrijving]],2,FALSE)</f>
        <v>Garderobes</v>
      </c>
      <c r="C600" s="66" t="s">
        <v>782</v>
      </c>
      <c r="D600" s="65" t="s">
        <v>0</v>
      </c>
      <c r="E600" s="66" t="s">
        <v>101</v>
      </c>
      <c r="F600" s="66" t="s">
        <v>785</v>
      </c>
      <c r="G600" s="71" t="s">
        <v>282</v>
      </c>
      <c r="H600" s="67" t="s">
        <v>282</v>
      </c>
      <c r="I600" s="67" t="s">
        <v>282</v>
      </c>
      <c r="J600" s="67" t="s">
        <v>16</v>
      </c>
      <c r="K600" s="67" t="s">
        <v>283</v>
      </c>
      <c r="L600" s="67" t="s">
        <v>282</v>
      </c>
      <c r="M600" s="67" t="s">
        <v>282</v>
      </c>
      <c r="N600" s="67" t="s">
        <v>282</v>
      </c>
      <c r="O600" s="68" t="s">
        <v>16</v>
      </c>
      <c r="P600" s="68" t="s">
        <v>16</v>
      </c>
      <c r="Q600" s="68" t="s">
        <v>16</v>
      </c>
      <c r="R600" s="68" t="s">
        <v>16</v>
      </c>
      <c r="S600" s="68" t="s">
        <v>16</v>
      </c>
      <c r="T600" s="68" t="s">
        <v>329</v>
      </c>
      <c r="U600" s="68" t="s">
        <v>249</v>
      </c>
      <c r="V600" s="68" t="s">
        <v>282</v>
      </c>
      <c r="W600" s="69" t="s">
        <v>282</v>
      </c>
      <c r="X600" s="69" t="s">
        <v>282</v>
      </c>
      <c r="Y600" s="70" t="s">
        <v>282</v>
      </c>
    </row>
    <row r="601" spans="1:25">
      <c r="A601" s="64">
        <v>11</v>
      </c>
      <c r="B601" s="65" t="str">
        <f>VLOOKUP(Tabel10[[#This Row],[Code]],Ruimtegroepen[[Code]:[Ruimte omschrijving]],2,FALSE)</f>
        <v>Garderobes</v>
      </c>
      <c r="C601" s="66" t="s">
        <v>782</v>
      </c>
      <c r="D601" s="65" t="s">
        <v>0</v>
      </c>
      <c r="E601" s="66" t="s">
        <v>102</v>
      </c>
      <c r="F601" s="66" t="s">
        <v>786</v>
      </c>
      <c r="G601" s="71" t="s">
        <v>282</v>
      </c>
      <c r="H601" s="67" t="s">
        <v>282</v>
      </c>
      <c r="I601" s="67" t="s">
        <v>282</v>
      </c>
      <c r="J601" s="67" t="s">
        <v>16</v>
      </c>
      <c r="K601" s="67" t="s">
        <v>283</v>
      </c>
      <c r="L601" s="67" t="s">
        <v>282</v>
      </c>
      <c r="M601" s="67" t="s">
        <v>282</v>
      </c>
      <c r="N601" s="67" t="s">
        <v>282</v>
      </c>
      <c r="O601" s="68" t="s">
        <v>16</v>
      </c>
      <c r="P601" s="68" t="s">
        <v>16</v>
      </c>
      <c r="Q601" s="68" t="s">
        <v>16</v>
      </c>
      <c r="R601" s="68" t="s">
        <v>16</v>
      </c>
      <c r="S601" s="68" t="s">
        <v>16</v>
      </c>
      <c r="T601" s="68" t="s">
        <v>329</v>
      </c>
      <c r="U601" s="68" t="s">
        <v>249</v>
      </c>
      <c r="V601" s="68" t="s">
        <v>282</v>
      </c>
      <c r="W601" s="69" t="s">
        <v>282</v>
      </c>
      <c r="X601" s="69" t="s">
        <v>282</v>
      </c>
      <c r="Y601" s="70" t="s">
        <v>282</v>
      </c>
    </row>
    <row r="602" spans="1:25">
      <c r="A602" s="64">
        <v>11</v>
      </c>
      <c r="B602" s="65" t="str">
        <f>VLOOKUP(Tabel10[[#This Row],[Code]],Ruimtegroepen[[Code]:[Ruimte omschrijving]],2,FALSE)</f>
        <v>Garderobes</v>
      </c>
      <c r="C602" s="66" t="s">
        <v>782</v>
      </c>
      <c r="D602" s="65" t="s">
        <v>0</v>
      </c>
      <c r="E602" s="66" t="s">
        <v>99</v>
      </c>
      <c r="F602" s="66" t="s">
        <v>784</v>
      </c>
      <c r="G602" s="71" t="s">
        <v>282</v>
      </c>
      <c r="H602" s="67" t="s">
        <v>16</v>
      </c>
      <c r="I602" s="67" t="s">
        <v>282</v>
      </c>
      <c r="J602" s="67" t="s">
        <v>282</v>
      </c>
      <c r="K602" s="67" t="s">
        <v>282</v>
      </c>
      <c r="L602" s="67" t="s">
        <v>282</v>
      </c>
      <c r="M602" s="67" t="s">
        <v>282</v>
      </c>
      <c r="N602" s="67" t="s">
        <v>282</v>
      </c>
      <c r="O602" s="68" t="s">
        <v>16</v>
      </c>
      <c r="P602" s="68" t="s">
        <v>16</v>
      </c>
      <c r="Q602" s="68" t="s">
        <v>16</v>
      </c>
      <c r="R602" s="68" t="s">
        <v>16</v>
      </c>
      <c r="S602" s="68" t="s">
        <v>16</v>
      </c>
      <c r="T602" s="68" t="s">
        <v>329</v>
      </c>
      <c r="U602" s="68" t="s">
        <v>249</v>
      </c>
      <c r="V602" s="68" t="s">
        <v>282</v>
      </c>
      <c r="W602" s="69" t="s">
        <v>282</v>
      </c>
      <c r="X602" s="69" t="s">
        <v>282</v>
      </c>
      <c r="Y602" s="70" t="s">
        <v>282</v>
      </c>
    </row>
    <row r="603" spans="1:25">
      <c r="A603" s="64">
        <v>11</v>
      </c>
      <c r="B603" s="65" t="str">
        <f>VLOOKUP(Tabel10[[#This Row],[Code]],Ruimtegroepen[[Code]:[Ruimte omschrijving]],2,FALSE)</f>
        <v>Garderobes</v>
      </c>
      <c r="C603" s="66" t="s">
        <v>782</v>
      </c>
      <c r="D603" s="65" t="s">
        <v>0</v>
      </c>
      <c r="E603" s="66" t="s">
        <v>1309</v>
      </c>
      <c r="F603" s="66" t="s">
        <v>1351</v>
      </c>
      <c r="G603" s="71" t="s">
        <v>282</v>
      </c>
      <c r="H603" s="67" t="s">
        <v>282</v>
      </c>
      <c r="I603" s="67" t="s">
        <v>282</v>
      </c>
      <c r="J603" s="67" t="s">
        <v>16</v>
      </c>
      <c r="K603" s="67" t="s">
        <v>283</v>
      </c>
      <c r="L603" s="67" t="s">
        <v>282</v>
      </c>
      <c r="M603" s="67" t="s">
        <v>282</v>
      </c>
      <c r="N603" s="67" t="s">
        <v>282</v>
      </c>
      <c r="O603" s="68" t="s">
        <v>16</v>
      </c>
      <c r="P603" s="68" t="s">
        <v>16</v>
      </c>
      <c r="Q603" s="68" t="s">
        <v>16</v>
      </c>
      <c r="R603" s="68" t="s">
        <v>16</v>
      </c>
      <c r="S603" s="68" t="s">
        <v>16</v>
      </c>
      <c r="T603" s="68" t="s">
        <v>329</v>
      </c>
      <c r="U603" s="68" t="s">
        <v>249</v>
      </c>
      <c r="V603" s="68" t="s">
        <v>282</v>
      </c>
      <c r="W603" s="69" t="s">
        <v>282</v>
      </c>
      <c r="X603" s="69" t="s">
        <v>282</v>
      </c>
      <c r="Y603" s="70" t="s">
        <v>282</v>
      </c>
    </row>
    <row r="604" spans="1:25">
      <c r="A604" s="64">
        <v>11</v>
      </c>
      <c r="B604" s="65" t="str">
        <f>VLOOKUP(Tabel10[[#This Row],[Code]],Ruimtegroepen[[Code]:[Ruimte omschrijving]],2,FALSE)</f>
        <v>Garderobes</v>
      </c>
      <c r="C604" s="66" t="s">
        <v>787</v>
      </c>
      <c r="D604" s="65" t="s">
        <v>27</v>
      </c>
      <c r="E604" s="66" t="s">
        <v>100</v>
      </c>
      <c r="F604" s="66" t="s">
        <v>788</v>
      </c>
      <c r="G604" s="71" t="s">
        <v>282</v>
      </c>
      <c r="H604" s="67" t="s">
        <v>282</v>
      </c>
      <c r="I604" s="67" t="s">
        <v>15</v>
      </c>
      <c r="J604" s="67" t="s">
        <v>282</v>
      </c>
      <c r="K604" s="67" t="s">
        <v>282</v>
      </c>
      <c r="L604" s="67" t="s">
        <v>282</v>
      </c>
      <c r="M604" s="67" t="s">
        <v>282</v>
      </c>
      <c r="N604" s="67" t="s">
        <v>282</v>
      </c>
      <c r="O604" s="68" t="s">
        <v>15</v>
      </c>
      <c r="P604" s="68" t="s">
        <v>15</v>
      </c>
      <c r="Q604" s="68" t="s">
        <v>15</v>
      </c>
      <c r="R604" s="68" t="s">
        <v>282</v>
      </c>
      <c r="S604" s="68" t="s">
        <v>282</v>
      </c>
      <c r="T604" s="68" t="s">
        <v>282</v>
      </c>
      <c r="U604" s="68" t="s">
        <v>282</v>
      </c>
      <c r="V604" s="68" t="s">
        <v>282</v>
      </c>
      <c r="W604" s="69" t="s">
        <v>282</v>
      </c>
      <c r="X604" s="69" t="s">
        <v>282</v>
      </c>
      <c r="Y604" s="70" t="s">
        <v>282</v>
      </c>
    </row>
    <row r="605" spans="1:25">
      <c r="A605" s="64">
        <v>11</v>
      </c>
      <c r="B605" s="65" t="str">
        <f>VLOOKUP(Tabel10[[#This Row],[Code]],Ruimtegroepen[[Code]:[Ruimte omschrijving]],2,FALSE)</f>
        <v>Garderobes</v>
      </c>
      <c r="C605" s="66" t="s">
        <v>787</v>
      </c>
      <c r="D605" s="65" t="s">
        <v>27</v>
      </c>
      <c r="E605" s="66" t="s">
        <v>99</v>
      </c>
      <c r="F605" s="66" t="s">
        <v>789</v>
      </c>
      <c r="G605" s="71" t="s">
        <v>282</v>
      </c>
      <c r="H605" s="67" t="s">
        <v>15</v>
      </c>
      <c r="I605" s="67" t="s">
        <v>282</v>
      </c>
      <c r="J605" s="67" t="s">
        <v>282</v>
      </c>
      <c r="K605" s="67" t="s">
        <v>282</v>
      </c>
      <c r="L605" s="67" t="s">
        <v>282</v>
      </c>
      <c r="M605" s="67" t="s">
        <v>282</v>
      </c>
      <c r="N605" s="67" t="s">
        <v>282</v>
      </c>
      <c r="O605" s="68" t="s">
        <v>15</v>
      </c>
      <c r="P605" s="68" t="s">
        <v>15</v>
      </c>
      <c r="Q605" s="68" t="s">
        <v>15</v>
      </c>
      <c r="R605" s="68" t="s">
        <v>282</v>
      </c>
      <c r="S605" s="68" t="s">
        <v>282</v>
      </c>
      <c r="T605" s="68" t="s">
        <v>282</v>
      </c>
      <c r="U605" s="68" t="s">
        <v>282</v>
      </c>
      <c r="V605" s="68" t="s">
        <v>282</v>
      </c>
      <c r="W605" s="69" t="s">
        <v>282</v>
      </c>
      <c r="X605" s="69" t="s">
        <v>282</v>
      </c>
      <c r="Y605" s="70" t="s">
        <v>282</v>
      </c>
    </row>
    <row r="606" spans="1:25">
      <c r="A606" s="64">
        <v>11</v>
      </c>
      <c r="B606" s="65" t="str">
        <f>VLOOKUP(Tabel10[[#This Row],[Code]],Ruimtegroepen[[Code]:[Ruimte omschrijving]],2,FALSE)</f>
        <v>Garderobes</v>
      </c>
      <c r="C606" s="66" t="s">
        <v>787</v>
      </c>
      <c r="D606" s="65" t="s">
        <v>27</v>
      </c>
      <c r="E606" s="66" t="s">
        <v>101</v>
      </c>
      <c r="F606" s="66" t="s">
        <v>790</v>
      </c>
      <c r="G606" s="71" t="s">
        <v>282</v>
      </c>
      <c r="H606" s="67" t="s">
        <v>282</v>
      </c>
      <c r="I606" s="67" t="s">
        <v>15</v>
      </c>
      <c r="J606" s="67" t="s">
        <v>282</v>
      </c>
      <c r="K606" s="67" t="s">
        <v>282</v>
      </c>
      <c r="L606" s="67" t="s">
        <v>282</v>
      </c>
      <c r="M606" s="67" t="s">
        <v>282</v>
      </c>
      <c r="N606" s="67" t="s">
        <v>282</v>
      </c>
      <c r="O606" s="68" t="s">
        <v>15</v>
      </c>
      <c r="P606" s="68" t="s">
        <v>15</v>
      </c>
      <c r="Q606" s="68" t="s">
        <v>15</v>
      </c>
      <c r="R606" s="68" t="s">
        <v>282</v>
      </c>
      <c r="S606" s="68" t="s">
        <v>282</v>
      </c>
      <c r="T606" s="68" t="s">
        <v>282</v>
      </c>
      <c r="U606" s="68" t="s">
        <v>282</v>
      </c>
      <c r="V606" s="68" t="s">
        <v>282</v>
      </c>
      <c r="W606" s="69" t="s">
        <v>282</v>
      </c>
      <c r="X606" s="69" t="s">
        <v>282</v>
      </c>
      <c r="Y606" s="70" t="s">
        <v>282</v>
      </c>
    </row>
    <row r="607" spans="1:25">
      <c r="A607" s="64">
        <v>11</v>
      </c>
      <c r="B607" s="65" t="str">
        <f>VLOOKUP(Tabel10[[#This Row],[Code]],Ruimtegroepen[[Code]:[Ruimte omschrijving]],2,FALSE)</f>
        <v>Garderobes</v>
      </c>
      <c r="C607" s="66" t="s">
        <v>787</v>
      </c>
      <c r="D607" s="65" t="s">
        <v>27</v>
      </c>
      <c r="E607" s="66" t="s">
        <v>102</v>
      </c>
      <c r="F607" s="66" t="s">
        <v>791</v>
      </c>
      <c r="G607" s="71" t="s">
        <v>282</v>
      </c>
      <c r="H607" s="67" t="s">
        <v>282</v>
      </c>
      <c r="I607" s="67" t="s">
        <v>15</v>
      </c>
      <c r="J607" s="67" t="s">
        <v>282</v>
      </c>
      <c r="K607" s="67" t="s">
        <v>282</v>
      </c>
      <c r="L607" s="67" t="s">
        <v>282</v>
      </c>
      <c r="M607" s="67" t="s">
        <v>282</v>
      </c>
      <c r="N607" s="67" t="s">
        <v>282</v>
      </c>
      <c r="O607" s="68" t="s">
        <v>15</v>
      </c>
      <c r="P607" s="68" t="s">
        <v>15</v>
      </c>
      <c r="Q607" s="68" t="s">
        <v>15</v>
      </c>
      <c r="R607" s="68" t="s">
        <v>282</v>
      </c>
      <c r="S607" s="68" t="s">
        <v>282</v>
      </c>
      <c r="T607" s="68" t="s">
        <v>282</v>
      </c>
      <c r="U607" s="68" t="s">
        <v>282</v>
      </c>
      <c r="V607" s="68" t="s">
        <v>282</v>
      </c>
      <c r="W607" s="69" t="s">
        <v>282</v>
      </c>
      <c r="X607" s="69" t="s">
        <v>282</v>
      </c>
      <c r="Y607" s="70" t="s">
        <v>282</v>
      </c>
    </row>
    <row r="608" spans="1:25">
      <c r="A608" s="64">
        <v>11</v>
      </c>
      <c r="B608" s="65" t="str">
        <f>VLOOKUP(Tabel10[[#This Row],[Code]],Ruimtegroepen[[Code]:[Ruimte omschrijving]],2,FALSE)</f>
        <v>Garderobes</v>
      </c>
      <c r="C608" s="66" t="s">
        <v>787</v>
      </c>
      <c r="D608" s="65" t="s">
        <v>27</v>
      </c>
      <c r="E608" s="66" t="s">
        <v>99</v>
      </c>
      <c r="F608" s="66" t="s">
        <v>789</v>
      </c>
      <c r="G608" s="71" t="s">
        <v>282</v>
      </c>
      <c r="H608" s="67" t="s">
        <v>15</v>
      </c>
      <c r="I608" s="67" t="s">
        <v>282</v>
      </c>
      <c r="J608" s="67" t="s">
        <v>282</v>
      </c>
      <c r="K608" s="67" t="s">
        <v>282</v>
      </c>
      <c r="L608" s="67" t="s">
        <v>282</v>
      </c>
      <c r="M608" s="67" t="s">
        <v>282</v>
      </c>
      <c r="N608" s="67" t="s">
        <v>282</v>
      </c>
      <c r="O608" s="68" t="s">
        <v>15</v>
      </c>
      <c r="P608" s="68" t="s">
        <v>15</v>
      </c>
      <c r="Q608" s="68" t="s">
        <v>15</v>
      </c>
      <c r="R608" s="68" t="s">
        <v>282</v>
      </c>
      <c r="S608" s="68" t="s">
        <v>282</v>
      </c>
      <c r="T608" s="68" t="s">
        <v>282</v>
      </c>
      <c r="U608" s="68" t="s">
        <v>282</v>
      </c>
      <c r="V608" s="68" t="s">
        <v>282</v>
      </c>
      <c r="W608" s="69" t="s">
        <v>282</v>
      </c>
      <c r="X608" s="69" t="s">
        <v>282</v>
      </c>
      <c r="Y608" s="70" t="s">
        <v>282</v>
      </c>
    </row>
    <row r="609" spans="1:25">
      <c r="A609" s="64">
        <v>11</v>
      </c>
      <c r="B609" s="65" t="str">
        <f>VLOOKUP(Tabel10[[#This Row],[Code]],Ruimtegroepen[[Code]:[Ruimte omschrijving]],2,FALSE)</f>
        <v>Garderobes</v>
      </c>
      <c r="C609" s="66" t="s">
        <v>787</v>
      </c>
      <c r="D609" s="65" t="s">
        <v>27</v>
      </c>
      <c r="E609" s="66" t="s">
        <v>1309</v>
      </c>
      <c r="F609" s="66" t="s">
        <v>1384</v>
      </c>
      <c r="G609" s="71" t="s">
        <v>282</v>
      </c>
      <c r="H609" s="67" t="s">
        <v>282</v>
      </c>
      <c r="I609" s="67" t="s">
        <v>15</v>
      </c>
      <c r="J609" s="67" t="s">
        <v>282</v>
      </c>
      <c r="K609" s="67" t="s">
        <v>282</v>
      </c>
      <c r="L609" s="67" t="s">
        <v>282</v>
      </c>
      <c r="M609" s="67" t="s">
        <v>282</v>
      </c>
      <c r="N609" s="67" t="s">
        <v>282</v>
      </c>
      <c r="O609" s="68" t="s">
        <v>15</v>
      </c>
      <c r="P609" s="68" t="s">
        <v>15</v>
      </c>
      <c r="Q609" s="68" t="s">
        <v>15</v>
      </c>
      <c r="R609" s="68" t="s">
        <v>282</v>
      </c>
      <c r="S609" s="68" t="s">
        <v>282</v>
      </c>
      <c r="T609" s="68" t="s">
        <v>282</v>
      </c>
      <c r="U609" s="68" t="s">
        <v>282</v>
      </c>
      <c r="V609" s="68" t="s">
        <v>282</v>
      </c>
      <c r="W609" s="69" t="s">
        <v>282</v>
      </c>
      <c r="X609" s="69" t="s">
        <v>282</v>
      </c>
      <c r="Y609" s="70" t="s">
        <v>282</v>
      </c>
    </row>
    <row r="610" spans="1:25">
      <c r="A610" s="64">
        <v>11</v>
      </c>
      <c r="B610" s="65" t="str">
        <f>VLOOKUP(Tabel10[[#This Row],[Code]],Ruimtegroepen[[Code]:[Ruimte omschrijving]],2,FALSE)</f>
        <v>Garderobes</v>
      </c>
      <c r="C610" s="66" t="s">
        <v>792</v>
      </c>
      <c r="D610" s="65" t="s">
        <v>28</v>
      </c>
      <c r="E610" s="66" t="s">
        <v>100</v>
      </c>
      <c r="F610" s="66" t="s">
        <v>793</v>
      </c>
      <c r="G610" s="71" t="s">
        <v>282</v>
      </c>
      <c r="H610" s="67" t="s">
        <v>282</v>
      </c>
      <c r="I610" s="67" t="s">
        <v>17</v>
      </c>
      <c r="J610" s="67" t="s">
        <v>282</v>
      </c>
      <c r="K610" s="67" t="s">
        <v>282</v>
      </c>
      <c r="L610" s="67" t="s">
        <v>282</v>
      </c>
      <c r="M610" s="67" t="s">
        <v>282</v>
      </c>
      <c r="N610" s="67" t="s">
        <v>282</v>
      </c>
      <c r="O610" s="68" t="s">
        <v>17</v>
      </c>
      <c r="P610" s="68" t="s">
        <v>17</v>
      </c>
      <c r="Q610" s="68" t="s">
        <v>15</v>
      </c>
      <c r="R610" s="68" t="s">
        <v>282</v>
      </c>
      <c r="S610" s="68" t="s">
        <v>282</v>
      </c>
      <c r="T610" s="68" t="s">
        <v>282</v>
      </c>
      <c r="U610" s="68" t="s">
        <v>282</v>
      </c>
      <c r="V610" s="68" t="s">
        <v>282</v>
      </c>
      <c r="W610" s="69" t="s">
        <v>282</v>
      </c>
      <c r="X610" s="69" t="s">
        <v>282</v>
      </c>
      <c r="Y610" s="70" t="s">
        <v>282</v>
      </c>
    </row>
    <row r="611" spans="1:25">
      <c r="A611" s="64">
        <v>11</v>
      </c>
      <c r="B611" s="65" t="str">
        <f>VLOOKUP(Tabel10[[#This Row],[Code]],Ruimtegroepen[[Code]:[Ruimte omschrijving]],2,FALSE)</f>
        <v>Garderobes</v>
      </c>
      <c r="C611" s="66" t="s">
        <v>792</v>
      </c>
      <c r="D611" s="65" t="s">
        <v>28</v>
      </c>
      <c r="E611" s="66" t="s">
        <v>99</v>
      </c>
      <c r="F611" s="66" t="s">
        <v>794</v>
      </c>
      <c r="G611" s="71" t="s">
        <v>282</v>
      </c>
      <c r="H611" s="67" t="s">
        <v>17</v>
      </c>
      <c r="I611" s="67" t="s">
        <v>282</v>
      </c>
      <c r="J611" s="67" t="s">
        <v>282</v>
      </c>
      <c r="K611" s="67" t="s">
        <v>282</v>
      </c>
      <c r="L611" s="67" t="s">
        <v>282</v>
      </c>
      <c r="M611" s="67" t="s">
        <v>282</v>
      </c>
      <c r="N611" s="67" t="s">
        <v>282</v>
      </c>
      <c r="O611" s="68" t="s">
        <v>17</v>
      </c>
      <c r="P611" s="68" t="s">
        <v>17</v>
      </c>
      <c r="Q611" s="68" t="s">
        <v>15</v>
      </c>
      <c r="R611" s="68" t="s">
        <v>282</v>
      </c>
      <c r="S611" s="68" t="s">
        <v>282</v>
      </c>
      <c r="T611" s="68" t="s">
        <v>282</v>
      </c>
      <c r="U611" s="68" t="s">
        <v>282</v>
      </c>
      <c r="V611" s="68" t="s">
        <v>282</v>
      </c>
      <c r="W611" s="69" t="s">
        <v>282</v>
      </c>
      <c r="X611" s="69" t="s">
        <v>282</v>
      </c>
      <c r="Y611" s="70" t="s">
        <v>282</v>
      </c>
    </row>
    <row r="612" spans="1:25">
      <c r="A612" s="64">
        <v>11</v>
      </c>
      <c r="B612" s="65" t="str">
        <f>VLOOKUP(Tabel10[[#This Row],[Code]],Ruimtegroepen[[Code]:[Ruimte omschrijving]],2,FALSE)</f>
        <v>Garderobes</v>
      </c>
      <c r="C612" s="66" t="s">
        <v>792</v>
      </c>
      <c r="D612" s="65" t="s">
        <v>28</v>
      </c>
      <c r="E612" s="66" t="s">
        <v>101</v>
      </c>
      <c r="F612" s="66" t="s">
        <v>795</v>
      </c>
      <c r="G612" s="71" t="s">
        <v>282</v>
      </c>
      <c r="H612" s="67" t="s">
        <v>282</v>
      </c>
      <c r="I612" s="67" t="s">
        <v>17</v>
      </c>
      <c r="J612" s="67" t="s">
        <v>282</v>
      </c>
      <c r="K612" s="67" t="s">
        <v>282</v>
      </c>
      <c r="L612" s="67" t="s">
        <v>282</v>
      </c>
      <c r="M612" s="67" t="s">
        <v>282</v>
      </c>
      <c r="N612" s="67" t="s">
        <v>282</v>
      </c>
      <c r="O612" s="68" t="s">
        <v>17</v>
      </c>
      <c r="P612" s="68" t="s">
        <v>17</v>
      </c>
      <c r="Q612" s="68" t="s">
        <v>15</v>
      </c>
      <c r="R612" s="68" t="s">
        <v>282</v>
      </c>
      <c r="S612" s="68" t="s">
        <v>282</v>
      </c>
      <c r="T612" s="68" t="s">
        <v>282</v>
      </c>
      <c r="U612" s="68" t="s">
        <v>282</v>
      </c>
      <c r="V612" s="68" t="s">
        <v>282</v>
      </c>
      <c r="W612" s="69" t="s">
        <v>282</v>
      </c>
      <c r="X612" s="69" t="s">
        <v>282</v>
      </c>
      <c r="Y612" s="70" t="s">
        <v>282</v>
      </c>
    </row>
    <row r="613" spans="1:25">
      <c r="A613" s="64">
        <v>11</v>
      </c>
      <c r="B613" s="65" t="str">
        <f>VLOOKUP(Tabel10[[#This Row],[Code]],Ruimtegroepen[[Code]:[Ruimte omschrijving]],2,FALSE)</f>
        <v>Garderobes</v>
      </c>
      <c r="C613" s="66" t="s">
        <v>792</v>
      </c>
      <c r="D613" s="65" t="s">
        <v>28</v>
      </c>
      <c r="E613" s="66" t="s">
        <v>102</v>
      </c>
      <c r="F613" s="66" t="s">
        <v>796</v>
      </c>
      <c r="G613" s="71" t="s">
        <v>282</v>
      </c>
      <c r="H613" s="67" t="s">
        <v>282</v>
      </c>
      <c r="I613" s="67" t="s">
        <v>17</v>
      </c>
      <c r="J613" s="67" t="s">
        <v>282</v>
      </c>
      <c r="K613" s="67" t="s">
        <v>282</v>
      </c>
      <c r="L613" s="67" t="s">
        <v>282</v>
      </c>
      <c r="M613" s="67" t="s">
        <v>282</v>
      </c>
      <c r="N613" s="67" t="s">
        <v>282</v>
      </c>
      <c r="O613" s="68" t="s">
        <v>17</v>
      </c>
      <c r="P613" s="68" t="s">
        <v>17</v>
      </c>
      <c r="Q613" s="68" t="s">
        <v>15</v>
      </c>
      <c r="R613" s="68" t="s">
        <v>282</v>
      </c>
      <c r="S613" s="68" t="s">
        <v>282</v>
      </c>
      <c r="T613" s="68" t="s">
        <v>282</v>
      </c>
      <c r="U613" s="68" t="s">
        <v>282</v>
      </c>
      <c r="V613" s="68" t="s">
        <v>282</v>
      </c>
      <c r="W613" s="69" t="s">
        <v>282</v>
      </c>
      <c r="X613" s="69" t="s">
        <v>282</v>
      </c>
      <c r="Y613" s="70" t="s">
        <v>282</v>
      </c>
    </row>
    <row r="614" spans="1:25">
      <c r="A614" s="64">
        <v>11</v>
      </c>
      <c r="B614" s="65" t="str">
        <f>VLOOKUP(Tabel10[[#This Row],[Code]],Ruimtegroepen[[Code]:[Ruimte omschrijving]],2,FALSE)</f>
        <v>Garderobes</v>
      </c>
      <c r="C614" s="66" t="s">
        <v>792</v>
      </c>
      <c r="D614" s="65" t="s">
        <v>28</v>
      </c>
      <c r="E614" s="66" t="s">
        <v>99</v>
      </c>
      <c r="F614" s="66" t="s">
        <v>794</v>
      </c>
      <c r="G614" s="71" t="s">
        <v>282</v>
      </c>
      <c r="H614" s="67" t="s">
        <v>17</v>
      </c>
      <c r="I614" s="67" t="s">
        <v>282</v>
      </c>
      <c r="J614" s="67" t="s">
        <v>282</v>
      </c>
      <c r="K614" s="67" t="s">
        <v>282</v>
      </c>
      <c r="L614" s="67" t="s">
        <v>282</v>
      </c>
      <c r="M614" s="67" t="s">
        <v>282</v>
      </c>
      <c r="N614" s="67" t="s">
        <v>282</v>
      </c>
      <c r="O614" s="68" t="s">
        <v>17</v>
      </c>
      <c r="P614" s="68" t="s">
        <v>17</v>
      </c>
      <c r="Q614" s="68" t="s">
        <v>15</v>
      </c>
      <c r="R614" s="68" t="s">
        <v>282</v>
      </c>
      <c r="S614" s="68" t="s">
        <v>282</v>
      </c>
      <c r="T614" s="68" t="s">
        <v>282</v>
      </c>
      <c r="U614" s="68" t="s">
        <v>282</v>
      </c>
      <c r="V614" s="68" t="s">
        <v>282</v>
      </c>
      <c r="W614" s="69" t="s">
        <v>282</v>
      </c>
      <c r="X614" s="69" t="s">
        <v>282</v>
      </c>
      <c r="Y614" s="70" t="s">
        <v>282</v>
      </c>
    </row>
    <row r="615" spans="1:25">
      <c r="A615" s="64">
        <v>11</v>
      </c>
      <c r="B615" s="65" t="str">
        <f>VLOOKUP(Tabel10[[#This Row],[Code]],Ruimtegroepen[[Code]:[Ruimte omschrijving]],2,FALSE)</f>
        <v>Garderobes</v>
      </c>
      <c r="C615" s="66" t="s">
        <v>792</v>
      </c>
      <c r="D615" s="65" t="s">
        <v>28</v>
      </c>
      <c r="E615" s="66" t="s">
        <v>1309</v>
      </c>
      <c r="F615" s="66" t="s">
        <v>1417</v>
      </c>
      <c r="G615" s="71" t="s">
        <v>282</v>
      </c>
      <c r="H615" s="67" t="s">
        <v>282</v>
      </c>
      <c r="I615" s="67" t="s">
        <v>17</v>
      </c>
      <c r="J615" s="67" t="s">
        <v>282</v>
      </c>
      <c r="K615" s="67" t="s">
        <v>282</v>
      </c>
      <c r="L615" s="67" t="s">
        <v>282</v>
      </c>
      <c r="M615" s="67" t="s">
        <v>282</v>
      </c>
      <c r="N615" s="67" t="s">
        <v>282</v>
      </c>
      <c r="O615" s="68" t="s">
        <v>17</v>
      </c>
      <c r="P615" s="68" t="s">
        <v>17</v>
      </c>
      <c r="Q615" s="68" t="s">
        <v>15</v>
      </c>
      <c r="R615" s="68" t="s">
        <v>282</v>
      </c>
      <c r="S615" s="68" t="s">
        <v>282</v>
      </c>
      <c r="T615" s="68" t="s">
        <v>282</v>
      </c>
      <c r="U615" s="68" t="s">
        <v>282</v>
      </c>
      <c r="V615" s="68" t="s">
        <v>282</v>
      </c>
      <c r="W615" s="69" t="s">
        <v>282</v>
      </c>
      <c r="X615" s="69" t="s">
        <v>282</v>
      </c>
      <c r="Y615" s="70" t="s">
        <v>282</v>
      </c>
    </row>
    <row r="616" spans="1:25">
      <c r="A616" s="64">
        <v>12</v>
      </c>
      <c r="B616" s="65" t="str">
        <f>VLOOKUP(Tabel10[[#This Row],[Code]],Ruimtegroepen[[Code]:[Ruimte omschrijving]],2,FALSE)</f>
        <v>Kantine/Aula</v>
      </c>
      <c r="C616" s="66" t="s">
        <v>797</v>
      </c>
      <c r="D616" s="65" t="s">
        <v>29</v>
      </c>
      <c r="E616" s="66" t="s">
        <v>100</v>
      </c>
      <c r="F616" s="66" t="s">
        <v>798</v>
      </c>
      <c r="G616" s="71" t="s">
        <v>282</v>
      </c>
      <c r="H616" s="67" t="s">
        <v>282</v>
      </c>
      <c r="I616" s="67" t="s">
        <v>282</v>
      </c>
      <c r="J616" s="67" t="s">
        <v>2</v>
      </c>
      <c r="K616" s="67" t="s">
        <v>282</v>
      </c>
      <c r="L616" s="67" t="s">
        <v>282</v>
      </c>
      <c r="M616" s="67" t="s">
        <v>282</v>
      </c>
      <c r="N616" s="67" t="s">
        <v>2</v>
      </c>
      <c r="O616" s="68" t="s">
        <v>2</v>
      </c>
      <c r="P616" s="68" t="s">
        <v>2</v>
      </c>
      <c r="Q616" s="68" t="s">
        <v>15</v>
      </c>
      <c r="R616" s="68" t="s">
        <v>15</v>
      </c>
      <c r="S616" s="68" t="s">
        <v>16</v>
      </c>
      <c r="T616" s="68" t="s">
        <v>329</v>
      </c>
      <c r="U616" s="68" t="s">
        <v>249</v>
      </c>
      <c r="V616" s="68" t="s">
        <v>2</v>
      </c>
      <c r="W616" s="69" t="s">
        <v>282</v>
      </c>
      <c r="X616" s="69" t="s">
        <v>282</v>
      </c>
      <c r="Y616" s="70" t="s">
        <v>282</v>
      </c>
    </row>
    <row r="617" spans="1:25">
      <c r="A617" s="64">
        <v>12</v>
      </c>
      <c r="B617" s="65" t="str">
        <f>VLOOKUP(Tabel10[[#This Row],[Code]],Ruimtegroepen[[Code]:[Ruimte omschrijving]],2,FALSE)</f>
        <v>Kantine/Aula</v>
      </c>
      <c r="C617" s="66" t="s">
        <v>797</v>
      </c>
      <c r="D617" s="65" t="s">
        <v>29</v>
      </c>
      <c r="E617" s="66" t="s">
        <v>99</v>
      </c>
      <c r="F617" s="66" t="s">
        <v>799</v>
      </c>
      <c r="G617" s="71" t="s">
        <v>282</v>
      </c>
      <c r="H617" s="67" t="s">
        <v>2</v>
      </c>
      <c r="I617" s="67" t="s">
        <v>282</v>
      </c>
      <c r="J617" s="67" t="s">
        <v>282</v>
      </c>
      <c r="K617" s="67" t="s">
        <v>282</v>
      </c>
      <c r="L617" s="67" t="s">
        <v>282</v>
      </c>
      <c r="M617" s="67" t="s">
        <v>282</v>
      </c>
      <c r="N617" s="67" t="s">
        <v>2</v>
      </c>
      <c r="O617" s="68" t="s">
        <v>2</v>
      </c>
      <c r="P617" s="68" t="s">
        <v>2</v>
      </c>
      <c r="Q617" s="68" t="s">
        <v>15</v>
      </c>
      <c r="R617" s="68" t="s">
        <v>15</v>
      </c>
      <c r="S617" s="68" t="s">
        <v>16</v>
      </c>
      <c r="T617" s="68" t="s">
        <v>329</v>
      </c>
      <c r="U617" s="68" t="s">
        <v>249</v>
      </c>
      <c r="V617" s="68" t="s">
        <v>2</v>
      </c>
      <c r="W617" s="69" t="s">
        <v>282</v>
      </c>
      <c r="X617" s="69" t="s">
        <v>282</v>
      </c>
      <c r="Y617" s="70" t="s">
        <v>282</v>
      </c>
    </row>
    <row r="618" spans="1:25">
      <c r="A618" s="64">
        <v>12</v>
      </c>
      <c r="B618" s="65" t="str">
        <f>VLOOKUP(Tabel10[[#This Row],[Code]],Ruimtegroepen[[Code]:[Ruimte omschrijving]],2,FALSE)</f>
        <v>Kantine/Aula</v>
      </c>
      <c r="C618" s="66" t="s">
        <v>797</v>
      </c>
      <c r="D618" s="65" t="s">
        <v>29</v>
      </c>
      <c r="E618" s="66" t="s">
        <v>101</v>
      </c>
      <c r="F618" s="66" t="s">
        <v>800</v>
      </c>
      <c r="G618" s="71" t="s">
        <v>282</v>
      </c>
      <c r="H618" s="67" t="s">
        <v>282</v>
      </c>
      <c r="I618" s="67" t="s">
        <v>2</v>
      </c>
      <c r="J618" s="67" t="s">
        <v>282</v>
      </c>
      <c r="K618" s="67" t="s">
        <v>2</v>
      </c>
      <c r="L618" s="67" t="s">
        <v>282</v>
      </c>
      <c r="M618" s="67" t="s">
        <v>282</v>
      </c>
      <c r="N618" s="67" t="s">
        <v>2</v>
      </c>
      <c r="O618" s="68" t="s">
        <v>2</v>
      </c>
      <c r="P618" s="68" t="s">
        <v>2</v>
      </c>
      <c r="Q618" s="68" t="s">
        <v>15</v>
      </c>
      <c r="R618" s="68" t="s">
        <v>15</v>
      </c>
      <c r="S618" s="68" t="s">
        <v>16</v>
      </c>
      <c r="T618" s="68" t="s">
        <v>329</v>
      </c>
      <c r="U618" s="68" t="s">
        <v>249</v>
      </c>
      <c r="V618" s="68" t="s">
        <v>2</v>
      </c>
      <c r="W618" s="69" t="s">
        <v>282</v>
      </c>
      <c r="X618" s="69" t="s">
        <v>282</v>
      </c>
      <c r="Y618" s="70" t="s">
        <v>282</v>
      </c>
    </row>
    <row r="619" spans="1:25">
      <c r="A619" s="64">
        <v>12</v>
      </c>
      <c r="B619" s="65" t="str">
        <f>VLOOKUP(Tabel10[[#This Row],[Code]],Ruimtegroepen[[Code]:[Ruimte omschrijving]],2,FALSE)</f>
        <v>Kantine/Aula</v>
      </c>
      <c r="C619" s="66" t="s">
        <v>797</v>
      </c>
      <c r="D619" s="65" t="s">
        <v>29</v>
      </c>
      <c r="E619" s="66" t="s">
        <v>102</v>
      </c>
      <c r="F619" s="66" t="s">
        <v>801</v>
      </c>
      <c r="G619" s="71" t="s">
        <v>282</v>
      </c>
      <c r="H619" s="67" t="s">
        <v>282</v>
      </c>
      <c r="I619" s="67" t="s">
        <v>2</v>
      </c>
      <c r="J619" s="67" t="s">
        <v>282</v>
      </c>
      <c r="K619" s="67" t="s">
        <v>2</v>
      </c>
      <c r="L619" s="67" t="s">
        <v>282</v>
      </c>
      <c r="M619" s="67" t="s">
        <v>282</v>
      </c>
      <c r="N619" s="67" t="s">
        <v>2</v>
      </c>
      <c r="O619" s="68" t="s">
        <v>2</v>
      </c>
      <c r="P619" s="68" t="s">
        <v>2</v>
      </c>
      <c r="Q619" s="68" t="s">
        <v>15</v>
      </c>
      <c r="R619" s="68" t="s">
        <v>15</v>
      </c>
      <c r="S619" s="68" t="s">
        <v>16</v>
      </c>
      <c r="T619" s="68" t="s">
        <v>329</v>
      </c>
      <c r="U619" s="68" t="s">
        <v>249</v>
      </c>
      <c r="V619" s="68" t="s">
        <v>2</v>
      </c>
      <c r="W619" s="69" t="s">
        <v>282</v>
      </c>
      <c r="X619" s="69" t="s">
        <v>282</v>
      </c>
      <c r="Y619" s="70" t="s">
        <v>282</v>
      </c>
    </row>
    <row r="620" spans="1:25">
      <c r="A620" s="64">
        <v>12</v>
      </c>
      <c r="B620" s="65" t="str">
        <f>VLOOKUP(Tabel10[[#This Row],[Code]],Ruimtegroepen[[Code]:[Ruimte omschrijving]],2,FALSE)</f>
        <v>Kantine/Aula</v>
      </c>
      <c r="C620" s="66" t="s">
        <v>797</v>
      </c>
      <c r="D620" s="65" t="s">
        <v>29</v>
      </c>
      <c r="E620" s="66" t="s">
        <v>99</v>
      </c>
      <c r="F620" s="66" t="s">
        <v>799</v>
      </c>
      <c r="G620" s="71" t="s">
        <v>282</v>
      </c>
      <c r="H620" s="67" t="s">
        <v>2</v>
      </c>
      <c r="I620" s="67" t="s">
        <v>282</v>
      </c>
      <c r="J620" s="67" t="s">
        <v>282</v>
      </c>
      <c r="K620" s="67" t="s">
        <v>282</v>
      </c>
      <c r="L620" s="67" t="s">
        <v>282</v>
      </c>
      <c r="M620" s="67" t="s">
        <v>282</v>
      </c>
      <c r="N620" s="67" t="s">
        <v>2</v>
      </c>
      <c r="O620" s="68" t="s">
        <v>2</v>
      </c>
      <c r="P620" s="68" t="s">
        <v>2</v>
      </c>
      <c r="Q620" s="68" t="s">
        <v>15</v>
      </c>
      <c r="R620" s="68" t="s">
        <v>15</v>
      </c>
      <c r="S620" s="68" t="s">
        <v>16</v>
      </c>
      <c r="T620" s="68" t="s">
        <v>329</v>
      </c>
      <c r="U620" s="68" t="s">
        <v>249</v>
      </c>
      <c r="V620" s="68" t="s">
        <v>2</v>
      </c>
      <c r="W620" s="69" t="s">
        <v>282</v>
      </c>
      <c r="X620" s="69" t="s">
        <v>282</v>
      </c>
      <c r="Y620" s="70" t="s">
        <v>282</v>
      </c>
    </row>
    <row r="621" spans="1:25">
      <c r="A621" s="64">
        <v>12</v>
      </c>
      <c r="B621" s="65" t="str">
        <f>VLOOKUP(Tabel10[[#This Row],[Code]],Ruimtegroepen[[Code]:[Ruimte omschrijving]],2,FALSE)</f>
        <v>Kantine/Aula</v>
      </c>
      <c r="C621" s="66" t="s">
        <v>797</v>
      </c>
      <c r="D621" s="65" t="s">
        <v>29</v>
      </c>
      <c r="E621" s="66" t="s">
        <v>1309</v>
      </c>
      <c r="F621" s="66" t="s">
        <v>1485</v>
      </c>
      <c r="G621" s="71" t="s">
        <v>282</v>
      </c>
      <c r="H621" s="67" t="s">
        <v>282</v>
      </c>
      <c r="I621" s="67" t="s">
        <v>2</v>
      </c>
      <c r="J621" s="67" t="s">
        <v>282</v>
      </c>
      <c r="K621" s="67" t="s">
        <v>2</v>
      </c>
      <c r="L621" s="67" t="s">
        <v>282</v>
      </c>
      <c r="M621" s="67" t="s">
        <v>282</v>
      </c>
      <c r="N621" s="67" t="s">
        <v>2</v>
      </c>
      <c r="O621" s="68" t="s">
        <v>2</v>
      </c>
      <c r="P621" s="68" t="s">
        <v>2</v>
      </c>
      <c r="Q621" s="68" t="s">
        <v>15</v>
      </c>
      <c r="R621" s="68" t="s">
        <v>15</v>
      </c>
      <c r="S621" s="68" t="s">
        <v>16</v>
      </c>
      <c r="T621" s="68" t="s">
        <v>329</v>
      </c>
      <c r="U621" s="68" t="s">
        <v>249</v>
      </c>
      <c r="V621" s="68" t="s">
        <v>2</v>
      </c>
      <c r="W621" s="69" t="s">
        <v>282</v>
      </c>
      <c r="X621" s="69" t="s">
        <v>282</v>
      </c>
      <c r="Y621" s="70" t="s">
        <v>282</v>
      </c>
    </row>
    <row r="622" spans="1:25">
      <c r="A622" s="64">
        <v>12</v>
      </c>
      <c r="B622" s="65" t="str">
        <f>VLOOKUP(Tabel10[[#This Row],[Code]],Ruimtegroepen[[Code]:[Ruimte omschrijving]],2,FALSE)</f>
        <v>Kantine/Aula</v>
      </c>
      <c r="C622" s="66" t="s">
        <v>802</v>
      </c>
      <c r="D622" s="65" t="s">
        <v>1</v>
      </c>
      <c r="E622" s="66" t="s">
        <v>100</v>
      </c>
      <c r="F622" s="66" t="s">
        <v>803</v>
      </c>
      <c r="G622" s="71" t="s">
        <v>282</v>
      </c>
      <c r="H622" s="67" t="s">
        <v>282</v>
      </c>
      <c r="I622" s="67" t="s">
        <v>282</v>
      </c>
      <c r="J622" s="67" t="s">
        <v>2</v>
      </c>
      <c r="K622" s="67" t="s">
        <v>282</v>
      </c>
      <c r="L622" s="67" t="s">
        <v>282</v>
      </c>
      <c r="M622" s="67" t="s">
        <v>282</v>
      </c>
      <c r="N622" s="67" t="s">
        <v>282</v>
      </c>
      <c r="O622" s="68" t="s">
        <v>2</v>
      </c>
      <c r="P622" s="68" t="s">
        <v>2</v>
      </c>
      <c r="Q622" s="68" t="s">
        <v>15</v>
      </c>
      <c r="R622" s="68" t="s">
        <v>15</v>
      </c>
      <c r="S622" s="68" t="s">
        <v>16</v>
      </c>
      <c r="T622" s="68" t="s">
        <v>329</v>
      </c>
      <c r="U622" s="68" t="s">
        <v>249</v>
      </c>
      <c r="V622" s="68" t="s">
        <v>282</v>
      </c>
      <c r="W622" s="69" t="s">
        <v>282</v>
      </c>
      <c r="X622" s="69" t="s">
        <v>282</v>
      </c>
      <c r="Y622" s="70" t="s">
        <v>282</v>
      </c>
    </row>
    <row r="623" spans="1:25">
      <c r="A623" s="64">
        <v>12</v>
      </c>
      <c r="B623" s="65" t="str">
        <f>VLOOKUP(Tabel10[[#This Row],[Code]],Ruimtegroepen[[Code]:[Ruimte omschrijving]],2,FALSE)</f>
        <v>Kantine/Aula</v>
      </c>
      <c r="C623" s="66" t="s">
        <v>802</v>
      </c>
      <c r="D623" s="65" t="s">
        <v>1</v>
      </c>
      <c r="E623" s="66" t="s">
        <v>99</v>
      </c>
      <c r="F623" s="66" t="s">
        <v>804</v>
      </c>
      <c r="G623" s="71" t="s">
        <v>282</v>
      </c>
      <c r="H623" s="67" t="s">
        <v>2</v>
      </c>
      <c r="I623" s="67" t="s">
        <v>282</v>
      </c>
      <c r="J623" s="67" t="s">
        <v>282</v>
      </c>
      <c r="K623" s="67" t="s">
        <v>282</v>
      </c>
      <c r="L623" s="67" t="s">
        <v>282</v>
      </c>
      <c r="M623" s="67" t="s">
        <v>282</v>
      </c>
      <c r="N623" s="67" t="s">
        <v>282</v>
      </c>
      <c r="O623" s="68" t="s">
        <v>2</v>
      </c>
      <c r="P623" s="68" t="s">
        <v>2</v>
      </c>
      <c r="Q623" s="68" t="s">
        <v>15</v>
      </c>
      <c r="R623" s="68" t="s">
        <v>15</v>
      </c>
      <c r="S623" s="68" t="s">
        <v>16</v>
      </c>
      <c r="T623" s="68" t="s">
        <v>329</v>
      </c>
      <c r="U623" s="68" t="s">
        <v>249</v>
      </c>
      <c r="V623" s="68" t="s">
        <v>282</v>
      </c>
      <c r="W623" s="69" t="s">
        <v>282</v>
      </c>
      <c r="X623" s="69" t="s">
        <v>282</v>
      </c>
      <c r="Y623" s="70" t="s">
        <v>282</v>
      </c>
    </row>
    <row r="624" spans="1:25">
      <c r="A624" s="64">
        <v>12</v>
      </c>
      <c r="B624" s="65" t="str">
        <f>VLOOKUP(Tabel10[[#This Row],[Code]],Ruimtegroepen[[Code]:[Ruimte omschrijving]],2,FALSE)</f>
        <v>Kantine/Aula</v>
      </c>
      <c r="C624" s="66" t="s">
        <v>802</v>
      </c>
      <c r="D624" s="65" t="s">
        <v>1</v>
      </c>
      <c r="E624" s="66" t="s">
        <v>101</v>
      </c>
      <c r="F624" s="66" t="s">
        <v>805</v>
      </c>
      <c r="G624" s="71" t="s">
        <v>282</v>
      </c>
      <c r="H624" s="67" t="s">
        <v>282</v>
      </c>
      <c r="I624" s="67" t="s">
        <v>2</v>
      </c>
      <c r="J624" s="67" t="s">
        <v>282</v>
      </c>
      <c r="K624" s="67" t="s">
        <v>2</v>
      </c>
      <c r="L624" s="67" t="s">
        <v>282</v>
      </c>
      <c r="M624" s="67" t="s">
        <v>282</v>
      </c>
      <c r="N624" s="67" t="s">
        <v>282</v>
      </c>
      <c r="O624" s="68" t="s">
        <v>2</v>
      </c>
      <c r="P624" s="68" t="s">
        <v>2</v>
      </c>
      <c r="Q624" s="68" t="s">
        <v>15</v>
      </c>
      <c r="R624" s="68" t="s">
        <v>15</v>
      </c>
      <c r="S624" s="68" t="s">
        <v>16</v>
      </c>
      <c r="T624" s="68" t="s">
        <v>329</v>
      </c>
      <c r="U624" s="68" t="s">
        <v>249</v>
      </c>
      <c r="V624" s="68" t="s">
        <v>282</v>
      </c>
      <c r="W624" s="69" t="s">
        <v>282</v>
      </c>
      <c r="X624" s="69" t="s">
        <v>282</v>
      </c>
      <c r="Y624" s="70" t="s">
        <v>282</v>
      </c>
    </row>
    <row r="625" spans="1:25">
      <c r="A625" s="64">
        <v>12</v>
      </c>
      <c r="B625" s="65" t="str">
        <f>VLOOKUP(Tabel10[[#This Row],[Code]],Ruimtegroepen[[Code]:[Ruimte omschrijving]],2,FALSE)</f>
        <v>Kantine/Aula</v>
      </c>
      <c r="C625" s="66" t="s">
        <v>802</v>
      </c>
      <c r="D625" s="65" t="s">
        <v>1</v>
      </c>
      <c r="E625" s="66" t="s">
        <v>102</v>
      </c>
      <c r="F625" s="66" t="s">
        <v>806</v>
      </c>
      <c r="G625" s="71" t="s">
        <v>282</v>
      </c>
      <c r="H625" s="67" t="s">
        <v>282</v>
      </c>
      <c r="I625" s="67" t="s">
        <v>2</v>
      </c>
      <c r="J625" s="67" t="s">
        <v>282</v>
      </c>
      <c r="K625" s="67" t="s">
        <v>2</v>
      </c>
      <c r="L625" s="67" t="s">
        <v>282</v>
      </c>
      <c r="M625" s="67" t="s">
        <v>282</v>
      </c>
      <c r="N625" s="67" t="s">
        <v>282</v>
      </c>
      <c r="O625" s="68" t="s">
        <v>2</v>
      </c>
      <c r="P625" s="68" t="s">
        <v>2</v>
      </c>
      <c r="Q625" s="68" t="s">
        <v>15</v>
      </c>
      <c r="R625" s="68" t="s">
        <v>15</v>
      </c>
      <c r="S625" s="68" t="s">
        <v>16</v>
      </c>
      <c r="T625" s="68" t="s">
        <v>329</v>
      </c>
      <c r="U625" s="68" t="s">
        <v>249</v>
      </c>
      <c r="V625" s="68" t="s">
        <v>282</v>
      </c>
      <c r="W625" s="69" t="s">
        <v>282</v>
      </c>
      <c r="X625" s="69" t="s">
        <v>282</v>
      </c>
      <c r="Y625" s="70" t="s">
        <v>282</v>
      </c>
    </row>
    <row r="626" spans="1:25">
      <c r="A626" s="64">
        <v>12</v>
      </c>
      <c r="B626" s="65" t="str">
        <f>VLOOKUP(Tabel10[[#This Row],[Code]],Ruimtegroepen[[Code]:[Ruimte omschrijving]],2,FALSE)</f>
        <v>Kantine/Aula</v>
      </c>
      <c r="C626" s="66" t="s">
        <v>802</v>
      </c>
      <c r="D626" s="65" t="s">
        <v>1</v>
      </c>
      <c r="E626" s="66" t="s">
        <v>99</v>
      </c>
      <c r="F626" s="66" t="s">
        <v>804</v>
      </c>
      <c r="G626" s="71" t="s">
        <v>282</v>
      </c>
      <c r="H626" s="67" t="s">
        <v>2</v>
      </c>
      <c r="I626" s="67" t="s">
        <v>282</v>
      </c>
      <c r="J626" s="67" t="s">
        <v>282</v>
      </c>
      <c r="K626" s="67" t="s">
        <v>282</v>
      </c>
      <c r="L626" s="67" t="s">
        <v>282</v>
      </c>
      <c r="M626" s="67" t="s">
        <v>282</v>
      </c>
      <c r="N626" s="67" t="s">
        <v>282</v>
      </c>
      <c r="O626" s="68" t="s">
        <v>2</v>
      </c>
      <c r="P626" s="68" t="s">
        <v>2</v>
      </c>
      <c r="Q626" s="68" t="s">
        <v>15</v>
      </c>
      <c r="R626" s="68" t="s">
        <v>15</v>
      </c>
      <c r="S626" s="68" t="s">
        <v>16</v>
      </c>
      <c r="T626" s="68" t="s">
        <v>329</v>
      </c>
      <c r="U626" s="68" t="s">
        <v>249</v>
      </c>
      <c r="V626" s="68" t="s">
        <v>282</v>
      </c>
      <c r="W626" s="69" t="s">
        <v>282</v>
      </c>
      <c r="X626" s="69" t="s">
        <v>282</v>
      </c>
      <c r="Y626" s="70" t="s">
        <v>282</v>
      </c>
    </row>
    <row r="627" spans="1:25">
      <c r="A627" s="64">
        <v>12</v>
      </c>
      <c r="B627" s="65" t="str">
        <f>VLOOKUP(Tabel10[[#This Row],[Code]],Ruimtegroepen[[Code]:[Ruimte omschrijving]],2,FALSE)</f>
        <v>Kantine/Aula</v>
      </c>
      <c r="C627" s="66" t="s">
        <v>802</v>
      </c>
      <c r="D627" s="65" t="s">
        <v>1</v>
      </c>
      <c r="E627" s="66" t="s">
        <v>1309</v>
      </c>
      <c r="F627" s="66" t="s">
        <v>1469</v>
      </c>
      <c r="G627" s="71" t="s">
        <v>282</v>
      </c>
      <c r="H627" s="67" t="s">
        <v>282</v>
      </c>
      <c r="I627" s="67" t="s">
        <v>2</v>
      </c>
      <c r="J627" s="67" t="s">
        <v>282</v>
      </c>
      <c r="K627" s="67" t="s">
        <v>2</v>
      </c>
      <c r="L627" s="67" t="s">
        <v>282</v>
      </c>
      <c r="M627" s="67" t="s">
        <v>282</v>
      </c>
      <c r="N627" s="67" t="s">
        <v>282</v>
      </c>
      <c r="O627" s="68" t="s">
        <v>2</v>
      </c>
      <c r="P627" s="68" t="s">
        <v>2</v>
      </c>
      <c r="Q627" s="68" t="s">
        <v>15</v>
      </c>
      <c r="R627" s="68" t="s">
        <v>15</v>
      </c>
      <c r="S627" s="68" t="s">
        <v>16</v>
      </c>
      <c r="T627" s="68" t="s">
        <v>329</v>
      </c>
      <c r="U627" s="68" t="s">
        <v>249</v>
      </c>
      <c r="V627" s="68" t="s">
        <v>282</v>
      </c>
      <c r="W627" s="69" t="s">
        <v>282</v>
      </c>
      <c r="X627" s="69" t="s">
        <v>282</v>
      </c>
      <c r="Y627" s="70" t="s">
        <v>282</v>
      </c>
    </row>
    <row r="628" spans="1:25">
      <c r="A628" s="64">
        <v>12</v>
      </c>
      <c r="B628" s="65" t="str">
        <f>VLOOKUP(Tabel10[[#This Row],[Code]],Ruimtegroepen[[Code]:[Ruimte omschrijving]],2,FALSE)</f>
        <v>Kantine/Aula</v>
      </c>
      <c r="C628" s="66" t="s">
        <v>807</v>
      </c>
      <c r="D628" s="65" t="s">
        <v>21</v>
      </c>
      <c r="E628" s="66" t="s">
        <v>100</v>
      </c>
      <c r="F628" s="66" t="s">
        <v>808</v>
      </c>
      <c r="G628" s="71" t="s">
        <v>282</v>
      </c>
      <c r="H628" s="67" t="s">
        <v>282</v>
      </c>
      <c r="I628" s="67" t="s">
        <v>282</v>
      </c>
      <c r="J628" s="67" t="s">
        <v>20</v>
      </c>
      <c r="K628" s="67" t="s">
        <v>282</v>
      </c>
      <c r="L628" s="67" t="s">
        <v>282</v>
      </c>
      <c r="M628" s="67" t="s">
        <v>282</v>
      </c>
      <c r="N628" s="67" t="s">
        <v>282</v>
      </c>
      <c r="O628" s="68" t="s">
        <v>20</v>
      </c>
      <c r="P628" s="68" t="s">
        <v>20</v>
      </c>
      <c r="Q628" s="68" t="s">
        <v>15</v>
      </c>
      <c r="R628" s="68" t="s">
        <v>15</v>
      </c>
      <c r="S628" s="68" t="s">
        <v>16</v>
      </c>
      <c r="T628" s="68" t="s">
        <v>329</v>
      </c>
      <c r="U628" s="68" t="s">
        <v>249</v>
      </c>
      <c r="V628" s="68" t="s">
        <v>282</v>
      </c>
      <c r="W628" s="69" t="s">
        <v>282</v>
      </c>
      <c r="X628" s="69" t="s">
        <v>282</v>
      </c>
      <c r="Y628" s="70" t="s">
        <v>282</v>
      </c>
    </row>
    <row r="629" spans="1:25">
      <c r="A629" s="64">
        <v>12</v>
      </c>
      <c r="B629" s="65" t="str">
        <f>VLOOKUP(Tabel10[[#This Row],[Code]],Ruimtegroepen[[Code]:[Ruimte omschrijving]],2,FALSE)</f>
        <v>Kantine/Aula</v>
      </c>
      <c r="C629" s="66" t="s">
        <v>807</v>
      </c>
      <c r="D629" s="65" t="s">
        <v>21</v>
      </c>
      <c r="E629" s="66" t="s">
        <v>99</v>
      </c>
      <c r="F629" s="66" t="s">
        <v>809</v>
      </c>
      <c r="G629" s="71" t="s">
        <v>282</v>
      </c>
      <c r="H629" s="67" t="s">
        <v>20</v>
      </c>
      <c r="I629" s="67" t="s">
        <v>282</v>
      </c>
      <c r="J629" s="67" t="s">
        <v>282</v>
      </c>
      <c r="K629" s="67" t="s">
        <v>282</v>
      </c>
      <c r="L629" s="67" t="s">
        <v>282</v>
      </c>
      <c r="M629" s="67" t="s">
        <v>282</v>
      </c>
      <c r="N629" s="67" t="s">
        <v>282</v>
      </c>
      <c r="O629" s="68" t="s">
        <v>20</v>
      </c>
      <c r="P629" s="68" t="s">
        <v>20</v>
      </c>
      <c r="Q629" s="68" t="s">
        <v>15</v>
      </c>
      <c r="R629" s="68" t="s">
        <v>15</v>
      </c>
      <c r="S629" s="68" t="s">
        <v>16</v>
      </c>
      <c r="T629" s="68" t="s">
        <v>329</v>
      </c>
      <c r="U629" s="68" t="s">
        <v>249</v>
      </c>
      <c r="V629" s="68" t="s">
        <v>282</v>
      </c>
      <c r="W629" s="69" t="s">
        <v>282</v>
      </c>
      <c r="X629" s="69" t="s">
        <v>282</v>
      </c>
      <c r="Y629" s="70" t="s">
        <v>282</v>
      </c>
    </row>
    <row r="630" spans="1:25">
      <c r="A630" s="64">
        <v>12</v>
      </c>
      <c r="B630" s="65" t="str">
        <f>VLOOKUP(Tabel10[[#This Row],[Code]],Ruimtegroepen[[Code]:[Ruimte omschrijving]],2,FALSE)</f>
        <v>Kantine/Aula</v>
      </c>
      <c r="C630" s="66" t="s">
        <v>807</v>
      </c>
      <c r="D630" s="65" t="s">
        <v>21</v>
      </c>
      <c r="E630" s="66" t="s">
        <v>101</v>
      </c>
      <c r="F630" s="66" t="s">
        <v>810</v>
      </c>
      <c r="G630" s="71" t="s">
        <v>282</v>
      </c>
      <c r="H630" s="67" t="s">
        <v>282</v>
      </c>
      <c r="I630" s="67" t="s">
        <v>20</v>
      </c>
      <c r="J630" s="67" t="s">
        <v>282</v>
      </c>
      <c r="K630" s="67" t="s">
        <v>20</v>
      </c>
      <c r="L630" s="67" t="s">
        <v>282</v>
      </c>
      <c r="M630" s="67" t="s">
        <v>282</v>
      </c>
      <c r="N630" s="67" t="s">
        <v>282</v>
      </c>
      <c r="O630" s="68" t="s">
        <v>20</v>
      </c>
      <c r="P630" s="68" t="s">
        <v>20</v>
      </c>
      <c r="Q630" s="68" t="s">
        <v>15</v>
      </c>
      <c r="R630" s="68" t="s">
        <v>15</v>
      </c>
      <c r="S630" s="68" t="s">
        <v>16</v>
      </c>
      <c r="T630" s="68" t="s">
        <v>329</v>
      </c>
      <c r="U630" s="68" t="s">
        <v>249</v>
      </c>
      <c r="V630" s="68" t="s">
        <v>282</v>
      </c>
      <c r="W630" s="69" t="s">
        <v>282</v>
      </c>
      <c r="X630" s="69" t="s">
        <v>282</v>
      </c>
      <c r="Y630" s="70" t="s">
        <v>282</v>
      </c>
    </row>
    <row r="631" spans="1:25">
      <c r="A631" s="64">
        <v>12</v>
      </c>
      <c r="B631" s="65" t="str">
        <f>VLOOKUP(Tabel10[[#This Row],[Code]],Ruimtegroepen[[Code]:[Ruimte omschrijving]],2,FALSE)</f>
        <v>Kantine/Aula</v>
      </c>
      <c r="C631" s="66" t="s">
        <v>807</v>
      </c>
      <c r="D631" s="65" t="s">
        <v>21</v>
      </c>
      <c r="E631" s="66" t="s">
        <v>102</v>
      </c>
      <c r="F631" s="66" t="s">
        <v>811</v>
      </c>
      <c r="G631" s="71" t="s">
        <v>282</v>
      </c>
      <c r="H631" s="67" t="s">
        <v>282</v>
      </c>
      <c r="I631" s="67" t="s">
        <v>20</v>
      </c>
      <c r="J631" s="67" t="s">
        <v>282</v>
      </c>
      <c r="K631" s="67" t="s">
        <v>20</v>
      </c>
      <c r="L631" s="67" t="s">
        <v>282</v>
      </c>
      <c r="M631" s="67" t="s">
        <v>282</v>
      </c>
      <c r="N631" s="67" t="s">
        <v>282</v>
      </c>
      <c r="O631" s="68" t="s">
        <v>20</v>
      </c>
      <c r="P631" s="68" t="s">
        <v>20</v>
      </c>
      <c r="Q631" s="68" t="s">
        <v>15</v>
      </c>
      <c r="R631" s="68" t="s">
        <v>15</v>
      </c>
      <c r="S631" s="68" t="s">
        <v>16</v>
      </c>
      <c r="T631" s="68" t="s">
        <v>329</v>
      </c>
      <c r="U631" s="68" t="s">
        <v>249</v>
      </c>
      <c r="V631" s="68" t="s">
        <v>282</v>
      </c>
      <c r="W631" s="69" t="s">
        <v>282</v>
      </c>
      <c r="X631" s="69" t="s">
        <v>282</v>
      </c>
      <c r="Y631" s="70" t="s">
        <v>282</v>
      </c>
    </row>
    <row r="632" spans="1:25">
      <c r="A632" s="64">
        <v>12</v>
      </c>
      <c r="B632" s="65" t="str">
        <f>VLOOKUP(Tabel10[[#This Row],[Code]],Ruimtegroepen[[Code]:[Ruimte omschrijving]],2,FALSE)</f>
        <v>Kantine/Aula</v>
      </c>
      <c r="C632" s="66" t="s">
        <v>807</v>
      </c>
      <c r="D632" s="65" t="s">
        <v>21</v>
      </c>
      <c r="E632" s="66" t="s">
        <v>99</v>
      </c>
      <c r="F632" s="66" t="s">
        <v>809</v>
      </c>
      <c r="G632" s="71" t="s">
        <v>282</v>
      </c>
      <c r="H632" s="67" t="s">
        <v>20</v>
      </c>
      <c r="I632" s="67" t="s">
        <v>282</v>
      </c>
      <c r="J632" s="67" t="s">
        <v>282</v>
      </c>
      <c r="K632" s="67" t="s">
        <v>282</v>
      </c>
      <c r="L632" s="67" t="s">
        <v>282</v>
      </c>
      <c r="M632" s="67" t="s">
        <v>282</v>
      </c>
      <c r="N632" s="67" t="s">
        <v>282</v>
      </c>
      <c r="O632" s="68" t="s">
        <v>20</v>
      </c>
      <c r="P632" s="68" t="s">
        <v>20</v>
      </c>
      <c r="Q632" s="68" t="s">
        <v>15</v>
      </c>
      <c r="R632" s="68" t="s">
        <v>15</v>
      </c>
      <c r="S632" s="68" t="s">
        <v>16</v>
      </c>
      <c r="T632" s="68" t="s">
        <v>329</v>
      </c>
      <c r="U632" s="68" t="s">
        <v>249</v>
      </c>
      <c r="V632" s="68" t="s">
        <v>282</v>
      </c>
      <c r="W632" s="69" t="s">
        <v>282</v>
      </c>
      <c r="X632" s="69" t="s">
        <v>282</v>
      </c>
      <c r="Y632" s="70" t="s">
        <v>282</v>
      </c>
    </row>
    <row r="633" spans="1:25">
      <c r="A633" s="64">
        <v>12</v>
      </c>
      <c r="B633" s="65" t="str">
        <f>VLOOKUP(Tabel10[[#This Row],[Code]],Ruimtegroepen[[Code]:[Ruimte omschrijving]],2,FALSE)</f>
        <v>Kantine/Aula</v>
      </c>
      <c r="C633" s="66" t="s">
        <v>807</v>
      </c>
      <c r="D633" s="65" t="s">
        <v>21</v>
      </c>
      <c r="E633" s="66" t="s">
        <v>1309</v>
      </c>
      <c r="F633" s="66" t="s">
        <v>1452</v>
      </c>
      <c r="G633" s="71" t="s">
        <v>282</v>
      </c>
      <c r="H633" s="67" t="s">
        <v>282</v>
      </c>
      <c r="I633" s="67" t="s">
        <v>20</v>
      </c>
      <c r="J633" s="67" t="s">
        <v>282</v>
      </c>
      <c r="K633" s="67" t="s">
        <v>20</v>
      </c>
      <c r="L633" s="67" t="s">
        <v>282</v>
      </c>
      <c r="M633" s="67" t="s">
        <v>282</v>
      </c>
      <c r="N633" s="67" t="s">
        <v>282</v>
      </c>
      <c r="O633" s="68" t="s">
        <v>20</v>
      </c>
      <c r="P633" s="68" t="s">
        <v>20</v>
      </c>
      <c r="Q633" s="68" t="s">
        <v>15</v>
      </c>
      <c r="R633" s="68" t="s">
        <v>15</v>
      </c>
      <c r="S633" s="68" t="s">
        <v>16</v>
      </c>
      <c r="T633" s="68" t="s">
        <v>329</v>
      </c>
      <c r="U633" s="68" t="s">
        <v>249</v>
      </c>
      <c r="V633" s="68" t="s">
        <v>282</v>
      </c>
      <c r="W633" s="69" t="s">
        <v>282</v>
      </c>
      <c r="X633" s="69" t="s">
        <v>282</v>
      </c>
      <c r="Y633" s="70" t="s">
        <v>282</v>
      </c>
    </row>
    <row r="634" spans="1:25">
      <c r="A634" s="64">
        <v>12</v>
      </c>
      <c r="B634" s="65" t="str">
        <f>VLOOKUP(Tabel10[[#This Row],[Code]],Ruimtegroepen[[Code]:[Ruimte omschrijving]],2,FALSE)</f>
        <v>Kantine/Aula</v>
      </c>
      <c r="C634" s="66" t="s">
        <v>812</v>
      </c>
      <c r="D634" s="65" t="s">
        <v>12</v>
      </c>
      <c r="E634" s="66" t="s">
        <v>100</v>
      </c>
      <c r="F634" s="66" t="s">
        <v>813</v>
      </c>
      <c r="G634" s="71" t="s">
        <v>282</v>
      </c>
      <c r="H634" s="67" t="s">
        <v>282</v>
      </c>
      <c r="I634" s="67" t="s">
        <v>282</v>
      </c>
      <c r="J634" s="67" t="s">
        <v>18</v>
      </c>
      <c r="K634" s="67" t="s">
        <v>282</v>
      </c>
      <c r="L634" s="67" t="s">
        <v>282</v>
      </c>
      <c r="M634" s="67" t="s">
        <v>282</v>
      </c>
      <c r="N634" s="67" t="s">
        <v>282</v>
      </c>
      <c r="O634" s="68" t="s">
        <v>18</v>
      </c>
      <c r="P634" s="68" t="s">
        <v>18</v>
      </c>
      <c r="Q634" s="68" t="s">
        <v>15</v>
      </c>
      <c r="R634" s="68" t="s">
        <v>15</v>
      </c>
      <c r="S634" s="68" t="s">
        <v>16</v>
      </c>
      <c r="T634" s="68" t="s">
        <v>329</v>
      </c>
      <c r="U634" s="68" t="s">
        <v>249</v>
      </c>
      <c r="V634" s="68" t="s">
        <v>282</v>
      </c>
      <c r="W634" s="69" t="s">
        <v>282</v>
      </c>
      <c r="X634" s="69" t="s">
        <v>282</v>
      </c>
      <c r="Y634" s="70" t="s">
        <v>282</v>
      </c>
    </row>
    <row r="635" spans="1:25">
      <c r="A635" s="64">
        <v>12</v>
      </c>
      <c r="B635" s="65" t="str">
        <f>VLOOKUP(Tabel10[[#This Row],[Code]],Ruimtegroepen[[Code]:[Ruimte omschrijving]],2,FALSE)</f>
        <v>Kantine/Aula</v>
      </c>
      <c r="C635" s="66" t="s">
        <v>812</v>
      </c>
      <c r="D635" s="65" t="s">
        <v>12</v>
      </c>
      <c r="E635" s="66" t="s">
        <v>99</v>
      </c>
      <c r="F635" s="66" t="s">
        <v>814</v>
      </c>
      <c r="G635" s="71" t="s">
        <v>282</v>
      </c>
      <c r="H635" s="67" t="s">
        <v>18</v>
      </c>
      <c r="I635" s="67" t="s">
        <v>282</v>
      </c>
      <c r="J635" s="67" t="s">
        <v>282</v>
      </c>
      <c r="K635" s="67" t="s">
        <v>282</v>
      </c>
      <c r="L635" s="67" t="s">
        <v>282</v>
      </c>
      <c r="M635" s="67" t="s">
        <v>282</v>
      </c>
      <c r="N635" s="67" t="s">
        <v>282</v>
      </c>
      <c r="O635" s="68" t="s">
        <v>18</v>
      </c>
      <c r="P635" s="68" t="s">
        <v>18</v>
      </c>
      <c r="Q635" s="68" t="s">
        <v>15</v>
      </c>
      <c r="R635" s="68" t="s">
        <v>15</v>
      </c>
      <c r="S635" s="68" t="s">
        <v>16</v>
      </c>
      <c r="T635" s="68" t="s">
        <v>329</v>
      </c>
      <c r="U635" s="68" t="s">
        <v>249</v>
      </c>
      <c r="V635" s="68" t="s">
        <v>282</v>
      </c>
      <c r="W635" s="69" t="s">
        <v>282</v>
      </c>
      <c r="X635" s="69" t="s">
        <v>282</v>
      </c>
      <c r="Y635" s="70" t="s">
        <v>282</v>
      </c>
    </row>
    <row r="636" spans="1:25">
      <c r="A636" s="64">
        <v>12</v>
      </c>
      <c r="B636" s="65" t="str">
        <f>VLOOKUP(Tabel10[[#This Row],[Code]],Ruimtegroepen[[Code]:[Ruimte omschrijving]],2,FALSE)</f>
        <v>Kantine/Aula</v>
      </c>
      <c r="C636" s="66" t="s">
        <v>812</v>
      </c>
      <c r="D636" s="65" t="s">
        <v>12</v>
      </c>
      <c r="E636" s="66" t="s">
        <v>101</v>
      </c>
      <c r="F636" s="66" t="s">
        <v>815</v>
      </c>
      <c r="G636" s="71" t="s">
        <v>282</v>
      </c>
      <c r="H636" s="67" t="s">
        <v>282</v>
      </c>
      <c r="I636" s="67" t="s">
        <v>18</v>
      </c>
      <c r="J636" s="67" t="s">
        <v>282</v>
      </c>
      <c r="K636" s="67" t="s">
        <v>18</v>
      </c>
      <c r="L636" s="67" t="s">
        <v>282</v>
      </c>
      <c r="M636" s="67" t="s">
        <v>282</v>
      </c>
      <c r="N636" s="67" t="s">
        <v>282</v>
      </c>
      <c r="O636" s="68" t="s">
        <v>18</v>
      </c>
      <c r="P636" s="68" t="s">
        <v>18</v>
      </c>
      <c r="Q636" s="68" t="s">
        <v>15</v>
      </c>
      <c r="R636" s="68" t="s">
        <v>15</v>
      </c>
      <c r="S636" s="68" t="s">
        <v>16</v>
      </c>
      <c r="T636" s="68" t="s">
        <v>329</v>
      </c>
      <c r="U636" s="68" t="s">
        <v>249</v>
      </c>
      <c r="V636" s="68" t="s">
        <v>282</v>
      </c>
      <c r="W636" s="69" t="s">
        <v>282</v>
      </c>
      <c r="X636" s="69" t="s">
        <v>282</v>
      </c>
      <c r="Y636" s="70" t="s">
        <v>282</v>
      </c>
    </row>
    <row r="637" spans="1:25">
      <c r="A637" s="64">
        <v>12</v>
      </c>
      <c r="B637" s="65" t="str">
        <f>VLOOKUP(Tabel10[[#This Row],[Code]],Ruimtegroepen[[Code]:[Ruimte omschrijving]],2,FALSE)</f>
        <v>Kantine/Aula</v>
      </c>
      <c r="C637" s="66" t="s">
        <v>812</v>
      </c>
      <c r="D637" s="65" t="s">
        <v>12</v>
      </c>
      <c r="E637" s="66" t="s">
        <v>102</v>
      </c>
      <c r="F637" s="66" t="s">
        <v>816</v>
      </c>
      <c r="G637" s="71" t="s">
        <v>282</v>
      </c>
      <c r="H637" s="67" t="s">
        <v>282</v>
      </c>
      <c r="I637" s="67" t="s">
        <v>18</v>
      </c>
      <c r="J637" s="67" t="s">
        <v>282</v>
      </c>
      <c r="K637" s="67" t="s">
        <v>18</v>
      </c>
      <c r="L637" s="67" t="s">
        <v>282</v>
      </c>
      <c r="M637" s="67" t="s">
        <v>282</v>
      </c>
      <c r="N637" s="67" t="s">
        <v>282</v>
      </c>
      <c r="O637" s="68" t="s">
        <v>18</v>
      </c>
      <c r="P637" s="68" t="s">
        <v>18</v>
      </c>
      <c r="Q637" s="68" t="s">
        <v>15</v>
      </c>
      <c r="R637" s="68" t="s">
        <v>15</v>
      </c>
      <c r="S637" s="68" t="s">
        <v>16</v>
      </c>
      <c r="T637" s="68" t="s">
        <v>329</v>
      </c>
      <c r="U637" s="68" t="s">
        <v>249</v>
      </c>
      <c r="V637" s="68" t="s">
        <v>282</v>
      </c>
      <c r="W637" s="69" t="s">
        <v>282</v>
      </c>
      <c r="X637" s="69" t="s">
        <v>282</v>
      </c>
      <c r="Y637" s="70" t="s">
        <v>282</v>
      </c>
    </row>
    <row r="638" spans="1:25">
      <c r="A638" s="64">
        <v>12</v>
      </c>
      <c r="B638" s="65" t="str">
        <f>VLOOKUP(Tabel10[[#This Row],[Code]],Ruimtegroepen[[Code]:[Ruimte omschrijving]],2,FALSE)</f>
        <v>Kantine/Aula</v>
      </c>
      <c r="C638" s="66" t="s">
        <v>812</v>
      </c>
      <c r="D638" s="65" t="s">
        <v>12</v>
      </c>
      <c r="E638" s="66" t="s">
        <v>99</v>
      </c>
      <c r="F638" s="66" t="s">
        <v>814</v>
      </c>
      <c r="G638" s="71" t="s">
        <v>282</v>
      </c>
      <c r="H638" s="67" t="s">
        <v>18</v>
      </c>
      <c r="I638" s="67" t="s">
        <v>282</v>
      </c>
      <c r="J638" s="67" t="s">
        <v>282</v>
      </c>
      <c r="K638" s="67" t="s">
        <v>282</v>
      </c>
      <c r="L638" s="67" t="s">
        <v>282</v>
      </c>
      <c r="M638" s="67" t="s">
        <v>282</v>
      </c>
      <c r="N638" s="67" t="s">
        <v>282</v>
      </c>
      <c r="O638" s="68" t="s">
        <v>18</v>
      </c>
      <c r="P638" s="68" t="s">
        <v>18</v>
      </c>
      <c r="Q638" s="68" t="s">
        <v>15</v>
      </c>
      <c r="R638" s="68" t="s">
        <v>15</v>
      </c>
      <c r="S638" s="68" t="s">
        <v>16</v>
      </c>
      <c r="T638" s="68" t="s">
        <v>329</v>
      </c>
      <c r="U638" s="68" t="s">
        <v>249</v>
      </c>
      <c r="V638" s="68" t="s">
        <v>282</v>
      </c>
      <c r="W638" s="69" t="s">
        <v>282</v>
      </c>
      <c r="X638" s="69" t="s">
        <v>282</v>
      </c>
      <c r="Y638" s="70" t="s">
        <v>282</v>
      </c>
    </row>
    <row r="639" spans="1:25">
      <c r="A639" s="64">
        <v>12</v>
      </c>
      <c r="B639" s="65" t="str">
        <f>VLOOKUP(Tabel10[[#This Row],[Code]],Ruimtegroepen[[Code]:[Ruimte omschrijving]],2,FALSE)</f>
        <v>Kantine/Aula</v>
      </c>
      <c r="C639" s="66" t="s">
        <v>812</v>
      </c>
      <c r="D639" s="65" t="s">
        <v>12</v>
      </c>
      <c r="E639" s="66" t="s">
        <v>1309</v>
      </c>
      <c r="F639" s="66" t="s">
        <v>1434</v>
      </c>
      <c r="G639" s="71" t="s">
        <v>282</v>
      </c>
      <c r="H639" s="67" t="s">
        <v>282</v>
      </c>
      <c r="I639" s="67" t="s">
        <v>18</v>
      </c>
      <c r="J639" s="67" t="s">
        <v>282</v>
      </c>
      <c r="K639" s="67" t="s">
        <v>18</v>
      </c>
      <c r="L639" s="67" t="s">
        <v>282</v>
      </c>
      <c r="M639" s="67" t="s">
        <v>282</v>
      </c>
      <c r="N639" s="67" t="s">
        <v>282</v>
      </c>
      <c r="O639" s="68" t="s">
        <v>18</v>
      </c>
      <c r="P639" s="68" t="s">
        <v>18</v>
      </c>
      <c r="Q639" s="68" t="s">
        <v>15</v>
      </c>
      <c r="R639" s="68" t="s">
        <v>15</v>
      </c>
      <c r="S639" s="68" t="s">
        <v>16</v>
      </c>
      <c r="T639" s="68" t="s">
        <v>329</v>
      </c>
      <c r="U639" s="68" t="s">
        <v>249</v>
      </c>
      <c r="V639" s="68" t="s">
        <v>282</v>
      </c>
      <c r="W639" s="69" t="s">
        <v>282</v>
      </c>
      <c r="X639" s="69" t="s">
        <v>282</v>
      </c>
      <c r="Y639" s="70" t="s">
        <v>282</v>
      </c>
    </row>
    <row r="640" spans="1:25">
      <c r="A640" s="64">
        <v>12</v>
      </c>
      <c r="B640" s="65" t="str">
        <f>VLOOKUP(Tabel10[[#This Row],[Code]],Ruimtegroepen[[Code]:[Ruimte omschrijving]],2,FALSE)</f>
        <v>Kantine/Aula</v>
      </c>
      <c r="C640" s="66" t="s">
        <v>817</v>
      </c>
      <c r="D640" s="65" t="s">
        <v>14</v>
      </c>
      <c r="E640" s="66" t="s">
        <v>100</v>
      </c>
      <c r="F640" s="66" t="s">
        <v>818</v>
      </c>
      <c r="G640" s="71" t="s">
        <v>282</v>
      </c>
      <c r="H640" s="67" t="s">
        <v>282</v>
      </c>
      <c r="I640" s="67" t="s">
        <v>282</v>
      </c>
      <c r="J640" s="67" t="s">
        <v>17</v>
      </c>
      <c r="K640" s="67" t="s">
        <v>282</v>
      </c>
      <c r="L640" s="67" t="s">
        <v>282</v>
      </c>
      <c r="M640" s="67" t="s">
        <v>282</v>
      </c>
      <c r="N640" s="67" t="s">
        <v>282</v>
      </c>
      <c r="O640" s="68" t="s">
        <v>17</v>
      </c>
      <c r="P640" s="68" t="s">
        <v>17</v>
      </c>
      <c r="Q640" s="68" t="s">
        <v>15</v>
      </c>
      <c r="R640" s="68" t="s">
        <v>15</v>
      </c>
      <c r="S640" s="68" t="s">
        <v>16</v>
      </c>
      <c r="T640" s="68" t="s">
        <v>329</v>
      </c>
      <c r="U640" s="68" t="s">
        <v>249</v>
      </c>
      <c r="V640" s="68" t="s">
        <v>282</v>
      </c>
      <c r="W640" s="69" t="s">
        <v>282</v>
      </c>
      <c r="X640" s="69" t="s">
        <v>282</v>
      </c>
      <c r="Y640" s="70" t="s">
        <v>282</v>
      </c>
    </row>
    <row r="641" spans="1:25">
      <c r="A641" s="64">
        <v>12</v>
      </c>
      <c r="B641" s="65" t="str">
        <f>VLOOKUP(Tabel10[[#This Row],[Code]],Ruimtegroepen[[Code]:[Ruimte omschrijving]],2,FALSE)</f>
        <v>Kantine/Aula</v>
      </c>
      <c r="C641" s="66" t="s">
        <v>817</v>
      </c>
      <c r="D641" s="65" t="s">
        <v>14</v>
      </c>
      <c r="E641" s="66" t="s">
        <v>99</v>
      </c>
      <c r="F641" s="66" t="s">
        <v>819</v>
      </c>
      <c r="G641" s="71" t="s">
        <v>282</v>
      </c>
      <c r="H641" s="67" t="s">
        <v>17</v>
      </c>
      <c r="I641" s="67" t="s">
        <v>282</v>
      </c>
      <c r="J641" s="67" t="s">
        <v>282</v>
      </c>
      <c r="K641" s="67" t="s">
        <v>282</v>
      </c>
      <c r="L641" s="67" t="s">
        <v>282</v>
      </c>
      <c r="M641" s="67" t="s">
        <v>282</v>
      </c>
      <c r="N641" s="67" t="s">
        <v>282</v>
      </c>
      <c r="O641" s="68" t="s">
        <v>17</v>
      </c>
      <c r="P641" s="68" t="s">
        <v>17</v>
      </c>
      <c r="Q641" s="68" t="s">
        <v>15</v>
      </c>
      <c r="R641" s="68" t="s">
        <v>15</v>
      </c>
      <c r="S641" s="68" t="s">
        <v>16</v>
      </c>
      <c r="T641" s="68" t="s">
        <v>329</v>
      </c>
      <c r="U641" s="68" t="s">
        <v>249</v>
      </c>
      <c r="V641" s="68" t="s">
        <v>282</v>
      </c>
      <c r="W641" s="69" t="s">
        <v>282</v>
      </c>
      <c r="X641" s="69" t="s">
        <v>282</v>
      </c>
      <c r="Y641" s="70" t="s">
        <v>282</v>
      </c>
    </row>
    <row r="642" spans="1:25">
      <c r="A642" s="64">
        <v>12</v>
      </c>
      <c r="B642" s="65" t="str">
        <f>VLOOKUP(Tabel10[[#This Row],[Code]],Ruimtegroepen[[Code]:[Ruimte omschrijving]],2,FALSE)</f>
        <v>Kantine/Aula</v>
      </c>
      <c r="C642" s="66" t="s">
        <v>817</v>
      </c>
      <c r="D642" s="65" t="s">
        <v>14</v>
      </c>
      <c r="E642" s="66" t="s">
        <v>101</v>
      </c>
      <c r="F642" s="66" t="s">
        <v>820</v>
      </c>
      <c r="G642" s="71" t="s">
        <v>282</v>
      </c>
      <c r="H642" s="67" t="s">
        <v>282</v>
      </c>
      <c r="I642" s="67" t="s">
        <v>17</v>
      </c>
      <c r="J642" s="67" t="s">
        <v>282</v>
      </c>
      <c r="K642" s="67" t="s">
        <v>17</v>
      </c>
      <c r="L642" s="67" t="s">
        <v>282</v>
      </c>
      <c r="M642" s="67" t="s">
        <v>282</v>
      </c>
      <c r="N642" s="67" t="s">
        <v>282</v>
      </c>
      <c r="O642" s="68" t="s">
        <v>17</v>
      </c>
      <c r="P642" s="68" t="s">
        <v>17</v>
      </c>
      <c r="Q642" s="68" t="s">
        <v>15</v>
      </c>
      <c r="R642" s="68" t="s">
        <v>15</v>
      </c>
      <c r="S642" s="68" t="s">
        <v>16</v>
      </c>
      <c r="T642" s="68" t="s">
        <v>329</v>
      </c>
      <c r="U642" s="68" t="s">
        <v>249</v>
      </c>
      <c r="V642" s="68" t="s">
        <v>282</v>
      </c>
      <c r="W642" s="69" t="s">
        <v>282</v>
      </c>
      <c r="X642" s="69" t="s">
        <v>282</v>
      </c>
      <c r="Y642" s="70" t="s">
        <v>282</v>
      </c>
    </row>
    <row r="643" spans="1:25">
      <c r="A643" s="64">
        <v>12</v>
      </c>
      <c r="B643" s="65" t="str">
        <f>VLOOKUP(Tabel10[[#This Row],[Code]],Ruimtegroepen[[Code]:[Ruimte omschrijving]],2,FALSE)</f>
        <v>Kantine/Aula</v>
      </c>
      <c r="C643" s="66" t="s">
        <v>817</v>
      </c>
      <c r="D643" s="65" t="s">
        <v>14</v>
      </c>
      <c r="E643" s="66" t="s">
        <v>102</v>
      </c>
      <c r="F643" s="66" t="s">
        <v>821</v>
      </c>
      <c r="G643" s="71" t="s">
        <v>282</v>
      </c>
      <c r="H643" s="67" t="s">
        <v>282</v>
      </c>
      <c r="I643" s="67" t="s">
        <v>17</v>
      </c>
      <c r="J643" s="67" t="s">
        <v>282</v>
      </c>
      <c r="K643" s="67" t="s">
        <v>17</v>
      </c>
      <c r="L643" s="67" t="s">
        <v>282</v>
      </c>
      <c r="M643" s="67" t="s">
        <v>282</v>
      </c>
      <c r="N643" s="67" t="s">
        <v>282</v>
      </c>
      <c r="O643" s="68" t="s">
        <v>17</v>
      </c>
      <c r="P643" s="68" t="s">
        <v>17</v>
      </c>
      <c r="Q643" s="68" t="s">
        <v>15</v>
      </c>
      <c r="R643" s="68" t="s">
        <v>15</v>
      </c>
      <c r="S643" s="68" t="s">
        <v>16</v>
      </c>
      <c r="T643" s="68" t="s">
        <v>329</v>
      </c>
      <c r="U643" s="68" t="s">
        <v>249</v>
      </c>
      <c r="V643" s="68" t="s">
        <v>282</v>
      </c>
      <c r="W643" s="69" t="s">
        <v>282</v>
      </c>
      <c r="X643" s="69" t="s">
        <v>282</v>
      </c>
      <c r="Y643" s="70" t="s">
        <v>282</v>
      </c>
    </row>
    <row r="644" spans="1:25">
      <c r="A644" s="64">
        <v>12</v>
      </c>
      <c r="B644" s="65" t="str">
        <f>VLOOKUP(Tabel10[[#This Row],[Code]],Ruimtegroepen[[Code]:[Ruimte omschrijving]],2,FALSE)</f>
        <v>Kantine/Aula</v>
      </c>
      <c r="C644" s="66" t="s">
        <v>817</v>
      </c>
      <c r="D644" s="65" t="s">
        <v>14</v>
      </c>
      <c r="E644" s="66" t="s">
        <v>99</v>
      </c>
      <c r="F644" s="66" t="s">
        <v>819</v>
      </c>
      <c r="G644" s="71" t="s">
        <v>282</v>
      </c>
      <c r="H644" s="67" t="s">
        <v>17</v>
      </c>
      <c r="I644" s="67" t="s">
        <v>282</v>
      </c>
      <c r="J644" s="67" t="s">
        <v>282</v>
      </c>
      <c r="K644" s="67" t="s">
        <v>282</v>
      </c>
      <c r="L644" s="67" t="s">
        <v>282</v>
      </c>
      <c r="M644" s="67" t="s">
        <v>282</v>
      </c>
      <c r="N644" s="67" t="s">
        <v>282</v>
      </c>
      <c r="O644" s="68" t="s">
        <v>17</v>
      </c>
      <c r="P644" s="68" t="s">
        <v>17</v>
      </c>
      <c r="Q644" s="68" t="s">
        <v>15</v>
      </c>
      <c r="R644" s="68" t="s">
        <v>15</v>
      </c>
      <c r="S644" s="68" t="s">
        <v>16</v>
      </c>
      <c r="T644" s="68" t="s">
        <v>329</v>
      </c>
      <c r="U644" s="68" t="s">
        <v>249</v>
      </c>
      <c r="V644" s="68" t="s">
        <v>282</v>
      </c>
      <c r="W644" s="69" t="s">
        <v>282</v>
      </c>
      <c r="X644" s="69" t="s">
        <v>282</v>
      </c>
      <c r="Y644" s="70" t="s">
        <v>282</v>
      </c>
    </row>
    <row r="645" spans="1:25">
      <c r="A645" s="64">
        <v>12</v>
      </c>
      <c r="B645" s="65" t="str">
        <f>VLOOKUP(Tabel10[[#This Row],[Code]],Ruimtegroepen[[Code]:[Ruimte omschrijving]],2,FALSE)</f>
        <v>Kantine/Aula</v>
      </c>
      <c r="C645" s="66" t="s">
        <v>817</v>
      </c>
      <c r="D645" s="65" t="s">
        <v>14</v>
      </c>
      <c r="E645" s="66" t="s">
        <v>1309</v>
      </c>
      <c r="F645" s="66" t="s">
        <v>1401</v>
      </c>
      <c r="G645" s="71" t="s">
        <v>282</v>
      </c>
      <c r="H645" s="67" t="s">
        <v>282</v>
      </c>
      <c r="I645" s="67" t="s">
        <v>17</v>
      </c>
      <c r="J645" s="67" t="s">
        <v>282</v>
      </c>
      <c r="K645" s="67" t="s">
        <v>17</v>
      </c>
      <c r="L645" s="67" t="s">
        <v>282</v>
      </c>
      <c r="M645" s="67" t="s">
        <v>282</v>
      </c>
      <c r="N645" s="67" t="s">
        <v>282</v>
      </c>
      <c r="O645" s="68" t="s">
        <v>17</v>
      </c>
      <c r="P645" s="68" t="s">
        <v>17</v>
      </c>
      <c r="Q645" s="68" t="s">
        <v>15</v>
      </c>
      <c r="R645" s="68" t="s">
        <v>15</v>
      </c>
      <c r="S645" s="68" t="s">
        <v>16</v>
      </c>
      <c r="T645" s="68" t="s">
        <v>329</v>
      </c>
      <c r="U645" s="68" t="s">
        <v>249</v>
      </c>
      <c r="V645" s="68" t="s">
        <v>282</v>
      </c>
      <c r="W645" s="69" t="s">
        <v>282</v>
      </c>
      <c r="X645" s="69" t="s">
        <v>282</v>
      </c>
      <c r="Y645" s="70" t="s">
        <v>282</v>
      </c>
    </row>
    <row r="646" spans="1:25">
      <c r="A646" s="64">
        <v>12</v>
      </c>
      <c r="B646" s="65" t="str">
        <f>VLOOKUP(Tabel10[[#This Row],[Code]],Ruimtegroepen[[Code]:[Ruimte omschrijving]],2,FALSE)</f>
        <v>Kantine/Aula</v>
      </c>
      <c r="C646" s="66" t="s">
        <v>822</v>
      </c>
      <c r="D646" s="65" t="s">
        <v>13</v>
      </c>
      <c r="E646" s="66" t="s">
        <v>100</v>
      </c>
      <c r="F646" s="66" t="s">
        <v>823</v>
      </c>
      <c r="G646" s="71" t="s">
        <v>282</v>
      </c>
      <c r="H646" s="67" t="s">
        <v>282</v>
      </c>
      <c r="I646" s="67" t="s">
        <v>282</v>
      </c>
      <c r="J646" s="67" t="s">
        <v>15</v>
      </c>
      <c r="K646" s="67" t="s">
        <v>282</v>
      </c>
      <c r="L646" s="67" t="s">
        <v>282</v>
      </c>
      <c r="M646" s="67" t="s">
        <v>282</v>
      </c>
      <c r="N646" s="67" t="s">
        <v>282</v>
      </c>
      <c r="O646" s="68" t="s">
        <v>15</v>
      </c>
      <c r="P646" s="68" t="s">
        <v>15</v>
      </c>
      <c r="Q646" s="68" t="s">
        <v>15</v>
      </c>
      <c r="R646" s="68" t="s">
        <v>15</v>
      </c>
      <c r="S646" s="68" t="s">
        <v>16</v>
      </c>
      <c r="T646" s="68" t="s">
        <v>329</v>
      </c>
      <c r="U646" s="68" t="s">
        <v>249</v>
      </c>
      <c r="V646" s="68" t="s">
        <v>282</v>
      </c>
      <c r="W646" s="69" t="s">
        <v>282</v>
      </c>
      <c r="X646" s="69" t="s">
        <v>282</v>
      </c>
      <c r="Y646" s="70" t="s">
        <v>282</v>
      </c>
    </row>
    <row r="647" spans="1:25">
      <c r="A647" s="64">
        <v>12</v>
      </c>
      <c r="B647" s="65" t="str">
        <f>VLOOKUP(Tabel10[[#This Row],[Code]],Ruimtegroepen[[Code]:[Ruimte omschrijving]],2,FALSE)</f>
        <v>Kantine/Aula</v>
      </c>
      <c r="C647" s="66" t="s">
        <v>822</v>
      </c>
      <c r="D647" s="65" t="s">
        <v>13</v>
      </c>
      <c r="E647" s="66" t="s">
        <v>99</v>
      </c>
      <c r="F647" s="66" t="s">
        <v>824</v>
      </c>
      <c r="G647" s="71" t="s">
        <v>282</v>
      </c>
      <c r="H647" s="67" t="s">
        <v>15</v>
      </c>
      <c r="I647" s="67" t="s">
        <v>282</v>
      </c>
      <c r="J647" s="67" t="s">
        <v>282</v>
      </c>
      <c r="K647" s="67" t="s">
        <v>282</v>
      </c>
      <c r="L647" s="67" t="s">
        <v>282</v>
      </c>
      <c r="M647" s="67" t="s">
        <v>282</v>
      </c>
      <c r="N647" s="67" t="s">
        <v>282</v>
      </c>
      <c r="O647" s="68" t="s">
        <v>15</v>
      </c>
      <c r="P647" s="68" t="s">
        <v>15</v>
      </c>
      <c r="Q647" s="68" t="s">
        <v>15</v>
      </c>
      <c r="R647" s="68" t="s">
        <v>15</v>
      </c>
      <c r="S647" s="68" t="s">
        <v>16</v>
      </c>
      <c r="T647" s="68" t="s">
        <v>329</v>
      </c>
      <c r="U647" s="68" t="s">
        <v>249</v>
      </c>
      <c r="V647" s="68" t="s">
        <v>282</v>
      </c>
      <c r="W647" s="69" t="s">
        <v>282</v>
      </c>
      <c r="X647" s="69" t="s">
        <v>282</v>
      </c>
      <c r="Y647" s="70" t="s">
        <v>282</v>
      </c>
    </row>
    <row r="648" spans="1:25">
      <c r="A648" s="64">
        <v>12</v>
      </c>
      <c r="B648" s="65" t="str">
        <f>VLOOKUP(Tabel10[[#This Row],[Code]],Ruimtegroepen[[Code]:[Ruimte omschrijving]],2,FALSE)</f>
        <v>Kantine/Aula</v>
      </c>
      <c r="C648" s="66" t="s">
        <v>822</v>
      </c>
      <c r="D648" s="65" t="s">
        <v>13</v>
      </c>
      <c r="E648" s="66" t="s">
        <v>101</v>
      </c>
      <c r="F648" s="66" t="s">
        <v>825</v>
      </c>
      <c r="G648" s="71" t="s">
        <v>282</v>
      </c>
      <c r="H648" s="67" t="s">
        <v>282</v>
      </c>
      <c r="I648" s="67" t="s">
        <v>15</v>
      </c>
      <c r="J648" s="67" t="s">
        <v>282</v>
      </c>
      <c r="K648" s="67" t="s">
        <v>15</v>
      </c>
      <c r="L648" s="67" t="s">
        <v>282</v>
      </c>
      <c r="M648" s="67" t="s">
        <v>282</v>
      </c>
      <c r="N648" s="67" t="s">
        <v>282</v>
      </c>
      <c r="O648" s="68" t="s">
        <v>15</v>
      </c>
      <c r="P648" s="68" t="s">
        <v>15</v>
      </c>
      <c r="Q648" s="68" t="s">
        <v>15</v>
      </c>
      <c r="R648" s="68" t="s">
        <v>15</v>
      </c>
      <c r="S648" s="68" t="s">
        <v>16</v>
      </c>
      <c r="T648" s="68" t="s">
        <v>329</v>
      </c>
      <c r="U648" s="68" t="s">
        <v>249</v>
      </c>
      <c r="V648" s="68" t="s">
        <v>282</v>
      </c>
      <c r="W648" s="69" t="s">
        <v>282</v>
      </c>
      <c r="X648" s="69" t="s">
        <v>282</v>
      </c>
      <c r="Y648" s="70" t="s">
        <v>282</v>
      </c>
    </row>
    <row r="649" spans="1:25">
      <c r="A649" s="64">
        <v>12</v>
      </c>
      <c r="B649" s="65" t="str">
        <f>VLOOKUP(Tabel10[[#This Row],[Code]],Ruimtegroepen[[Code]:[Ruimte omschrijving]],2,FALSE)</f>
        <v>Kantine/Aula</v>
      </c>
      <c r="C649" s="66" t="s">
        <v>822</v>
      </c>
      <c r="D649" s="65" t="s">
        <v>13</v>
      </c>
      <c r="E649" s="66" t="s">
        <v>102</v>
      </c>
      <c r="F649" s="66" t="s">
        <v>826</v>
      </c>
      <c r="G649" s="71" t="s">
        <v>282</v>
      </c>
      <c r="H649" s="67" t="s">
        <v>282</v>
      </c>
      <c r="I649" s="67" t="s">
        <v>15</v>
      </c>
      <c r="J649" s="67" t="s">
        <v>282</v>
      </c>
      <c r="K649" s="67" t="s">
        <v>15</v>
      </c>
      <c r="L649" s="67" t="s">
        <v>282</v>
      </c>
      <c r="M649" s="67" t="s">
        <v>282</v>
      </c>
      <c r="N649" s="67" t="s">
        <v>282</v>
      </c>
      <c r="O649" s="68" t="s">
        <v>15</v>
      </c>
      <c r="P649" s="68" t="s">
        <v>15</v>
      </c>
      <c r="Q649" s="68" t="s">
        <v>15</v>
      </c>
      <c r="R649" s="68" t="s">
        <v>15</v>
      </c>
      <c r="S649" s="68" t="s">
        <v>16</v>
      </c>
      <c r="T649" s="68" t="s">
        <v>329</v>
      </c>
      <c r="U649" s="68" t="s">
        <v>249</v>
      </c>
      <c r="V649" s="68" t="s">
        <v>282</v>
      </c>
      <c r="W649" s="69" t="s">
        <v>282</v>
      </c>
      <c r="X649" s="69" t="s">
        <v>282</v>
      </c>
      <c r="Y649" s="70" t="s">
        <v>282</v>
      </c>
    </row>
    <row r="650" spans="1:25">
      <c r="A650" s="64">
        <v>12</v>
      </c>
      <c r="B650" s="65" t="str">
        <f>VLOOKUP(Tabel10[[#This Row],[Code]],Ruimtegroepen[[Code]:[Ruimte omschrijving]],2,FALSE)</f>
        <v>Kantine/Aula</v>
      </c>
      <c r="C650" s="66" t="s">
        <v>822</v>
      </c>
      <c r="D650" s="65" t="s">
        <v>13</v>
      </c>
      <c r="E650" s="66" t="s">
        <v>99</v>
      </c>
      <c r="F650" s="66" t="s">
        <v>824</v>
      </c>
      <c r="G650" s="71" t="s">
        <v>282</v>
      </c>
      <c r="H650" s="67" t="s">
        <v>15</v>
      </c>
      <c r="I650" s="67" t="s">
        <v>282</v>
      </c>
      <c r="J650" s="67" t="s">
        <v>282</v>
      </c>
      <c r="K650" s="67" t="s">
        <v>282</v>
      </c>
      <c r="L650" s="67" t="s">
        <v>282</v>
      </c>
      <c r="M650" s="67" t="s">
        <v>282</v>
      </c>
      <c r="N650" s="67" t="s">
        <v>282</v>
      </c>
      <c r="O650" s="68" t="s">
        <v>15</v>
      </c>
      <c r="P650" s="68" t="s">
        <v>15</v>
      </c>
      <c r="Q650" s="68" t="s">
        <v>15</v>
      </c>
      <c r="R650" s="68" t="s">
        <v>15</v>
      </c>
      <c r="S650" s="68" t="s">
        <v>16</v>
      </c>
      <c r="T650" s="68" t="s">
        <v>329</v>
      </c>
      <c r="U650" s="68" t="s">
        <v>249</v>
      </c>
      <c r="V650" s="68" t="s">
        <v>282</v>
      </c>
      <c r="W650" s="69" t="s">
        <v>282</v>
      </c>
      <c r="X650" s="69" t="s">
        <v>282</v>
      </c>
      <c r="Y650" s="70" t="s">
        <v>282</v>
      </c>
    </row>
    <row r="651" spans="1:25">
      <c r="A651" s="64">
        <v>12</v>
      </c>
      <c r="B651" s="65" t="str">
        <f>VLOOKUP(Tabel10[[#This Row],[Code]],Ruimtegroepen[[Code]:[Ruimte omschrijving]],2,FALSE)</f>
        <v>Kantine/Aula</v>
      </c>
      <c r="C651" s="66" t="s">
        <v>822</v>
      </c>
      <c r="D651" s="65" t="s">
        <v>13</v>
      </c>
      <c r="E651" s="66" t="s">
        <v>1309</v>
      </c>
      <c r="F651" s="66" t="s">
        <v>1368</v>
      </c>
      <c r="G651" s="71" t="s">
        <v>282</v>
      </c>
      <c r="H651" s="67" t="s">
        <v>282</v>
      </c>
      <c r="I651" s="67" t="s">
        <v>15</v>
      </c>
      <c r="J651" s="67" t="s">
        <v>282</v>
      </c>
      <c r="K651" s="67" t="s">
        <v>15</v>
      </c>
      <c r="L651" s="67" t="s">
        <v>282</v>
      </c>
      <c r="M651" s="67" t="s">
        <v>282</v>
      </c>
      <c r="N651" s="67" t="s">
        <v>282</v>
      </c>
      <c r="O651" s="68" t="s">
        <v>15</v>
      </c>
      <c r="P651" s="68" t="s">
        <v>15</v>
      </c>
      <c r="Q651" s="68" t="s">
        <v>15</v>
      </c>
      <c r="R651" s="68" t="s">
        <v>15</v>
      </c>
      <c r="S651" s="68" t="s">
        <v>16</v>
      </c>
      <c r="T651" s="68" t="s">
        <v>329</v>
      </c>
      <c r="U651" s="68" t="s">
        <v>249</v>
      </c>
      <c r="V651" s="68" t="s">
        <v>282</v>
      </c>
      <c r="W651" s="69" t="s">
        <v>282</v>
      </c>
      <c r="X651" s="69" t="s">
        <v>282</v>
      </c>
      <c r="Y651" s="70" t="s">
        <v>282</v>
      </c>
    </row>
    <row r="652" spans="1:25">
      <c r="A652" s="64">
        <v>12</v>
      </c>
      <c r="B652" s="65" t="str">
        <f>VLOOKUP(Tabel10[[#This Row],[Code]],Ruimtegroepen[[Code]:[Ruimte omschrijving]],2,FALSE)</f>
        <v>Kantine/Aula</v>
      </c>
      <c r="C652" s="66" t="s">
        <v>827</v>
      </c>
      <c r="D652" s="65" t="s">
        <v>0</v>
      </c>
      <c r="E652" s="66" t="s">
        <v>100</v>
      </c>
      <c r="F652" s="66" t="s">
        <v>828</v>
      </c>
      <c r="G652" s="71" t="s">
        <v>282</v>
      </c>
      <c r="H652" s="67" t="s">
        <v>282</v>
      </c>
      <c r="I652" s="67" t="s">
        <v>282</v>
      </c>
      <c r="J652" s="67" t="s">
        <v>16</v>
      </c>
      <c r="K652" s="67" t="s">
        <v>282</v>
      </c>
      <c r="L652" s="67" t="s">
        <v>282</v>
      </c>
      <c r="M652" s="67" t="s">
        <v>282</v>
      </c>
      <c r="N652" s="67" t="s">
        <v>282</v>
      </c>
      <c r="O652" s="68" t="s">
        <v>16</v>
      </c>
      <c r="P652" s="68" t="s">
        <v>16</v>
      </c>
      <c r="Q652" s="68" t="s">
        <v>16</v>
      </c>
      <c r="R652" s="68" t="s">
        <v>16</v>
      </c>
      <c r="S652" s="68" t="s">
        <v>16</v>
      </c>
      <c r="T652" s="68" t="s">
        <v>329</v>
      </c>
      <c r="U652" s="68" t="s">
        <v>249</v>
      </c>
      <c r="V652" s="68" t="s">
        <v>282</v>
      </c>
      <c r="W652" s="69" t="s">
        <v>282</v>
      </c>
      <c r="X652" s="69" t="s">
        <v>282</v>
      </c>
      <c r="Y652" s="70" t="s">
        <v>282</v>
      </c>
    </row>
    <row r="653" spans="1:25">
      <c r="A653" s="64">
        <v>12</v>
      </c>
      <c r="B653" s="65" t="str">
        <f>VLOOKUP(Tabel10[[#This Row],[Code]],Ruimtegroepen[[Code]:[Ruimte omschrijving]],2,FALSE)</f>
        <v>Kantine/Aula</v>
      </c>
      <c r="C653" s="66" t="s">
        <v>827</v>
      </c>
      <c r="D653" s="65" t="s">
        <v>0</v>
      </c>
      <c r="E653" s="66" t="s">
        <v>99</v>
      </c>
      <c r="F653" s="66" t="s">
        <v>829</v>
      </c>
      <c r="G653" s="71" t="s">
        <v>282</v>
      </c>
      <c r="H653" s="67" t="s">
        <v>16</v>
      </c>
      <c r="I653" s="67" t="s">
        <v>282</v>
      </c>
      <c r="J653" s="67" t="s">
        <v>282</v>
      </c>
      <c r="K653" s="67" t="s">
        <v>282</v>
      </c>
      <c r="L653" s="67" t="s">
        <v>282</v>
      </c>
      <c r="M653" s="67" t="s">
        <v>282</v>
      </c>
      <c r="N653" s="67" t="s">
        <v>282</v>
      </c>
      <c r="O653" s="68" t="s">
        <v>16</v>
      </c>
      <c r="P653" s="68" t="s">
        <v>16</v>
      </c>
      <c r="Q653" s="68" t="s">
        <v>16</v>
      </c>
      <c r="R653" s="68" t="s">
        <v>16</v>
      </c>
      <c r="S653" s="68" t="s">
        <v>16</v>
      </c>
      <c r="T653" s="68" t="s">
        <v>329</v>
      </c>
      <c r="U653" s="68" t="s">
        <v>249</v>
      </c>
      <c r="V653" s="68" t="s">
        <v>282</v>
      </c>
      <c r="W653" s="69" t="s">
        <v>282</v>
      </c>
      <c r="X653" s="69" t="s">
        <v>282</v>
      </c>
      <c r="Y653" s="70" t="s">
        <v>282</v>
      </c>
    </row>
    <row r="654" spans="1:25">
      <c r="A654" s="64">
        <v>12</v>
      </c>
      <c r="B654" s="65" t="str">
        <f>VLOOKUP(Tabel10[[#This Row],[Code]],Ruimtegroepen[[Code]:[Ruimte omschrijving]],2,FALSE)</f>
        <v>Kantine/Aula</v>
      </c>
      <c r="C654" s="66" t="s">
        <v>827</v>
      </c>
      <c r="D654" s="65" t="s">
        <v>0</v>
      </c>
      <c r="E654" s="66" t="s">
        <v>101</v>
      </c>
      <c r="F654" s="66" t="s">
        <v>830</v>
      </c>
      <c r="G654" s="71" t="s">
        <v>282</v>
      </c>
      <c r="H654" s="67" t="s">
        <v>282</v>
      </c>
      <c r="I654" s="67" t="s">
        <v>16</v>
      </c>
      <c r="J654" s="67" t="s">
        <v>361</v>
      </c>
      <c r="K654" s="67" t="s">
        <v>16</v>
      </c>
      <c r="L654" s="67" t="s">
        <v>282</v>
      </c>
      <c r="M654" s="67" t="s">
        <v>282</v>
      </c>
      <c r="N654" s="67" t="s">
        <v>282</v>
      </c>
      <c r="O654" s="68" t="s">
        <v>16</v>
      </c>
      <c r="P654" s="68" t="s">
        <v>16</v>
      </c>
      <c r="Q654" s="68" t="s">
        <v>16</v>
      </c>
      <c r="R654" s="68" t="s">
        <v>16</v>
      </c>
      <c r="S654" s="68" t="s">
        <v>16</v>
      </c>
      <c r="T654" s="68" t="s">
        <v>329</v>
      </c>
      <c r="U654" s="68" t="s">
        <v>249</v>
      </c>
      <c r="V654" s="68" t="s">
        <v>282</v>
      </c>
      <c r="W654" s="69" t="s">
        <v>282</v>
      </c>
      <c r="X654" s="69" t="s">
        <v>282</v>
      </c>
      <c r="Y654" s="70" t="s">
        <v>282</v>
      </c>
    </row>
    <row r="655" spans="1:25">
      <c r="A655" s="64">
        <v>12</v>
      </c>
      <c r="B655" s="65" t="str">
        <f>VLOOKUP(Tabel10[[#This Row],[Code]],Ruimtegroepen[[Code]:[Ruimte omschrijving]],2,FALSE)</f>
        <v>Kantine/Aula</v>
      </c>
      <c r="C655" s="66" t="s">
        <v>827</v>
      </c>
      <c r="D655" s="65" t="s">
        <v>0</v>
      </c>
      <c r="E655" s="66" t="s">
        <v>102</v>
      </c>
      <c r="F655" s="66" t="s">
        <v>831</v>
      </c>
      <c r="G655" s="71" t="s">
        <v>282</v>
      </c>
      <c r="H655" s="67" t="s">
        <v>282</v>
      </c>
      <c r="I655" s="67" t="s">
        <v>16</v>
      </c>
      <c r="J655" s="67" t="s">
        <v>282</v>
      </c>
      <c r="K655" s="67" t="s">
        <v>16</v>
      </c>
      <c r="L655" s="67" t="s">
        <v>282</v>
      </c>
      <c r="M655" s="67" t="s">
        <v>282</v>
      </c>
      <c r="N655" s="67" t="s">
        <v>282</v>
      </c>
      <c r="O655" s="68" t="s">
        <v>16</v>
      </c>
      <c r="P655" s="68" t="s">
        <v>16</v>
      </c>
      <c r="Q655" s="68" t="s">
        <v>16</v>
      </c>
      <c r="R655" s="68" t="s">
        <v>16</v>
      </c>
      <c r="S655" s="68" t="s">
        <v>16</v>
      </c>
      <c r="T655" s="68" t="s">
        <v>329</v>
      </c>
      <c r="U655" s="68" t="s">
        <v>249</v>
      </c>
      <c r="V655" s="68" t="s">
        <v>282</v>
      </c>
      <c r="W655" s="69" t="s">
        <v>282</v>
      </c>
      <c r="X655" s="69" t="s">
        <v>282</v>
      </c>
      <c r="Y655" s="70" t="s">
        <v>282</v>
      </c>
    </row>
    <row r="656" spans="1:25">
      <c r="A656" s="64">
        <v>12</v>
      </c>
      <c r="B656" s="65" t="str">
        <f>VLOOKUP(Tabel10[[#This Row],[Code]],Ruimtegroepen[[Code]:[Ruimte omschrijving]],2,FALSE)</f>
        <v>Kantine/Aula</v>
      </c>
      <c r="C656" s="66" t="s">
        <v>827</v>
      </c>
      <c r="D656" s="65" t="s">
        <v>0</v>
      </c>
      <c r="E656" s="66" t="s">
        <v>99</v>
      </c>
      <c r="F656" s="66" t="s">
        <v>829</v>
      </c>
      <c r="G656" s="71" t="s">
        <v>282</v>
      </c>
      <c r="H656" s="67" t="s">
        <v>16</v>
      </c>
      <c r="I656" s="67" t="s">
        <v>282</v>
      </c>
      <c r="J656" s="67" t="s">
        <v>282</v>
      </c>
      <c r="K656" s="67" t="s">
        <v>282</v>
      </c>
      <c r="L656" s="67" t="s">
        <v>282</v>
      </c>
      <c r="M656" s="67" t="s">
        <v>282</v>
      </c>
      <c r="N656" s="67" t="s">
        <v>282</v>
      </c>
      <c r="O656" s="68" t="s">
        <v>16</v>
      </c>
      <c r="P656" s="68" t="s">
        <v>16</v>
      </c>
      <c r="Q656" s="68" t="s">
        <v>16</v>
      </c>
      <c r="R656" s="68" t="s">
        <v>16</v>
      </c>
      <c r="S656" s="68" t="s">
        <v>16</v>
      </c>
      <c r="T656" s="68" t="s">
        <v>329</v>
      </c>
      <c r="U656" s="68" t="s">
        <v>249</v>
      </c>
      <c r="V656" s="68" t="s">
        <v>282</v>
      </c>
      <c r="W656" s="69" t="s">
        <v>282</v>
      </c>
      <c r="X656" s="69" t="s">
        <v>282</v>
      </c>
      <c r="Y656" s="70" t="s">
        <v>282</v>
      </c>
    </row>
    <row r="657" spans="1:25">
      <c r="A657" s="64">
        <v>12</v>
      </c>
      <c r="B657" s="65" t="str">
        <f>VLOOKUP(Tabel10[[#This Row],[Code]],Ruimtegroepen[[Code]:[Ruimte omschrijving]],2,FALSE)</f>
        <v>Kantine/Aula</v>
      </c>
      <c r="C657" s="66" t="s">
        <v>827</v>
      </c>
      <c r="D657" s="65" t="s">
        <v>0</v>
      </c>
      <c r="E657" s="66" t="s">
        <v>1309</v>
      </c>
      <c r="F657" s="66" t="s">
        <v>1352</v>
      </c>
      <c r="G657" s="71" t="s">
        <v>282</v>
      </c>
      <c r="H657" s="67" t="s">
        <v>282</v>
      </c>
      <c r="I657" s="67" t="s">
        <v>16</v>
      </c>
      <c r="J657" s="67" t="s">
        <v>282</v>
      </c>
      <c r="K657" s="67" t="s">
        <v>16</v>
      </c>
      <c r="L657" s="67" t="s">
        <v>282</v>
      </c>
      <c r="M657" s="67" t="s">
        <v>282</v>
      </c>
      <c r="N657" s="67" t="s">
        <v>282</v>
      </c>
      <c r="O657" s="68" t="s">
        <v>16</v>
      </c>
      <c r="P657" s="68" t="s">
        <v>16</v>
      </c>
      <c r="Q657" s="68" t="s">
        <v>16</v>
      </c>
      <c r="R657" s="68" t="s">
        <v>16</v>
      </c>
      <c r="S657" s="68" t="s">
        <v>16</v>
      </c>
      <c r="T657" s="68" t="s">
        <v>329</v>
      </c>
      <c r="U657" s="68" t="s">
        <v>249</v>
      </c>
      <c r="V657" s="68" t="s">
        <v>282</v>
      </c>
      <c r="W657" s="69" t="s">
        <v>282</v>
      </c>
      <c r="X657" s="69" t="s">
        <v>282</v>
      </c>
      <c r="Y657" s="70" t="s">
        <v>282</v>
      </c>
    </row>
    <row r="658" spans="1:25">
      <c r="A658" s="64">
        <v>12</v>
      </c>
      <c r="B658" s="65" t="str">
        <f>VLOOKUP(Tabel10[[#This Row],[Code]],Ruimtegroepen[[Code]:[Ruimte omschrijving]],2,FALSE)</f>
        <v>Kantine/Aula</v>
      </c>
      <c r="C658" s="66" t="s">
        <v>832</v>
      </c>
      <c r="D658" s="65" t="s">
        <v>27</v>
      </c>
      <c r="E658" s="66" t="s">
        <v>100</v>
      </c>
      <c r="F658" s="66" t="s">
        <v>833</v>
      </c>
      <c r="G658" s="71" t="s">
        <v>282</v>
      </c>
      <c r="H658" s="67" t="s">
        <v>282</v>
      </c>
      <c r="I658" s="67" t="s">
        <v>15</v>
      </c>
      <c r="J658" s="67" t="s">
        <v>282</v>
      </c>
      <c r="K658" s="67" t="s">
        <v>282</v>
      </c>
      <c r="L658" s="67" t="s">
        <v>282</v>
      </c>
      <c r="M658" s="67" t="s">
        <v>282</v>
      </c>
      <c r="N658" s="67" t="s">
        <v>282</v>
      </c>
      <c r="O658" s="68" t="s">
        <v>15</v>
      </c>
      <c r="P658" s="68" t="s">
        <v>15</v>
      </c>
      <c r="Q658" s="68" t="s">
        <v>15</v>
      </c>
      <c r="R658" s="68" t="s">
        <v>282</v>
      </c>
      <c r="S658" s="68" t="s">
        <v>282</v>
      </c>
      <c r="T658" s="68" t="s">
        <v>282</v>
      </c>
      <c r="U658" s="68" t="s">
        <v>282</v>
      </c>
      <c r="V658" s="68" t="s">
        <v>282</v>
      </c>
      <c r="W658" s="69" t="s">
        <v>282</v>
      </c>
      <c r="X658" s="69" t="s">
        <v>282</v>
      </c>
      <c r="Y658" s="70" t="s">
        <v>282</v>
      </c>
    </row>
    <row r="659" spans="1:25">
      <c r="A659" s="64">
        <v>12</v>
      </c>
      <c r="B659" s="65" t="str">
        <f>VLOOKUP(Tabel10[[#This Row],[Code]],Ruimtegroepen[[Code]:[Ruimte omschrijving]],2,FALSE)</f>
        <v>Kantine/Aula</v>
      </c>
      <c r="C659" s="66" t="s">
        <v>832</v>
      </c>
      <c r="D659" s="65" t="s">
        <v>27</v>
      </c>
      <c r="E659" s="66" t="s">
        <v>99</v>
      </c>
      <c r="F659" s="66" t="s">
        <v>834</v>
      </c>
      <c r="G659" s="71" t="s">
        <v>282</v>
      </c>
      <c r="H659" s="67" t="s">
        <v>15</v>
      </c>
      <c r="I659" s="67" t="s">
        <v>282</v>
      </c>
      <c r="J659" s="67" t="s">
        <v>282</v>
      </c>
      <c r="K659" s="67" t="s">
        <v>282</v>
      </c>
      <c r="L659" s="67" t="s">
        <v>282</v>
      </c>
      <c r="M659" s="67" t="s">
        <v>282</v>
      </c>
      <c r="N659" s="67" t="s">
        <v>282</v>
      </c>
      <c r="O659" s="68" t="s">
        <v>15</v>
      </c>
      <c r="P659" s="68" t="s">
        <v>15</v>
      </c>
      <c r="Q659" s="68" t="s">
        <v>15</v>
      </c>
      <c r="R659" s="68" t="s">
        <v>282</v>
      </c>
      <c r="S659" s="68" t="s">
        <v>282</v>
      </c>
      <c r="T659" s="68" t="s">
        <v>282</v>
      </c>
      <c r="U659" s="68" t="s">
        <v>282</v>
      </c>
      <c r="V659" s="68" t="s">
        <v>282</v>
      </c>
      <c r="W659" s="69" t="s">
        <v>282</v>
      </c>
      <c r="X659" s="69" t="s">
        <v>282</v>
      </c>
      <c r="Y659" s="70" t="s">
        <v>282</v>
      </c>
    </row>
    <row r="660" spans="1:25">
      <c r="A660" s="64">
        <v>12</v>
      </c>
      <c r="B660" s="65" t="str">
        <f>VLOOKUP(Tabel10[[#This Row],[Code]],Ruimtegroepen[[Code]:[Ruimte omschrijving]],2,FALSE)</f>
        <v>Kantine/Aula</v>
      </c>
      <c r="C660" s="66" t="s">
        <v>832</v>
      </c>
      <c r="D660" s="65" t="s">
        <v>27</v>
      </c>
      <c r="E660" s="66" t="s">
        <v>101</v>
      </c>
      <c r="F660" s="66" t="s">
        <v>835</v>
      </c>
      <c r="G660" s="71" t="s">
        <v>282</v>
      </c>
      <c r="H660" s="67" t="s">
        <v>282</v>
      </c>
      <c r="I660" s="67" t="s">
        <v>15</v>
      </c>
      <c r="J660" s="67" t="s">
        <v>282</v>
      </c>
      <c r="K660" s="67" t="s">
        <v>282</v>
      </c>
      <c r="L660" s="67" t="s">
        <v>282</v>
      </c>
      <c r="M660" s="67" t="s">
        <v>282</v>
      </c>
      <c r="N660" s="67" t="s">
        <v>282</v>
      </c>
      <c r="O660" s="68" t="s">
        <v>15</v>
      </c>
      <c r="P660" s="68" t="s">
        <v>15</v>
      </c>
      <c r="Q660" s="68" t="s">
        <v>15</v>
      </c>
      <c r="R660" s="68" t="s">
        <v>282</v>
      </c>
      <c r="S660" s="68" t="s">
        <v>282</v>
      </c>
      <c r="T660" s="68" t="s">
        <v>282</v>
      </c>
      <c r="U660" s="68" t="s">
        <v>282</v>
      </c>
      <c r="V660" s="68" t="s">
        <v>282</v>
      </c>
      <c r="W660" s="69" t="s">
        <v>282</v>
      </c>
      <c r="X660" s="69" t="s">
        <v>282</v>
      </c>
      <c r="Y660" s="70" t="s">
        <v>282</v>
      </c>
    </row>
    <row r="661" spans="1:25">
      <c r="A661" s="64">
        <v>12</v>
      </c>
      <c r="B661" s="65" t="str">
        <f>VLOOKUP(Tabel10[[#This Row],[Code]],Ruimtegroepen[[Code]:[Ruimte omschrijving]],2,FALSE)</f>
        <v>Kantine/Aula</v>
      </c>
      <c r="C661" s="66" t="s">
        <v>832</v>
      </c>
      <c r="D661" s="65" t="s">
        <v>27</v>
      </c>
      <c r="E661" s="66" t="s">
        <v>102</v>
      </c>
      <c r="F661" s="66" t="s">
        <v>836</v>
      </c>
      <c r="G661" s="71" t="s">
        <v>282</v>
      </c>
      <c r="H661" s="67" t="s">
        <v>282</v>
      </c>
      <c r="I661" s="67" t="s">
        <v>15</v>
      </c>
      <c r="J661" s="67" t="s">
        <v>282</v>
      </c>
      <c r="K661" s="67" t="s">
        <v>282</v>
      </c>
      <c r="L661" s="67" t="s">
        <v>282</v>
      </c>
      <c r="M661" s="67" t="s">
        <v>282</v>
      </c>
      <c r="N661" s="67" t="s">
        <v>282</v>
      </c>
      <c r="O661" s="68" t="s">
        <v>15</v>
      </c>
      <c r="P661" s="68" t="s">
        <v>15</v>
      </c>
      <c r="Q661" s="68" t="s">
        <v>15</v>
      </c>
      <c r="R661" s="68" t="s">
        <v>282</v>
      </c>
      <c r="S661" s="68" t="s">
        <v>282</v>
      </c>
      <c r="T661" s="68" t="s">
        <v>282</v>
      </c>
      <c r="U661" s="68" t="s">
        <v>282</v>
      </c>
      <c r="V661" s="68" t="s">
        <v>282</v>
      </c>
      <c r="W661" s="69" t="s">
        <v>282</v>
      </c>
      <c r="X661" s="69" t="s">
        <v>282</v>
      </c>
      <c r="Y661" s="70" t="s">
        <v>282</v>
      </c>
    </row>
    <row r="662" spans="1:25">
      <c r="A662" s="64">
        <v>12</v>
      </c>
      <c r="B662" s="65" t="str">
        <f>VLOOKUP(Tabel10[[#This Row],[Code]],Ruimtegroepen[[Code]:[Ruimte omschrijving]],2,FALSE)</f>
        <v>Kantine/Aula</v>
      </c>
      <c r="C662" s="66" t="s">
        <v>832</v>
      </c>
      <c r="D662" s="65" t="s">
        <v>27</v>
      </c>
      <c r="E662" s="66" t="s">
        <v>99</v>
      </c>
      <c r="F662" s="66" t="s">
        <v>834</v>
      </c>
      <c r="G662" s="71" t="s">
        <v>282</v>
      </c>
      <c r="H662" s="67" t="s">
        <v>15</v>
      </c>
      <c r="I662" s="67" t="s">
        <v>282</v>
      </c>
      <c r="J662" s="67" t="s">
        <v>282</v>
      </c>
      <c r="K662" s="67" t="s">
        <v>282</v>
      </c>
      <c r="L662" s="67" t="s">
        <v>282</v>
      </c>
      <c r="M662" s="67" t="s">
        <v>282</v>
      </c>
      <c r="N662" s="67" t="s">
        <v>282</v>
      </c>
      <c r="O662" s="68" t="s">
        <v>15</v>
      </c>
      <c r="P662" s="68" t="s">
        <v>15</v>
      </c>
      <c r="Q662" s="68" t="s">
        <v>15</v>
      </c>
      <c r="R662" s="68" t="s">
        <v>282</v>
      </c>
      <c r="S662" s="68" t="s">
        <v>282</v>
      </c>
      <c r="T662" s="68" t="s">
        <v>282</v>
      </c>
      <c r="U662" s="68" t="s">
        <v>282</v>
      </c>
      <c r="V662" s="68" t="s">
        <v>282</v>
      </c>
      <c r="W662" s="69" t="s">
        <v>282</v>
      </c>
      <c r="X662" s="69" t="s">
        <v>282</v>
      </c>
      <c r="Y662" s="70" t="s">
        <v>282</v>
      </c>
    </row>
    <row r="663" spans="1:25">
      <c r="A663" s="64">
        <v>12</v>
      </c>
      <c r="B663" s="65" t="str">
        <f>VLOOKUP(Tabel10[[#This Row],[Code]],Ruimtegroepen[[Code]:[Ruimte omschrijving]],2,FALSE)</f>
        <v>Kantine/Aula</v>
      </c>
      <c r="C663" s="66" t="s">
        <v>832</v>
      </c>
      <c r="D663" s="65" t="s">
        <v>27</v>
      </c>
      <c r="E663" s="66" t="s">
        <v>1309</v>
      </c>
      <c r="F663" s="66" t="s">
        <v>1385</v>
      </c>
      <c r="G663" s="71" t="s">
        <v>282</v>
      </c>
      <c r="H663" s="67" t="s">
        <v>282</v>
      </c>
      <c r="I663" s="67" t="s">
        <v>15</v>
      </c>
      <c r="J663" s="67" t="s">
        <v>282</v>
      </c>
      <c r="K663" s="67" t="s">
        <v>282</v>
      </c>
      <c r="L663" s="67" t="s">
        <v>282</v>
      </c>
      <c r="M663" s="67" t="s">
        <v>282</v>
      </c>
      <c r="N663" s="67" t="s">
        <v>282</v>
      </c>
      <c r="O663" s="68" t="s">
        <v>15</v>
      </c>
      <c r="P663" s="68" t="s">
        <v>15</v>
      </c>
      <c r="Q663" s="68" t="s">
        <v>15</v>
      </c>
      <c r="R663" s="68" t="s">
        <v>282</v>
      </c>
      <c r="S663" s="68" t="s">
        <v>282</v>
      </c>
      <c r="T663" s="68" t="s">
        <v>282</v>
      </c>
      <c r="U663" s="68" t="s">
        <v>282</v>
      </c>
      <c r="V663" s="68" t="s">
        <v>282</v>
      </c>
      <c r="W663" s="69" t="s">
        <v>282</v>
      </c>
      <c r="X663" s="69" t="s">
        <v>282</v>
      </c>
      <c r="Y663" s="70" t="s">
        <v>282</v>
      </c>
    </row>
    <row r="664" spans="1:25">
      <c r="A664" s="64">
        <v>12</v>
      </c>
      <c r="B664" s="65" t="str">
        <f>VLOOKUP(Tabel10[[#This Row],[Code]],Ruimtegroepen[[Code]:[Ruimte omschrijving]],2,FALSE)</f>
        <v>Kantine/Aula</v>
      </c>
      <c r="C664" s="66" t="s">
        <v>837</v>
      </c>
      <c r="D664" s="65" t="s">
        <v>28</v>
      </c>
      <c r="E664" s="66" t="s">
        <v>100</v>
      </c>
      <c r="F664" s="66" t="s">
        <v>838</v>
      </c>
      <c r="G664" s="71" t="s">
        <v>282</v>
      </c>
      <c r="H664" s="67" t="s">
        <v>282</v>
      </c>
      <c r="I664" s="67" t="s">
        <v>17</v>
      </c>
      <c r="J664" s="67" t="s">
        <v>282</v>
      </c>
      <c r="K664" s="67" t="s">
        <v>282</v>
      </c>
      <c r="L664" s="67" t="s">
        <v>282</v>
      </c>
      <c r="M664" s="67" t="s">
        <v>282</v>
      </c>
      <c r="N664" s="67" t="s">
        <v>282</v>
      </c>
      <c r="O664" s="68" t="s">
        <v>17</v>
      </c>
      <c r="P664" s="68" t="s">
        <v>17</v>
      </c>
      <c r="Q664" s="68" t="s">
        <v>15</v>
      </c>
      <c r="R664" s="68" t="s">
        <v>282</v>
      </c>
      <c r="S664" s="68" t="s">
        <v>282</v>
      </c>
      <c r="T664" s="68" t="s">
        <v>282</v>
      </c>
      <c r="U664" s="68" t="s">
        <v>282</v>
      </c>
      <c r="V664" s="68" t="s">
        <v>282</v>
      </c>
      <c r="W664" s="69" t="s">
        <v>282</v>
      </c>
      <c r="X664" s="69" t="s">
        <v>282</v>
      </c>
      <c r="Y664" s="70" t="s">
        <v>282</v>
      </c>
    </row>
    <row r="665" spans="1:25">
      <c r="A665" s="64">
        <v>12</v>
      </c>
      <c r="B665" s="65" t="str">
        <f>VLOOKUP(Tabel10[[#This Row],[Code]],Ruimtegroepen[[Code]:[Ruimte omschrijving]],2,FALSE)</f>
        <v>Kantine/Aula</v>
      </c>
      <c r="C665" s="66" t="s">
        <v>837</v>
      </c>
      <c r="D665" s="65" t="s">
        <v>28</v>
      </c>
      <c r="E665" s="66" t="s">
        <v>99</v>
      </c>
      <c r="F665" s="66" t="s">
        <v>839</v>
      </c>
      <c r="G665" s="71" t="s">
        <v>282</v>
      </c>
      <c r="H665" s="67" t="s">
        <v>17</v>
      </c>
      <c r="I665" s="67" t="s">
        <v>282</v>
      </c>
      <c r="J665" s="67" t="s">
        <v>282</v>
      </c>
      <c r="K665" s="67" t="s">
        <v>282</v>
      </c>
      <c r="L665" s="67" t="s">
        <v>282</v>
      </c>
      <c r="M665" s="67" t="s">
        <v>282</v>
      </c>
      <c r="N665" s="67" t="s">
        <v>282</v>
      </c>
      <c r="O665" s="68" t="s">
        <v>17</v>
      </c>
      <c r="P665" s="68" t="s">
        <v>17</v>
      </c>
      <c r="Q665" s="68" t="s">
        <v>15</v>
      </c>
      <c r="R665" s="68" t="s">
        <v>282</v>
      </c>
      <c r="S665" s="68" t="s">
        <v>282</v>
      </c>
      <c r="T665" s="68" t="s">
        <v>282</v>
      </c>
      <c r="U665" s="68" t="s">
        <v>282</v>
      </c>
      <c r="V665" s="68" t="s">
        <v>282</v>
      </c>
      <c r="W665" s="69" t="s">
        <v>282</v>
      </c>
      <c r="X665" s="69" t="s">
        <v>282</v>
      </c>
      <c r="Y665" s="70" t="s">
        <v>282</v>
      </c>
    </row>
    <row r="666" spans="1:25">
      <c r="A666" s="64">
        <v>12</v>
      </c>
      <c r="B666" s="65" t="str">
        <f>VLOOKUP(Tabel10[[#This Row],[Code]],Ruimtegroepen[[Code]:[Ruimte omschrijving]],2,FALSE)</f>
        <v>Kantine/Aula</v>
      </c>
      <c r="C666" s="66" t="s">
        <v>837</v>
      </c>
      <c r="D666" s="65" t="s">
        <v>28</v>
      </c>
      <c r="E666" s="66" t="s">
        <v>101</v>
      </c>
      <c r="F666" s="66" t="s">
        <v>840</v>
      </c>
      <c r="G666" s="71" t="s">
        <v>282</v>
      </c>
      <c r="H666" s="67" t="s">
        <v>282</v>
      </c>
      <c r="I666" s="67" t="s">
        <v>17</v>
      </c>
      <c r="J666" s="67" t="s">
        <v>282</v>
      </c>
      <c r="K666" s="67" t="s">
        <v>282</v>
      </c>
      <c r="L666" s="67" t="s">
        <v>282</v>
      </c>
      <c r="M666" s="67" t="s">
        <v>282</v>
      </c>
      <c r="N666" s="67" t="s">
        <v>282</v>
      </c>
      <c r="O666" s="68" t="s">
        <v>17</v>
      </c>
      <c r="P666" s="68" t="s">
        <v>17</v>
      </c>
      <c r="Q666" s="68" t="s">
        <v>15</v>
      </c>
      <c r="R666" s="68" t="s">
        <v>282</v>
      </c>
      <c r="S666" s="68" t="s">
        <v>282</v>
      </c>
      <c r="T666" s="68" t="s">
        <v>282</v>
      </c>
      <c r="U666" s="68" t="s">
        <v>282</v>
      </c>
      <c r="V666" s="68" t="s">
        <v>282</v>
      </c>
      <c r="W666" s="69" t="s">
        <v>282</v>
      </c>
      <c r="X666" s="69" t="s">
        <v>282</v>
      </c>
      <c r="Y666" s="70" t="s">
        <v>282</v>
      </c>
    </row>
    <row r="667" spans="1:25">
      <c r="A667" s="64">
        <v>12</v>
      </c>
      <c r="B667" s="65" t="str">
        <f>VLOOKUP(Tabel10[[#This Row],[Code]],Ruimtegroepen[[Code]:[Ruimte omschrijving]],2,FALSE)</f>
        <v>Kantine/Aula</v>
      </c>
      <c r="C667" s="66" t="s">
        <v>837</v>
      </c>
      <c r="D667" s="65" t="s">
        <v>28</v>
      </c>
      <c r="E667" s="66" t="s">
        <v>102</v>
      </c>
      <c r="F667" s="66" t="s">
        <v>841</v>
      </c>
      <c r="G667" s="71" t="s">
        <v>282</v>
      </c>
      <c r="H667" s="67" t="s">
        <v>282</v>
      </c>
      <c r="I667" s="67" t="s">
        <v>17</v>
      </c>
      <c r="J667" s="67" t="s">
        <v>282</v>
      </c>
      <c r="K667" s="67" t="s">
        <v>282</v>
      </c>
      <c r="L667" s="67" t="s">
        <v>282</v>
      </c>
      <c r="M667" s="67" t="s">
        <v>282</v>
      </c>
      <c r="N667" s="67" t="s">
        <v>282</v>
      </c>
      <c r="O667" s="68" t="s">
        <v>17</v>
      </c>
      <c r="P667" s="68" t="s">
        <v>17</v>
      </c>
      <c r="Q667" s="68" t="s">
        <v>15</v>
      </c>
      <c r="R667" s="68" t="s">
        <v>282</v>
      </c>
      <c r="S667" s="68" t="s">
        <v>282</v>
      </c>
      <c r="T667" s="68" t="s">
        <v>282</v>
      </c>
      <c r="U667" s="68" t="s">
        <v>282</v>
      </c>
      <c r="V667" s="68" t="s">
        <v>282</v>
      </c>
      <c r="W667" s="69" t="s">
        <v>282</v>
      </c>
      <c r="X667" s="69" t="s">
        <v>282</v>
      </c>
      <c r="Y667" s="70" t="s">
        <v>282</v>
      </c>
    </row>
    <row r="668" spans="1:25">
      <c r="A668" s="64">
        <v>12</v>
      </c>
      <c r="B668" s="65" t="str">
        <f>VLOOKUP(Tabel10[[#This Row],[Code]],Ruimtegroepen[[Code]:[Ruimte omschrijving]],2,FALSE)</f>
        <v>Kantine/Aula</v>
      </c>
      <c r="C668" s="66" t="s">
        <v>837</v>
      </c>
      <c r="D668" s="65" t="s">
        <v>28</v>
      </c>
      <c r="E668" s="66" t="s">
        <v>99</v>
      </c>
      <c r="F668" s="66" t="s">
        <v>839</v>
      </c>
      <c r="G668" s="71" t="s">
        <v>282</v>
      </c>
      <c r="H668" s="67" t="s">
        <v>17</v>
      </c>
      <c r="I668" s="67" t="s">
        <v>282</v>
      </c>
      <c r="J668" s="67" t="s">
        <v>282</v>
      </c>
      <c r="K668" s="67" t="s">
        <v>282</v>
      </c>
      <c r="L668" s="67" t="s">
        <v>282</v>
      </c>
      <c r="M668" s="67" t="s">
        <v>282</v>
      </c>
      <c r="N668" s="67" t="s">
        <v>282</v>
      </c>
      <c r="O668" s="68" t="s">
        <v>17</v>
      </c>
      <c r="P668" s="68" t="s">
        <v>17</v>
      </c>
      <c r="Q668" s="68" t="s">
        <v>15</v>
      </c>
      <c r="R668" s="68" t="s">
        <v>282</v>
      </c>
      <c r="S668" s="68" t="s">
        <v>282</v>
      </c>
      <c r="T668" s="68" t="s">
        <v>282</v>
      </c>
      <c r="U668" s="68" t="s">
        <v>282</v>
      </c>
      <c r="V668" s="68" t="s">
        <v>282</v>
      </c>
      <c r="W668" s="69" t="s">
        <v>282</v>
      </c>
      <c r="X668" s="69" t="s">
        <v>282</v>
      </c>
      <c r="Y668" s="70" t="s">
        <v>282</v>
      </c>
    </row>
    <row r="669" spans="1:25">
      <c r="A669" s="64">
        <v>12</v>
      </c>
      <c r="B669" s="65" t="str">
        <f>VLOOKUP(Tabel10[[#This Row],[Code]],Ruimtegroepen[[Code]:[Ruimte omschrijving]],2,FALSE)</f>
        <v>Kantine/Aula</v>
      </c>
      <c r="C669" s="66" t="s">
        <v>837</v>
      </c>
      <c r="D669" s="65" t="s">
        <v>28</v>
      </c>
      <c r="E669" s="66" t="s">
        <v>1309</v>
      </c>
      <c r="F669" s="66" t="s">
        <v>1418</v>
      </c>
      <c r="G669" s="71" t="s">
        <v>282</v>
      </c>
      <c r="H669" s="67" t="s">
        <v>282</v>
      </c>
      <c r="I669" s="67" t="s">
        <v>17</v>
      </c>
      <c r="J669" s="67" t="s">
        <v>282</v>
      </c>
      <c r="K669" s="67" t="s">
        <v>282</v>
      </c>
      <c r="L669" s="67" t="s">
        <v>282</v>
      </c>
      <c r="M669" s="67" t="s">
        <v>282</v>
      </c>
      <c r="N669" s="67" t="s">
        <v>282</v>
      </c>
      <c r="O669" s="68" t="s">
        <v>17</v>
      </c>
      <c r="P669" s="68" t="s">
        <v>17</v>
      </c>
      <c r="Q669" s="68" t="s">
        <v>15</v>
      </c>
      <c r="R669" s="68" t="s">
        <v>282</v>
      </c>
      <c r="S669" s="68" t="s">
        <v>282</v>
      </c>
      <c r="T669" s="68" t="s">
        <v>282</v>
      </c>
      <c r="U669" s="68" t="s">
        <v>282</v>
      </c>
      <c r="V669" s="68" t="s">
        <v>282</v>
      </c>
      <c r="W669" s="69" t="s">
        <v>282</v>
      </c>
      <c r="X669" s="69" t="s">
        <v>282</v>
      </c>
      <c r="Y669" s="70" t="s">
        <v>282</v>
      </c>
    </row>
    <row r="670" spans="1:25">
      <c r="A670" s="64">
        <v>13</v>
      </c>
      <c r="B670" s="65" t="str">
        <f>VLOOKUP(Tabel10[[#This Row],[Code]],Ruimtegroepen[[Code]:[Ruimte omschrijving]],2,FALSE)</f>
        <v>Personeelskamer</v>
      </c>
      <c r="C670" s="66" t="s">
        <v>842</v>
      </c>
      <c r="D670" s="65" t="s">
        <v>29</v>
      </c>
      <c r="E670" s="66" t="s">
        <v>100</v>
      </c>
      <c r="F670" s="66" t="s">
        <v>843</v>
      </c>
      <c r="G670" s="71" t="s">
        <v>282</v>
      </c>
      <c r="H670" s="67" t="s">
        <v>282</v>
      </c>
      <c r="I670" s="67" t="s">
        <v>20</v>
      </c>
      <c r="J670" s="67" t="s">
        <v>15</v>
      </c>
      <c r="K670" s="67" t="s">
        <v>282</v>
      </c>
      <c r="L670" s="67" t="s">
        <v>282</v>
      </c>
      <c r="M670" s="67" t="s">
        <v>282</v>
      </c>
      <c r="N670" s="67" t="s">
        <v>2</v>
      </c>
      <c r="O670" s="68" t="s">
        <v>2</v>
      </c>
      <c r="P670" s="68" t="s">
        <v>2</v>
      </c>
      <c r="Q670" s="68" t="s">
        <v>15</v>
      </c>
      <c r="R670" s="68" t="s">
        <v>15</v>
      </c>
      <c r="S670" s="68" t="s">
        <v>16</v>
      </c>
      <c r="T670" s="68" t="s">
        <v>329</v>
      </c>
      <c r="U670" s="68" t="s">
        <v>249</v>
      </c>
      <c r="V670" s="68" t="s">
        <v>2</v>
      </c>
      <c r="W670" s="69" t="s">
        <v>282</v>
      </c>
      <c r="X670" s="69" t="s">
        <v>282</v>
      </c>
      <c r="Y670" s="70" t="s">
        <v>282</v>
      </c>
    </row>
    <row r="671" spans="1:25">
      <c r="A671" s="64">
        <v>13</v>
      </c>
      <c r="B671" s="65" t="str">
        <f>VLOOKUP(Tabel10[[#This Row],[Code]],Ruimtegroepen[[Code]:[Ruimte omschrijving]],2,FALSE)</f>
        <v>Personeelskamer</v>
      </c>
      <c r="C671" s="66" t="s">
        <v>842</v>
      </c>
      <c r="D671" s="65" t="s">
        <v>29</v>
      </c>
      <c r="E671" s="66" t="s">
        <v>99</v>
      </c>
      <c r="F671" s="66" t="s">
        <v>844</v>
      </c>
      <c r="G671" s="67" t="s">
        <v>20</v>
      </c>
      <c r="H671" s="67" t="s">
        <v>15</v>
      </c>
      <c r="I671" s="67" t="s">
        <v>282</v>
      </c>
      <c r="J671" s="67" t="s">
        <v>282</v>
      </c>
      <c r="K671" s="67" t="s">
        <v>282</v>
      </c>
      <c r="L671" s="67" t="s">
        <v>282</v>
      </c>
      <c r="M671" s="67" t="s">
        <v>282</v>
      </c>
      <c r="N671" s="67" t="s">
        <v>2</v>
      </c>
      <c r="O671" s="68" t="s">
        <v>2</v>
      </c>
      <c r="P671" s="68" t="s">
        <v>2</v>
      </c>
      <c r="Q671" s="68" t="s">
        <v>15</v>
      </c>
      <c r="R671" s="68" t="s">
        <v>15</v>
      </c>
      <c r="S671" s="68" t="s">
        <v>16</v>
      </c>
      <c r="T671" s="68" t="s">
        <v>329</v>
      </c>
      <c r="U671" s="68" t="s">
        <v>249</v>
      </c>
      <c r="V671" s="68" t="s">
        <v>2</v>
      </c>
      <c r="W671" s="69" t="s">
        <v>282</v>
      </c>
      <c r="X671" s="69" t="s">
        <v>282</v>
      </c>
      <c r="Y671" s="70" t="s">
        <v>282</v>
      </c>
    </row>
    <row r="672" spans="1:25">
      <c r="A672" s="64">
        <v>13</v>
      </c>
      <c r="B672" s="65" t="str">
        <f>VLOOKUP(Tabel10[[#This Row],[Code]],Ruimtegroepen[[Code]:[Ruimte omschrijving]],2,FALSE)</f>
        <v>Personeelskamer</v>
      </c>
      <c r="C672" s="66" t="s">
        <v>842</v>
      </c>
      <c r="D672" s="65" t="s">
        <v>29</v>
      </c>
      <c r="E672" s="66" t="s">
        <v>101</v>
      </c>
      <c r="F672" s="66" t="s">
        <v>845</v>
      </c>
      <c r="G672" s="71" t="s">
        <v>282</v>
      </c>
      <c r="H672" s="67" t="s">
        <v>282</v>
      </c>
      <c r="I672" s="67" t="s">
        <v>20</v>
      </c>
      <c r="J672" s="67" t="s">
        <v>15</v>
      </c>
      <c r="K672" s="67" t="s">
        <v>249</v>
      </c>
      <c r="L672" s="67" t="s">
        <v>282</v>
      </c>
      <c r="M672" s="67" t="s">
        <v>282</v>
      </c>
      <c r="N672" s="67" t="s">
        <v>2</v>
      </c>
      <c r="O672" s="68" t="s">
        <v>2</v>
      </c>
      <c r="P672" s="68" t="s">
        <v>2</v>
      </c>
      <c r="Q672" s="68" t="s">
        <v>15</v>
      </c>
      <c r="R672" s="68" t="s">
        <v>15</v>
      </c>
      <c r="S672" s="68" t="s">
        <v>16</v>
      </c>
      <c r="T672" s="68" t="s">
        <v>329</v>
      </c>
      <c r="U672" s="68" t="s">
        <v>249</v>
      </c>
      <c r="V672" s="68" t="s">
        <v>2</v>
      </c>
      <c r="W672" s="69" t="s">
        <v>282</v>
      </c>
      <c r="X672" s="69" t="s">
        <v>282</v>
      </c>
      <c r="Y672" s="70" t="s">
        <v>282</v>
      </c>
    </row>
    <row r="673" spans="1:25">
      <c r="A673" s="64">
        <v>13</v>
      </c>
      <c r="B673" s="65" t="str">
        <f>VLOOKUP(Tabel10[[#This Row],[Code]],Ruimtegroepen[[Code]:[Ruimte omschrijving]],2,FALSE)</f>
        <v>Personeelskamer</v>
      </c>
      <c r="C673" s="66" t="s">
        <v>842</v>
      </c>
      <c r="D673" s="65" t="s">
        <v>29</v>
      </c>
      <c r="E673" s="66" t="s">
        <v>102</v>
      </c>
      <c r="F673" s="66" t="s">
        <v>846</v>
      </c>
      <c r="G673" s="71" t="s">
        <v>282</v>
      </c>
      <c r="H673" s="67" t="s">
        <v>282</v>
      </c>
      <c r="I673" s="67" t="s">
        <v>20</v>
      </c>
      <c r="J673" s="67" t="s">
        <v>15</v>
      </c>
      <c r="K673" s="67" t="s">
        <v>249</v>
      </c>
      <c r="L673" s="67" t="s">
        <v>282</v>
      </c>
      <c r="M673" s="67" t="s">
        <v>282</v>
      </c>
      <c r="N673" s="67" t="s">
        <v>2</v>
      </c>
      <c r="O673" s="68" t="s">
        <v>2</v>
      </c>
      <c r="P673" s="68" t="s">
        <v>2</v>
      </c>
      <c r="Q673" s="68" t="s">
        <v>15</v>
      </c>
      <c r="R673" s="68" t="s">
        <v>15</v>
      </c>
      <c r="S673" s="68" t="s">
        <v>16</v>
      </c>
      <c r="T673" s="68" t="s">
        <v>329</v>
      </c>
      <c r="U673" s="68" t="s">
        <v>249</v>
      </c>
      <c r="V673" s="68" t="s">
        <v>2</v>
      </c>
      <c r="W673" s="69" t="s">
        <v>282</v>
      </c>
      <c r="X673" s="69" t="s">
        <v>282</v>
      </c>
      <c r="Y673" s="70" t="s">
        <v>282</v>
      </c>
    </row>
    <row r="674" spans="1:25">
      <c r="A674" s="64">
        <v>13</v>
      </c>
      <c r="B674" s="65" t="str">
        <f>VLOOKUP(Tabel10[[#This Row],[Code]],Ruimtegroepen[[Code]:[Ruimte omschrijving]],2,FALSE)</f>
        <v>Personeelskamer</v>
      </c>
      <c r="C674" s="66" t="s">
        <v>842</v>
      </c>
      <c r="D674" s="65" t="s">
        <v>29</v>
      </c>
      <c r="E674" s="66" t="s">
        <v>99</v>
      </c>
      <c r="F674" s="66" t="s">
        <v>844</v>
      </c>
      <c r="G674" s="67" t="s">
        <v>20</v>
      </c>
      <c r="H674" s="67" t="s">
        <v>15</v>
      </c>
      <c r="I674" s="67" t="s">
        <v>282</v>
      </c>
      <c r="J674" s="67" t="s">
        <v>282</v>
      </c>
      <c r="K674" s="67" t="s">
        <v>282</v>
      </c>
      <c r="L674" s="67" t="s">
        <v>282</v>
      </c>
      <c r="M674" s="67" t="s">
        <v>282</v>
      </c>
      <c r="N674" s="67" t="s">
        <v>2</v>
      </c>
      <c r="O674" s="68" t="s">
        <v>2</v>
      </c>
      <c r="P674" s="68" t="s">
        <v>2</v>
      </c>
      <c r="Q674" s="68" t="s">
        <v>15</v>
      </c>
      <c r="R674" s="68" t="s">
        <v>15</v>
      </c>
      <c r="S674" s="68" t="s">
        <v>16</v>
      </c>
      <c r="T674" s="68" t="s">
        <v>329</v>
      </c>
      <c r="U674" s="68" t="s">
        <v>249</v>
      </c>
      <c r="V674" s="68" t="s">
        <v>2</v>
      </c>
      <c r="W674" s="69" t="s">
        <v>282</v>
      </c>
      <c r="X674" s="69" t="s">
        <v>282</v>
      </c>
      <c r="Y674" s="70" t="s">
        <v>282</v>
      </c>
    </row>
    <row r="675" spans="1:25">
      <c r="A675" s="64">
        <v>13</v>
      </c>
      <c r="B675" s="65" t="str">
        <f>VLOOKUP(Tabel10[[#This Row],[Code]],Ruimtegroepen[[Code]:[Ruimte omschrijving]],2,FALSE)</f>
        <v>Personeelskamer</v>
      </c>
      <c r="C675" s="66" t="s">
        <v>842</v>
      </c>
      <c r="D675" s="65" t="s">
        <v>29</v>
      </c>
      <c r="E675" s="66" t="s">
        <v>1309</v>
      </c>
      <c r="F675" s="66" t="s">
        <v>1486</v>
      </c>
      <c r="G675" s="71" t="s">
        <v>282</v>
      </c>
      <c r="H675" s="67" t="s">
        <v>282</v>
      </c>
      <c r="I675" s="67" t="s">
        <v>20</v>
      </c>
      <c r="J675" s="67" t="s">
        <v>15</v>
      </c>
      <c r="K675" s="67" t="s">
        <v>249</v>
      </c>
      <c r="L675" s="67" t="s">
        <v>282</v>
      </c>
      <c r="M675" s="67" t="s">
        <v>282</v>
      </c>
      <c r="N675" s="67" t="s">
        <v>2</v>
      </c>
      <c r="O675" s="68" t="s">
        <v>2</v>
      </c>
      <c r="P675" s="68" t="s">
        <v>2</v>
      </c>
      <c r="Q675" s="68" t="s">
        <v>15</v>
      </c>
      <c r="R675" s="68" t="s">
        <v>15</v>
      </c>
      <c r="S675" s="68" t="s">
        <v>16</v>
      </c>
      <c r="T675" s="68" t="s">
        <v>329</v>
      </c>
      <c r="U675" s="68" t="s">
        <v>249</v>
      </c>
      <c r="V675" s="68" t="s">
        <v>2</v>
      </c>
      <c r="W675" s="69" t="s">
        <v>282</v>
      </c>
      <c r="X675" s="69" t="s">
        <v>282</v>
      </c>
      <c r="Y675" s="70" t="s">
        <v>282</v>
      </c>
    </row>
    <row r="676" spans="1:25">
      <c r="A676" s="64">
        <v>13</v>
      </c>
      <c r="B676" s="65" t="str">
        <f>VLOOKUP(Tabel10[[#This Row],[Code]],Ruimtegroepen[[Code]:[Ruimte omschrijving]],2,FALSE)</f>
        <v>Personeelskamer</v>
      </c>
      <c r="C676" s="66" t="s">
        <v>847</v>
      </c>
      <c r="D676" s="65" t="s">
        <v>1</v>
      </c>
      <c r="E676" s="66" t="s">
        <v>100</v>
      </c>
      <c r="F676" s="66" t="s">
        <v>848</v>
      </c>
      <c r="G676" s="71" t="s">
        <v>282</v>
      </c>
      <c r="H676" s="67" t="s">
        <v>282</v>
      </c>
      <c r="I676" s="67" t="s">
        <v>20</v>
      </c>
      <c r="J676" s="67" t="s">
        <v>15</v>
      </c>
      <c r="K676" s="67" t="s">
        <v>282</v>
      </c>
      <c r="L676" s="67" t="s">
        <v>282</v>
      </c>
      <c r="M676" s="67" t="s">
        <v>282</v>
      </c>
      <c r="N676" s="67" t="s">
        <v>282</v>
      </c>
      <c r="O676" s="68" t="s">
        <v>2</v>
      </c>
      <c r="P676" s="68" t="s">
        <v>2</v>
      </c>
      <c r="Q676" s="68" t="s">
        <v>15</v>
      </c>
      <c r="R676" s="68" t="s">
        <v>15</v>
      </c>
      <c r="S676" s="68" t="s">
        <v>16</v>
      </c>
      <c r="T676" s="68" t="s">
        <v>329</v>
      </c>
      <c r="U676" s="68" t="s">
        <v>249</v>
      </c>
      <c r="V676" s="68" t="s">
        <v>282</v>
      </c>
      <c r="W676" s="69" t="s">
        <v>282</v>
      </c>
      <c r="X676" s="69" t="s">
        <v>282</v>
      </c>
      <c r="Y676" s="70" t="s">
        <v>282</v>
      </c>
    </row>
    <row r="677" spans="1:25">
      <c r="A677" s="64">
        <v>13</v>
      </c>
      <c r="B677" s="65" t="str">
        <f>VLOOKUP(Tabel10[[#This Row],[Code]],Ruimtegroepen[[Code]:[Ruimte omschrijving]],2,FALSE)</f>
        <v>Personeelskamer</v>
      </c>
      <c r="C677" s="66" t="s">
        <v>847</v>
      </c>
      <c r="D677" s="65" t="s">
        <v>1</v>
      </c>
      <c r="E677" s="66" t="s">
        <v>99</v>
      </c>
      <c r="F677" s="66" t="s">
        <v>849</v>
      </c>
      <c r="G677" s="67" t="s">
        <v>20</v>
      </c>
      <c r="H677" s="67" t="s">
        <v>15</v>
      </c>
      <c r="I677" s="67" t="s">
        <v>282</v>
      </c>
      <c r="J677" s="67" t="s">
        <v>282</v>
      </c>
      <c r="K677" s="67" t="s">
        <v>282</v>
      </c>
      <c r="L677" s="67" t="s">
        <v>282</v>
      </c>
      <c r="M677" s="67" t="s">
        <v>282</v>
      </c>
      <c r="N677" s="67" t="s">
        <v>282</v>
      </c>
      <c r="O677" s="68" t="s">
        <v>2</v>
      </c>
      <c r="P677" s="68" t="s">
        <v>2</v>
      </c>
      <c r="Q677" s="68" t="s">
        <v>15</v>
      </c>
      <c r="R677" s="68" t="s">
        <v>15</v>
      </c>
      <c r="S677" s="68" t="s">
        <v>16</v>
      </c>
      <c r="T677" s="68" t="s">
        <v>329</v>
      </c>
      <c r="U677" s="68" t="s">
        <v>249</v>
      </c>
      <c r="V677" s="68" t="s">
        <v>282</v>
      </c>
      <c r="W677" s="69" t="s">
        <v>282</v>
      </c>
      <c r="X677" s="69" t="s">
        <v>282</v>
      </c>
      <c r="Y677" s="70" t="s">
        <v>282</v>
      </c>
    </row>
    <row r="678" spans="1:25">
      <c r="A678" s="64">
        <v>13</v>
      </c>
      <c r="B678" s="65" t="str">
        <f>VLOOKUP(Tabel10[[#This Row],[Code]],Ruimtegroepen[[Code]:[Ruimte omschrijving]],2,FALSE)</f>
        <v>Personeelskamer</v>
      </c>
      <c r="C678" s="66" t="s">
        <v>847</v>
      </c>
      <c r="D678" s="65" t="s">
        <v>1</v>
      </c>
      <c r="E678" s="66" t="s">
        <v>101</v>
      </c>
      <c r="F678" s="66" t="s">
        <v>850</v>
      </c>
      <c r="G678" s="71" t="s">
        <v>282</v>
      </c>
      <c r="H678" s="67" t="s">
        <v>282</v>
      </c>
      <c r="I678" s="67" t="s">
        <v>20</v>
      </c>
      <c r="J678" s="67" t="s">
        <v>15</v>
      </c>
      <c r="K678" s="67" t="s">
        <v>249</v>
      </c>
      <c r="L678" s="67" t="s">
        <v>282</v>
      </c>
      <c r="M678" s="67" t="s">
        <v>282</v>
      </c>
      <c r="N678" s="67" t="s">
        <v>282</v>
      </c>
      <c r="O678" s="68" t="s">
        <v>2</v>
      </c>
      <c r="P678" s="68" t="s">
        <v>2</v>
      </c>
      <c r="Q678" s="68" t="s">
        <v>15</v>
      </c>
      <c r="R678" s="68" t="s">
        <v>15</v>
      </c>
      <c r="S678" s="68" t="s">
        <v>16</v>
      </c>
      <c r="T678" s="68" t="s">
        <v>329</v>
      </c>
      <c r="U678" s="68" t="s">
        <v>249</v>
      </c>
      <c r="V678" s="68" t="s">
        <v>282</v>
      </c>
      <c r="W678" s="69" t="s">
        <v>282</v>
      </c>
      <c r="X678" s="69" t="s">
        <v>282</v>
      </c>
      <c r="Y678" s="70" t="s">
        <v>282</v>
      </c>
    </row>
    <row r="679" spans="1:25">
      <c r="A679" s="64">
        <v>13</v>
      </c>
      <c r="B679" s="65" t="str">
        <f>VLOOKUP(Tabel10[[#This Row],[Code]],Ruimtegroepen[[Code]:[Ruimte omschrijving]],2,FALSE)</f>
        <v>Personeelskamer</v>
      </c>
      <c r="C679" s="66" t="s">
        <v>847</v>
      </c>
      <c r="D679" s="65" t="s">
        <v>1</v>
      </c>
      <c r="E679" s="66" t="s">
        <v>102</v>
      </c>
      <c r="F679" s="66" t="s">
        <v>851</v>
      </c>
      <c r="G679" s="71" t="s">
        <v>282</v>
      </c>
      <c r="H679" s="67" t="s">
        <v>282</v>
      </c>
      <c r="I679" s="67" t="s">
        <v>20</v>
      </c>
      <c r="J679" s="67" t="s">
        <v>15</v>
      </c>
      <c r="K679" s="67" t="s">
        <v>249</v>
      </c>
      <c r="L679" s="67" t="s">
        <v>282</v>
      </c>
      <c r="M679" s="67" t="s">
        <v>282</v>
      </c>
      <c r="N679" s="67" t="s">
        <v>282</v>
      </c>
      <c r="O679" s="68" t="s">
        <v>2</v>
      </c>
      <c r="P679" s="68" t="s">
        <v>2</v>
      </c>
      <c r="Q679" s="68" t="s">
        <v>15</v>
      </c>
      <c r="R679" s="68" t="s">
        <v>15</v>
      </c>
      <c r="S679" s="68" t="s">
        <v>16</v>
      </c>
      <c r="T679" s="68" t="s">
        <v>329</v>
      </c>
      <c r="U679" s="68" t="s">
        <v>249</v>
      </c>
      <c r="V679" s="68" t="s">
        <v>282</v>
      </c>
      <c r="W679" s="69" t="s">
        <v>282</v>
      </c>
      <c r="X679" s="69" t="s">
        <v>282</v>
      </c>
      <c r="Y679" s="70" t="s">
        <v>282</v>
      </c>
    </row>
    <row r="680" spans="1:25">
      <c r="A680" s="64">
        <v>13</v>
      </c>
      <c r="B680" s="65" t="str">
        <f>VLOOKUP(Tabel10[[#This Row],[Code]],Ruimtegroepen[[Code]:[Ruimte omschrijving]],2,FALSE)</f>
        <v>Personeelskamer</v>
      </c>
      <c r="C680" s="66" t="s">
        <v>847</v>
      </c>
      <c r="D680" s="65" t="s">
        <v>1</v>
      </c>
      <c r="E680" s="66" t="s">
        <v>99</v>
      </c>
      <c r="F680" s="66" t="s">
        <v>849</v>
      </c>
      <c r="G680" s="67" t="s">
        <v>20</v>
      </c>
      <c r="H680" s="67" t="s">
        <v>15</v>
      </c>
      <c r="I680" s="67" t="s">
        <v>282</v>
      </c>
      <c r="J680" s="67" t="s">
        <v>282</v>
      </c>
      <c r="K680" s="67" t="s">
        <v>282</v>
      </c>
      <c r="L680" s="67" t="s">
        <v>282</v>
      </c>
      <c r="M680" s="67" t="s">
        <v>282</v>
      </c>
      <c r="N680" s="67" t="s">
        <v>282</v>
      </c>
      <c r="O680" s="68" t="s">
        <v>2</v>
      </c>
      <c r="P680" s="68" t="s">
        <v>2</v>
      </c>
      <c r="Q680" s="68" t="s">
        <v>15</v>
      </c>
      <c r="R680" s="68" t="s">
        <v>15</v>
      </c>
      <c r="S680" s="68" t="s">
        <v>16</v>
      </c>
      <c r="T680" s="68" t="s">
        <v>329</v>
      </c>
      <c r="U680" s="68" t="s">
        <v>249</v>
      </c>
      <c r="V680" s="68" t="s">
        <v>282</v>
      </c>
      <c r="W680" s="69" t="s">
        <v>282</v>
      </c>
      <c r="X680" s="69" t="s">
        <v>282</v>
      </c>
      <c r="Y680" s="70" t="s">
        <v>282</v>
      </c>
    </row>
    <row r="681" spans="1:25">
      <c r="A681" s="64">
        <v>13</v>
      </c>
      <c r="B681" s="65" t="str">
        <f>VLOOKUP(Tabel10[[#This Row],[Code]],Ruimtegroepen[[Code]:[Ruimte omschrijving]],2,FALSE)</f>
        <v>Personeelskamer</v>
      </c>
      <c r="C681" s="66" t="s">
        <v>847</v>
      </c>
      <c r="D681" s="65" t="s">
        <v>1</v>
      </c>
      <c r="E681" s="66" t="s">
        <v>1309</v>
      </c>
      <c r="F681" s="66" t="s">
        <v>1470</v>
      </c>
      <c r="G681" s="71" t="s">
        <v>282</v>
      </c>
      <c r="H681" s="67" t="s">
        <v>282</v>
      </c>
      <c r="I681" s="67" t="s">
        <v>20</v>
      </c>
      <c r="J681" s="67" t="s">
        <v>15</v>
      </c>
      <c r="K681" s="67" t="s">
        <v>249</v>
      </c>
      <c r="L681" s="67" t="s">
        <v>282</v>
      </c>
      <c r="M681" s="67" t="s">
        <v>282</v>
      </c>
      <c r="N681" s="67" t="s">
        <v>282</v>
      </c>
      <c r="O681" s="68" t="s">
        <v>2</v>
      </c>
      <c r="P681" s="68" t="s">
        <v>2</v>
      </c>
      <c r="Q681" s="68" t="s">
        <v>15</v>
      </c>
      <c r="R681" s="68" t="s">
        <v>15</v>
      </c>
      <c r="S681" s="68" t="s">
        <v>16</v>
      </c>
      <c r="T681" s="68" t="s">
        <v>329</v>
      </c>
      <c r="U681" s="68" t="s">
        <v>249</v>
      </c>
      <c r="V681" s="68" t="s">
        <v>282</v>
      </c>
      <c r="W681" s="69" t="s">
        <v>282</v>
      </c>
      <c r="X681" s="69" t="s">
        <v>282</v>
      </c>
      <c r="Y681" s="70" t="s">
        <v>282</v>
      </c>
    </row>
    <row r="682" spans="1:25">
      <c r="A682" s="64">
        <v>13</v>
      </c>
      <c r="B682" s="65" t="str">
        <f>VLOOKUP(Tabel10[[#This Row],[Code]],Ruimtegroepen[[Code]:[Ruimte omschrijving]],2,FALSE)</f>
        <v>Personeelskamer</v>
      </c>
      <c r="C682" s="66" t="s">
        <v>852</v>
      </c>
      <c r="D682" s="65" t="s">
        <v>21</v>
      </c>
      <c r="E682" s="66" t="s">
        <v>100</v>
      </c>
      <c r="F682" s="66" t="s">
        <v>853</v>
      </c>
      <c r="G682" s="71" t="s">
        <v>282</v>
      </c>
      <c r="H682" s="67" t="s">
        <v>282</v>
      </c>
      <c r="I682" s="67" t="s">
        <v>18</v>
      </c>
      <c r="J682" s="67" t="s">
        <v>15</v>
      </c>
      <c r="K682" s="67" t="s">
        <v>282</v>
      </c>
      <c r="L682" s="67" t="s">
        <v>282</v>
      </c>
      <c r="M682" s="67" t="s">
        <v>282</v>
      </c>
      <c r="N682" s="67" t="s">
        <v>282</v>
      </c>
      <c r="O682" s="68" t="s">
        <v>20</v>
      </c>
      <c r="P682" s="68" t="s">
        <v>20</v>
      </c>
      <c r="Q682" s="68" t="s">
        <v>15</v>
      </c>
      <c r="R682" s="68" t="s">
        <v>15</v>
      </c>
      <c r="S682" s="68" t="s">
        <v>16</v>
      </c>
      <c r="T682" s="68" t="s">
        <v>329</v>
      </c>
      <c r="U682" s="68" t="s">
        <v>249</v>
      </c>
      <c r="V682" s="68" t="s">
        <v>282</v>
      </c>
      <c r="W682" s="69" t="s">
        <v>282</v>
      </c>
      <c r="X682" s="69" t="s">
        <v>282</v>
      </c>
      <c r="Y682" s="70" t="s">
        <v>282</v>
      </c>
    </row>
    <row r="683" spans="1:25">
      <c r="A683" s="64">
        <v>13</v>
      </c>
      <c r="B683" s="65" t="str">
        <f>VLOOKUP(Tabel10[[#This Row],[Code]],Ruimtegroepen[[Code]:[Ruimte omschrijving]],2,FALSE)</f>
        <v>Personeelskamer</v>
      </c>
      <c r="C683" s="66" t="s">
        <v>852</v>
      </c>
      <c r="D683" s="65" t="s">
        <v>21</v>
      </c>
      <c r="E683" s="66" t="s">
        <v>99</v>
      </c>
      <c r="F683" s="66" t="s">
        <v>854</v>
      </c>
      <c r="G683" s="67" t="s">
        <v>18</v>
      </c>
      <c r="H683" s="67" t="s">
        <v>15</v>
      </c>
      <c r="I683" s="67" t="s">
        <v>282</v>
      </c>
      <c r="J683" s="67" t="s">
        <v>282</v>
      </c>
      <c r="K683" s="67" t="s">
        <v>282</v>
      </c>
      <c r="L683" s="67" t="s">
        <v>282</v>
      </c>
      <c r="M683" s="67" t="s">
        <v>282</v>
      </c>
      <c r="N683" s="67" t="s">
        <v>282</v>
      </c>
      <c r="O683" s="68" t="s">
        <v>20</v>
      </c>
      <c r="P683" s="68" t="s">
        <v>20</v>
      </c>
      <c r="Q683" s="68" t="s">
        <v>15</v>
      </c>
      <c r="R683" s="68" t="s">
        <v>15</v>
      </c>
      <c r="S683" s="68" t="s">
        <v>16</v>
      </c>
      <c r="T683" s="68" t="s">
        <v>329</v>
      </c>
      <c r="U683" s="68" t="s">
        <v>249</v>
      </c>
      <c r="V683" s="68" t="s">
        <v>282</v>
      </c>
      <c r="W683" s="69" t="s">
        <v>282</v>
      </c>
      <c r="X683" s="69" t="s">
        <v>282</v>
      </c>
      <c r="Y683" s="70" t="s">
        <v>282</v>
      </c>
    </row>
    <row r="684" spans="1:25">
      <c r="A684" s="64">
        <v>13</v>
      </c>
      <c r="B684" s="65" t="str">
        <f>VLOOKUP(Tabel10[[#This Row],[Code]],Ruimtegroepen[[Code]:[Ruimte omschrijving]],2,FALSE)</f>
        <v>Personeelskamer</v>
      </c>
      <c r="C684" s="66" t="s">
        <v>852</v>
      </c>
      <c r="D684" s="65" t="s">
        <v>21</v>
      </c>
      <c r="E684" s="66" t="s">
        <v>101</v>
      </c>
      <c r="F684" s="66" t="s">
        <v>855</v>
      </c>
      <c r="G684" s="71" t="s">
        <v>282</v>
      </c>
      <c r="H684" s="67" t="s">
        <v>282</v>
      </c>
      <c r="I684" s="67" t="s">
        <v>18</v>
      </c>
      <c r="J684" s="67" t="s">
        <v>15</v>
      </c>
      <c r="K684" s="67" t="s">
        <v>249</v>
      </c>
      <c r="L684" s="67" t="s">
        <v>282</v>
      </c>
      <c r="M684" s="67" t="s">
        <v>282</v>
      </c>
      <c r="N684" s="67" t="s">
        <v>282</v>
      </c>
      <c r="O684" s="68" t="s">
        <v>20</v>
      </c>
      <c r="P684" s="68" t="s">
        <v>20</v>
      </c>
      <c r="Q684" s="68" t="s">
        <v>15</v>
      </c>
      <c r="R684" s="68" t="s">
        <v>15</v>
      </c>
      <c r="S684" s="68" t="s">
        <v>16</v>
      </c>
      <c r="T684" s="68" t="s">
        <v>329</v>
      </c>
      <c r="U684" s="68" t="s">
        <v>249</v>
      </c>
      <c r="V684" s="68" t="s">
        <v>282</v>
      </c>
      <c r="W684" s="69" t="s">
        <v>282</v>
      </c>
      <c r="X684" s="69" t="s">
        <v>282</v>
      </c>
      <c r="Y684" s="70" t="s">
        <v>282</v>
      </c>
    </row>
    <row r="685" spans="1:25">
      <c r="A685" s="64">
        <v>13</v>
      </c>
      <c r="B685" s="65" t="str">
        <f>VLOOKUP(Tabel10[[#This Row],[Code]],Ruimtegroepen[[Code]:[Ruimte omschrijving]],2,FALSE)</f>
        <v>Personeelskamer</v>
      </c>
      <c r="C685" s="66" t="s">
        <v>852</v>
      </c>
      <c r="D685" s="65" t="s">
        <v>21</v>
      </c>
      <c r="E685" s="66" t="s">
        <v>102</v>
      </c>
      <c r="F685" s="66" t="s">
        <v>856</v>
      </c>
      <c r="G685" s="71" t="s">
        <v>282</v>
      </c>
      <c r="H685" s="67" t="s">
        <v>282</v>
      </c>
      <c r="I685" s="67" t="s">
        <v>18</v>
      </c>
      <c r="J685" s="67" t="s">
        <v>15</v>
      </c>
      <c r="K685" s="67" t="s">
        <v>249</v>
      </c>
      <c r="L685" s="67" t="s">
        <v>282</v>
      </c>
      <c r="M685" s="67" t="s">
        <v>282</v>
      </c>
      <c r="N685" s="67" t="s">
        <v>282</v>
      </c>
      <c r="O685" s="68" t="s">
        <v>20</v>
      </c>
      <c r="P685" s="68" t="s">
        <v>20</v>
      </c>
      <c r="Q685" s="68" t="s">
        <v>15</v>
      </c>
      <c r="R685" s="68" t="s">
        <v>15</v>
      </c>
      <c r="S685" s="68" t="s">
        <v>16</v>
      </c>
      <c r="T685" s="68" t="s">
        <v>329</v>
      </c>
      <c r="U685" s="68" t="s">
        <v>249</v>
      </c>
      <c r="V685" s="68" t="s">
        <v>282</v>
      </c>
      <c r="W685" s="69" t="s">
        <v>282</v>
      </c>
      <c r="X685" s="69" t="s">
        <v>282</v>
      </c>
      <c r="Y685" s="70" t="s">
        <v>282</v>
      </c>
    </row>
    <row r="686" spans="1:25">
      <c r="A686" s="64">
        <v>13</v>
      </c>
      <c r="B686" s="65" t="str">
        <f>VLOOKUP(Tabel10[[#This Row],[Code]],Ruimtegroepen[[Code]:[Ruimte omschrijving]],2,FALSE)</f>
        <v>Personeelskamer</v>
      </c>
      <c r="C686" s="66" t="s">
        <v>852</v>
      </c>
      <c r="D686" s="65" t="s">
        <v>21</v>
      </c>
      <c r="E686" s="66" t="s">
        <v>99</v>
      </c>
      <c r="F686" s="66" t="s">
        <v>854</v>
      </c>
      <c r="G686" s="67" t="s">
        <v>18</v>
      </c>
      <c r="H686" s="67" t="s">
        <v>15</v>
      </c>
      <c r="I686" s="67" t="s">
        <v>282</v>
      </c>
      <c r="J686" s="67" t="s">
        <v>282</v>
      </c>
      <c r="K686" s="67" t="s">
        <v>282</v>
      </c>
      <c r="L686" s="67" t="s">
        <v>282</v>
      </c>
      <c r="M686" s="67" t="s">
        <v>282</v>
      </c>
      <c r="N686" s="67" t="s">
        <v>282</v>
      </c>
      <c r="O686" s="68" t="s">
        <v>20</v>
      </c>
      <c r="P686" s="68" t="s">
        <v>20</v>
      </c>
      <c r="Q686" s="68" t="s">
        <v>15</v>
      </c>
      <c r="R686" s="68" t="s">
        <v>15</v>
      </c>
      <c r="S686" s="68" t="s">
        <v>16</v>
      </c>
      <c r="T686" s="68" t="s">
        <v>329</v>
      </c>
      <c r="U686" s="68" t="s">
        <v>249</v>
      </c>
      <c r="V686" s="68" t="s">
        <v>282</v>
      </c>
      <c r="W686" s="69" t="s">
        <v>282</v>
      </c>
      <c r="X686" s="69" t="s">
        <v>282</v>
      </c>
      <c r="Y686" s="70" t="s">
        <v>282</v>
      </c>
    </row>
    <row r="687" spans="1:25">
      <c r="A687" s="64">
        <v>13</v>
      </c>
      <c r="B687" s="65" t="str">
        <f>VLOOKUP(Tabel10[[#This Row],[Code]],Ruimtegroepen[[Code]:[Ruimte omschrijving]],2,FALSE)</f>
        <v>Personeelskamer</v>
      </c>
      <c r="C687" s="66" t="s">
        <v>852</v>
      </c>
      <c r="D687" s="65" t="s">
        <v>21</v>
      </c>
      <c r="E687" s="66" t="s">
        <v>1309</v>
      </c>
      <c r="F687" s="66" t="s">
        <v>1453</v>
      </c>
      <c r="G687" s="71" t="s">
        <v>282</v>
      </c>
      <c r="H687" s="67" t="s">
        <v>282</v>
      </c>
      <c r="I687" s="67" t="s">
        <v>18</v>
      </c>
      <c r="J687" s="67" t="s">
        <v>15</v>
      </c>
      <c r="K687" s="67" t="s">
        <v>249</v>
      </c>
      <c r="L687" s="67" t="s">
        <v>282</v>
      </c>
      <c r="M687" s="67" t="s">
        <v>282</v>
      </c>
      <c r="N687" s="67" t="s">
        <v>282</v>
      </c>
      <c r="O687" s="68" t="s">
        <v>20</v>
      </c>
      <c r="P687" s="68" t="s">
        <v>20</v>
      </c>
      <c r="Q687" s="68" t="s">
        <v>15</v>
      </c>
      <c r="R687" s="68" t="s">
        <v>15</v>
      </c>
      <c r="S687" s="68" t="s">
        <v>16</v>
      </c>
      <c r="T687" s="68" t="s">
        <v>329</v>
      </c>
      <c r="U687" s="68" t="s">
        <v>249</v>
      </c>
      <c r="V687" s="68" t="s">
        <v>282</v>
      </c>
      <c r="W687" s="69" t="s">
        <v>282</v>
      </c>
      <c r="X687" s="69" t="s">
        <v>282</v>
      </c>
      <c r="Y687" s="70" t="s">
        <v>282</v>
      </c>
    </row>
    <row r="688" spans="1:25">
      <c r="A688" s="64">
        <v>13</v>
      </c>
      <c r="B688" s="65" t="str">
        <f>VLOOKUP(Tabel10[[#This Row],[Code]],Ruimtegroepen[[Code]:[Ruimte omschrijving]],2,FALSE)</f>
        <v>Personeelskamer</v>
      </c>
      <c r="C688" s="66" t="s">
        <v>857</v>
      </c>
      <c r="D688" s="65" t="s">
        <v>12</v>
      </c>
      <c r="E688" s="66" t="s">
        <v>100</v>
      </c>
      <c r="F688" s="66" t="s">
        <v>858</v>
      </c>
      <c r="G688" s="71" t="s">
        <v>282</v>
      </c>
      <c r="H688" s="67" t="s">
        <v>282</v>
      </c>
      <c r="I688" s="67" t="s">
        <v>17</v>
      </c>
      <c r="J688" s="67" t="s">
        <v>15</v>
      </c>
      <c r="K688" s="67" t="s">
        <v>282</v>
      </c>
      <c r="L688" s="67" t="s">
        <v>282</v>
      </c>
      <c r="M688" s="67" t="s">
        <v>282</v>
      </c>
      <c r="N688" s="67" t="s">
        <v>282</v>
      </c>
      <c r="O688" s="68" t="s">
        <v>18</v>
      </c>
      <c r="P688" s="68" t="s">
        <v>18</v>
      </c>
      <c r="Q688" s="68" t="s">
        <v>15</v>
      </c>
      <c r="R688" s="68" t="s">
        <v>15</v>
      </c>
      <c r="S688" s="68" t="s">
        <v>16</v>
      </c>
      <c r="T688" s="68" t="s">
        <v>329</v>
      </c>
      <c r="U688" s="68" t="s">
        <v>249</v>
      </c>
      <c r="V688" s="68" t="s">
        <v>282</v>
      </c>
      <c r="W688" s="69" t="s">
        <v>282</v>
      </c>
      <c r="X688" s="69" t="s">
        <v>282</v>
      </c>
      <c r="Y688" s="70" t="s">
        <v>282</v>
      </c>
    </row>
    <row r="689" spans="1:25">
      <c r="A689" s="64">
        <v>13</v>
      </c>
      <c r="B689" s="65" t="str">
        <f>VLOOKUP(Tabel10[[#This Row],[Code]],Ruimtegroepen[[Code]:[Ruimte omschrijving]],2,FALSE)</f>
        <v>Personeelskamer</v>
      </c>
      <c r="C689" s="66" t="s">
        <v>857</v>
      </c>
      <c r="D689" s="65" t="s">
        <v>12</v>
      </c>
      <c r="E689" s="66" t="s">
        <v>99</v>
      </c>
      <c r="F689" s="66" t="s">
        <v>859</v>
      </c>
      <c r="G689" s="67" t="s">
        <v>17</v>
      </c>
      <c r="H689" s="67" t="s">
        <v>15</v>
      </c>
      <c r="I689" s="67" t="s">
        <v>282</v>
      </c>
      <c r="J689" s="67" t="s">
        <v>282</v>
      </c>
      <c r="K689" s="67" t="s">
        <v>282</v>
      </c>
      <c r="L689" s="67" t="s">
        <v>282</v>
      </c>
      <c r="M689" s="67" t="s">
        <v>282</v>
      </c>
      <c r="N689" s="67" t="s">
        <v>282</v>
      </c>
      <c r="O689" s="68" t="s">
        <v>18</v>
      </c>
      <c r="P689" s="68" t="s">
        <v>18</v>
      </c>
      <c r="Q689" s="68" t="s">
        <v>15</v>
      </c>
      <c r="R689" s="68" t="s">
        <v>15</v>
      </c>
      <c r="S689" s="68" t="s">
        <v>16</v>
      </c>
      <c r="T689" s="68" t="s">
        <v>329</v>
      </c>
      <c r="U689" s="68" t="s">
        <v>249</v>
      </c>
      <c r="V689" s="68" t="s">
        <v>282</v>
      </c>
      <c r="W689" s="69" t="s">
        <v>282</v>
      </c>
      <c r="X689" s="69" t="s">
        <v>282</v>
      </c>
      <c r="Y689" s="70" t="s">
        <v>282</v>
      </c>
    </row>
    <row r="690" spans="1:25">
      <c r="A690" s="64">
        <v>13</v>
      </c>
      <c r="B690" s="65" t="str">
        <f>VLOOKUP(Tabel10[[#This Row],[Code]],Ruimtegroepen[[Code]:[Ruimte omschrijving]],2,FALSE)</f>
        <v>Personeelskamer</v>
      </c>
      <c r="C690" s="66" t="s">
        <v>857</v>
      </c>
      <c r="D690" s="65" t="s">
        <v>12</v>
      </c>
      <c r="E690" s="66" t="s">
        <v>101</v>
      </c>
      <c r="F690" s="66" t="s">
        <v>860</v>
      </c>
      <c r="G690" s="71" t="s">
        <v>282</v>
      </c>
      <c r="H690" s="67" t="s">
        <v>282</v>
      </c>
      <c r="I690" s="67" t="s">
        <v>17</v>
      </c>
      <c r="J690" s="67" t="s">
        <v>15</v>
      </c>
      <c r="K690" s="67" t="s">
        <v>249</v>
      </c>
      <c r="L690" s="67" t="s">
        <v>282</v>
      </c>
      <c r="M690" s="67" t="s">
        <v>282</v>
      </c>
      <c r="N690" s="67" t="s">
        <v>282</v>
      </c>
      <c r="O690" s="68" t="s">
        <v>18</v>
      </c>
      <c r="P690" s="68" t="s">
        <v>18</v>
      </c>
      <c r="Q690" s="68" t="s">
        <v>15</v>
      </c>
      <c r="R690" s="68" t="s">
        <v>15</v>
      </c>
      <c r="S690" s="68" t="s">
        <v>16</v>
      </c>
      <c r="T690" s="68" t="s">
        <v>329</v>
      </c>
      <c r="U690" s="68" t="s">
        <v>249</v>
      </c>
      <c r="V690" s="68" t="s">
        <v>282</v>
      </c>
      <c r="W690" s="69" t="s">
        <v>282</v>
      </c>
      <c r="X690" s="69" t="s">
        <v>282</v>
      </c>
      <c r="Y690" s="70" t="s">
        <v>282</v>
      </c>
    </row>
    <row r="691" spans="1:25">
      <c r="A691" s="64">
        <v>13</v>
      </c>
      <c r="B691" s="65" t="str">
        <f>VLOOKUP(Tabel10[[#This Row],[Code]],Ruimtegroepen[[Code]:[Ruimte omschrijving]],2,FALSE)</f>
        <v>Personeelskamer</v>
      </c>
      <c r="C691" s="66" t="s">
        <v>857</v>
      </c>
      <c r="D691" s="65" t="s">
        <v>12</v>
      </c>
      <c r="E691" s="66" t="s">
        <v>102</v>
      </c>
      <c r="F691" s="66" t="s">
        <v>861</v>
      </c>
      <c r="G691" s="71" t="s">
        <v>282</v>
      </c>
      <c r="H691" s="67" t="s">
        <v>282</v>
      </c>
      <c r="I691" s="67" t="s">
        <v>17</v>
      </c>
      <c r="J691" s="67" t="s">
        <v>15</v>
      </c>
      <c r="K691" s="67" t="s">
        <v>249</v>
      </c>
      <c r="L691" s="67" t="s">
        <v>282</v>
      </c>
      <c r="M691" s="67" t="s">
        <v>282</v>
      </c>
      <c r="N691" s="67" t="s">
        <v>282</v>
      </c>
      <c r="O691" s="68" t="s">
        <v>18</v>
      </c>
      <c r="P691" s="68" t="s">
        <v>18</v>
      </c>
      <c r="Q691" s="68" t="s">
        <v>15</v>
      </c>
      <c r="R691" s="68" t="s">
        <v>15</v>
      </c>
      <c r="S691" s="68" t="s">
        <v>16</v>
      </c>
      <c r="T691" s="68" t="s">
        <v>329</v>
      </c>
      <c r="U691" s="68" t="s">
        <v>249</v>
      </c>
      <c r="V691" s="68" t="s">
        <v>282</v>
      </c>
      <c r="W691" s="69" t="s">
        <v>282</v>
      </c>
      <c r="X691" s="69" t="s">
        <v>282</v>
      </c>
      <c r="Y691" s="70" t="s">
        <v>282</v>
      </c>
    </row>
    <row r="692" spans="1:25">
      <c r="A692" s="64">
        <v>13</v>
      </c>
      <c r="B692" s="65" t="str">
        <f>VLOOKUP(Tabel10[[#This Row],[Code]],Ruimtegroepen[[Code]:[Ruimte omschrijving]],2,FALSE)</f>
        <v>Personeelskamer</v>
      </c>
      <c r="C692" s="66" t="s">
        <v>857</v>
      </c>
      <c r="D692" s="65" t="s">
        <v>12</v>
      </c>
      <c r="E692" s="66" t="s">
        <v>99</v>
      </c>
      <c r="F692" s="66" t="s">
        <v>859</v>
      </c>
      <c r="G692" s="67" t="s">
        <v>17</v>
      </c>
      <c r="H692" s="67" t="s">
        <v>15</v>
      </c>
      <c r="I692" s="67" t="s">
        <v>282</v>
      </c>
      <c r="J692" s="67" t="s">
        <v>282</v>
      </c>
      <c r="K692" s="67" t="s">
        <v>282</v>
      </c>
      <c r="L692" s="67" t="s">
        <v>282</v>
      </c>
      <c r="M692" s="67" t="s">
        <v>282</v>
      </c>
      <c r="N692" s="67" t="s">
        <v>282</v>
      </c>
      <c r="O692" s="68" t="s">
        <v>18</v>
      </c>
      <c r="P692" s="68" t="s">
        <v>18</v>
      </c>
      <c r="Q692" s="68" t="s">
        <v>15</v>
      </c>
      <c r="R692" s="68" t="s">
        <v>15</v>
      </c>
      <c r="S692" s="68" t="s">
        <v>16</v>
      </c>
      <c r="T692" s="68" t="s">
        <v>329</v>
      </c>
      <c r="U692" s="68" t="s">
        <v>249</v>
      </c>
      <c r="V692" s="68" t="s">
        <v>282</v>
      </c>
      <c r="W692" s="69" t="s">
        <v>282</v>
      </c>
      <c r="X692" s="69" t="s">
        <v>282</v>
      </c>
      <c r="Y692" s="70" t="s">
        <v>282</v>
      </c>
    </row>
    <row r="693" spans="1:25">
      <c r="A693" s="64">
        <v>13</v>
      </c>
      <c r="B693" s="65" t="str">
        <f>VLOOKUP(Tabel10[[#This Row],[Code]],Ruimtegroepen[[Code]:[Ruimte omschrijving]],2,FALSE)</f>
        <v>Personeelskamer</v>
      </c>
      <c r="C693" s="66" t="s">
        <v>857</v>
      </c>
      <c r="D693" s="65" t="s">
        <v>12</v>
      </c>
      <c r="E693" s="66" t="s">
        <v>1309</v>
      </c>
      <c r="F693" s="66" t="s">
        <v>1435</v>
      </c>
      <c r="G693" s="71" t="s">
        <v>282</v>
      </c>
      <c r="H693" s="67" t="s">
        <v>282</v>
      </c>
      <c r="I693" s="67" t="s">
        <v>17</v>
      </c>
      <c r="J693" s="67" t="s">
        <v>15</v>
      </c>
      <c r="K693" s="67" t="s">
        <v>249</v>
      </c>
      <c r="L693" s="67" t="s">
        <v>282</v>
      </c>
      <c r="M693" s="67" t="s">
        <v>282</v>
      </c>
      <c r="N693" s="67" t="s">
        <v>282</v>
      </c>
      <c r="O693" s="68" t="s">
        <v>18</v>
      </c>
      <c r="P693" s="68" t="s">
        <v>18</v>
      </c>
      <c r="Q693" s="68" t="s">
        <v>15</v>
      </c>
      <c r="R693" s="68" t="s">
        <v>15</v>
      </c>
      <c r="S693" s="68" t="s">
        <v>16</v>
      </c>
      <c r="T693" s="68" t="s">
        <v>329</v>
      </c>
      <c r="U693" s="68" t="s">
        <v>249</v>
      </c>
      <c r="V693" s="68" t="s">
        <v>282</v>
      </c>
      <c r="W693" s="69" t="s">
        <v>282</v>
      </c>
      <c r="X693" s="69" t="s">
        <v>282</v>
      </c>
      <c r="Y693" s="70" t="s">
        <v>282</v>
      </c>
    </row>
    <row r="694" spans="1:25">
      <c r="A694" s="64">
        <v>13</v>
      </c>
      <c r="B694" s="65" t="str">
        <f>VLOOKUP(Tabel10[[#This Row],[Code]],Ruimtegroepen[[Code]:[Ruimte omschrijving]],2,FALSE)</f>
        <v>Personeelskamer</v>
      </c>
      <c r="C694" s="66" t="s">
        <v>862</v>
      </c>
      <c r="D694" s="65" t="s">
        <v>14</v>
      </c>
      <c r="E694" s="66" t="s">
        <v>100</v>
      </c>
      <c r="F694" s="66" t="s">
        <v>863</v>
      </c>
      <c r="G694" s="71" t="s">
        <v>282</v>
      </c>
      <c r="H694" s="67" t="s">
        <v>282</v>
      </c>
      <c r="I694" s="67" t="s">
        <v>15</v>
      </c>
      <c r="J694" s="67" t="s">
        <v>15</v>
      </c>
      <c r="K694" s="67" t="s">
        <v>282</v>
      </c>
      <c r="L694" s="67" t="s">
        <v>282</v>
      </c>
      <c r="M694" s="67" t="s">
        <v>282</v>
      </c>
      <c r="N694" s="67" t="s">
        <v>282</v>
      </c>
      <c r="O694" s="68" t="s">
        <v>17</v>
      </c>
      <c r="P694" s="68" t="s">
        <v>17</v>
      </c>
      <c r="Q694" s="68" t="s">
        <v>15</v>
      </c>
      <c r="R694" s="68" t="s">
        <v>15</v>
      </c>
      <c r="S694" s="68" t="s">
        <v>16</v>
      </c>
      <c r="T694" s="68" t="s">
        <v>329</v>
      </c>
      <c r="U694" s="68" t="s">
        <v>249</v>
      </c>
      <c r="V694" s="68" t="s">
        <v>282</v>
      </c>
      <c r="W694" s="69" t="s">
        <v>282</v>
      </c>
      <c r="X694" s="69" t="s">
        <v>282</v>
      </c>
      <c r="Y694" s="70" t="s">
        <v>282</v>
      </c>
    </row>
    <row r="695" spans="1:25">
      <c r="A695" s="64">
        <v>13</v>
      </c>
      <c r="B695" s="65" t="str">
        <f>VLOOKUP(Tabel10[[#This Row],[Code]],Ruimtegroepen[[Code]:[Ruimte omschrijving]],2,FALSE)</f>
        <v>Personeelskamer</v>
      </c>
      <c r="C695" s="66" t="s">
        <v>862</v>
      </c>
      <c r="D695" s="65" t="s">
        <v>14</v>
      </c>
      <c r="E695" s="66" t="s">
        <v>99</v>
      </c>
      <c r="F695" s="66" t="s">
        <v>864</v>
      </c>
      <c r="G695" s="67" t="s">
        <v>15</v>
      </c>
      <c r="H695" s="67" t="s">
        <v>15</v>
      </c>
      <c r="I695" s="67" t="s">
        <v>282</v>
      </c>
      <c r="J695" s="67" t="s">
        <v>282</v>
      </c>
      <c r="K695" s="67" t="s">
        <v>282</v>
      </c>
      <c r="L695" s="67" t="s">
        <v>282</v>
      </c>
      <c r="M695" s="67" t="s">
        <v>282</v>
      </c>
      <c r="N695" s="67" t="s">
        <v>282</v>
      </c>
      <c r="O695" s="68" t="s">
        <v>17</v>
      </c>
      <c r="P695" s="68" t="s">
        <v>17</v>
      </c>
      <c r="Q695" s="68" t="s">
        <v>15</v>
      </c>
      <c r="R695" s="68" t="s">
        <v>15</v>
      </c>
      <c r="S695" s="68" t="s">
        <v>16</v>
      </c>
      <c r="T695" s="68" t="s">
        <v>329</v>
      </c>
      <c r="U695" s="68" t="s">
        <v>249</v>
      </c>
      <c r="V695" s="68" t="s">
        <v>282</v>
      </c>
      <c r="W695" s="69" t="s">
        <v>282</v>
      </c>
      <c r="X695" s="69" t="s">
        <v>282</v>
      </c>
      <c r="Y695" s="70" t="s">
        <v>282</v>
      </c>
    </row>
    <row r="696" spans="1:25">
      <c r="A696" s="64">
        <v>13</v>
      </c>
      <c r="B696" s="65" t="str">
        <f>VLOOKUP(Tabel10[[#This Row],[Code]],Ruimtegroepen[[Code]:[Ruimte omschrijving]],2,FALSE)</f>
        <v>Personeelskamer</v>
      </c>
      <c r="C696" s="66" t="s">
        <v>862</v>
      </c>
      <c r="D696" s="65" t="s">
        <v>14</v>
      </c>
      <c r="E696" s="66" t="s">
        <v>101</v>
      </c>
      <c r="F696" s="66" t="s">
        <v>865</v>
      </c>
      <c r="G696" s="71" t="s">
        <v>282</v>
      </c>
      <c r="H696" s="67" t="s">
        <v>282</v>
      </c>
      <c r="I696" s="67" t="s">
        <v>15</v>
      </c>
      <c r="J696" s="67" t="s">
        <v>15</v>
      </c>
      <c r="K696" s="67" t="s">
        <v>249</v>
      </c>
      <c r="L696" s="67" t="s">
        <v>282</v>
      </c>
      <c r="M696" s="67" t="s">
        <v>282</v>
      </c>
      <c r="N696" s="67" t="s">
        <v>282</v>
      </c>
      <c r="O696" s="68" t="s">
        <v>17</v>
      </c>
      <c r="P696" s="68" t="s">
        <v>17</v>
      </c>
      <c r="Q696" s="68" t="s">
        <v>15</v>
      </c>
      <c r="R696" s="68" t="s">
        <v>15</v>
      </c>
      <c r="S696" s="68" t="s">
        <v>16</v>
      </c>
      <c r="T696" s="68" t="s">
        <v>329</v>
      </c>
      <c r="U696" s="68" t="s">
        <v>249</v>
      </c>
      <c r="V696" s="68" t="s">
        <v>282</v>
      </c>
      <c r="W696" s="69" t="s">
        <v>282</v>
      </c>
      <c r="X696" s="69" t="s">
        <v>282</v>
      </c>
      <c r="Y696" s="70" t="s">
        <v>282</v>
      </c>
    </row>
    <row r="697" spans="1:25">
      <c r="A697" s="64">
        <v>13</v>
      </c>
      <c r="B697" s="65" t="str">
        <f>VLOOKUP(Tabel10[[#This Row],[Code]],Ruimtegroepen[[Code]:[Ruimte omschrijving]],2,FALSE)</f>
        <v>Personeelskamer</v>
      </c>
      <c r="C697" s="66" t="s">
        <v>862</v>
      </c>
      <c r="D697" s="65" t="s">
        <v>14</v>
      </c>
      <c r="E697" s="66" t="s">
        <v>102</v>
      </c>
      <c r="F697" s="66" t="s">
        <v>866</v>
      </c>
      <c r="G697" s="71" t="s">
        <v>282</v>
      </c>
      <c r="H697" s="67" t="s">
        <v>282</v>
      </c>
      <c r="I697" s="67" t="s">
        <v>15</v>
      </c>
      <c r="J697" s="67" t="s">
        <v>15</v>
      </c>
      <c r="K697" s="67" t="s">
        <v>249</v>
      </c>
      <c r="L697" s="67" t="s">
        <v>282</v>
      </c>
      <c r="M697" s="67" t="s">
        <v>282</v>
      </c>
      <c r="N697" s="67" t="s">
        <v>282</v>
      </c>
      <c r="O697" s="68" t="s">
        <v>17</v>
      </c>
      <c r="P697" s="68" t="s">
        <v>17</v>
      </c>
      <c r="Q697" s="68" t="s">
        <v>15</v>
      </c>
      <c r="R697" s="68" t="s">
        <v>15</v>
      </c>
      <c r="S697" s="68" t="s">
        <v>16</v>
      </c>
      <c r="T697" s="68" t="s">
        <v>329</v>
      </c>
      <c r="U697" s="68" t="s">
        <v>249</v>
      </c>
      <c r="V697" s="68" t="s">
        <v>282</v>
      </c>
      <c r="W697" s="69" t="s">
        <v>282</v>
      </c>
      <c r="X697" s="69" t="s">
        <v>282</v>
      </c>
      <c r="Y697" s="70" t="s">
        <v>282</v>
      </c>
    </row>
    <row r="698" spans="1:25">
      <c r="A698" s="64">
        <v>13</v>
      </c>
      <c r="B698" s="65" t="str">
        <f>VLOOKUP(Tabel10[[#This Row],[Code]],Ruimtegroepen[[Code]:[Ruimte omschrijving]],2,FALSE)</f>
        <v>Personeelskamer</v>
      </c>
      <c r="C698" s="66" t="s">
        <v>862</v>
      </c>
      <c r="D698" s="65" t="s">
        <v>14</v>
      </c>
      <c r="E698" s="66" t="s">
        <v>99</v>
      </c>
      <c r="F698" s="66" t="s">
        <v>864</v>
      </c>
      <c r="G698" s="67" t="s">
        <v>15</v>
      </c>
      <c r="H698" s="67" t="s">
        <v>15</v>
      </c>
      <c r="I698" s="67" t="s">
        <v>282</v>
      </c>
      <c r="J698" s="67" t="s">
        <v>282</v>
      </c>
      <c r="K698" s="67" t="s">
        <v>282</v>
      </c>
      <c r="L698" s="67" t="s">
        <v>282</v>
      </c>
      <c r="M698" s="67" t="s">
        <v>282</v>
      </c>
      <c r="N698" s="67" t="s">
        <v>282</v>
      </c>
      <c r="O698" s="68" t="s">
        <v>17</v>
      </c>
      <c r="P698" s="68" t="s">
        <v>17</v>
      </c>
      <c r="Q698" s="68" t="s">
        <v>15</v>
      </c>
      <c r="R698" s="68" t="s">
        <v>15</v>
      </c>
      <c r="S698" s="68" t="s">
        <v>16</v>
      </c>
      <c r="T698" s="68" t="s">
        <v>329</v>
      </c>
      <c r="U698" s="68" t="s">
        <v>249</v>
      </c>
      <c r="V698" s="68" t="s">
        <v>282</v>
      </c>
      <c r="W698" s="69" t="s">
        <v>282</v>
      </c>
      <c r="X698" s="69" t="s">
        <v>282</v>
      </c>
      <c r="Y698" s="70" t="s">
        <v>282</v>
      </c>
    </row>
    <row r="699" spans="1:25">
      <c r="A699" s="64">
        <v>13</v>
      </c>
      <c r="B699" s="65" t="str">
        <f>VLOOKUP(Tabel10[[#This Row],[Code]],Ruimtegroepen[[Code]:[Ruimte omschrijving]],2,FALSE)</f>
        <v>Personeelskamer</v>
      </c>
      <c r="C699" s="66" t="s">
        <v>862</v>
      </c>
      <c r="D699" s="65" t="s">
        <v>14</v>
      </c>
      <c r="E699" s="66" t="s">
        <v>1309</v>
      </c>
      <c r="F699" s="66" t="s">
        <v>1402</v>
      </c>
      <c r="G699" s="71" t="s">
        <v>282</v>
      </c>
      <c r="H699" s="67" t="s">
        <v>282</v>
      </c>
      <c r="I699" s="67" t="s">
        <v>15</v>
      </c>
      <c r="J699" s="67" t="s">
        <v>15</v>
      </c>
      <c r="K699" s="67" t="s">
        <v>249</v>
      </c>
      <c r="L699" s="67" t="s">
        <v>282</v>
      </c>
      <c r="M699" s="67" t="s">
        <v>282</v>
      </c>
      <c r="N699" s="67" t="s">
        <v>282</v>
      </c>
      <c r="O699" s="68" t="s">
        <v>17</v>
      </c>
      <c r="P699" s="68" t="s">
        <v>17</v>
      </c>
      <c r="Q699" s="68" t="s">
        <v>15</v>
      </c>
      <c r="R699" s="68" t="s">
        <v>15</v>
      </c>
      <c r="S699" s="68" t="s">
        <v>16</v>
      </c>
      <c r="T699" s="68" t="s">
        <v>329</v>
      </c>
      <c r="U699" s="68" t="s">
        <v>249</v>
      </c>
      <c r="V699" s="68" t="s">
        <v>282</v>
      </c>
      <c r="W699" s="69" t="s">
        <v>282</v>
      </c>
      <c r="X699" s="69" t="s">
        <v>282</v>
      </c>
      <c r="Y699" s="70" t="s">
        <v>282</v>
      </c>
    </row>
    <row r="700" spans="1:25">
      <c r="A700" s="64">
        <v>13</v>
      </c>
      <c r="B700" s="65" t="str">
        <f>VLOOKUP(Tabel10[[#This Row],[Code]],Ruimtegroepen[[Code]:[Ruimte omschrijving]],2,FALSE)</f>
        <v>Personeelskamer</v>
      </c>
      <c r="C700" s="66" t="s">
        <v>867</v>
      </c>
      <c r="D700" s="65" t="s">
        <v>13</v>
      </c>
      <c r="E700" s="66" t="s">
        <v>100</v>
      </c>
      <c r="F700" s="66" t="s">
        <v>868</v>
      </c>
      <c r="G700" s="71" t="s">
        <v>282</v>
      </c>
      <c r="H700" s="67" t="s">
        <v>282</v>
      </c>
      <c r="I700" s="67" t="s">
        <v>282</v>
      </c>
      <c r="J700" s="67" t="s">
        <v>15</v>
      </c>
      <c r="K700" s="67" t="s">
        <v>282</v>
      </c>
      <c r="L700" s="67" t="s">
        <v>282</v>
      </c>
      <c r="M700" s="67" t="s">
        <v>282</v>
      </c>
      <c r="N700" s="67" t="s">
        <v>282</v>
      </c>
      <c r="O700" s="68" t="s">
        <v>15</v>
      </c>
      <c r="P700" s="68" t="s">
        <v>15</v>
      </c>
      <c r="Q700" s="68" t="s">
        <v>15</v>
      </c>
      <c r="R700" s="68" t="s">
        <v>15</v>
      </c>
      <c r="S700" s="68" t="s">
        <v>16</v>
      </c>
      <c r="T700" s="68" t="s">
        <v>329</v>
      </c>
      <c r="U700" s="68" t="s">
        <v>249</v>
      </c>
      <c r="V700" s="68" t="s">
        <v>282</v>
      </c>
      <c r="W700" s="69" t="s">
        <v>282</v>
      </c>
      <c r="X700" s="69" t="s">
        <v>282</v>
      </c>
      <c r="Y700" s="70" t="s">
        <v>282</v>
      </c>
    </row>
    <row r="701" spans="1:25">
      <c r="A701" s="64">
        <v>13</v>
      </c>
      <c r="B701" s="65" t="str">
        <f>VLOOKUP(Tabel10[[#This Row],[Code]],Ruimtegroepen[[Code]:[Ruimte omschrijving]],2,FALSE)</f>
        <v>Personeelskamer</v>
      </c>
      <c r="C701" s="66" t="s">
        <v>867</v>
      </c>
      <c r="D701" s="65" t="s">
        <v>13</v>
      </c>
      <c r="E701" s="66" t="s">
        <v>99</v>
      </c>
      <c r="F701" s="66" t="s">
        <v>869</v>
      </c>
      <c r="G701" s="71" t="s">
        <v>282</v>
      </c>
      <c r="H701" s="67" t="s">
        <v>15</v>
      </c>
      <c r="I701" s="67" t="s">
        <v>282</v>
      </c>
      <c r="J701" s="67" t="s">
        <v>282</v>
      </c>
      <c r="K701" s="67" t="s">
        <v>282</v>
      </c>
      <c r="L701" s="67" t="s">
        <v>282</v>
      </c>
      <c r="M701" s="67" t="s">
        <v>282</v>
      </c>
      <c r="N701" s="67" t="s">
        <v>282</v>
      </c>
      <c r="O701" s="68" t="s">
        <v>15</v>
      </c>
      <c r="P701" s="68" t="s">
        <v>15</v>
      </c>
      <c r="Q701" s="68" t="s">
        <v>15</v>
      </c>
      <c r="R701" s="68" t="s">
        <v>15</v>
      </c>
      <c r="S701" s="68" t="s">
        <v>16</v>
      </c>
      <c r="T701" s="68" t="s">
        <v>329</v>
      </c>
      <c r="U701" s="68" t="s">
        <v>249</v>
      </c>
      <c r="V701" s="68" t="s">
        <v>282</v>
      </c>
      <c r="W701" s="69" t="s">
        <v>282</v>
      </c>
      <c r="X701" s="69" t="s">
        <v>282</v>
      </c>
      <c r="Y701" s="70" t="s">
        <v>282</v>
      </c>
    </row>
    <row r="702" spans="1:25">
      <c r="A702" s="64">
        <v>13</v>
      </c>
      <c r="B702" s="65" t="str">
        <f>VLOOKUP(Tabel10[[#This Row],[Code]],Ruimtegroepen[[Code]:[Ruimte omschrijving]],2,FALSE)</f>
        <v>Personeelskamer</v>
      </c>
      <c r="C702" s="66" t="s">
        <v>867</v>
      </c>
      <c r="D702" s="65" t="s">
        <v>13</v>
      </c>
      <c r="E702" s="66" t="s">
        <v>101</v>
      </c>
      <c r="F702" s="66" t="s">
        <v>870</v>
      </c>
      <c r="G702" s="71" t="s">
        <v>282</v>
      </c>
      <c r="H702" s="67" t="s">
        <v>282</v>
      </c>
      <c r="I702" s="67" t="s">
        <v>282</v>
      </c>
      <c r="J702" s="67" t="s">
        <v>15</v>
      </c>
      <c r="K702" s="67" t="s">
        <v>249</v>
      </c>
      <c r="L702" s="67" t="s">
        <v>282</v>
      </c>
      <c r="M702" s="67" t="s">
        <v>282</v>
      </c>
      <c r="N702" s="67" t="s">
        <v>282</v>
      </c>
      <c r="O702" s="68" t="s">
        <v>15</v>
      </c>
      <c r="P702" s="68" t="s">
        <v>15</v>
      </c>
      <c r="Q702" s="68" t="s">
        <v>15</v>
      </c>
      <c r="R702" s="68" t="s">
        <v>15</v>
      </c>
      <c r="S702" s="68" t="s">
        <v>16</v>
      </c>
      <c r="T702" s="68" t="s">
        <v>329</v>
      </c>
      <c r="U702" s="68" t="s">
        <v>249</v>
      </c>
      <c r="V702" s="68" t="s">
        <v>282</v>
      </c>
      <c r="W702" s="69" t="s">
        <v>282</v>
      </c>
      <c r="X702" s="69" t="s">
        <v>282</v>
      </c>
      <c r="Y702" s="70" t="s">
        <v>282</v>
      </c>
    </row>
    <row r="703" spans="1:25">
      <c r="A703" s="64">
        <v>13</v>
      </c>
      <c r="B703" s="65" t="str">
        <f>VLOOKUP(Tabel10[[#This Row],[Code]],Ruimtegroepen[[Code]:[Ruimte omschrijving]],2,FALSE)</f>
        <v>Personeelskamer</v>
      </c>
      <c r="C703" s="66" t="s">
        <v>867</v>
      </c>
      <c r="D703" s="65" t="s">
        <v>13</v>
      </c>
      <c r="E703" s="66" t="s">
        <v>102</v>
      </c>
      <c r="F703" s="66" t="s">
        <v>871</v>
      </c>
      <c r="G703" s="71" t="s">
        <v>282</v>
      </c>
      <c r="H703" s="67" t="s">
        <v>282</v>
      </c>
      <c r="I703" s="67" t="s">
        <v>282</v>
      </c>
      <c r="J703" s="67" t="s">
        <v>15</v>
      </c>
      <c r="K703" s="67" t="s">
        <v>249</v>
      </c>
      <c r="L703" s="67" t="s">
        <v>282</v>
      </c>
      <c r="M703" s="67" t="s">
        <v>282</v>
      </c>
      <c r="N703" s="67" t="s">
        <v>282</v>
      </c>
      <c r="O703" s="68" t="s">
        <v>15</v>
      </c>
      <c r="P703" s="68" t="s">
        <v>15</v>
      </c>
      <c r="Q703" s="68" t="s">
        <v>15</v>
      </c>
      <c r="R703" s="68" t="s">
        <v>15</v>
      </c>
      <c r="S703" s="68" t="s">
        <v>16</v>
      </c>
      <c r="T703" s="68" t="s">
        <v>329</v>
      </c>
      <c r="U703" s="68" t="s">
        <v>249</v>
      </c>
      <c r="V703" s="68" t="s">
        <v>282</v>
      </c>
      <c r="W703" s="69" t="s">
        <v>282</v>
      </c>
      <c r="X703" s="69" t="s">
        <v>282</v>
      </c>
      <c r="Y703" s="70" t="s">
        <v>282</v>
      </c>
    </row>
    <row r="704" spans="1:25">
      <c r="A704" s="64">
        <v>13</v>
      </c>
      <c r="B704" s="65" t="str">
        <f>VLOOKUP(Tabel10[[#This Row],[Code]],Ruimtegroepen[[Code]:[Ruimte omschrijving]],2,FALSE)</f>
        <v>Personeelskamer</v>
      </c>
      <c r="C704" s="66" t="s">
        <v>867</v>
      </c>
      <c r="D704" s="65" t="s">
        <v>13</v>
      </c>
      <c r="E704" s="66" t="s">
        <v>99</v>
      </c>
      <c r="F704" s="66" t="s">
        <v>869</v>
      </c>
      <c r="G704" s="71" t="s">
        <v>282</v>
      </c>
      <c r="H704" s="67" t="s">
        <v>15</v>
      </c>
      <c r="I704" s="67" t="s">
        <v>282</v>
      </c>
      <c r="J704" s="67" t="s">
        <v>282</v>
      </c>
      <c r="K704" s="67" t="s">
        <v>282</v>
      </c>
      <c r="L704" s="67" t="s">
        <v>282</v>
      </c>
      <c r="M704" s="67" t="s">
        <v>282</v>
      </c>
      <c r="N704" s="67" t="s">
        <v>282</v>
      </c>
      <c r="O704" s="68" t="s">
        <v>15</v>
      </c>
      <c r="P704" s="68" t="s">
        <v>15</v>
      </c>
      <c r="Q704" s="68" t="s">
        <v>15</v>
      </c>
      <c r="R704" s="68" t="s">
        <v>15</v>
      </c>
      <c r="S704" s="68" t="s">
        <v>16</v>
      </c>
      <c r="T704" s="68" t="s">
        <v>329</v>
      </c>
      <c r="U704" s="68" t="s">
        <v>249</v>
      </c>
      <c r="V704" s="68" t="s">
        <v>282</v>
      </c>
      <c r="W704" s="69" t="s">
        <v>282</v>
      </c>
      <c r="X704" s="69" t="s">
        <v>282</v>
      </c>
      <c r="Y704" s="70" t="s">
        <v>282</v>
      </c>
    </row>
    <row r="705" spans="1:25">
      <c r="A705" s="64">
        <v>13</v>
      </c>
      <c r="B705" s="65" t="str">
        <f>VLOOKUP(Tabel10[[#This Row],[Code]],Ruimtegroepen[[Code]:[Ruimte omschrijving]],2,FALSE)</f>
        <v>Personeelskamer</v>
      </c>
      <c r="C705" s="66" t="s">
        <v>867</v>
      </c>
      <c r="D705" s="65" t="s">
        <v>13</v>
      </c>
      <c r="E705" s="66" t="s">
        <v>1309</v>
      </c>
      <c r="F705" s="66" t="s">
        <v>1369</v>
      </c>
      <c r="G705" s="71" t="s">
        <v>282</v>
      </c>
      <c r="H705" s="67" t="s">
        <v>282</v>
      </c>
      <c r="I705" s="67" t="s">
        <v>282</v>
      </c>
      <c r="J705" s="67" t="s">
        <v>15</v>
      </c>
      <c r="K705" s="67" t="s">
        <v>249</v>
      </c>
      <c r="L705" s="67" t="s">
        <v>282</v>
      </c>
      <c r="M705" s="67" t="s">
        <v>282</v>
      </c>
      <c r="N705" s="67" t="s">
        <v>282</v>
      </c>
      <c r="O705" s="68" t="s">
        <v>15</v>
      </c>
      <c r="P705" s="68" t="s">
        <v>15</v>
      </c>
      <c r="Q705" s="68" t="s">
        <v>15</v>
      </c>
      <c r="R705" s="68" t="s">
        <v>15</v>
      </c>
      <c r="S705" s="68" t="s">
        <v>16</v>
      </c>
      <c r="T705" s="68" t="s">
        <v>329</v>
      </c>
      <c r="U705" s="68" t="s">
        <v>249</v>
      </c>
      <c r="V705" s="68" t="s">
        <v>282</v>
      </c>
      <c r="W705" s="69" t="s">
        <v>282</v>
      </c>
      <c r="X705" s="69" t="s">
        <v>282</v>
      </c>
      <c r="Y705" s="70" t="s">
        <v>282</v>
      </c>
    </row>
    <row r="706" spans="1:25">
      <c r="A706" s="64">
        <v>13</v>
      </c>
      <c r="B706" s="65" t="str">
        <f>VLOOKUP(Tabel10[[#This Row],[Code]],Ruimtegroepen[[Code]:[Ruimte omschrijving]],2,FALSE)</f>
        <v>Personeelskamer</v>
      </c>
      <c r="C706" s="66" t="s">
        <v>872</v>
      </c>
      <c r="D706" s="65" t="s">
        <v>0</v>
      </c>
      <c r="E706" s="66" t="s">
        <v>100</v>
      </c>
      <c r="F706" s="66" t="s">
        <v>873</v>
      </c>
      <c r="G706" s="71" t="s">
        <v>282</v>
      </c>
      <c r="H706" s="67" t="s">
        <v>282</v>
      </c>
      <c r="I706" s="67" t="s">
        <v>16</v>
      </c>
      <c r="J706" s="67" t="s">
        <v>282</v>
      </c>
      <c r="K706" s="67" t="s">
        <v>282</v>
      </c>
      <c r="L706" s="67" t="s">
        <v>282</v>
      </c>
      <c r="M706" s="67" t="s">
        <v>282</v>
      </c>
      <c r="N706" s="67" t="s">
        <v>282</v>
      </c>
      <c r="O706" s="68" t="s">
        <v>16</v>
      </c>
      <c r="P706" s="68" t="s">
        <v>16</v>
      </c>
      <c r="Q706" s="68" t="s">
        <v>16</v>
      </c>
      <c r="R706" s="68" t="s">
        <v>16</v>
      </c>
      <c r="S706" s="68" t="s">
        <v>16</v>
      </c>
      <c r="T706" s="68" t="s">
        <v>329</v>
      </c>
      <c r="U706" s="68" t="s">
        <v>249</v>
      </c>
      <c r="V706" s="68" t="s">
        <v>282</v>
      </c>
      <c r="W706" s="69" t="s">
        <v>282</v>
      </c>
      <c r="X706" s="69" t="s">
        <v>282</v>
      </c>
      <c r="Y706" s="70" t="s">
        <v>282</v>
      </c>
    </row>
    <row r="707" spans="1:25">
      <c r="A707" s="64">
        <v>13</v>
      </c>
      <c r="B707" s="65" t="str">
        <f>VLOOKUP(Tabel10[[#This Row],[Code]],Ruimtegroepen[[Code]:[Ruimte omschrijving]],2,FALSE)</f>
        <v>Personeelskamer</v>
      </c>
      <c r="C707" s="66" t="s">
        <v>872</v>
      </c>
      <c r="D707" s="65" t="s">
        <v>0</v>
      </c>
      <c r="E707" s="66" t="s">
        <v>99</v>
      </c>
      <c r="F707" s="66" t="s">
        <v>874</v>
      </c>
      <c r="G707" s="71" t="s">
        <v>282</v>
      </c>
      <c r="H707" s="67" t="s">
        <v>16</v>
      </c>
      <c r="I707" s="67" t="s">
        <v>282</v>
      </c>
      <c r="J707" s="67" t="s">
        <v>282</v>
      </c>
      <c r="K707" s="67" t="s">
        <v>282</v>
      </c>
      <c r="L707" s="67" t="s">
        <v>282</v>
      </c>
      <c r="M707" s="67" t="s">
        <v>282</v>
      </c>
      <c r="N707" s="67" t="s">
        <v>282</v>
      </c>
      <c r="O707" s="68" t="s">
        <v>16</v>
      </c>
      <c r="P707" s="68" t="s">
        <v>16</v>
      </c>
      <c r="Q707" s="68" t="s">
        <v>16</v>
      </c>
      <c r="R707" s="68" t="s">
        <v>16</v>
      </c>
      <c r="S707" s="68" t="s">
        <v>16</v>
      </c>
      <c r="T707" s="68" t="s">
        <v>329</v>
      </c>
      <c r="U707" s="68" t="s">
        <v>249</v>
      </c>
      <c r="V707" s="68" t="s">
        <v>282</v>
      </c>
      <c r="W707" s="69" t="s">
        <v>282</v>
      </c>
      <c r="X707" s="69" t="s">
        <v>282</v>
      </c>
      <c r="Y707" s="70" t="s">
        <v>282</v>
      </c>
    </row>
    <row r="708" spans="1:25">
      <c r="A708" s="64">
        <v>13</v>
      </c>
      <c r="B708" s="65" t="str">
        <f>VLOOKUP(Tabel10[[#This Row],[Code]],Ruimtegroepen[[Code]:[Ruimte omschrijving]],2,FALSE)</f>
        <v>Personeelskamer</v>
      </c>
      <c r="C708" s="66" t="s">
        <v>872</v>
      </c>
      <c r="D708" s="65" t="s">
        <v>0</v>
      </c>
      <c r="E708" s="66" t="s">
        <v>101</v>
      </c>
      <c r="F708" s="66" t="s">
        <v>875</v>
      </c>
      <c r="G708" s="71" t="s">
        <v>282</v>
      </c>
      <c r="H708" s="67" t="s">
        <v>282</v>
      </c>
      <c r="I708" s="67" t="s">
        <v>282</v>
      </c>
      <c r="J708" s="67" t="s">
        <v>16</v>
      </c>
      <c r="K708" s="67" t="s">
        <v>249</v>
      </c>
      <c r="L708" s="67" t="s">
        <v>282</v>
      </c>
      <c r="M708" s="67" t="s">
        <v>282</v>
      </c>
      <c r="N708" s="67" t="s">
        <v>282</v>
      </c>
      <c r="O708" s="68" t="s">
        <v>16</v>
      </c>
      <c r="P708" s="68" t="s">
        <v>16</v>
      </c>
      <c r="Q708" s="68" t="s">
        <v>16</v>
      </c>
      <c r="R708" s="68" t="s">
        <v>16</v>
      </c>
      <c r="S708" s="68" t="s">
        <v>16</v>
      </c>
      <c r="T708" s="68" t="s">
        <v>329</v>
      </c>
      <c r="U708" s="68" t="s">
        <v>249</v>
      </c>
      <c r="V708" s="68" t="s">
        <v>282</v>
      </c>
      <c r="W708" s="69" t="s">
        <v>282</v>
      </c>
      <c r="X708" s="69" t="s">
        <v>282</v>
      </c>
      <c r="Y708" s="70" t="s">
        <v>282</v>
      </c>
    </row>
    <row r="709" spans="1:25">
      <c r="A709" s="64">
        <v>13</v>
      </c>
      <c r="B709" s="65" t="str">
        <f>VLOOKUP(Tabel10[[#This Row],[Code]],Ruimtegroepen[[Code]:[Ruimte omschrijving]],2,FALSE)</f>
        <v>Personeelskamer</v>
      </c>
      <c r="C709" s="66" t="s">
        <v>872</v>
      </c>
      <c r="D709" s="65" t="s">
        <v>0</v>
      </c>
      <c r="E709" s="66" t="s">
        <v>102</v>
      </c>
      <c r="F709" s="66" t="s">
        <v>876</v>
      </c>
      <c r="G709" s="71" t="s">
        <v>282</v>
      </c>
      <c r="H709" s="67" t="s">
        <v>282</v>
      </c>
      <c r="I709" s="67" t="s">
        <v>16</v>
      </c>
      <c r="J709" s="67" t="s">
        <v>282</v>
      </c>
      <c r="K709" s="67" t="s">
        <v>249</v>
      </c>
      <c r="L709" s="67" t="s">
        <v>282</v>
      </c>
      <c r="M709" s="67" t="s">
        <v>282</v>
      </c>
      <c r="N709" s="67" t="s">
        <v>282</v>
      </c>
      <c r="O709" s="68" t="s">
        <v>16</v>
      </c>
      <c r="P709" s="68" t="s">
        <v>16</v>
      </c>
      <c r="Q709" s="68" t="s">
        <v>16</v>
      </c>
      <c r="R709" s="68" t="s">
        <v>16</v>
      </c>
      <c r="S709" s="68" t="s">
        <v>16</v>
      </c>
      <c r="T709" s="68" t="s">
        <v>329</v>
      </c>
      <c r="U709" s="68" t="s">
        <v>249</v>
      </c>
      <c r="V709" s="68" t="s">
        <v>282</v>
      </c>
      <c r="W709" s="69" t="s">
        <v>282</v>
      </c>
      <c r="X709" s="69" t="s">
        <v>282</v>
      </c>
      <c r="Y709" s="70" t="s">
        <v>282</v>
      </c>
    </row>
    <row r="710" spans="1:25">
      <c r="A710" s="64">
        <v>13</v>
      </c>
      <c r="B710" s="65" t="str">
        <f>VLOOKUP(Tabel10[[#This Row],[Code]],Ruimtegroepen[[Code]:[Ruimte omschrijving]],2,FALSE)</f>
        <v>Personeelskamer</v>
      </c>
      <c r="C710" s="66" t="s">
        <v>872</v>
      </c>
      <c r="D710" s="65" t="s">
        <v>0</v>
      </c>
      <c r="E710" s="66" t="s">
        <v>99</v>
      </c>
      <c r="F710" s="66" t="s">
        <v>874</v>
      </c>
      <c r="G710" s="71" t="s">
        <v>282</v>
      </c>
      <c r="H710" s="67" t="s">
        <v>16</v>
      </c>
      <c r="I710" s="67" t="s">
        <v>282</v>
      </c>
      <c r="J710" s="67" t="s">
        <v>282</v>
      </c>
      <c r="K710" s="67" t="s">
        <v>282</v>
      </c>
      <c r="L710" s="67" t="s">
        <v>282</v>
      </c>
      <c r="M710" s="67" t="s">
        <v>282</v>
      </c>
      <c r="N710" s="67" t="s">
        <v>282</v>
      </c>
      <c r="O710" s="68" t="s">
        <v>16</v>
      </c>
      <c r="P710" s="68" t="s">
        <v>16</v>
      </c>
      <c r="Q710" s="68" t="s">
        <v>16</v>
      </c>
      <c r="R710" s="68" t="s">
        <v>16</v>
      </c>
      <c r="S710" s="68" t="s">
        <v>16</v>
      </c>
      <c r="T710" s="68" t="s">
        <v>329</v>
      </c>
      <c r="U710" s="68" t="s">
        <v>249</v>
      </c>
      <c r="V710" s="68" t="s">
        <v>282</v>
      </c>
      <c r="W710" s="69" t="s">
        <v>282</v>
      </c>
      <c r="X710" s="69" t="s">
        <v>282</v>
      </c>
      <c r="Y710" s="70" t="s">
        <v>282</v>
      </c>
    </row>
    <row r="711" spans="1:25">
      <c r="A711" s="64">
        <v>13</v>
      </c>
      <c r="B711" s="65" t="str">
        <f>VLOOKUP(Tabel10[[#This Row],[Code]],Ruimtegroepen[[Code]:[Ruimte omschrijving]],2,FALSE)</f>
        <v>Personeelskamer</v>
      </c>
      <c r="C711" s="66" t="s">
        <v>872</v>
      </c>
      <c r="D711" s="65" t="s">
        <v>0</v>
      </c>
      <c r="E711" s="66" t="s">
        <v>1309</v>
      </c>
      <c r="F711" s="66" t="s">
        <v>1353</v>
      </c>
      <c r="G711" s="71" t="s">
        <v>282</v>
      </c>
      <c r="H711" s="67" t="s">
        <v>282</v>
      </c>
      <c r="I711" s="67" t="s">
        <v>16</v>
      </c>
      <c r="J711" s="67" t="s">
        <v>282</v>
      </c>
      <c r="K711" s="67" t="s">
        <v>249</v>
      </c>
      <c r="L711" s="67" t="s">
        <v>282</v>
      </c>
      <c r="M711" s="67" t="s">
        <v>282</v>
      </c>
      <c r="N711" s="67" t="s">
        <v>282</v>
      </c>
      <c r="O711" s="68" t="s">
        <v>16</v>
      </c>
      <c r="P711" s="68" t="s">
        <v>16</v>
      </c>
      <c r="Q711" s="68" t="s">
        <v>16</v>
      </c>
      <c r="R711" s="68" t="s">
        <v>16</v>
      </c>
      <c r="S711" s="68" t="s">
        <v>16</v>
      </c>
      <c r="T711" s="68" t="s">
        <v>329</v>
      </c>
      <c r="U711" s="68" t="s">
        <v>249</v>
      </c>
      <c r="V711" s="68" t="s">
        <v>282</v>
      </c>
      <c r="W711" s="69" t="s">
        <v>282</v>
      </c>
      <c r="X711" s="69" t="s">
        <v>282</v>
      </c>
      <c r="Y711" s="70" t="s">
        <v>282</v>
      </c>
    </row>
    <row r="712" spans="1:25">
      <c r="A712" s="64">
        <v>13</v>
      </c>
      <c r="B712" s="65" t="str">
        <f>VLOOKUP(Tabel10[[#This Row],[Code]],Ruimtegroepen[[Code]:[Ruimte omschrijving]],2,FALSE)</f>
        <v>Personeelskamer</v>
      </c>
      <c r="C712" s="66" t="s">
        <v>877</v>
      </c>
      <c r="D712" s="65" t="s">
        <v>27</v>
      </c>
      <c r="E712" s="66" t="s">
        <v>100</v>
      </c>
      <c r="F712" s="66" t="s">
        <v>878</v>
      </c>
      <c r="G712" s="71" t="s">
        <v>282</v>
      </c>
      <c r="H712" s="67" t="s">
        <v>282</v>
      </c>
      <c r="I712" s="67" t="s">
        <v>15</v>
      </c>
      <c r="J712" s="67" t="s">
        <v>282</v>
      </c>
      <c r="K712" s="67" t="s">
        <v>282</v>
      </c>
      <c r="L712" s="67" t="s">
        <v>282</v>
      </c>
      <c r="M712" s="67" t="s">
        <v>282</v>
      </c>
      <c r="N712" s="67" t="s">
        <v>282</v>
      </c>
      <c r="O712" s="68" t="s">
        <v>15</v>
      </c>
      <c r="P712" s="68" t="s">
        <v>15</v>
      </c>
      <c r="Q712" s="68" t="s">
        <v>15</v>
      </c>
      <c r="R712" s="68" t="s">
        <v>282</v>
      </c>
      <c r="S712" s="68" t="s">
        <v>282</v>
      </c>
      <c r="T712" s="68" t="s">
        <v>282</v>
      </c>
      <c r="U712" s="68" t="s">
        <v>282</v>
      </c>
      <c r="V712" s="68" t="s">
        <v>282</v>
      </c>
      <c r="W712" s="69" t="s">
        <v>282</v>
      </c>
      <c r="X712" s="69" t="s">
        <v>282</v>
      </c>
      <c r="Y712" s="70" t="s">
        <v>282</v>
      </c>
    </row>
    <row r="713" spans="1:25">
      <c r="A713" s="64">
        <v>13</v>
      </c>
      <c r="B713" s="65" t="str">
        <f>VLOOKUP(Tabel10[[#This Row],[Code]],Ruimtegroepen[[Code]:[Ruimte omschrijving]],2,FALSE)</f>
        <v>Personeelskamer</v>
      </c>
      <c r="C713" s="66" t="s">
        <v>877</v>
      </c>
      <c r="D713" s="65" t="s">
        <v>27</v>
      </c>
      <c r="E713" s="66" t="s">
        <v>99</v>
      </c>
      <c r="F713" s="66" t="s">
        <v>879</v>
      </c>
      <c r="G713" s="71" t="s">
        <v>282</v>
      </c>
      <c r="H713" s="67" t="s">
        <v>15</v>
      </c>
      <c r="I713" s="67" t="s">
        <v>282</v>
      </c>
      <c r="J713" s="67" t="s">
        <v>282</v>
      </c>
      <c r="K713" s="67" t="s">
        <v>282</v>
      </c>
      <c r="L713" s="67" t="s">
        <v>282</v>
      </c>
      <c r="M713" s="67" t="s">
        <v>282</v>
      </c>
      <c r="N713" s="67" t="s">
        <v>282</v>
      </c>
      <c r="O713" s="68" t="s">
        <v>15</v>
      </c>
      <c r="P713" s="68" t="s">
        <v>15</v>
      </c>
      <c r="Q713" s="68" t="s">
        <v>15</v>
      </c>
      <c r="R713" s="68" t="s">
        <v>282</v>
      </c>
      <c r="S713" s="68" t="s">
        <v>282</v>
      </c>
      <c r="T713" s="68" t="s">
        <v>282</v>
      </c>
      <c r="U713" s="68" t="s">
        <v>282</v>
      </c>
      <c r="V713" s="68" t="s">
        <v>282</v>
      </c>
      <c r="W713" s="69" t="s">
        <v>282</v>
      </c>
      <c r="X713" s="69" t="s">
        <v>282</v>
      </c>
      <c r="Y713" s="70" t="s">
        <v>282</v>
      </c>
    </row>
    <row r="714" spans="1:25">
      <c r="A714" s="64">
        <v>13</v>
      </c>
      <c r="B714" s="65" t="str">
        <f>VLOOKUP(Tabel10[[#This Row],[Code]],Ruimtegroepen[[Code]:[Ruimte omschrijving]],2,FALSE)</f>
        <v>Personeelskamer</v>
      </c>
      <c r="C714" s="66" t="s">
        <v>877</v>
      </c>
      <c r="D714" s="65" t="s">
        <v>27</v>
      </c>
      <c r="E714" s="66" t="s">
        <v>101</v>
      </c>
      <c r="F714" s="66" t="s">
        <v>880</v>
      </c>
      <c r="G714" s="71" t="s">
        <v>282</v>
      </c>
      <c r="H714" s="67" t="s">
        <v>282</v>
      </c>
      <c r="I714" s="67" t="s">
        <v>15</v>
      </c>
      <c r="J714" s="67" t="s">
        <v>282</v>
      </c>
      <c r="K714" s="67" t="s">
        <v>282</v>
      </c>
      <c r="L714" s="67" t="s">
        <v>282</v>
      </c>
      <c r="M714" s="67" t="s">
        <v>282</v>
      </c>
      <c r="N714" s="67" t="s">
        <v>282</v>
      </c>
      <c r="O714" s="68" t="s">
        <v>15</v>
      </c>
      <c r="P714" s="68" t="s">
        <v>15</v>
      </c>
      <c r="Q714" s="68" t="s">
        <v>15</v>
      </c>
      <c r="R714" s="68" t="s">
        <v>282</v>
      </c>
      <c r="S714" s="68" t="s">
        <v>282</v>
      </c>
      <c r="T714" s="68" t="s">
        <v>282</v>
      </c>
      <c r="U714" s="68" t="s">
        <v>282</v>
      </c>
      <c r="V714" s="68" t="s">
        <v>282</v>
      </c>
      <c r="W714" s="69" t="s">
        <v>282</v>
      </c>
      <c r="X714" s="69" t="s">
        <v>282</v>
      </c>
      <c r="Y714" s="70" t="s">
        <v>282</v>
      </c>
    </row>
    <row r="715" spans="1:25">
      <c r="A715" s="64">
        <v>13</v>
      </c>
      <c r="B715" s="65" t="str">
        <f>VLOOKUP(Tabel10[[#This Row],[Code]],Ruimtegroepen[[Code]:[Ruimte omschrijving]],2,FALSE)</f>
        <v>Personeelskamer</v>
      </c>
      <c r="C715" s="66" t="s">
        <v>877</v>
      </c>
      <c r="D715" s="65" t="s">
        <v>27</v>
      </c>
      <c r="E715" s="66" t="s">
        <v>102</v>
      </c>
      <c r="F715" s="66" t="s">
        <v>881</v>
      </c>
      <c r="G715" s="71" t="s">
        <v>282</v>
      </c>
      <c r="H715" s="67" t="s">
        <v>282</v>
      </c>
      <c r="I715" s="67" t="s">
        <v>15</v>
      </c>
      <c r="J715" s="67" t="s">
        <v>282</v>
      </c>
      <c r="K715" s="67" t="s">
        <v>282</v>
      </c>
      <c r="L715" s="67" t="s">
        <v>282</v>
      </c>
      <c r="M715" s="67" t="s">
        <v>282</v>
      </c>
      <c r="N715" s="67" t="s">
        <v>282</v>
      </c>
      <c r="O715" s="68" t="s">
        <v>15</v>
      </c>
      <c r="P715" s="68" t="s">
        <v>15</v>
      </c>
      <c r="Q715" s="68" t="s">
        <v>15</v>
      </c>
      <c r="R715" s="68" t="s">
        <v>282</v>
      </c>
      <c r="S715" s="68" t="s">
        <v>282</v>
      </c>
      <c r="T715" s="68" t="s">
        <v>282</v>
      </c>
      <c r="U715" s="68" t="s">
        <v>282</v>
      </c>
      <c r="V715" s="68" t="s">
        <v>282</v>
      </c>
      <c r="W715" s="69" t="s">
        <v>282</v>
      </c>
      <c r="X715" s="69" t="s">
        <v>282</v>
      </c>
      <c r="Y715" s="70" t="s">
        <v>282</v>
      </c>
    </row>
    <row r="716" spans="1:25">
      <c r="A716" s="64">
        <v>13</v>
      </c>
      <c r="B716" s="65" t="str">
        <f>VLOOKUP(Tabel10[[#This Row],[Code]],Ruimtegroepen[[Code]:[Ruimte omschrijving]],2,FALSE)</f>
        <v>Personeelskamer</v>
      </c>
      <c r="C716" s="66" t="s">
        <v>877</v>
      </c>
      <c r="D716" s="65" t="s">
        <v>27</v>
      </c>
      <c r="E716" s="66" t="s">
        <v>99</v>
      </c>
      <c r="F716" s="66" t="s">
        <v>879</v>
      </c>
      <c r="G716" s="71" t="s">
        <v>282</v>
      </c>
      <c r="H716" s="67" t="s">
        <v>15</v>
      </c>
      <c r="I716" s="67" t="s">
        <v>282</v>
      </c>
      <c r="J716" s="67" t="s">
        <v>282</v>
      </c>
      <c r="K716" s="67" t="s">
        <v>282</v>
      </c>
      <c r="L716" s="67" t="s">
        <v>282</v>
      </c>
      <c r="M716" s="67" t="s">
        <v>282</v>
      </c>
      <c r="N716" s="67" t="s">
        <v>282</v>
      </c>
      <c r="O716" s="68" t="s">
        <v>15</v>
      </c>
      <c r="P716" s="68" t="s">
        <v>15</v>
      </c>
      <c r="Q716" s="68" t="s">
        <v>15</v>
      </c>
      <c r="R716" s="68" t="s">
        <v>282</v>
      </c>
      <c r="S716" s="68" t="s">
        <v>282</v>
      </c>
      <c r="T716" s="68" t="s">
        <v>282</v>
      </c>
      <c r="U716" s="68" t="s">
        <v>282</v>
      </c>
      <c r="V716" s="68" t="s">
        <v>282</v>
      </c>
      <c r="W716" s="69" t="s">
        <v>282</v>
      </c>
      <c r="X716" s="69" t="s">
        <v>282</v>
      </c>
      <c r="Y716" s="70" t="s">
        <v>282</v>
      </c>
    </row>
    <row r="717" spans="1:25">
      <c r="A717" s="64">
        <v>13</v>
      </c>
      <c r="B717" s="65" t="str">
        <f>VLOOKUP(Tabel10[[#This Row],[Code]],Ruimtegroepen[[Code]:[Ruimte omschrijving]],2,FALSE)</f>
        <v>Personeelskamer</v>
      </c>
      <c r="C717" s="66" t="s">
        <v>877</v>
      </c>
      <c r="D717" s="65" t="s">
        <v>27</v>
      </c>
      <c r="E717" s="66" t="s">
        <v>1309</v>
      </c>
      <c r="F717" s="66" t="s">
        <v>1386</v>
      </c>
      <c r="G717" s="71" t="s">
        <v>282</v>
      </c>
      <c r="H717" s="67" t="s">
        <v>282</v>
      </c>
      <c r="I717" s="67" t="s">
        <v>15</v>
      </c>
      <c r="J717" s="67" t="s">
        <v>282</v>
      </c>
      <c r="K717" s="67" t="s">
        <v>282</v>
      </c>
      <c r="L717" s="67" t="s">
        <v>282</v>
      </c>
      <c r="M717" s="67" t="s">
        <v>282</v>
      </c>
      <c r="N717" s="67" t="s">
        <v>282</v>
      </c>
      <c r="O717" s="68" t="s">
        <v>15</v>
      </c>
      <c r="P717" s="68" t="s">
        <v>15</v>
      </c>
      <c r="Q717" s="68" t="s">
        <v>15</v>
      </c>
      <c r="R717" s="68" t="s">
        <v>282</v>
      </c>
      <c r="S717" s="68" t="s">
        <v>282</v>
      </c>
      <c r="T717" s="68" t="s">
        <v>282</v>
      </c>
      <c r="U717" s="68" t="s">
        <v>282</v>
      </c>
      <c r="V717" s="68" t="s">
        <v>282</v>
      </c>
      <c r="W717" s="69" t="s">
        <v>282</v>
      </c>
      <c r="X717" s="69" t="s">
        <v>282</v>
      </c>
      <c r="Y717" s="70" t="s">
        <v>282</v>
      </c>
    </row>
    <row r="718" spans="1:25">
      <c r="A718" s="64">
        <v>13</v>
      </c>
      <c r="B718" s="65" t="str">
        <f>VLOOKUP(Tabel10[[#This Row],[Code]],Ruimtegroepen[[Code]:[Ruimte omschrijving]],2,FALSE)</f>
        <v>Personeelskamer</v>
      </c>
      <c r="C718" s="66" t="s">
        <v>882</v>
      </c>
      <c r="D718" s="65" t="s">
        <v>28</v>
      </c>
      <c r="E718" s="66" t="s">
        <v>100</v>
      </c>
      <c r="F718" s="66" t="s">
        <v>883</v>
      </c>
      <c r="G718" s="71" t="s">
        <v>282</v>
      </c>
      <c r="H718" s="67" t="s">
        <v>282</v>
      </c>
      <c r="I718" s="67" t="s">
        <v>17</v>
      </c>
      <c r="J718" s="67" t="s">
        <v>282</v>
      </c>
      <c r="K718" s="67" t="s">
        <v>282</v>
      </c>
      <c r="L718" s="67" t="s">
        <v>282</v>
      </c>
      <c r="M718" s="67" t="s">
        <v>282</v>
      </c>
      <c r="N718" s="67" t="s">
        <v>282</v>
      </c>
      <c r="O718" s="68" t="s">
        <v>17</v>
      </c>
      <c r="P718" s="68" t="s">
        <v>17</v>
      </c>
      <c r="Q718" s="68" t="s">
        <v>15</v>
      </c>
      <c r="R718" s="68" t="s">
        <v>282</v>
      </c>
      <c r="S718" s="68" t="s">
        <v>282</v>
      </c>
      <c r="T718" s="68" t="s">
        <v>282</v>
      </c>
      <c r="U718" s="68" t="s">
        <v>282</v>
      </c>
      <c r="V718" s="68" t="s">
        <v>282</v>
      </c>
      <c r="W718" s="69" t="s">
        <v>282</v>
      </c>
      <c r="X718" s="69" t="s">
        <v>282</v>
      </c>
      <c r="Y718" s="70" t="s">
        <v>282</v>
      </c>
    </row>
    <row r="719" spans="1:25">
      <c r="A719" s="64">
        <v>13</v>
      </c>
      <c r="B719" s="65" t="str">
        <f>VLOOKUP(Tabel10[[#This Row],[Code]],Ruimtegroepen[[Code]:[Ruimte omschrijving]],2,FALSE)</f>
        <v>Personeelskamer</v>
      </c>
      <c r="C719" s="66" t="s">
        <v>882</v>
      </c>
      <c r="D719" s="65" t="s">
        <v>28</v>
      </c>
      <c r="E719" s="66" t="s">
        <v>99</v>
      </c>
      <c r="F719" s="66" t="s">
        <v>884</v>
      </c>
      <c r="G719" s="71" t="s">
        <v>282</v>
      </c>
      <c r="H719" s="67" t="s">
        <v>17</v>
      </c>
      <c r="I719" s="67" t="s">
        <v>282</v>
      </c>
      <c r="J719" s="67" t="s">
        <v>282</v>
      </c>
      <c r="K719" s="67" t="s">
        <v>282</v>
      </c>
      <c r="L719" s="67" t="s">
        <v>282</v>
      </c>
      <c r="M719" s="67" t="s">
        <v>282</v>
      </c>
      <c r="N719" s="67" t="s">
        <v>282</v>
      </c>
      <c r="O719" s="68" t="s">
        <v>17</v>
      </c>
      <c r="P719" s="68" t="s">
        <v>17</v>
      </c>
      <c r="Q719" s="68" t="s">
        <v>15</v>
      </c>
      <c r="R719" s="68" t="s">
        <v>282</v>
      </c>
      <c r="S719" s="68" t="s">
        <v>282</v>
      </c>
      <c r="T719" s="68" t="s">
        <v>282</v>
      </c>
      <c r="U719" s="68" t="s">
        <v>282</v>
      </c>
      <c r="V719" s="68" t="s">
        <v>282</v>
      </c>
      <c r="W719" s="69" t="s">
        <v>282</v>
      </c>
      <c r="X719" s="69" t="s">
        <v>282</v>
      </c>
      <c r="Y719" s="70" t="s">
        <v>282</v>
      </c>
    </row>
    <row r="720" spans="1:25">
      <c r="A720" s="64">
        <v>13</v>
      </c>
      <c r="B720" s="65" t="str">
        <f>VLOOKUP(Tabel10[[#This Row],[Code]],Ruimtegroepen[[Code]:[Ruimte omschrijving]],2,FALSE)</f>
        <v>Personeelskamer</v>
      </c>
      <c r="C720" s="66" t="s">
        <v>882</v>
      </c>
      <c r="D720" s="65" t="s">
        <v>28</v>
      </c>
      <c r="E720" s="66" t="s">
        <v>101</v>
      </c>
      <c r="F720" s="66" t="s">
        <v>885</v>
      </c>
      <c r="G720" s="71" t="s">
        <v>282</v>
      </c>
      <c r="H720" s="67" t="s">
        <v>282</v>
      </c>
      <c r="I720" s="67" t="s">
        <v>17</v>
      </c>
      <c r="J720" s="67" t="s">
        <v>282</v>
      </c>
      <c r="K720" s="67" t="s">
        <v>282</v>
      </c>
      <c r="L720" s="67" t="s">
        <v>282</v>
      </c>
      <c r="M720" s="67" t="s">
        <v>282</v>
      </c>
      <c r="N720" s="67" t="s">
        <v>282</v>
      </c>
      <c r="O720" s="68" t="s">
        <v>17</v>
      </c>
      <c r="P720" s="68" t="s">
        <v>17</v>
      </c>
      <c r="Q720" s="68" t="s">
        <v>15</v>
      </c>
      <c r="R720" s="68" t="s">
        <v>282</v>
      </c>
      <c r="S720" s="68" t="s">
        <v>282</v>
      </c>
      <c r="T720" s="68" t="s">
        <v>282</v>
      </c>
      <c r="U720" s="68" t="s">
        <v>282</v>
      </c>
      <c r="V720" s="68" t="s">
        <v>282</v>
      </c>
      <c r="W720" s="69" t="s">
        <v>282</v>
      </c>
      <c r="X720" s="69" t="s">
        <v>282</v>
      </c>
      <c r="Y720" s="70" t="s">
        <v>282</v>
      </c>
    </row>
    <row r="721" spans="1:25">
      <c r="A721" s="64">
        <v>13</v>
      </c>
      <c r="B721" s="65" t="str">
        <f>VLOOKUP(Tabel10[[#This Row],[Code]],Ruimtegroepen[[Code]:[Ruimte omschrijving]],2,FALSE)</f>
        <v>Personeelskamer</v>
      </c>
      <c r="C721" s="66" t="s">
        <v>882</v>
      </c>
      <c r="D721" s="65" t="s">
        <v>28</v>
      </c>
      <c r="E721" s="66" t="s">
        <v>102</v>
      </c>
      <c r="F721" s="66" t="s">
        <v>886</v>
      </c>
      <c r="G721" s="71" t="s">
        <v>282</v>
      </c>
      <c r="H721" s="67" t="s">
        <v>282</v>
      </c>
      <c r="I721" s="67" t="s">
        <v>17</v>
      </c>
      <c r="J721" s="67" t="s">
        <v>282</v>
      </c>
      <c r="K721" s="67" t="s">
        <v>282</v>
      </c>
      <c r="L721" s="67" t="s">
        <v>282</v>
      </c>
      <c r="M721" s="67" t="s">
        <v>282</v>
      </c>
      <c r="N721" s="67" t="s">
        <v>282</v>
      </c>
      <c r="O721" s="68" t="s">
        <v>17</v>
      </c>
      <c r="P721" s="68" t="s">
        <v>17</v>
      </c>
      <c r="Q721" s="68" t="s">
        <v>15</v>
      </c>
      <c r="R721" s="68" t="s">
        <v>282</v>
      </c>
      <c r="S721" s="68" t="s">
        <v>282</v>
      </c>
      <c r="T721" s="68" t="s">
        <v>282</v>
      </c>
      <c r="U721" s="68" t="s">
        <v>282</v>
      </c>
      <c r="V721" s="68" t="s">
        <v>282</v>
      </c>
      <c r="W721" s="69" t="s">
        <v>282</v>
      </c>
      <c r="X721" s="69" t="s">
        <v>282</v>
      </c>
      <c r="Y721" s="70" t="s">
        <v>282</v>
      </c>
    </row>
    <row r="722" spans="1:25">
      <c r="A722" s="64">
        <v>13</v>
      </c>
      <c r="B722" s="65" t="str">
        <f>VLOOKUP(Tabel10[[#This Row],[Code]],Ruimtegroepen[[Code]:[Ruimte omschrijving]],2,FALSE)</f>
        <v>Personeelskamer</v>
      </c>
      <c r="C722" s="66" t="s">
        <v>882</v>
      </c>
      <c r="D722" s="65" t="s">
        <v>28</v>
      </c>
      <c r="E722" s="66" t="s">
        <v>99</v>
      </c>
      <c r="F722" s="66" t="s">
        <v>884</v>
      </c>
      <c r="G722" s="71" t="s">
        <v>282</v>
      </c>
      <c r="H722" s="67" t="s">
        <v>17</v>
      </c>
      <c r="I722" s="67" t="s">
        <v>282</v>
      </c>
      <c r="J722" s="67" t="s">
        <v>282</v>
      </c>
      <c r="K722" s="67" t="s">
        <v>282</v>
      </c>
      <c r="L722" s="67" t="s">
        <v>282</v>
      </c>
      <c r="M722" s="67" t="s">
        <v>282</v>
      </c>
      <c r="N722" s="67" t="s">
        <v>282</v>
      </c>
      <c r="O722" s="68" t="s">
        <v>17</v>
      </c>
      <c r="P722" s="68" t="s">
        <v>17</v>
      </c>
      <c r="Q722" s="68" t="s">
        <v>15</v>
      </c>
      <c r="R722" s="68" t="s">
        <v>282</v>
      </c>
      <c r="S722" s="68" t="s">
        <v>282</v>
      </c>
      <c r="T722" s="68" t="s">
        <v>282</v>
      </c>
      <c r="U722" s="68" t="s">
        <v>282</v>
      </c>
      <c r="V722" s="68" t="s">
        <v>282</v>
      </c>
      <c r="W722" s="69" t="s">
        <v>282</v>
      </c>
      <c r="X722" s="69" t="s">
        <v>282</v>
      </c>
      <c r="Y722" s="70" t="s">
        <v>282</v>
      </c>
    </row>
    <row r="723" spans="1:25">
      <c r="A723" s="64">
        <v>13</v>
      </c>
      <c r="B723" s="65" t="str">
        <f>VLOOKUP(Tabel10[[#This Row],[Code]],Ruimtegroepen[[Code]:[Ruimte omschrijving]],2,FALSE)</f>
        <v>Personeelskamer</v>
      </c>
      <c r="C723" s="66" t="s">
        <v>882</v>
      </c>
      <c r="D723" s="65" t="s">
        <v>28</v>
      </c>
      <c r="E723" s="66" t="s">
        <v>1309</v>
      </c>
      <c r="F723" s="66" t="s">
        <v>1419</v>
      </c>
      <c r="G723" s="71" t="s">
        <v>282</v>
      </c>
      <c r="H723" s="67" t="s">
        <v>282</v>
      </c>
      <c r="I723" s="67" t="s">
        <v>17</v>
      </c>
      <c r="J723" s="67" t="s">
        <v>282</v>
      </c>
      <c r="K723" s="67" t="s">
        <v>282</v>
      </c>
      <c r="L723" s="67" t="s">
        <v>282</v>
      </c>
      <c r="M723" s="67" t="s">
        <v>282</v>
      </c>
      <c r="N723" s="67" t="s">
        <v>282</v>
      </c>
      <c r="O723" s="68" t="s">
        <v>17</v>
      </c>
      <c r="P723" s="68" t="s">
        <v>17</v>
      </c>
      <c r="Q723" s="68" t="s">
        <v>15</v>
      </c>
      <c r="R723" s="68" t="s">
        <v>282</v>
      </c>
      <c r="S723" s="68" t="s">
        <v>282</v>
      </c>
      <c r="T723" s="68" t="s">
        <v>282</v>
      </c>
      <c r="U723" s="68" t="s">
        <v>282</v>
      </c>
      <c r="V723" s="68" t="s">
        <v>282</v>
      </c>
      <c r="W723" s="69" t="s">
        <v>282</v>
      </c>
      <c r="X723" s="69" t="s">
        <v>282</v>
      </c>
      <c r="Y723" s="70" t="s">
        <v>282</v>
      </c>
    </row>
    <row r="724" spans="1:25">
      <c r="A724" s="64">
        <v>14</v>
      </c>
      <c r="B724" s="65" t="str">
        <f>VLOOKUP(Tabel10[[#This Row],[Code]],Ruimtegroepen[[Code]:[Ruimte omschrijving]],2,FALSE)</f>
        <v>Praktijklokalen</v>
      </c>
      <c r="C724" s="66" t="s">
        <v>887</v>
      </c>
      <c r="D724" s="65" t="s">
        <v>29</v>
      </c>
      <c r="E724" s="66" t="s">
        <v>100</v>
      </c>
      <c r="F724" s="66" t="s">
        <v>888</v>
      </c>
      <c r="G724" s="71" t="s">
        <v>282</v>
      </c>
      <c r="H724" s="67" t="s">
        <v>282</v>
      </c>
      <c r="I724" s="67" t="s">
        <v>20</v>
      </c>
      <c r="J724" s="67" t="s">
        <v>15</v>
      </c>
      <c r="K724" s="67" t="s">
        <v>282</v>
      </c>
      <c r="L724" s="67" t="s">
        <v>282</v>
      </c>
      <c r="M724" s="67" t="s">
        <v>282</v>
      </c>
      <c r="N724" s="67" t="s">
        <v>2</v>
      </c>
      <c r="O724" s="68" t="s">
        <v>2</v>
      </c>
      <c r="P724" s="68" t="s">
        <v>2</v>
      </c>
      <c r="Q724" s="68" t="s">
        <v>15</v>
      </c>
      <c r="R724" s="68" t="s">
        <v>15</v>
      </c>
      <c r="S724" s="68" t="s">
        <v>16</v>
      </c>
      <c r="T724" s="68" t="s">
        <v>329</v>
      </c>
      <c r="U724" s="68" t="s">
        <v>249</v>
      </c>
      <c r="V724" s="68" t="s">
        <v>2</v>
      </c>
      <c r="W724" s="69" t="s">
        <v>282</v>
      </c>
      <c r="X724" s="69" t="s">
        <v>282</v>
      </c>
      <c r="Y724" s="70" t="s">
        <v>282</v>
      </c>
    </row>
    <row r="725" spans="1:25">
      <c r="A725" s="64">
        <v>14</v>
      </c>
      <c r="B725" s="65" t="str">
        <f>VLOOKUP(Tabel10[[#This Row],[Code]],Ruimtegroepen[[Code]:[Ruimte omschrijving]],2,FALSE)</f>
        <v>Praktijklokalen</v>
      </c>
      <c r="C725" s="66" t="s">
        <v>887</v>
      </c>
      <c r="D725" s="65" t="s">
        <v>29</v>
      </c>
      <c r="E725" s="66" t="s">
        <v>99</v>
      </c>
      <c r="F725" s="66" t="s">
        <v>889</v>
      </c>
      <c r="G725" s="67" t="s">
        <v>18</v>
      </c>
      <c r="H725" s="67" t="s">
        <v>17</v>
      </c>
      <c r="I725" s="67" t="s">
        <v>282</v>
      </c>
      <c r="J725" s="67" t="s">
        <v>282</v>
      </c>
      <c r="K725" s="67" t="s">
        <v>282</v>
      </c>
      <c r="L725" s="67" t="s">
        <v>282</v>
      </c>
      <c r="M725" s="67" t="s">
        <v>282</v>
      </c>
      <c r="N725" s="67" t="s">
        <v>2</v>
      </c>
      <c r="O725" s="68" t="s">
        <v>2</v>
      </c>
      <c r="P725" s="68" t="s">
        <v>2</v>
      </c>
      <c r="Q725" s="68" t="s">
        <v>15</v>
      </c>
      <c r="R725" s="68" t="s">
        <v>15</v>
      </c>
      <c r="S725" s="68" t="s">
        <v>16</v>
      </c>
      <c r="T725" s="68" t="s">
        <v>329</v>
      </c>
      <c r="U725" s="68" t="s">
        <v>249</v>
      </c>
      <c r="V725" s="68" t="s">
        <v>2</v>
      </c>
      <c r="W725" s="69" t="s">
        <v>282</v>
      </c>
      <c r="X725" s="69" t="s">
        <v>282</v>
      </c>
      <c r="Y725" s="70" t="s">
        <v>282</v>
      </c>
    </row>
    <row r="726" spans="1:25">
      <c r="A726" s="64">
        <v>14</v>
      </c>
      <c r="B726" s="65" t="str">
        <f>VLOOKUP(Tabel10[[#This Row],[Code]],Ruimtegroepen[[Code]:[Ruimte omschrijving]],2,FALSE)</f>
        <v>Praktijklokalen</v>
      </c>
      <c r="C726" s="66" t="s">
        <v>887</v>
      </c>
      <c r="D726" s="65" t="s">
        <v>29</v>
      </c>
      <c r="E726" s="66" t="s">
        <v>101</v>
      </c>
      <c r="F726" s="66" t="s">
        <v>890</v>
      </c>
      <c r="G726" s="71" t="s">
        <v>282</v>
      </c>
      <c r="H726" s="67" t="s">
        <v>282</v>
      </c>
      <c r="I726" s="67" t="s">
        <v>20</v>
      </c>
      <c r="J726" s="67" t="s">
        <v>15</v>
      </c>
      <c r="K726" s="67" t="s">
        <v>16</v>
      </c>
      <c r="L726" s="67" t="s">
        <v>282</v>
      </c>
      <c r="M726" s="67" t="s">
        <v>282</v>
      </c>
      <c r="N726" s="67" t="s">
        <v>2</v>
      </c>
      <c r="O726" s="68" t="s">
        <v>2</v>
      </c>
      <c r="P726" s="68" t="s">
        <v>2</v>
      </c>
      <c r="Q726" s="68" t="s">
        <v>15</v>
      </c>
      <c r="R726" s="68" t="s">
        <v>15</v>
      </c>
      <c r="S726" s="68" t="s">
        <v>16</v>
      </c>
      <c r="T726" s="68" t="s">
        <v>329</v>
      </c>
      <c r="U726" s="68" t="s">
        <v>249</v>
      </c>
      <c r="V726" s="68" t="s">
        <v>2</v>
      </c>
      <c r="W726" s="69" t="s">
        <v>282</v>
      </c>
      <c r="X726" s="69" t="s">
        <v>282</v>
      </c>
      <c r="Y726" s="70" t="s">
        <v>282</v>
      </c>
    </row>
    <row r="727" spans="1:25">
      <c r="A727" s="64">
        <v>14</v>
      </c>
      <c r="B727" s="65" t="str">
        <f>VLOOKUP(Tabel10[[#This Row],[Code]],Ruimtegroepen[[Code]:[Ruimte omschrijving]],2,FALSE)</f>
        <v>Praktijklokalen</v>
      </c>
      <c r="C727" s="66" t="s">
        <v>887</v>
      </c>
      <c r="D727" s="65" t="s">
        <v>29</v>
      </c>
      <c r="E727" s="66" t="s">
        <v>102</v>
      </c>
      <c r="F727" s="66" t="s">
        <v>891</v>
      </c>
      <c r="G727" s="71" t="s">
        <v>282</v>
      </c>
      <c r="H727" s="67" t="s">
        <v>282</v>
      </c>
      <c r="I727" s="67" t="s">
        <v>20</v>
      </c>
      <c r="J727" s="67" t="s">
        <v>15</v>
      </c>
      <c r="K727" s="67" t="s">
        <v>16</v>
      </c>
      <c r="L727" s="67" t="s">
        <v>282</v>
      </c>
      <c r="M727" s="67" t="s">
        <v>282</v>
      </c>
      <c r="N727" s="67" t="s">
        <v>2</v>
      </c>
      <c r="O727" s="68" t="s">
        <v>2</v>
      </c>
      <c r="P727" s="68" t="s">
        <v>2</v>
      </c>
      <c r="Q727" s="68" t="s">
        <v>15</v>
      </c>
      <c r="R727" s="68" t="s">
        <v>15</v>
      </c>
      <c r="S727" s="68" t="s">
        <v>16</v>
      </c>
      <c r="T727" s="68" t="s">
        <v>329</v>
      </c>
      <c r="U727" s="68" t="s">
        <v>249</v>
      </c>
      <c r="V727" s="68" t="s">
        <v>2</v>
      </c>
      <c r="W727" s="69" t="s">
        <v>282</v>
      </c>
      <c r="X727" s="69" t="s">
        <v>282</v>
      </c>
      <c r="Y727" s="70" t="s">
        <v>282</v>
      </c>
    </row>
    <row r="728" spans="1:25">
      <c r="A728" s="64">
        <v>14</v>
      </c>
      <c r="B728" s="65" t="str">
        <f>VLOOKUP(Tabel10[[#This Row],[Code]],Ruimtegroepen[[Code]:[Ruimte omschrijving]],2,FALSE)</f>
        <v>Praktijklokalen</v>
      </c>
      <c r="C728" s="66" t="s">
        <v>887</v>
      </c>
      <c r="D728" s="65" t="s">
        <v>29</v>
      </c>
      <c r="E728" s="66" t="s">
        <v>99</v>
      </c>
      <c r="F728" s="66" t="s">
        <v>889</v>
      </c>
      <c r="G728" s="67" t="s">
        <v>18</v>
      </c>
      <c r="H728" s="67" t="s">
        <v>17</v>
      </c>
      <c r="I728" s="67" t="s">
        <v>282</v>
      </c>
      <c r="J728" s="67" t="s">
        <v>282</v>
      </c>
      <c r="K728" s="67" t="s">
        <v>282</v>
      </c>
      <c r="L728" s="67" t="s">
        <v>282</v>
      </c>
      <c r="M728" s="67" t="s">
        <v>282</v>
      </c>
      <c r="N728" s="67" t="s">
        <v>282</v>
      </c>
      <c r="O728" s="68" t="s">
        <v>282</v>
      </c>
      <c r="P728" s="68" t="s">
        <v>282</v>
      </c>
      <c r="Q728" s="68" t="s">
        <v>282</v>
      </c>
      <c r="R728" s="68" t="s">
        <v>282</v>
      </c>
      <c r="S728" s="68" t="s">
        <v>282</v>
      </c>
      <c r="T728" s="68" t="s">
        <v>282</v>
      </c>
      <c r="U728" s="68" t="s">
        <v>282</v>
      </c>
      <c r="V728" s="68" t="s">
        <v>282</v>
      </c>
      <c r="W728" s="69" t="s">
        <v>282</v>
      </c>
      <c r="X728" s="69" t="s">
        <v>282</v>
      </c>
      <c r="Y728" s="70" t="s">
        <v>282</v>
      </c>
    </row>
    <row r="729" spans="1:25">
      <c r="A729" s="64">
        <v>14</v>
      </c>
      <c r="B729" s="65" t="str">
        <f>VLOOKUP(Tabel10[[#This Row],[Code]],Ruimtegroepen[[Code]:[Ruimte omschrijving]],2,FALSE)</f>
        <v>Praktijklokalen</v>
      </c>
      <c r="C729" s="66" t="s">
        <v>887</v>
      </c>
      <c r="D729" s="65" t="s">
        <v>29</v>
      </c>
      <c r="E729" s="66" t="s">
        <v>1309</v>
      </c>
      <c r="F729" s="66" t="s">
        <v>1487</v>
      </c>
      <c r="G729" s="71" t="s">
        <v>282</v>
      </c>
      <c r="H729" s="67" t="s">
        <v>282</v>
      </c>
      <c r="I729" s="67" t="s">
        <v>20</v>
      </c>
      <c r="J729" s="67" t="s">
        <v>15</v>
      </c>
      <c r="K729" s="67" t="s">
        <v>16</v>
      </c>
      <c r="L729" s="67" t="s">
        <v>282</v>
      </c>
      <c r="M729" s="67" t="s">
        <v>282</v>
      </c>
      <c r="N729" s="67" t="s">
        <v>2</v>
      </c>
      <c r="O729" s="68" t="s">
        <v>2</v>
      </c>
      <c r="P729" s="68" t="s">
        <v>2</v>
      </c>
      <c r="Q729" s="68" t="s">
        <v>15</v>
      </c>
      <c r="R729" s="68" t="s">
        <v>15</v>
      </c>
      <c r="S729" s="68" t="s">
        <v>16</v>
      </c>
      <c r="T729" s="68" t="s">
        <v>329</v>
      </c>
      <c r="U729" s="68" t="s">
        <v>249</v>
      </c>
      <c r="V729" s="68" t="s">
        <v>2</v>
      </c>
      <c r="W729" s="69" t="s">
        <v>282</v>
      </c>
      <c r="X729" s="69" t="s">
        <v>282</v>
      </c>
      <c r="Y729" s="70" t="s">
        <v>282</v>
      </c>
    </row>
    <row r="730" spans="1:25">
      <c r="A730" s="64">
        <v>14</v>
      </c>
      <c r="B730" s="65" t="str">
        <f>VLOOKUP(Tabel10[[#This Row],[Code]],Ruimtegroepen[[Code]:[Ruimte omschrijving]],2,FALSE)</f>
        <v>Praktijklokalen</v>
      </c>
      <c r="C730" s="66" t="s">
        <v>892</v>
      </c>
      <c r="D730" s="65" t="s">
        <v>1</v>
      </c>
      <c r="E730" s="66" t="s">
        <v>100</v>
      </c>
      <c r="F730" s="66" t="s">
        <v>893</v>
      </c>
      <c r="G730" s="71" t="s">
        <v>282</v>
      </c>
      <c r="H730" s="67" t="s">
        <v>282</v>
      </c>
      <c r="I730" s="67" t="s">
        <v>20</v>
      </c>
      <c r="J730" s="67" t="s">
        <v>15</v>
      </c>
      <c r="K730" s="67" t="s">
        <v>282</v>
      </c>
      <c r="L730" s="67" t="s">
        <v>282</v>
      </c>
      <c r="M730" s="67" t="s">
        <v>282</v>
      </c>
      <c r="N730" s="67" t="s">
        <v>282</v>
      </c>
      <c r="O730" s="68" t="s">
        <v>2</v>
      </c>
      <c r="P730" s="68" t="s">
        <v>2</v>
      </c>
      <c r="Q730" s="68" t="s">
        <v>15</v>
      </c>
      <c r="R730" s="68" t="s">
        <v>15</v>
      </c>
      <c r="S730" s="68" t="s">
        <v>16</v>
      </c>
      <c r="T730" s="68" t="s">
        <v>329</v>
      </c>
      <c r="U730" s="68" t="s">
        <v>249</v>
      </c>
      <c r="V730" s="68" t="s">
        <v>282</v>
      </c>
      <c r="W730" s="69" t="s">
        <v>282</v>
      </c>
      <c r="X730" s="69" t="s">
        <v>282</v>
      </c>
      <c r="Y730" s="70" t="s">
        <v>282</v>
      </c>
    </row>
    <row r="731" spans="1:25">
      <c r="A731" s="64">
        <v>14</v>
      </c>
      <c r="B731" s="65" t="str">
        <f>VLOOKUP(Tabel10[[#This Row],[Code]],Ruimtegroepen[[Code]:[Ruimte omschrijving]],2,FALSE)</f>
        <v>Praktijklokalen</v>
      </c>
      <c r="C731" s="66" t="s">
        <v>892</v>
      </c>
      <c r="D731" s="65" t="s">
        <v>1</v>
      </c>
      <c r="E731" s="66" t="s">
        <v>99</v>
      </c>
      <c r="F731" s="66" t="s">
        <v>894</v>
      </c>
      <c r="G731" s="67" t="s">
        <v>18</v>
      </c>
      <c r="H731" s="67" t="s">
        <v>17</v>
      </c>
      <c r="I731" s="67" t="s">
        <v>282</v>
      </c>
      <c r="J731" s="67" t="s">
        <v>282</v>
      </c>
      <c r="K731" s="67" t="s">
        <v>282</v>
      </c>
      <c r="L731" s="67" t="s">
        <v>282</v>
      </c>
      <c r="M731" s="67" t="s">
        <v>282</v>
      </c>
      <c r="N731" s="67" t="s">
        <v>282</v>
      </c>
      <c r="O731" s="68" t="s">
        <v>2</v>
      </c>
      <c r="P731" s="68" t="s">
        <v>2</v>
      </c>
      <c r="Q731" s="68" t="s">
        <v>15</v>
      </c>
      <c r="R731" s="68" t="s">
        <v>15</v>
      </c>
      <c r="S731" s="68" t="s">
        <v>16</v>
      </c>
      <c r="T731" s="68" t="s">
        <v>329</v>
      </c>
      <c r="U731" s="68" t="s">
        <v>249</v>
      </c>
      <c r="V731" s="68" t="s">
        <v>282</v>
      </c>
      <c r="W731" s="69" t="s">
        <v>282</v>
      </c>
      <c r="X731" s="69" t="s">
        <v>282</v>
      </c>
      <c r="Y731" s="70" t="s">
        <v>282</v>
      </c>
    </row>
    <row r="732" spans="1:25">
      <c r="A732" s="64">
        <v>14</v>
      </c>
      <c r="B732" s="65" t="str">
        <f>VLOOKUP(Tabel10[[#This Row],[Code]],Ruimtegroepen[[Code]:[Ruimte omschrijving]],2,FALSE)</f>
        <v>Praktijklokalen</v>
      </c>
      <c r="C732" s="66" t="s">
        <v>892</v>
      </c>
      <c r="D732" s="65" t="s">
        <v>1</v>
      </c>
      <c r="E732" s="66" t="s">
        <v>101</v>
      </c>
      <c r="F732" s="66" t="s">
        <v>895</v>
      </c>
      <c r="G732" s="71" t="s">
        <v>282</v>
      </c>
      <c r="H732" s="67" t="s">
        <v>282</v>
      </c>
      <c r="I732" s="67" t="s">
        <v>20</v>
      </c>
      <c r="J732" s="67" t="s">
        <v>15</v>
      </c>
      <c r="K732" s="67" t="s">
        <v>16</v>
      </c>
      <c r="L732" s="67" t="s">
        <v>282</v>
      </c>
      <c r="M732" s="67" t="s">
        <v>282</v>
      </c>
      <c r="N732" s="67" t="s">
        <v>282</v>
      </c>
      <c r="O732" s="68" t="s">
        <v>2</v>
      </c>
      <c r="P732" s="68" t="s">
        <v>2</v>
      </c>
      <c r="Q732" s="68" t="s">
        <v>15</v>
      </c>
      <c r="R732" s="68" t="s">
        <v>15</v>
      </c>
      <c r="S732" s="68" t="s">
        <v>16</v>
      </c>
      <c r="T732" s="68" t="s">
        <v>329</v>
      </c>
      <c r="U732" s="68" t="s">
        <v>249</v>
      </c>
      <c r="V732" s="68" t="s">
        <v>282</v>
      </c>
      <c r="W732" s="69" t="s">
        <v>282</v>
      </c>
      <c r="X732" s="69" t="s">
        <v>282</v>
      </c>
      <c r="Y732" s="70" t="s">
        <v>282</v>
      </c>
    </row>
    <row r="733" spans="1:25">
      <c r="A733" s="64">
        <v>14</v>
      </c>
      <c r="B733" s="65" t="str">
        <f>VLOOKUP(Tabel10[[#This Row],[Code]],Ruimtegroepen[[Code]:[Ruimte omschrijving]],2,FALSE)</f>
        <v>Praktijklokalen</v>
      </c>
      <c r="C733" s="66" t="s">
        <v>892</v>
      </c>
      <c r="D733" s="65" t="s">
        <v>1</v>
      </c>
      <c r="E733" s="66" t="s">
        <v>102</v>
      </c>
      <c r="F733" s="66" t="s">
        <v>896</v>
      </c>
      <c r="G733" s="71" t="s">
        <v>282</v>
      </c>
      <c r="H733" s="67" t="s">
        <v>282</v>
      </c>
      <c r="I733" s="67" t="s">
        <v>20</v>
      </c>
      <c r="J733" s="67" t="s">
        <v>15</v>
      </c>
      <c r="K733" s="67" t="s">
        <v>16</v>
      </c>
      <c r="L733" s="67" t="s">
        <v>282</v>
      </c>
      <c r="M733" s="67" t="s">
        <v>282</v>
      </c>
      <c r="N733" s="67" t="s">
        <v>282</v>
      </c>
      <c r="O733" s="68" t="s">
        <v>2</v>
      </c>
      <c r="P733" s="68" t="s">
        <v>2</v>
      </c>
      <c r="Q733" s="68" t="s">
        <v>15</v>
      </c>
      <c r="R733" s="68" t="s">
        <v>15</v>
      </c>
      <c r="S733" s="68" t="s">
        <v>16</v>
      </c>
      <c r="T733" s="68" t="s">
        <v>329</v>
      </c>
      <c r="U733" s="68" t="s">
        <v>249</v>
      </c>
      <c r="V733" s="68" t="s">
        <v>282</v>
      </c>
      <c r="W733" s="69" t="s">
        <v>282</v>
      </c>
      <c r="X733" s="69" t="s">
        <v>282</v>
      </c>
      <c r="Y733" s="70" t="s">
        <v>282</v>
      </c>
    </row>
    <row r="734" spans="1:25">
      <c r="A734" s="64">
        <v>14</v>
      </c>
      <c r="B734" s="65" t="str">
        <f>VLOOKUP(Tabel10[[#This Row],[Code]],Ruimtegroepen[[Code]:[Ruimte omschrijving]],2,FALSE)</f>
        <v>Praktijklokalen</v>
      </c>
      <c r="C734" s="66" t="s">
        <v>892</v>
      </c>
      <c r="D734" s="65" t="s">
        <v>1</v>
      </c>
      <c r="E734" s="66" t="s">
        <v>99</v>
      </c>
      <c r="F734" s="66" t="s">
        <v>894</v>
      </c>
      <c r="G734" s="67" t="s">
        <v>18</v>
      </c>
      <c r="H734" s="67" t="s">
        <v>17</v>
      </c>
      <c r="I734" s="67" t="s">
        <v>282</v>
      </c>
      <c r="J734" s="67" t="s">
        <v>282</v>
      </c>
      <c r="K734" s="67" t="s">
        <v>282</v>
      </c>
      <c r="L734" s="67" t="s">
        <v>282</v>
      </c>
      <c r="M734" s="67" t="s">
        <v>282</v>
      </c>
      <c r="N734" s="67" t="s">
        <v>282</v>
      </c>
      <c r="O734" s="68" t="s">
        <v>2</v>
      </c>
      <c r="P734" s="68" t="s">
        <v>2</v>
      </c>
      <c r="Q734" s="68" t="s">
        <v>15</v>
      </c>
      <c r="R734" s="68" t="s">
        <v>15</v>
      </c>
      <c r="S734" s="68" t="s">
        <v>16</v>
      </c>
      <c r="T734" s="68" t="s">
        <v>329</v>
      </c>
      <c r="U734" s="68" t="s">
        <v>249</v>
      </c>
      <c r="V734" s="68" t="s">
        <v>282</v>
      </c>
      <c r="W734" s="69" t="s">
        <v>282</v>
      </c>
      <c r="X734" s="69" t="s">
        <v>282</v>
      </c>
      <c r="Y734" s="70" t="s">
        <v>282</v>
      </c>
    </row>
    <row r="735" spans="1:25">
      <c r="A735" s="64">
        <v>14</v>
      </c>
      <c r="B735" s="65" t="str">
        <f>VLOOKUP(Tabel10[[#This Row],[Code]],Ruimtegroepen[[Code]:[Ruimte omschrijving]],2,FALSE)</f>
        <v>Praktijklokalen</v>
      </c>
      <c r="C735" s="66" t="s">
        <v>892</v>
      </c>
      <c r="D735" s="65" t="s">
        <v>1</v>
      </c>
      <c r="E735" s="66" t="s">
        <v>1309</v>
      </c>
      <c r="F735" s="66" t="s">
        <v>1471</v>
      </c>
      <c r="G735" s="71" t="s">
        <v>282</v>
      </c>
      <c r="H735" s="67" t="s">
        <v>282</v>
      </c>
      <c r="I735" s="67" t="s">
        <v>20</v>
      </c>
      <c r="J735" s="67" t="s">
        <v>15</v>
      </c>
      <c r="K735" s="67" t="s">
        <v>16</v>
      </c>
      <c r="L735" s="67" t="s">
        <v>282</v>
      </c>
      <c r="M735" s="67" t="s">
        <v>282</v>
      </c>
      <c r="N735" s="67" t="s">
        <v>282</v>
      </c>
      <c r="O735" s="68" t="s">
        <v>2</v>
      </c>
      <c r="P735" s="68" t="s">
        <v>2</v>
      </c>
      <c r="Q735" s="68" t="s">
        <v>15</v>
      </c>
      <c r="R735" s="68" t="s">
        <v>15</v>
      </c>
      <c r="S735" s="68" t="s">
        <v>16</v>
      </c>
      <c r="T735" s="68" t="s">
        <v>329</v>
      </c>
      <c r="U735" s="68" t="s">
        <v>249</v>
      </c>
      <c r="V735" s="68" t="s">
        <v>282</v>
      </c>
      <c r="W735" s="69" t="s">
        <v>282</v>
      </c>
      <c r="X735" s="69" t="s">
        <v>282</v>
      </c>
      <c r="Y735" s="70" t="s">
        <v>282</v>
      </c>
    </row>
    <row r="736" spans="1:25">
      <c r="A736" s="64">
        <v>14</v>
      </c>
      <c r="B736" s="65" t="str">
        <f>VLOOKUP(Tabel10[[#This Row],[Code]],Ruimtegroepen[[Code]:[Ruimte omschrijving]],2,FALSE)</f>
        <v>Praktijklokalen</v>
      </c>
      <c r="C736" s="66" t="s">
        <v>897</v>
      </c>
      <c r="D736" s="65" t="s">
        <v>21</v>
      </c>
      <c r="E736" s="66" t="s">
        <v>100</v>
      </c>
      <c r="F736" s="66" t="s">
        <v>898</v>
      </c>
      <c r="G736" s="71" t="s">
        <v>282</v>
      </c>
      <c r="H736" s="67" t="s">
        <v>282</v>
      </c>
      <c r="I736" s="67" t="s">
        <v>18</v>
      </c>
      <c r="J736" s="67" t="s">
        <v>15</v>
      </c>
      <c r="K736" s="67" t="s">
        <v>282</v>
      </c>
      <c r="L736" s="67" t="s">
        <v>282</v>
      </c>
      <c r="M736" s="67" t="s">
        <v>282</v>
      </c>
      <c r="N736" s="67" t="s">
        <v>282</v>
      </c>
      <c r="O736" s="68" t="s">
        <v>20</v>
      </c>
      <c r="P736" s="68" t="s">
        <v>20</v>
      </c>
      <c r="Q736" s="68" t="s">
        <v>15</v>
      </c>
      <c r="R736" s="68" t="s">
        <v>15</v>
      </c>
      <c r="S736" s="68" t="s">
        <v>16</v>
      </c>
      <c r="T736" s="68" t="s">
        <v>329</v>
      </c>
      <c r="U736" s="68" t="s">
        <v>249</v>
      </c>
      <c r="V736" s="68" t="s">
        <v>282</v>
      </c>
      <c r="W736" s="69" t="s">
        <v>282</v>
      </c>
      <c r="X736" s="69" t="s">
        <v>282</v>
      </c>
      <c r="Y736" s="70" t="s">
        <v>282</v>
      </c>
    </row>
    <row r="737" spans="1:25">
      <c r="A737" s="64">
        <v>14</v>
      </c>
      <c r="B737" s="65" t="str">
        <f>VLOOKUP(Tabel10[[#This Row],[Code]],Ruimtegroepen[[Code]:[Ruimte omschrijving]],2,FALSE)</f>
        <v>Praktijklokalen</v>
      </c>
      <c r="C737" s="66" t="s">
        <v>897</v>
      </c>
      <c r="D737" s="65" t="s">
        <v>21</v>
      </c>
      <c r="E737" s="66" t="s">
        <v>99</v>
      </c>
      <c r="F737" s="66" t="s">
        <v>899</v>
      </c>
      <c r="G737" s="67" t="s">
        <v>17</v>
      </c>
      <c r="H737" s="67" t="s">
        <v>17</v>
      </c>
      <c r="I737" s="67" t="s">
        <v>282</v>
      </c>
      <c r="J737" s="67" t="s">
        <v>282</v>
      </c>
      <c r="K737" s="67" t="s">
        <v>282</v>
      </c>
      <c r="L737" s="67" t="s">
        <v>282</v>
      </c>
      <c r="M737" s="67" t="s">
        <v>282</v>
      </c>
      <c r="N737" s="67" t="s">
        <v>282</v>
      </c>
      <c r="O737" s="68" t="s">
        <v>20</v>
      </c>
      <c r="P737" s="68" t="s">
        <v>20</v>
      </c>
      <c r="Q737" s="68" t="s">
        <v>15</v>
      </c>
      <c r="R737" s="68" t="s">
        <v>15</v>
      </c>
      <c r="S737" s="68" t="s">
        <v>16</v>
      </c>
      <c r="T737" s="68" t="s">
        <v>329</v>
      </c>
      <c r="U737" s="68" t="s">
        <v>249</v>
      </c>
      <c r="V737" s="68" t="s">
        <v>282</v>
      </c>
      <c r="W737" s="69" t="s">
        <v>282</v>
      </c>
      <c r="X737" s="69" t="s">
        <v>282</v>
      </c>
      <c r="Y737" s="70" t="s">
        <v>282</v>
      </c>
    </row>
    <row r="738" spans="1:25">
      <c r="A738" s="64">
        <v>14</v>
      </c>
      <c r="B738" s="65" t="str">
        <f>VLOOKUP(Tabel10[[#This Row],[Code]],Ruimtegroepen[[Code]:[Ruimte omschrijving]],2,FALSE)</f>
        <v>Praktijklokalen</v>
      </c>
      <c r="C738" s="66" t="s">
        <v>897</v>
      </c>
      <c r="D738" s="65" t="s">
        <v>21</v>
      </c>
      <c r="E738" s="66" t="s">
        <v>101</v>
      </c>
      <c r="F738" s="66" t="s">
        <v>900</v>
      </c>
      <c r="G738" s="71" t="s">
        <v>282</v>
      </c>
      <c r="H738" s="67" t="s">
        <v>282</v>
      </c>
      <c r="I738" s="67" t="s">
        <v>18</v>
      </c>
      <c r="J738" s="67" t="s">
        <v>15</v>
      </c>
      <c r="K738" s="67" t="s">
        <v>16</v>
      </c>
      <c r="L738" s="67" t="s">
        <v>282</v>
      </c>
      <c r="M738" s="67" t="s">
        <v>282</v>
      </c>
      <c r="N738" s="67" t="s">
        <v>282</v>
      </c>
      <c r="O738" s="68" t="s">
        <v>20</v>
      </c>
      <c r="P738" s="68" t="s">
        <v>20</v>
      </c>
      <c r="Q738" s="68" t="s">
        <v>15</v>
      </c>
      <c r="R738" s="68" t="s">
        <v>15</v>
      </c>
      <c r="S738" s="68" t="s">
        <v>16</v>
      </c>
      <c r="T738" s="68" t="s">
        <v>329</v>
      </c>
      <c r="U738" s="68" t="s">
        <v>249</v>
      </c>
      <c r="V738" s="68" t="s">
        <v>282</v>
      </c>
      <c r="W738" s="69" t="s">
        <v>282</v>
      </c>
      <c r="X738" s="69" t="s">
        <v>282</v>
      </c>
      <c r="Y738" s="70" t="s">
        <v>282</v>
      </c>
    </row>
    <row r="739" spans="1:25">
      <c r="A739" s="64">
        <v>14</v>
      </c>
      <c r="B739" s="65" t="str">
        <f>VLOOKUP(Tabel10[[#This Row],[Code]],Ruimtegroepen[[Code]:[Ruimte omschrijving]],2,FALSE)</f>
        <v>Praktijklokalen</v>
      </c>
      <c r="C739" s="66" t="s">
        <v>897</v>
      </c>
      <c r="D739" s="65" t="s">
        <v>21</v>
      </c>
      <c r="E739" s="66" t="s">
        <v>102</v>
      </c>
      <c r="F739" s="66" t="s">
        <v>901</v>
      </c>
      <c r="G739" s="71" t="s">
        <v>282</v>
      </c>
      <c r="H739" s="67" t="s">
        <v>282</v>
      </c>
      <c r="I739" s="67" t="s">
        <v>18</v>
      </c>
      <c r="J739" s="67" t="s">
        <v>15</v>
      </c>
      <c r="K739" s="67" t="s">
        <v>16</v>
      </c>
      <c r="L739" s="67" t="s">
        <v>282</v>
      </c>
      <c r="M739" s="67" t="s">
        <v>282</v>
      </c>
      <c r="N739" s="67" t="s">
        <v>282</v>
      </c>
      <c r="O739" s="68" t="s">
        <v>20</v>
      </c>
      <c r="P739" s="68" t="s">
        <v>20</v>
      </c>
      <c r="Q739" s="68" t="s">
        <v>15</v>
      </c>
      <c r="R739" s="68" t="s">
        <v>15</v>
      </c>
      <c r="S739" s="68" t="s">
        <v>16</v>
      </c>
      <c r="T739" s="68" t="s">
        <v>329</v>
      </c>
      <c r="U739" s="68" t="s">
        <v>249</v>
      </c>
      <c r="V739" s="68" t="s">
        <v>282</v>
      </c>
      <c r="W739" s="69" t="s">
        <v>282</v>
      </c>
      <c r="X739" s="69" t="s">
        <v>282</v>
      </c>
      <c r="Y739" s="70" t="s">
        <v>282</v>
      </c>
    </row>
    <row r="740" spans="1:25">
      <c r="A740" s="64">
        <v>14</v>
      </c>
      <c r="B740" s="65" t="str">
        <f>VLOOKUP(Tabel10[[#This Row],[Code]],Ruimtegroepen[[Code]:[Ruimte omschrijving]],2,FALSE)</f>
        <v>Praktijklokalen</v>
      </c>
      <c r="C740" s="66" t="s">
        <v>897</v>
      </c>
      <c r="D740" s="65" t="s">
        <v>21</v>
      </c>
      <c r="E740" s="66" t="s">
        <v>99</v>
      </c>
      <c r="F740" s="66" t="s">
        <v>899</v>
      </c>
      <c r="G740" s="67" t="s">
        <v>17</v>
      </c>
      <c r="H740" s="67" t="s">
        <v>17</v>
      </c>
      <c r="I740" s="67" t="s">
        <v>282</v>
      </c>
      <c r="J740" s="67" t="s">
        <v>282</v>
      </c>
      <c r="K740" s="67" t="s">
        <v>282</v>
      </c>
      <c r="L740" s="67" t="s">
        <v>282</v>
      </c>
      <c r="M740" s="67" t="s">
        <v>282</v>
      </c>
      <c r="N740" s="67" t="s">
        <v>282</v>
      </c>
      <c r="O740" s="68" t="s">
        <v>282</v>
      </c>
      <c r="P740" s="68" t="s">
        <v>282</v>
      </c>
      <c r="Q740" s="68" t="s">
        <v>282</v>
      </c>
      <c r="R740" s="68" t="s">
        <v>282</v>
      </c>
      <c r="S740" s="68" t="s">
        <v>282</v>
      </c>
      <c r="T740" s="68" t="s">
        <v>282</v>
      </c>
      <c r="U740" s="68" t="s">
        <v>282</v>
      </c>
      <c r="V740" s="68" t="s">
        <v>282</v>
      </c>
      <c r="W740" s="69" t="s">
        <v>282</v>
      </c>
      <c r="X740" s="69" t="s">
        <v>282</v>
      </c>
      <c r="Y740" s="70" t="s">
        <v>282</v>
      </c>
    </row>
    <row r="741" spans="1:25">
      <c r="A741" s="64">
        <v>14</v>
      </c>
      <c r="B741" s="65" t="str">
        <f>VLOOKUP(Tabel10[[#This Row],[Code]],Ruimtegroepen[[Code]:[Ruimte omschrijving]],2,FALSE)</f>
        <v>Praktijklokalen</v>
      </c>
      <c r="C741" s="66" t="s">
        <v>897</v>
      </c>
      <c r="D741" s="65" t="s">
        <v>21</v>
      </c>
      <c r="E741" s="66" t="s">
        <v>1309</v>
      </c>
      <c r="F741" s="66" t="s">
        <v>1454</v>
      </c>
      <c r="G741" s="71" t="s">
        <v>282</v>
      </c>
      <c r="H741" s="67" t="s">
        <v>282</v>
      </c>
      <c r="I741" s="67" t="s">
        <v>18</v>
      </c>
      <c r="J741" s="67" t="s">
        <v>15</v>
      </c>
      <c r="K741" s="67" t="s">
        <v>16</v>
      </c>
      <c r="L741" s="67" t="s">
        <v>282</v>
      </c>
      <c r="M741" s="67" t="s">
        <v>282</v>
      </c>
      <c r="N741" s="67" t="s">
        <v>282</v>
      </c>
      <c r="O741" s="68" t="s">
        <v>20</v>
      </c>
      <c r="P741" s="68" t="s">
        <v>20</v>
      </c>
      <c r="Q741" s="68" t="s">
        <v>15</v>
      </c>
      <c r="R741" s="68" t="s">
        <v>15</v>
      </c>
      <c r="S741" s="68" t="s">
        <v>16</v>
      </c>
      <c r="T741" s="68" t="s">
        <v>329</v>
      </c>
      <c r="U741" s="68" t="s">
        <v>249</v>
      </c>
      <c r="V741" s="68" t="s">
        <v>282</v>
      </c>
      <c r="W741" s="69" t="s">
        <v>282</v>
      </c>
      <c r="X741" s="69" t="s">
        <v>282</v>
      </c>
      <c r="Y741" s="70" t="s">
        <v>282</v>
      </c>
    </row>
    <row r="742" spans="1:25">
      <c r="A742" s="64">
        <v>14</v>
      </c>
      <c r="B742" s="65" t="str">
        <f>VLOOKUP(Tabel10[[#This Row],[Code]],Ruimtegroepen[[Code]:[Ruimte omschrijving]],2,FALSE)</f>
        <v>Praktijklokalen</v>
      </c>
      <c r="C742" s="66" t="s">
        <v>902</v>
      </c>
      <c r="D742" s="65" t="s">
        <v>12</v>
      </c>
      <c r="E742" s="66" t="s">
        <v>100</v>
      </c>
      <c r="F742" s="66" t="s">
        <v>903</v>
      </c>
      <c r="G742" s="71" t="s">
        <v>282</v>
      </c>
      <c r="H742" s="67" t="s">
        <v>282</v>
      </c>
      <c r="I742" s="67" t="s">
        <v>17</v>
      </c>
      <c r="J742" s="67" t="s">
        <v>15</v>
      </c>
      <c r="K742" s="67" t="s">
        <v>282</v>
      </c>
      <c r="L742" s="67" t="s">
        <v>282</v>
      </c>
      <c r="M742" s="67" t="s">
        <v>282</v>
      </c>
      <c r="N742" s="67" t="s">
        <v>282</v>
      </c>
      <c r="O742" s="68" t="s">
        <v>18</v>
      </c>
      <c r="P742" s="68" t="s">
        <v>18</v>
      </c>
      <c r="Q742" s="68" t="s">
        <v>15</v>
      </c>
      <c r="R742" s="68" t="s">
        <v>15</v>
      </c>
      <c r="S742" s="68" t="s">
        <v>16</v>
      </c>
      <c r="T742" s="68" t="s">
        <v>329</v>
      </c>
      <c r="U742" s="68" t="s">
        <v>249</v>
      </c>
      <c r="V742" s="68" t="s">
        <v>282</v>
      </c>
      <c r="W742" s="69" t="s">
        <v>282</v>
      </c>
      <c r="X742" s="69" t="s">
        <v>282</v>
      </c>
      <c r="Y742" s="70" t="s">
        <v>282</v>
      </c>
    </row>
    <row r="743" spans="1:25">
      <c r="A743" s="64">
        <v>14</v>
      </c>
      <c r="B743" s="65" t="str">
        <f>VLOOKUP(Tabel10[[#This Row],[Code]],Ruimtegroepen[[Code]:[Ruimte omschrijving]],2,FALSE)</f>
        <v>Praktijklokalen</v>
      </c>
      <c r="C743" s="66" t="s">
        <v>902</v>
      </c>
      <c r="D743" s="65" t="s">
        <v>12</v>
      </c>
      <c r="E743" s="66" t="s">
        <v>99</v>
      </c>
      <c r="F743" s="66" t="s">
        <v>904</v>
      </c>
      <c r="G743" s="67" t="s">
        <v>17</v>
      </c>
      <c r="H743" s="67" t="s">
        <v>15</v>
      </c>
      <c r="I743" s="67" t="s">
        <v>282</v>
      </c>
      <c r="J743" s="67" t="s">
        <v>282</v>
      </c>
      <c r="K743" s="67" t="s">
        <v>282</v>
      </c>
      <c r="L743" s="67" t="s">
        <v>282</v>
      </c>
      <c r="M743" s="67" t="s">
        <v>282</v>
      </c>
      <c r="N743" s="67" t="s">
        <v>282</v>
      </c>
      <c r="O743" s="68" t="s">
        <v>18</v>
      </c>
      <c r="P743" s="68" t="s">
        <v>18</v>
      </c>
      <c r="Q743" s="68" t="s">
        <v>15</v>
      </c>
      <c r="R743" s="68" t="s">
        <v>15</v>
      </c>
      <c r="S743" s="68" t="s">
        <v>16</v>
      </c>
      <c r="T743" s="68" t="s">
        <v>329</v>
      </c>
      <c r="U743" s="68" t="s">
        <v>249</v>
      </c>
      <c r="V743" s="68" t="s">
        <v>282</v>
      </c>
      <c r="W743" s="69" t="s">
        <v>282</v>
      </c>
      <c r="X743" s="69" t="s">
        <v>282</v>
      </c>
      <c r="Y743" s="70" t="s">
        <v>282</v>
      </c>
    </row>
    <row r="744" spans="1:25">
      <c r="A744" s="64">
        <v>14</v>
      </c>
      <c r="B744" s="65" t="str">
        <f>VLOOKUP(Tabel10[[#This Row],[Code]],Ruimtegroepen[[Code]:[Ruimte omschrijving]],2,FALSE)</f>
        <v>Praktijklokalen</v>
      </c>
      <c r="C744" s="66" t="s">
        <v>902</v>
      </c>
      <c r="D744" s="65" t="s">
        <v>12</v>
      </c>
      <c r="E744" s="66" t="s">
        <v>101</v>
      </c>
      <c r="F744" s="66" t="s">
        <v>905</v>
      </c>
      <c r="G744" s="71" t="s">
        <v>282</v>
      </c>
      <c r="H744" s="67" t="s">
        <v>282</v>
      </c>
      <c r="I744" s="67" t="s">
        <v>17</v>
      </c>
      <c r="J744" s="67" t="s">
        <v>15</v>
      </c>
      <c r="K744" s="67" t="s">
        <v>16</v>
      </c>
      <c r="L744" s="67" t="s">
        <v>282</v>
      </c>
      <c r="M744" s="67" t="s">
        <v>282</v>
      </c>
      <c r="N744" s="67" t="s">
        <v>282</v>
      </c>
      <c r="O744" s="68" t="s">
        <v>18</v>
      </c>
      <c r="P744" s="68" t="s">
        <v>18</v>
      </c>
      <c r="Q744" s="68" t="s">
        <v>15</v>
      </c>
      <c r="R744" s="68" t="s">
        <v>15</v>
      </c>
      <c r="S744" s="68" t="s">
        <v>16</v>
      </c>
      <c r="T744" s="68" t="s">
        <v>329</v>
      </c>
      <c r="U744" s="68" t="s">
        <v>249</v>
      </c>
      <c r="V744" s="68" t="s">
        <v>282</v>
      </c>
      <c r="W744" s="69" t="s">
        <v>282</v>
      </c>
      <c r="X744" s="69" t="s">
        <v>282</v>
      </c>
      <c r="Y744" s="70" t="s">
        <v>282</v>
      </c>
    </row>
    <row r="745" spans="1:25">
      <c r="A745" s="64">
        <v>14</v>
      </c>
      <c r="B745" s="65" t="str">
        <f>VLOOKUP(Tabel10[[#This Row],[Code]],Ruimtegroepen[[Code]:[Ruimte omschrijving]],2,FALSE)</f>
        <v>Praktijklokalen</v>
      </c>
      <c r="C745" s="66" t="s">
        <v>902</v>
      </c>
      <c r="D745" s="65" t="s">
        <v>12</v>
      </c>
      <c r="E745" s="66" t="s">
        <v>102</v>
      </c>
      <c r="F745" s="66" t="s">
        <v>906</v>
      </c>
      <c r="G745" s="71" t="s">
        <v>282</v>
      </c>
      <c r="H745" s="67" t="s">
        <v>282</v>
      </c>
      <c r="I745" s="67" t="s">
        <v>17</v>
      </c>
      <c r="J745" s="67" t="s">
        <v>15</v>
      </c>
      <c r="K745" s="67" t="s">
        <v>16</v>
      </c>
      <c r="L745" s="67" t="s">
        <v>282</v>
      </c>
      <c r="M745" s="67" t="s">
        <v>282</v>
      </c>
      <c r="N745" s="67" t="s">
        <v>282</v>
      </c>
      <c r="O745" s="68" t="s">
        <v>18</v>
      </c>
      <c r="P745" s="68" t="s">
        <v>18</v>
      </c>
      <c r="Q745" s="68" t="s">
        <v>15</v>
      </c>
      <c r="R745" s="68" t="s">
        <v>15</v>
      </c>
      <c r="S745" s="68" t="s">
        <v>16</v>
      </c>
      <c r="T745" s="68" t="s">
        <v>329</v>
      </c>
      <c r="U745" s="68" t="s">
        <v>249</v>
      </c>
      <c r="V745" s="68" t="s">
        <v>282</v>
      </c>
      <c r="W745" s="69" t="s">
        <v>282</v>
      </c>
      <c r="X745" s="69" t="s">
        <v>282</v>
      </c>
      <c r="Y745" s="70" t="s">
        <v>282</v>
      </c>
    </row>
    <row r="746" spans="1:25">
      <c r="A746" s="64">
        <v>14</v>
      </c>
      <c r="B746" s="65" t="str">
        <f>VLOOKUP(Tabel10[[#This Row],[Code]],Ruimtegroepen[[Code]:[Ruimte omschrijving]],2,FALSE)</f>
        <v>Praktijklokalen</v>
      </c>
      <c r="C746" s="66" t="s">
        <v>902</v>
      </c>
      <c r="D746" s="65" t="s">
        <v>12</v>
      </c>
      <c r="E746" s="66" t="s">
        <v>99</v>
      </c>
      <c r="F746" s="66" t="s">
        <v>904</v>
      </c>
      <c r="G746" s="67" t="s">
        <v>17</v>
      </c>
      <c r="H746" s="67" t="s">
        <v>15</v>
      </c>
      <c r="I746" s="67" t="s">
        <v>282</v>
      </c>
      <c r="J746" s="67" t="s">
        <v>282</v>
      </c>
      <c r="K746" s="67" t="s">
        <v>282</v>
      </c>
      <c r="L746" s="67" t="s">
        <v>282</v>
      </c>
      <c r="M746" s="67" t="s">
        <v>282</v>
      </c>
      <c r="N746" s="67" t="s">
        <v>282</v>
      </c>
      <c r="O746" s="68" t="s">
        <v>282</v>
      </c>
      <c r="P746" s="68" t="s">
        <v>282</v>
      </c>
      <c r="Q746" s="68" t="s">
        <v>282</v>
      </c>
      <c r="R746" s="68" t="s">
        <v>282</v>
      </c>
      <c r="S746" s="68" t="s">
        <v>282</v>
      </c>
      <c r="T746" s="68" t="s">
        <v>282</v>
      </c>
      <c r="U746" s="68" t="s">
        <v>282</v>
      </c>
      <c r="V746" s="68" t="s">
        <v>282</v>
      </c>
      <c r="W746" s="69" t="s">
        <v>282</v>
      </c>
      <c r="X746" s="69" t="s">
        <v>282</v>
      </c>
      <c r="Y746" s="70" t="s">
        <v>282</v>
      </c>
    </row>
    <row r="747" spans="1:25">
      <c r="A747" s="64">
        <v>14</v>
      </c>
      <c r="B747" s="65" t="str">
        <f>VLOOKUP(Tabel10[[#This Row],[Code]],Ruimtegroepen[[Code]:[Ruimte omschrijving]],2,FALSE)</f>
        <v>Praktijklokalen</v>
      </c>
      <c r="C747" s="66" t="s">
        <v>902</v>
      </c>
      <c r="D747" s="65" t="s">
        <v>12</v>
      </c>
      <c r="E747" s="66" t="s">
        <v>1309</v>
      </c>
      <c r="F747" s="66" t="s">
        <v>1436</v>
      </c>
      <c r="G747" s="71" t="s">
        <v>282</v>
      </c>
      <c r="H747" s="67" t="s">
        <v>282</v>
      </c>
      <c r="I747" s="67" t="s">
        <v>17</v>
      </c>
      <c r="J747" s="67" t="s">
        <v>15</v>
      </c>
      <c r="K747" s="67" t="s">
        <v>16</v>
      </c>
      <c r="L747" s="67" t="s">
        <v>282</v>
      </c>
      <c r="M747" s="67" t="s">
        <v>282</v>
      </c>
      <c r="N747" s="67" t="s">
        <v>282</v>
      </c>
      <c r="O747" s="68" t="s">
        <v>18</v>
      </c>
      <c r="P747" s="68" t="s">
        <v>18</v>
      </c>
      <c r="Q747" s="68" t="s">
        <v>15</v>
      </c>
      <c r="R747" s="68" t="s">
        <v>15</v>
      </c>
      <c r="S747" s="68" t="s">
        <v>16</v>
      </c>
      <c r="T747" s="68" t="s">
        <v>329</v>
      </c>
      <c r="U747" s="68" t="s">
        <v>249</v>
      </c>
      <c r="V747" s="68" t="s">
        <v>282</v>
      </c>
      <c r="W747" s="69" t="s">
        <v>282</v>
      </c>
      <c r="X747" s="69" t="s">
        <v>282</v>
      </c>
      <c r="Y747" s="70" t="s">
        <v>282</v>
      </c>
    </row>
    <row r="748" spans="1:25">
      <c r="A748" s="64">
        <v>14</v>
      </c>
      <c r="B748" s="65" t="str">
        <f>VLOOKUP(Tabel10[[#This Row],[Code]],Ruimtegroepen[[Code]:[Ruimte omschrijving]],2,FALSE)</f>
        <v>Praktijklokalen</v>
      </c>
      <c r="C748" s="66" t="s">
        <v>907</v>
      </c>
      <c r="D748" s="65" t="s">
        <v>14</v>
      </c>
      <c r="E748" s="66" t="s">
        <v>100</v>
      </c>
      <c r="F748" s="66" t="s">
        <v>908</v>
      </c>
      <c r="G748" s="71" t="s">
        <v>282</v>
      </c>
      <c r="H748" s="67" t="s">
        <v>282</v>
      </c>
      <c r="I748" s="67" t="s">
        <v>282</v>
      </c>
      <c r="J748" s="67" t="s">
        <v>17</v>
      </c>
      <c r="K748" s="67" t="s">
        <v>282</v>
      </c>
      <c r="L748" s="67" t="s">
        <v>282</v>
      </c>
      <c r="M748" s="67" t="s">
        <v>282</v>
      </c>
      <c r="N748" s="67" t="s">
        <v>282</v>
      </c>
      <c r="O748" s="68" t="s">
        <v>17</v>
      </c>
      <c r="P748" s="68" t="s">
        <v>17</v>
      </c>
      <c r="Q748" s="68" t="s">
        <v>15</v>
      </c>
      <c r="R748" s="68" t="s">
        <v>15</v>
      </c>
      <c r="S748" s="68" t="s">
        <v>16</v>
      </c>
      <c r="T748" s="68" t="s">
        <v>329</v>
      </c>
      <c r="U748" s="68" t="s">
        <v>249</v>
      </c>
      <c r="V748" s="68" t="s">
        <v>282</v>
      </c>
      <c r="W748" s="69" t="s">
        <v>282</v>
      </c>
      <c r="X748" s="69" t="s">
        <v>282</v>
      </c>
      <c r="Y748" s="70" t="s">
        <v>282</v>
      </c>
    </row>
    <row r="749" spans="1:25">
      <c r="A749" s="64">
        <v>14</v>
      </c>
      <c r="B749" s="65" t="str">
        <f>VLOOKUP(Tabel10[[#This Row],[Code]],Ruimtegroepen[[Code]:[Ruimte omschrijving]],2,FALSE)</f>
        <v>Praktijklokalen</v>
      </c>
      <c r="C749" s="66" t="s">
        <v>907</v>
      </c>
      <c r="D749" s="65" t="s">
        <v>14</v>
      </c>
      <c r="E749" s="66" t="s">
        <v>99</v>
      </c>
      <c r="F749" s="66" t="s">
        <v>909</v>
      </c>
      <c r="G749" s="67" t="s">
        <v>15</v>
      </c>
      <c r="H749" s="67" t="s">
        <v>15</v>
      </c>
      <c r="I749" s="67" t="s">
        <v>282</v>
      </c>
      <c r="J749" s="67" t="s">
        <v>282</v>
      </c>
      <c r="K749" s="67" t="s">
        <v>282</v>
      </c>
      <c r="L749" s="67" t="s">
        <v>282</v>
      </c>
      <c r="M749" s="67" t="s">
        <v>282</v>
      </c>
      <c r="N749" s="67" t="s">
        <v>282</v>
      </c>
      <c r="O749" s="68" t="s">
        <v>17</v>
      </c>
      <c r="P749" s="68" t="s">
        <v>17</v>
      </c>
      <c r="Q749" s="68" t="s">
        <v>15</v>
      </c>
      <c r="R749" s="68" t="s">
        <v>15</v>
      </c>
      <c r="S749" s="68" t="s">
        <v>16</v>
      </c>
      <c r="T749" s="68" t="s">
        <v>329</v>
      </c>
      <c r="U749" s="68" t="s">
        <v>249</v>
      </c>
      <c r="V749" s="68" t="s">
        <v>282</v>
      </c>
      <c r="W749" s="69" t="s">
        <v>282</v>
      </c>
      <c r="X749" s="69" t="s">
        <v>282</v>
      </c>
      <c r="Y749" s="70" t="s">
        <v>282</v>
      </c>
    </row>
    <row r="750" spans="1:25">
      <c r="A750" s="64">
        <v>14</v>
      </c>
      <c r="B750" s="65" t="str">
        <f>VLOOKUP(Tabel10[[#This Row],[Code]],Ruimtegroepen[[Code]:[Ruimte omschrijving]],2,FALSE)</f>
        <v>Praktijklokalen</v>
      </c>
      <c r="C750" s="66" t="s">
        <v>907</v>
      </c>
      <c r="D750" s="65" t="s">
        <v>14</v>
      </c>
      <c r="E750" s="66" t="s">
        <v>101</v>
      </c>
      <c r="F750" s="66" t="s">
        <v>910</v>
      </c>
      <c r="G750" s="71" t="s">
        <v>282</v>
      </c>
      <c r="H750" s="67" t="s">
        <v>282</v>
      </c>
      <c r="I750" s="67" t="s">
        <v>282</v>
      </c>
      <c r="J750" s="67" t="s">
        <v>17</v>
      </c>
      <c r="K750" s="67" t="s">
        <v>16</v>
      </c>
      <c r="L750" s="67" t="s">
        <v>282</v>
      </c>
      <c r="M750" s="67" t="s">
        <v>282</v>
      </c>
      <c r="N750" s="67" t="s">
        <v>282</v>
      </c>
      <c r="O750" s="68" t="s">
        <v>17</v>
      </c>
      <c r="P750" s="68" t="s">
        <v>17</v>
      </c>
      <c r="Q750" s="68" t="s">
        <v>15</v>
      </c>
      <c r="R750" s="68" t="s">
        <v>15</v>
      </c>
      <c r="S750" s="68" t="s">
        <v>16</v>
      </c>
      <c r="T750" s="68" t="s">
        <v>329</v>
      </c>
      <c r="U750" s="68" t="s">
        <v>249</v>
      </c>
      <c r="V750" s="68" t="s">
        <v>282</v>
      </c>
      <c r="W750" s="69" t="s">
        <v>282</v>
      </c>
      <c r="X750" s="69" t="s">
        <v>282</v>
      </c>
      <c r="Y750" s="70" t="s">
        <v>282</v>
      </c>
    </row>
    <row r="751" spans="1:25">
      <c r="A751" s="64">
        <v>14</v>
      </c>
      <c r="B751" s="65" t="str">
        <f>VLOOKUP(Tabel10[[#This Row],[Code]],Ruimtegroepen[[Code]:[Ruimte omschrijving]],2,FALSE)</f>
        <v>Praktijklokalen</v>
      </c>
      <c r="C751" s="66" t="s">
        <v>907</v>
      </c>
      <c r="D751" s="65" t="s">
        <v>14</v>
      </c>
      <c r="E751" s="66" t="s">
        <v>102</v>
      </c>
      <c r="F751" s="66" t="s">
        <v>911</v>
      </c>
      <c r="G751" s="71" t="s">
        <v>282</v>
      </c>
      <c r="H751" s="67" t="s">
        <v>282</v>
      </c>
      <c r="I751" s="67" t="s">
        <v>282</v>
      </c>
      <c r="J751" s="67" t="s">
        <v>17</v>
      </c>
      <c r="K751" s="67" t="s">
        <v>16</v>
      </c>
      <c r="L751" s="67" t="s">
        <v>282</v>
      </c>
      <c r="M751" s="67" t="s">
        <v>282</v>
      </c>
      <c r="N751" s="67" t="s">
        <v>282</v>
      </c>
      <c r="O751" s="68" t="s">
        <v>17</v>
      </c>
      <c r="P751" s="68" t="s">
        <v>17</v>
      </c>
      <c r="Q751" s="68" t="s">
        <v>15</v>
      </c>
      <c r="R751" s="68" t="s">
        <v>15</v>
      </c>
      <c r="S751" s="68" t="s">
        <v>16</v>
      </c>
      <c r="T751" s="68" t="s">
        <v>329</v>
      </c>
      <c r="U751" s="68" t="s">
        <v>249</v>
      </c>
      <c r="V751" s="68" t="s">
        <v>282</v>
      </c>
      <c r="W751" s="69" t="s">
        <v>282</v>
      </c>
      <c r="X751" s="69" t="s">
        <v>282</v>
      </c>
      <c r="Y751" s="70" t="s">
        <v>282</v>
      </c>
    </row>
    <row r="752" spans="1:25">
      <c r="A752" s="64">
        <v>14</v>
      </c>
      <c r="B752" s="65" t="str">
        <f>VLOOKUP(Tabel10[[#This Row],[Code]],Ruimtegroepen[[Code]:[Ruimte omschrijving]],2,FALSE)</f>
        <v>Praktijklokalen</v>
      </c>
      <c r="C752" s="66" t="s">
        <v>907</v>
      </c>
      <c r="D752" s="65" t="s">
        <v>14</v>
      </c>
      <c r="E752" s="66" t="s">
        <v>99</v>
      </c>
      <c r="F752" s="66" t="s">
        <v>909</v>
      </c>
      <c r="G752" s="67" t="s">
        <v>15</v>
      </c>
      <c r="H752" s="67" t="s">
        <v>15</v>
      </c>
      <c r="I752" s="67" t="s">
        <v>282</v>
      </c>
      <c r="J752" s="67" t="s">
        <v>282</v>
      </c>
      <c r="K752" s="67" t="s">
        <v>282</v>
      </c>
      <c r="L752" s="67" t="s">
        <v>282</v>
      </c>
      <c r="M752" s="67" t="s">
        <v>282</v>
      </c>
      <c r="N752" s="67" t="s">
        <v>282</v>
      </c>
      <c r="O752" s="68" t="s">
        <v>282</v>
      </c>
      <c r="P752" s="68" t="s">
        <v>282</v>
      </c>
      <c r="Q752" s="68" t="s">
        <v>282</v>
      </c>
      <c r="R752" s="68" t="s">
        <v>282</v>
      </c>
      <c r="S752" s="68" t="s">
        <v>282</v>
      </c>
      <c r="T752" s="68" t="s">
        <v>282</v>
      </c>
      <c r="U752" s="68" t="s">
        <v>282</v>
      </c>
      <c r="V752" s="68" t="s">
        <v>282</v>
      </c>
      <c r="W752" s="69" t="s">
        <v>282</v>
      </c>
      <c r="X752" s="69" t="s">
        <v>282</v>
      </c>
      <c r="Y752" s="70" t="s">
        <v>282</v>
      </c>
    </row>
    <row r="753" spans="1:25">
      <c r="A753" s="64">
        <v>14</v>
      </c>
      <c r="B753" s="65" t="str">
        <f>VLOOKUP(Tabel10[[#This Row],[Code]],Ruimtegroepen[[Code]:[Ruimte omschrijving]],2,FALSE)</f>
        <v>Praktijklokalen</v>
      </c>
      <c r="C753" s="66" t="s">
        <v>907</v>
      </c>
      <c r="D753" s="65" t="s">
        <v>14</v>
      </c>
      <c r="E753" s="66" t="s">
        <v>1309</v>
      </c>
      <c r="F753" s="66" t="s">
        <v>1403</v>
      </c>
      <c r="G753" s="71" t="s">
        <v>282</v>
      </c>
      <c r="H753" s="67" t="s">
        <v>282</v>
      </c>
      <c r="I753" s="67" t="s">
        <v>282</v>
      </c>
      <c r="J753" s="67" t="s">
        <v>17</v>
      </c>
      <c r="K753" s="67" t="s">
        <v>16</v>
      </c>
      <c r="L753" s="67" t="s">
        <v>282</v>
      </c>
      <c r="M753" s="67" t="s">
        <v>282</v>
      </c>
      <c r="N753" s="67" t="s">
        <v>282</v>
      </c>
      <c r="O753" s="68" t="s">
        <v>17</v>
      </c>
      <c r="P753" s="68" t="s">
        <v>17</v>
      </c>
      <c r="Q753" s="68" t="s">
        <v>15</v>
      </c>
      <c r="R753" s="68" t="s">
        <v>15</v>
      </c>
      <c r="S753" s="68" t="s">
        <v>16</v>
      </c>
      <c r="T753" s="68" t="s">
        <v>329</v>
      </c>
      <c r="U753" s="68" t="s">
        <v>249</v>
      </c>
      <c r="V753" s="68" t="s">
        <v>282</v>
      </c>
      <c r="W753" s="69" t="s">
        <v>282</v>
      </c>
      <c r="X753" s="69" t="s">
        <v>282</v>
      </c>
      <c r="Y753" s="70" t="s">
        <v>282</v>
      </c>
    </row>
    <row r="754" spans="1:25">
      <c r="A754" s="64">
        <v>14</v>
      </c>
      <c r="B754" s="65" t="str">
        <f>VLOOKUP(Tabel10[[#This Row],[Code]],Ruimtegroepen[[Code]:[Ruimte omschrijving]],2,FALSE)</f>
        <v>Praktijklokalen</v>
      </c>
      <c r="C754" s="66" t="s">
        <v>912</v>
      </c>
      <c r="D754" s="65" t="s">
        <v>13</v>
      </c>
      <c r="E754" s="66" t="s">
        <v>100</v>
      </c>
      <c r="F754" s="66" t="s">
        <v>913</v>
      </c>
      <c r="G754" s="71" t="s">
        <v>282</v>
      </c>
      <c r="H754" s="67" t="s">
        <v>282</v>
      </c>
      <c r="I754" s="67" t="s">
        <v>282</v>
      </c>
      <c r="J754" s="67" t="s">
        <v>15</v>
      </c>
      <c r="K754" s="67" t="s">
        <v>282</v>
      </c>
      <c r="L754" s="67" t="s">
        <v>282</v>
      </c>
      <c r="M754" s="67" t="s">
        <v>282</v>
      </c>
      <c r="N754" s="67" t="s">
        <v>282</v>
      </c>
      <c r="O754" s="68" t="s">
        <v>15</v>
      </c>
      <c r="P754" s="68" t="s">
        <v>15</v>
      </c>
      <c r="Q754" s="68" t="s">
        <v>15</v>
      </c>
      <c r="R754" s="68" t="s">
        <v>15</v>
      </c>
      <c r="S754" s="68" t="s">
        <v>16</v>
      </c>
      <c r="T754" s="68" t="s">
        <v>329</v>
      </c>
      <c r="U754" s="68" t="s">
        <v>249</v>
      </c>
      <c r="V754" s="68" t="s">
        <v>282</v>
      </c>
      <c r="W754" s="69" t="s">
        <v>282</v>
      </c>
      <c r="X754" s="69" t="s">
        <v>282</v>
      </c>
      <c r="Y754" s="70" t="s">
        <v>282</v>
      </c>
    </row>
    <row r="755" spans="1:25">
      <c r="A755" s="64">
        <v>14</v>
      </c>
      <c r="B755" s="65" t="str">
        <f>VLOOKUP(Tabel10[[#This Row],[Code]],Ruimtegroepen[[Code]:[Ruimte omschrijving]],2,FALSE)</f>
        <v>Praktijklokalen</v>
      </c>
      <c r="C755" s="66" t="s">
        <v>912</v>
      </c>
      <c r="D755" s="65" t="s">
        <v>13</v>
      </c>
      <c r="E755" s="66" t="s">
        <v>99</v>
      </c>
      <c r="F755" s="66" t="s">
        <v>914</v>
      </c>
      <c r="G755" s="71" t="s">
        <v>282</v>
      </c>
      <c r="H755" s="67" t="s">
        <v>15</v>
      </c>
      <c r="I755" s="67" t="s">
        <v>282</v>
      </c>
      <c r="J755" s="67" t="s">
        <v>282</v>
      </c>
      <c r="K755" s="67" t="s">
        <v>282</v>
      </c>
      <c r="L755" s="67" t="s">
        <v>282</v>
      </c>
      <c r="M755" s="67" t="s">
        <v>282</v>
      </c>
      <c r="N755" s="67" t="s">
        <v>282</v>
      </c>
      <c r="O755" s="68" t="s">
        <v>15</v>
      </c>
      <c r="P755" s="68" t="s">
        <v>15</v>
      </c>
      <c r="Q755" s="68" t="s">
        <v>15</v>
      </c>
      <c r="R755" s="68" t="s">
        <v>15</v>
      </c>
      <c r="S755" s="68" t="s">
        <v>16</v>
      </c>
      <c r="T755" s="68" t="s">
        <v>329</v>
      </c>
      <c r="U755" s="68" t="s">
        <v>249</v>
      </c>
      <c r="V755" s="68" t="s">
        <v>282</v>
      </c>
      <c r="W755" s="69" t="s">
        <v>282</v>
      </c>
      <c r="X755" s="69" t="s">
        <v>282</v>
      </c>
      <c r="Y755" s="70" t="s">
        <v>282</v>
      </c>
    </row>
    <row r="756" spans="1:25">
      <c r="A756" s="64">
        <v>14</v>
      </c>
      <c r="B756" s="65" t="str">
        <f>VLOOKUP(Tabel10[[#This Row],[Code]],Ruimtegroepen[[Code]:[Ruimte omschrijving]],2,FALSE)</f>
        <v>Praktijklokalen</v>
      </c>
      <c r="C756" s="66" t="s">
        <v>912</v>
      </c>
      <c r="D756" s="65" t="s">
        <v>13</v>
      </c>
      <c r="E756" s="66" t="s">
        <v>101</v>
      </c>
      <c r="F756" s="66" t="s">
        <v>915</v>
      </c>
      <c r="G756" s="71" t="s">
        <v>282</v>
      </c>
      <c r="H756" s="67" t="s">
        <v>282</v>
      </c>
      <c r="I756" s="67" t="s">
        <v>282</v>
      </c>
      <c r="J756" s="67" t="s">
        <v>15</v>
      </c>
      <c r="K756" s="67" t="s">
        <v>16</v>
      </c>
      <c r="L756" s="67" t="s">
        <v>282</v>
      </c>
      <c r="M756" s="67" t="s">
        <v>282</v>
      </c>
      <c r="N756" s="67" t="s">
        <v>282</v>
      </c>
      <c r="O756" s="68" t="s">
        <v>15</v>
      </c>
      <c r="P756" s="68" t="s">
        <v>15</v>
      </c>
      <c r="Q756" s="68" t="s">
        <v>15</v>
      </c>
      <c r="R756" s="68" t="s">
        <v>15</v>
      </c>
      <c r="S756" s="68" t="s">
        <v>16</v>
      </c>
      <c r="T756" s="68" t="s">
        <v>329</v>
      </c>
      <c r="U756" s="68" t="s">
        <v>249</v>
      </c>
      <c r="V756" s="68" t="s">
        <v>282</v>
      </c>
      <c r="W756" s="69" t="s">
        <v>282</v>
      </c>
      <c r="X756" s="69" t="s">
        <v>282</v>
      </c>
      <c r="Y756" s="70" t="s">
        <v>282</v>
      </c>
    </row>
    <row r="757" spans="1:25">
      <c r="A757" s="64">
        <v>14</v>
      </c>
      <c r="B757" s="65" t="str">
        <f>VLOOKUP(Tabel10[[#This Row],[Code]],Ruimtegroepen[[Code]:[Ruimte omschrijving]],2,FALSE)</f>
        <v>Praktijklokalen</v>
      </c>
      <c r="C757" s="66" t="s">
        <v>912</v>
      </c>
      <c r="D757" s="65" t="s">
        <v>13</v>
      </c>
      <c r="E757" s="66" t="s">
        <v>102</v>
      </c>
      <c r="F757" s="66" t="s">
        <v>916</v>
      </c>
      <c r="G757" s="71" t="s">
        <v>282</v>
      </c>
      <c r="H757" s="67" t="s">
        <v>282</v>
      </c>
      <c r="I757" s="67" t="s">
        <v>282</v>
      </c>
      <c r="J757" s="67" t="s">
        <v>15</v>
      </c>
      <c r="K757" s="67" t="s">
        <v>16</v>
      </c>
      <c r="L757" s="67" t="s">
        <v>282</v>
      </c>
      <c r="M757" s="67" t="s">
        <v>282</v>
      </c>
      <c r="N757" s="67" t="s">
        <v>282</v>
      </c>
      <c r="O757" s="68" t="s">
        <v>15</v>
      </c>
      <c r="P757" s="68" t="s">
        <v>15</v>
      </c>
      <c r="Q757" s="68" t="s">
        <v>15</v>
      </c>
      <c r="R757" s="68" t="s">
        <v>15</v>
      </c>
      <c r="S757" s="68" t="s">
        <v>16</v>
      </c>
      <c r="T757" s="68" t="s">
        <v>329</v>
      </c>
      <c r="U757" s="68" t="s">
        <v>249</v>
      </c>
      <c r="V757" s="68" t="s">
        <v>282</v>
      </c>
      <c r="W757" s="69" t="s">
        <v>282</v>
      </c>
      <c r="X757" s="69" t="s">
        <v>282</v>
      </c>
      <c r="Y757" s="70" t="s">
        <v>282</v>
      </c>
    </row>
    <row r="758" spans="1:25">
      <c r="A758" s="64">
        <v>14</v>
      </c>
      <c r="B758" s="65" t="str">
        <f>VLOOKUP(Tabel10[[#This Row],[Code]],Ruimtegroepen[[Code]:[Ruimte omschrijving]],2,FALSE)</f>
        <v>Praktijklokalen</v>
      </c>
      <c r="C758" s="66" t="s">
        <v>912</v>
      </c>
      <c r="D758" s="65" t="s">
        <v>13</v>
      </c>
      <c r="E758" s="66" t="s">
        <v>99</v>
      </c>
      <c r="F758" s="66" t="s">
        <v>914</v>
      </c>
      <c r="G758" s="71" t="s">
        <v>282</v>
      </c>
      <c r="H758" s="67" t="s">
        <v>15</v>
      </c>
      <c r="I758" s="67" t="s">
        <v>282</v>
      </c>
      <c r="J758" s="67" t="s">
        <v>282</v>
      </c>
      <c r="K758" s="67" t="s">
        <v>282</v>
      </c>
      <c r="L758" s="67" t="s">
        <v>282</v>
      </c>
      <c r="M758" s="67" t="s">
        <v>282</v>
      </c>
      <c r="N758" s="67" t="s">
        <v>282</v>
      </c>
      <c r="O758" s="68" t="s">
        <v>282</v>
      </c>
      <c r="P758" s="68" t="s">
        <v>282</v>
      </c>
      <c r="Q758" s="68" t="s">
        <v>282</v>
      </c>
      <c r="R758" s="68" t="s">
        <v>282</v>
      </c>
      <c r="S758" s="68" t="s">
        <v>282</v>
      </c>
      <c r="T758" s="68" t="s">
        <v>282</v>
      </c>
      <c r="U758" s="68" t="s">
        <v>282</v>
      </c>
      <c r="V758" s="68" t="s">
        <v>282</v>
      </c>
      <c r="W758" s="69" t="s">
        <v>282</v>
      </c>
      <c r="X758" s="69" t="s">
        <v>282</v>
      </c>
      <c r="Y758" s="70" t="s">
        <v>282</v>
      </c>
    </row>
    <row r="759" spans="1:25">
      <c r="A759" s="64">
        <v>14</v>
      </c>
      <c r="B759" s="65" t="str">
        <f>VLOOKUP(Tabel10[[#This Row],[Code]],Ruimtegroepen[[Code]:[Ruimte omschrijving]],2,FALSE)</f>
        <v>Praktijklokalen</v>
      </c>
      <c r="C759" s="66" t="s">
        <v>912</v>
      </c>
      <c r="D759" s="65" t="s">
        <v>13</v>
      </c>
      <c r="E759" s="66" t="s">
        <v>1309</v>
      </c>
      <c r="F759" s="66" t="s">
        <v>1370</v>
      </c>
      <c r="G759" s="71" t="s">
        <v>282</v>
      </c>
      <c r="H759" s="67" t="s">
        <v>282</v>
      </c>
      <c r="I759" s="67" t="s">
        <v>282</v>
      </c>
      <c r="J759" s="67" t="s">
        <v>15</v>
      </c>
      <c r="K759" s="67" t="s">
        <v>16</v>
      </c>
      <c r="L759" s="67" t="s">
        <v>282</v>
      </c>
      <c r="M759" s="67" t="s">
        <v>282</v>
      </c>
      <c r="N759" s="67" t="s">
        <v>282</v>
      </c>
      <c r="O759" s="68" t="s">
        <v>15</v>
      </c>
      <c r="P759" s="68" t="s">
        <v>15</v>
      </c>
      <c r="Q759" s="68" t="s">
        <v>15</v>
      </c>
      <c r="R759" s="68" t="s">
        <v>15</v>
      </c>
      <c r="S759" s="68" t="s">
        <v>16</v>
      </c>
      <c r="T759" s="68" t="s">
        <v>329</v>
      </c>
      <c r="U759" s="68" t="s">
        <v>249</v>
      </c>
      <c r="V759" s="68" t="s">
        <v>282</v>
      </c>
      <c r="W759" s="69" t="s">
        <v>282</v>
      </c>
      <c r="X759" s="69" t="s">
        <v>282</v>
      </c>
      <c r="Y759" s="70" t="s">
        <v>282</v>
      </c>
    </row>
    <row r="760" spans="1:25">
      <c r="A760" s="64">
        <v>14</v>
      </c>
      <c r="B760" s="65" t="str">
        <f>VLOOKUP(Tabel10[[#This Row],[Code]],Ruimtegroepen[[Code]:[Ruimte omschrijving]],2,FALSE)</f>
        <v>Praktijklokalen</v>
      </c>
      <c r="C760" s="66" t="s">
        <v>917</v>
      </c>
      <c r="D760" s="65" t="s">
        <v>0</v>
      </c>
      <c r="E760" s="66" t="s">
        <v>100</v>
      </c>
      <c r="F760" s="66" t="s">
        <v>918</v>
      </c>
      <c r="G760" s="71" t="s">
        <v>282</v>
      </c>
      <c r="H760" s="67" t="s">
        <v>282</v>
      </c>
      <c r="I760" s="67" t="s">
        <v>16</v>
      </c>
      <c r="J760" s="67" t="s">
        <v>282</v>
      </c>
      <c r="K760" s="67" t="s">
        <v>282</v>
      </c>
      <c r="L760" s="67" t="s">
        <v>282</v>
      </c>
      <c r="M760" s="67" t="s">
        <v>282</v>
      </c>
      <c r="N760" s="67" t="s">
        <v>282</v>
      </c>
      <c r="O760" s="68" t="s">
        <v>16</v>
      </c>
      <c r="P760" s="68" t="s">
        <v>16</v>
      </c>
      <c r="Q760" s="68" t="s">
        <v>16</v>
      </c>
      <c r="R760" s="68" t="s">
        <v>16</v>
      </c>
      <c r="S760" s="68" t="s">
        <v>16</v>
      </c>
      <c r="T760" s="68" t="s">
        <v>329</v>
      </c>
      <c r="U760" s="68" t="s">
        <v>249</v>
      </c>
      <c r="V760" s="68" t="s">
        <v>282</v>
      </c>
      <c r="W760" s="69" t="s">
        <v>282</v>
      </c>
      <c r="X760" s="69" t="s">
        <v>282</v>
      </c>
      <c r="Y760" s="70" t="s">
        <v>282</v>
      </c>
    </row>
    <row r="761" spans="1:25">
      <c r="A761" s="64">
        <v>14</v>
      </c>
      <c r="B761" s="65" t="str">
        <f>VLOOKUP(Tabel10[[#This Row],[Code]],Ruimtegroepen[[Code]:[Ruimte omschrijving]],2,FALSE)</f>
        <v>Praktijklokalen</v>
      </c>
      <c r="C761" s="66" t="s">
        <v>917</v>
      </c>
      <c r="D761" s="65" t="s">
        <v>0</v>
      </c>
      <c r="E761" s="66" t="s">
        <v>99</v>
      </c>
      <c r="F761" s="66" t="s">
        <v>919</v>
      </c>
      <c r="G761" s="71" t="s">
        <v>282</v>
      </c>
      <c r="H761" s="67" t="s">
        <v>16</v>
      </c>
      <c r="I761" s="67" t="s">
        <v>282</v>
      </c>
      <c r="J761" s="67" t="s">
        <v>282</v>
      </c>
      <c r="K761" s="67" t="s">
        <v>282</v>
      </c>
      <c r="L761" s="67" t="s">
        <v>282</v>
      </c>
      <c r="M761" s="67" t="s">
        <v>282</v>
      </c>
      <c r="N761" s="67" t="s">
        <v>282</v>
      </c>
      <c r="O761" s="68" t="s">
        <v>16</v>
      </c>
      <c r="P761" s="68" t="s">
        <v>16</v>
      </c>
      <c r="Q761" s="68" t="s">
        <v>16</v>
      </c>
      <c r="R761" s="68" t="s">
        <v>16</v>
      </c>
      <c r="S761" s="68" t="s">
        <v>16</v>
      </c>
      <c r="T761" s="68" t="s">
        <v>329</v>
      </c>
      <c r="U761" s="68" t="s">
        <v>249</v>
      </c>
      <c r="V761" s="68" t="s">
        <v>282</v>
      </c>
      <c r="W761" s="69" t="s">
        <v>282</v>
      </c>
      <c r="X761" s="69" t="s">
        <v>282</v>
      </c>
      <c r="Y761" s="70" t="s">
        <v>282</v>
      </c>
    </row>
    <row r="762" spans="1:25">
      <c r="A762" s="64">
        <v>14</v>
      </c>
      <c r="B762" s="65" t="str">
        <f>VLOOKUP(Tabel10[[#This Row],[Code]],Ruimtegroepen[[Code]:[Ruimte omschrijving]],2,FALSE)</f>
        <v>Praktijklokalen</v>
      </c>
      <c r="C762" s="66" t="s">
        <v>917</v>
      </c>
      <c r="D762" s="65" t="s">
        <v>0</v>
      </c>
      <c r="E762" s="66" t="s">
        <v>101</v>
      </c>
      <c r="F762" s="66" t="s">
        <v>920</v>
      </c>
      <c r="G762" s="71" t="s">
        <v>282</v>
      </c>
      <c r="H762" s="67" t="s">
        <v>282</v>
      </c>
      <c r="I762" s="67" t="s">
        <v>282</v>
      </c>
      <c r="J762" s="67" t="s">
        <v>361</v>
      </c>
      <c r="K762" s="67" t="s">
        <v>16</v>
      </c>
      <c r="L762" s="67" t="s">
        <v>282</v>
      </c>
      <c r="M762" s="67" t="s">
        <v>282</v>
      </c>
      <c r="N762" s="67" t="s">
        <v>282</v>
      </c>
      <c r="O762" s="68" t="s">
        <v>16</v>
      </c>
      <c r="P762" s="68" t="s">
        <v>16</v>
      </c>
      <c r="Q762" s="68" t="s">
        <v>16</v>
      </c>
      <c r="R762" s="68" t="s">
        <v>16</v>
      </c>
      <c r="S762" s="68" t="s">
        <v>16</v>
      </c>
      <c r="T762" s="68" t="s">
        <v>329</v>
      </c>
      <c r="U762" s="68" t="s">
        <v>249</v>
      </c>
      <c r="V762" s="68" t="s">
        <v>282</v>
      </c>
      <c r="W762" s="69" t="s">
        <v>282</v>
      </c>
      <c r="X762" s="69" t="s">
        <v>282</v>
      </c>
      <c r="Y762" s="70" t="s">
        <v>282</v>
      </c>
    </row>
    <row r="763" spans="1:25">
      <c r="A763" s="64">
        <v>14</v>
      </c>
      <c r="B763" s="65" t="str">
        <f>VLOOKUP(Tabel10[[#This Row],[Code]],Ruimtegroepen[[Code]:[Ruimte omschrijving]],2,FALSE)</f>
        <v>Praktijklokalen</v>
      </c>
      <c r="C763" s="66" t="s">
        <v>917</v>
      </c>
      <c r="D763" s="65" t="s">
        <v>0</v>
      </c>
      <c r="E763" s="66" t="s">
        <v>102</v>
      </c>
      <c r="F763" s="66" t="s">
        <v>921</v>
      </c>
      <c r="G763" s="71" t="s">
        <v>282</v>
      </c>
      <c r="H763" s="67" t="s">
        <v>282</v>
      </c>
      <c r="I763" s="67" t="s">
        <v>16</v>
      </c>
      <c r="J763" s="67" t="s">
        <v>282</v>
      </c>
      <c r="K763" s="67" t="s">
        <v>16</v>
      </c>
      <c r="L763" s="67" t="s">
        <v>282</v>
      </c>
      <c r="M763" s="67" t="s">
        <v>282</v>
      </c>
      <c r="N763" s="67" t="s">
        <v>282</v>
      </c>
      <c r="O763" s="68" t="s">
        <v>16</v>
      </c>
      <c r="P763" s="68" t="s">
        <v>16</v>
      </c>
      <c r="Q763" s="68" t="s">
        <v>16</v>
      </c>
      <c r="R763" s="68" t="s">
        <v>16</v>
      </c>
      <c r="S763" s="68" t="s">
        <v>16</v>
      </c>
      <c r="T763" s="68" t="s">
        <v>329</v>
      </c>
      <c r="U763" s="68" t="s">
        <v>249</v>
      </c>
      <c r="V763" s="68" t="s">
        <v>282</v>
      </c>
      <c r="W763" s="69" t="s">
        <v>282</v>
      </c>
      <c r="X763" s="69" t="s">
        <v>282</v>
      </c>
      <c r="Y763" s="70" t="s">
        <v>282</v>
      </c>
    </row>
    <row r="764" spans="1:25">
      <c r="A764" s="64">
        <v>14</v>
      </c>
      <c r="B764" s="65" t="str">
        <f>VLOOKUP(Tabel10[[#This Row],[Code]],Ruimtegroepen[[Code]:[Ruimte omschrijving]],2,FALSE)</f>
        <v>Praktijklokalen</v>
      </c>
      <c r="C764" s="66" t="s">
        <v>917</v>
      </c>
      <c r="D764" s="65" t="s">
        <v>0</v>
      </c>
      <c r="E764" s="66" t="s">
        <v>99</v>
      </c>
      <c r="F764" s="66" t="s">
        <v>919</v>
      </c>
      <c r="G764" s="71" t="s">
        <v>282</v>
      </c>
      <c r="H764" s="67" t="s">
        <v>16</v>
      </c>
      <c r="I764" s="67" t="s">
        <v>282</v>
      </c>
      <c r="J764" s="67" t="s">
        <v>282</v>
      </c>
      <c r="K764" s="67" t="s">
        <v>282</v>
      </c>
      <c r="L764" s="67" t="s">
        <v>282</v>
      </c>
      <c r="M764" s="67" t="s">
        <v>282</v>
      </c>
      <c r="N764" s="67" t="s">
        <v>282</v>
      </c>
      <c r="O764" s="68" t="s">
        <v>282</v>
      </c>
      <c r="P764" s="68" t="s">
        <v>282</v>
      </c>
      <c r="Q764" s="68" t="s">
        <v>282</v>
      </c>
      <c r="R764" s="68" t="s">
        <v>282</v>
      </c>
      <c r="S764" s="68" t="s">
        <v>282</v>
      </c>
      <c r="T764" s="68" t="s">
        <v>282</v>
      </c>
      <c r="U764" s="68" t="s">
        <v>282</v>
      </c>
      <c r="V764" s="68" t="s">
        <v>282</v>
      </c>
      <c r="W764" s="69" t="s">
        <v>282</v>
      </c>
      <c r="X764" s="69" t="s">
        <v>282</v>
      </c>
      <c r="Y764" s="70" t="s">
        <v>282</v>
      </c>
    </row>
    <row r="765" spans="1:25">
      <c r="A765" s="64">
        <v>14</v>
      </c>
      <c r="B765" s="65" t="str">
        <f>VLOOKUP(Tabel10[[#This Row],[Code]],Ruimtegroepen[[Code]:[Ruimte omschrijving]],2,FALSE)</f>
        <v>Praktijklokalen</v>
      </c>
      <c r="C765" s="66" t="s">
        <v>917</v>
      </c>
      <c r="D765" s="65" t="s">
        <v>0</v>
      </c>
      <c r="E765" s="66" t="s">
        <v>1309</v>
      </c>
      <c r="F765" s="66" t="s">
        <v>1354</v>
      </c>
      <c r="G765" s="71" t="s">
        <v>282</v>
      </c>
      <c r="H765" s="67" t="s">
        <v>282</v>
      </c>
      <c r="I765" s="67" t="s">
        <v>16</v>
      </c>
      <c r="J765" s="67" t="s">
        <v>282</v>
      </c>
      <c r="K765" s="67" t="s">
        <v>16</v>
      </c>
      <c r="L765" s="67" t="s">
        <v>282</v>
      </c>
      <c r="M765" s="67" t="s">
        <v>282</v>
      </c>
      <c r="N765" s="67" t="s">
        <v>282</v>
      </c>
      <c r="O765" s="68" t="s">
        <v>16</v>
      </c>
      <c r="P765" s="68" t="s">
        <v>16</v>
      </c>
      <c r="Q765" s="68" t="s">
        <v>16</v>
      </c>
      <c r="R765" s="68" t="s">
        <v>16</v>
      </c>
      <c r="S765" s="68" t="s">
        <v>16</v>
      </c>
      <c r="T765" s="68" t="s">
        <v>329</v>
      </c>
      <c r="U765" s="68" t="s">
        <v>249</v>
      </c>
      <c r="V765" s="68" t="s">
        <v>282</v>
      </c>
      <c r="W765" s="69" t="s">
        <v>282</v>
      </c>
      <c r="X765" s="69" t="s">
        <v>282</v>
      </c>
      <c r="Y765" s="70" t="s">
        <v>282</v>
      </c>
    </row>
    <row r="766" spans="1:25">
      <c r="A766" s="64">
        <v>14</v>
      </c>
      <c r="B766" s="65" t="str">
        <f>VLOOKUP(Tabel10[[#This Row],[Code]],Ruimtegroepen[[Code]:[Ruimte omschrijving]],2,FALSE)</f>
        <v>Praktijklokalen</v>
      </c>
      <c r="C766" s="66" t="s">
        <v>922</v>
      </c>
      <c r="D766" s="65" t="s">
        <v>27</v>
      </c>
      <c r="E766" s="66" t="s">
        <v>100</v>
      </c>
      <c r="F766" s="66" t="s">
        <v>923</v>
      </c>
      <c r="G766" s="71" t="s">
        <v>282</v>
      </c>
      <c r="H766" s="67" t="s">
        <v>282</v>
      </c>
      <c r="I766" s="67" t="s">
        <v>15</v>
      </c>
      <c r="J766" s="67" t="s">
        <v>282</v>
      </c>
      <c r="K766" s="67" t="s">
        <v>282</v>
      </c>
      <c r="L766" s="67" t="s">
        <v>282</v>
      </c>
      <c r="M766" s="67" t="s">
        <v>282</v>
      </c>
      <c r="N766" s="67" t="s">
        <v>282</v>
      </c>
      <c r="O766" s="68" t="s">
        <v>15</v>
      </c>
      <c r="P766" s="68" t="s">
        <v>15</v>
      </c>
      <c r="Q766" s="68" t="s">
        <v>15</v>
      </c>
      <c r="R766" s="68" t="s">
        <v>282</v>
      </c>
      <c r="S766" s="68" t="s">
        <v>282</v>
      </c>
      <c r="T766" s="68" t="s">
        <v>282</v>
      </c>
      <c r="U766" s="68" t="s">
        <v>282</v>
      </c>
      <c r="V766" s="68" t="s">
        <v>282</v>
      </c>
      <c r="W766" s="69" t="s">
        <v>282</v>
      </c>
      <c r="X766" s="69" t="s">
        <v>282</v>
      </c>
      <c r="Y766" s="70" t="s">
        <v>282</v>
      </c>
    </row>
    <row r="767" spans="1:25">
      <c r="A767" s="64">
        <v>14</v>
      </c>
      <c r="B767" s="65" t="str">
        <f>VLOOKUP(Tabel10[[#This Row],[Code]],Ruimtegroepen[[Code]:[Ruimte omschrijving]],2,FALSE)</f>
        <v>Praktijklokalen</v>
      </c>
      <c r="C767" s="66" t="s">
        <v>922</v>
      </c>
      <c r="D767" s="65" t="s">
        <v>27</v>
      </c>
      <c r="E767" s="66" t="s">
        <v>99</v>
      </c>
      <c r="F767" s="66" t="s">
        <v>924</v>
      </c>
      <c r="G767" s="71" t="s">
        <v>282</v>
      </c>
      <c r="H767" s="67" t="s">
        <v>15</v>
      </c>
      <c r="I767" s="67" t="s">
        <v>282</v>
      </c>
      <c r="J767" s="67" t="s">
        <v>282</v>
      </c>
      <c r="K767" s="67" t="s">
        <v>282</v>
      </c>
      <c r="L767" s="67" t="s">
        <v>282</v>
      </c>
      <c r="M767" s="67" t="s">
        <v>282</v>
      </c>
      <c r="N767" s="67" t="s">
        <v>282</v>
      </c>
      <c r="O767" s="68" t="s">
        <v>15</v>
      </c>
      <c r="P767" s="68" t="s">
        <v>15</v>
      </c>
      <c r="Q767" s="68" t="s">
        <v>15</v>
      </c>
      <c r="R767" s="68" t="s">
        <v>282</v>
      </c>
      <c r="S767" s="68" t="s">
        <v>282</v>
      </c>
      <c r="T767" s="68" t="s">
        <v>282</v>
      </c>
      <c r="U767" s="68" t="s">
        <v>282</v>
      </c>
      <c r="V767" s="68" t="s">
        <v>282</v>
      </c>
      <c r="W767" s="69" t="s">
        <v>282</v>
      </c>
      <c r="X767" s="69" t="s">
        <v>282</v>
      </c>
      <c r="Y767" s="70" t="s">
        <v>282</v>
      </c>
    </row>
    <row r="768" spans="1:25">
      <c r="A768" s="64">
        <v>14</v>
      </c>
      <c r="B768" s="65" t="str">
        <f>VLOOKUP(Tabel10[[#This Row],[Code]],Ruimtegroepen[[Code]:[Ruimte omschrijving]],2,FALSE)</f>
        <v>Praktijklokalen</v>
      </c>
      <c r="C768" s="66" t="s">
        <v>922</v>
      </c>
      <c r="D768" s="65" t="s">
        <v>27</v>
      </c>
      <c r="E768" s="66" t="s">
        <v>101</v>
      </c>
      <c r="F768" s="66" t="s">
        <v>925</v>
      </c>
      <c r="G768" s="71" t="s">
        <v>282</v>
      </c>
      <c r="H768" s="67" t="s">
        <v>282</v>
      </c>
      <c r="I768" s="67" t="s">
        <v>15</v>
      </c>
      <c r="J768" s="67" t="s">
        <v>282</v>
      </c>
      <c r="K768" s="67" t="s">
        <v>282</v>
      </c>
      <c r="L768" s="67" t="s">
        <v>282</v>
      </c>
      <c r="M768" s="67" t="s">
        <v>282</v>
      </c>
      <c r="N768" s="67" t="s">
        <v>282</v>
      </c>
      <c r="O768" s="68" t="s">
        <v>15</v>
      </c>
      <c r="P768" s="68" t="s">
        <v>15</v>
      </c>
      <c r="Q768" s="68" t="s">
        <v>15</v>
      </c>
      <c r="R768" s="68" t="s">
        <v>282</v>
      </c>
      <c r="S768" s="68" t="s">
        <v>282</v>
      </c>
      <c r="T768" s="68" t="s">
        <v>282</v>
      </c>
      <c r="U768" s="68" t="s">
        <v>282</v>
      </c>
      <c r="V768" s="68" t="s">
        <v>282</v>
      </c>
      <c r="W768" s="69" t="s">
        <v>282</v>
      </c>
      <c r="X768" s="69" t="s">
        <v>282</v>
      </c>
      <c r="Y768" s="70" t="s">
        <v>282</v>
      </c>
    </row>
    <row r="769" spans="1:25">
      <c r="A769" s="64">
        <v>14</v>
      </c>
      <c r="B769" s="65" t="str">
        <f>VLOOKUP(Tabel10[[#This Row],[Code]],Ruimtegroepen[[Code]:[Ruimte omschrijving]],2,FALSE)</f>
        <v>Praktijklokalen</v>
      </c>
      <c r="C769" s="66" t="s">
        <v>922</v>
      </c>
      <c r="D769" s="65" t="s">
        <v>27</v>
      </c>
      <c r="E769" s="66" t="s">
        <v>102</v>
      </c>
      <c r="F769" s="66" t="s">
        <v>926</v>
      </c>
      <c r="G769" s="71" t="s">
        <v>282</v>
      </c>
      <c r="H769" s="67" t="s">
        <v>282</v>
      </c>
      <c r="I769" s="67" t="s">
        <v>15</v>
      </c>
      <c r="J769" s="67" t="s">
        <v>282</v>
      </c>
      <c r="K769" s="67" t="s">
        <v>282</v>
      </c>
      <c r="L769" s="67" t="s">
        <v>282</v>
      </c>
      <c r="M769" s="67" t="s">
        <v>282</v>
      </c>
      <c r="N769" s="67" t="s">
        <v>282</v>
      </c>
      <c r="O769" s="68" t="s">
        <v>15</v>
      </c>
      <c r="P769" s="68" t="s">
        <v>15</v>
      </c>
      <c r="Q769" s="68" t="s">
        <v>15</v>
      </c>
      <c r="R769" s="68" t="s">
        <v>282</v>
      </c>
      <c r="S769" s="68" t="s">
        <v>282</v>
      </c>
      <c r="T769" s="68" t="s">
        <v>282</v>
      </c>
      <c r="U769" s="68" t="s">
        <v>282</v>
      </c>
      <c r="V769" s="68" t="s">
        <v>282</v>
      </c>
      <c r="W769" s="69" t="s">
        <v>282</v>
      </c>
      <c r="X769" s="69" t="s">
        <v>282</v>
      </c>
      <c r="Y769" s="70" t="s">
        <v>282</v>
      </c>
    </row>
    <row r="770" spans="1:25">
      <c r="A770" s="64">
        <v>14</v>
      </c>
      <c r="B770" s="65" t="str">
        <f>VLOOKUP(Tabel10[[#This Row],[Code]],Ruimtegroepen[[Code]:[Ruimte omschrijving]],2,FALSE)</f>
        <v>Praktijklokalen</v>
      </c>
      <c r="C770" s="66" t="s">
        <v>922</v>
      </c>
      <c r="D770" s="65" t="s">
        <v>27</v>
      </c>
      <c r="E770" s="66" t="s">
        <v>99</v>
      </c>
      <c r="F770" s="66" t="s">
        <v>924</v>
      </c>
      <c r="G770" s="71" t="s">
        <v>282</v>
      </c>
      <c r="H770" s="67" t="s">
        <v>15</v>
      </c>
      <c r="I770" s="67" t="s">
        <v>282</v>
      </c>
      <c r="J770" s="67" t="s">
        <v>282</v>
      </c>
      <c r="K770" s="67" t="s">
        <v>282</v>
      </c>
      <c r="L770" s="67" t="s">
        <v>282</v>
      </c>
      <c r="M770" s="67" t="s">
        <v>282</v>
      </c>
      <c r="N770" s="67" t="s">
        <v>282</v>
      </c>
      <c r="O770" s="68" t="s">
        <v>15</v>
      </c>
      <c r="P770" s="68" t="s">
        <v>15</v>
      </c>
      <c r="Q770" s="68" t="s">
        <v>15</v>
      </c>
      <c r="R770" s="68" t="s">
        <v>282</v>
      </c>
      <c r="S770" s="68" t="s">
        <v>282</v>
      </c>
      <c r="T770" s="68" t="s">
        <v>282</v>
      </c>
      <c r="U770" s="68" t="s">
        <v>282</v>
      </c>
      <c r="V770" s="68" t="s">
        <v>282</v>
      </c>
      <c r="W770" s="69" t="s">
        <v>282</v>
      </c>
      <c r="X770" s="69" t="s">
        <v>282</v>
      </c>
      <c r="Y770" s="70" t="s">
        <v>282</v>
      </c>
    </row>
    <row r="771" spans="1:25">
      <c r="A771" s="64">
        <v>14</v>
      </c>
      <c r="B771" s="65" t="str">
        <f>VLOOKUP(Tabel10[[#This Row],[Code]],Ruimtegroepen[[Code]:[Ruimte omschrijving]],2,FALSE)</f>
        <v>Praktijklokalen</v>
      </c>
      <c r="C771" s="66" t="s">
        <v>922</v>
      </c>
      <c r="D771" s="65" t="s">
        <v>27</v>
      </c>
      <c r="E771" s="66" t="s">
        <v>1309</v>
      </c>
      <c r="F771" s="66" t="s">
        <v>1387</v>
      </c>
      <c r="G771" s="71" t="s">
        <v>282</v>
      </c>
      <c r="H771" s="67" t="s">
        <v>282</v>
      </c>
      <c r="I771" s="67" t="s">
        <v>15</v>
      </c>
      <c r="J771" s="67" t="s">
        <v>282</v>
      </c>
      <c r="K771" s="67" t="s">
        <v>282</v>
      </c>
      <c r="L771" s="67" t="s">
        <v>282</v>
      </c>
      <c r="M771" s="67" t="s">
        <v>282</v>
      </c>
      <c r="N771" s="67" t="s">
        <v>282</v>
      </c>
      <c r="O771" s="68" t="s">
        <v>15</v>
      </c>
      <c r="P771" s="68" t="s">
        <v>15</v>
      </c>
      <c r="Q771" s="68" t="s">
        <v>15</v>
      </c>
      <c r="R771" s="68" t="s">
        <v>282</v>
      </c>
      <c r="S771" s="68" t="s">
        <v>282</v>
      </c>
      <c r="T771" s="68" t="s">
        <v>282</v>
      </c>
      <c r="U771" s="68" t="s">
        <v>282</v>
      </c>
      <c r="V771" s="68" t="s">
        <v>282</v>
      </c>
      <c r="W771" s="69" t="s">
        <v>282</v>
      </c>
      <c r="X771" s="69" t="s">
        <v>282</v>
      </c>
      <c r="Y771" s="70" t="s">
        <v>282</v>
      </c>
    </row>
    <row r="772" spans="1:25">
      <c r="A772" s="64">
        <v>14</v>
      </c>
      <c r="B772" s="65" t="str">
        <f>VLOOKUP(Tabel10[[#This Row],[Code]],Ruimtegroepen[[Code]:[Ruimte omschrijving]],2,FALSE)</f>
        <v>Praktijklokalen</v>
      </c>
      <c r="C772" s="66" t="s">
        <v>927</v>
      </c>
      <c r="D772" s="65" t="s">
        <v>28</v>
      </c>
      <c r="E772" s="66" t="s">
        <v>100</v>
      </c>
      <c r="F772" s="66" t="s">
        <v>928</v>
      </c>
      <c r="G772" s="71" t="s">
        <v>282</v>
      </c>
      <c r="H772" s="67" t="s">
        <v>282</v>
      </c>
      <c r="I772" s="67" t="s">
        <v>17</v>
      </c>
      <c r="J772" s="67" t="s">
        <v>282</v>
      </c>
      <c r="K772" s="67" t="s">
        <v>282</v>
      </c>
      <c r="L772" s="67" t="s">
        <v>282</v>
      </c>
      <c r="M772" s="67" t="s">
        <v>282</v>
      </c>
      <c r="N772" s="67" t="s">
        <v>282</v>
      </c>
      <c r="O772" s="68" t="s">
        <v>17</v>
      </c>
      <c r="P772" s="68" t="s">
        <v>17</v>
      </c>
      <c r="Q772" s="68" t="s">
        <v>15</v>
      </c>
      <c r="R772" s="68" t="s">
        <v>282</v>
      </c>
      <c r="S772" s="68" t="s">
        <v>282</v>
      </c>
      <c r="T772" s="68" t="s">
        <v>282</v>
      </c>
      <c r="U772" s="68" t="s">
        <v>282</v>
      </c>
      <c r="V772" s="68" t="s">
        <v>282</v>
      </c>
      <c r="W772" s="69" t="s">
        <v>282</v>
      </c>
      <c r="X772" s="69" t="s">
        <v>282</v>
      </c>
      <c r="Y772" s="70" t="s">
        <v>282</v>
      </c>
    </row>
    <row r="773" spans="1:25">
      <c r="A773" s="64">
        <v>14</v>
      </c>
      <c r="B773" s="65" t="str">
        <f>VLOOKUP(Tabel10[[#This Row],[Code]],Ruimtegroepen[[Code]:[Ruimte omschrijving]],2,FALSE)</f>
        <v>Praktijklokalen</v>
      </c>
      <c r="C773" s="66" t="s">
        <v>927</v>
      </c>
      <c r="D773" s="65" t="s">
        <v>28</v>
      </c>
      <c r="E773" s="66" t="s">
        <v>99</v>
      </c>
      <c r="F773" s="66" t="s">
        <v>929</v>
      </c>
      <c r="G773" s="71" t="s">
        <v>282</v>
      </c>
      <c r="H773" s="67" t="s">
        <v>17</v>
      </c>
      <c r="I773" s="67" t="s">
        <v>282</v>
      </c>
      <c r="J773" s="67" t="s">
        <v>282</v>
      </c>
      <c r="K773" s="67" t="s">
        <v>282</v>
      </c>
      <c r="L773" s="67" t="s">
        <v>282</v>
      </c>
      <c r="M773" s="67" t="s">
        <v>282</v>
      </c>
      <c r="N773" s="67" t="s">
        <v>282</v>
      </c>
      <c r="O773" s="68" t="s">
        <v>17</v>
      </c>
      <c r="P773" s="68" t="s">
        <v>17</v>
      </c>
      <c r="Q773" s="68" t="s">
        <v>15</v>
      </c>
      <c r="R773" s="68" t="s">
        <v>282</v>
      </c>
      <c r="S773" s="68" t="s">
        <v>282</v>
      </c>
      <c r="T773" s="68" t="s">
        <v>282</v>
      </c>
      <c r="U773" s="68" t="s">
        <v>282</v>
      </c>
      <c r="V773" s="68" t="s">
        <v>282</v>
      </c>
      <c r="W773" s="69" t="s">
        <v>282</v>
      </c>
      <c r="X773" s="69" t="s">
        <v>282</v>
      </c>
      <c r="Y773" s="70" t="s">
        <v>282</v>
      </c>
    </row>
    <row r="774" spans="1:25">
      <c r="A774" s="64">
        <v>14</v>
      </c>
      <c r="B774" s="65" t="str">
        <f>VLOOKUP(Tabel10[[#This Row],[Code]],Ruimtegroepen[[Code]:[Ruimte omschrijving]],2,FALSE)</f>
        <v>Praktijklokalen</v>
      </c>
      <c r="C774" s="66" t="s">
        <v>927</v>
      </c>
      <c r="D774" s="65" t="s">
        <v>28</v>
      </c>
      <c r="E774" s="66" t="s">
        <v>101</v>
      </c>
      <c r="F774" s="66" t="s">
        <v>930</v>
      </c>
      <c r="G774" s="71" t="s">
        <v>282</v>
      </c>
      <c r="H774" s="67" t="s">
        <v>282</v>
      </c>
      <c r="I774" s="67" t="s">
        <v>17</v>
      </c>
      <c r="J774" s="67" t="s">
        <v>282</v>
      </c>
      <c r="K774" s="67" t="s">
        <v>282</v>
      </c>
      <c r="L774" s="67" t="s">
        <v>282</v>
      </c>
      <c r="M774" s="67" t="s">
        <v>282</v>
      </c>
      <c r="N774" s="67" t="s">
        <v>282</v>
      </c>
      <c r="O774" s="68" t="s">
        <v>17</v>
      </c>
      <c r="P774" s="68" t="s">
        <v>17</v>
      </c>
      <c r="Q774" s="68" t="s">
        <v>15</v>
      </c>
      <c r="R774" s="68" t="s">
        <v>282</v>
      </c>
      <c r="S774" s="68" t="s">
        <v>282</v>
      </c>
      <c r="T774" s="68" t="s">
        <v>282</v>
      </c>
      <c r="U774" s="68" t="s">
        <v>282</v>
      </c>
      <c r="V774" s="68" t="s">
        <v>282</v>
      </c>
      <c r="W774" s="69" t="s">
        <v>282</v>
      </c>
      <c r="X774" s="69" t="s">
        <v>282</v>
      </c>
      <c r="Y774" s="70" t="s">
        <v>282</v>
      </c>
    </row>
    <row r="775" spans="1:25">
      <c r="A775" s="64">
        <v>14</v>
      </c>
      <c r="B775" s="65" t="str">
        <f>VLOOKUP(Tabel10[[#This Row],[Code]],Ruimtegroepen[[Code]:[Ruimte omschrijving]],2,FALSE)</f>
        <v>Praktijklokalen</v>
      </c>
      <c r="C775" s="66" t="s">
        <v>927</v>
      </c>
      <c r="D775" s="65" t="s">
        <v>28</v>
      </c>
      <c r="E775" s="66" t="s">
        <v>102</v>
      </c>
      <c r="F775" s="66" t="s">
        <v>931</v>
      </c>
      <c r="G775" s="71" t="s">
        <v>282</v>
      </c>
      <c r="H775" s="67" t="s">
        <v>282</v>
      </c>
      <c r="I775" s="67" t="s">
        <v>17</v>
      </c>
      <c r="J775" s="67" t="s">
        <v>282</v>
      </c>
      <c r="K775" s="67" t="s">
        <v>282</v>
      </c>
      <c r="L775" s="67" t="s">
        <v>282</v>
      </c>
      <c r="M775" s="67" t="s">
        <v>282</v>
      </c>
      <c r="N775" s="67" t="s">
        <v>282</v>
      </c>
      <c r="O775" s="68" t="s">
        <v>17</v>
      </c>
      <c r="P775" s="68" t="s">
        <v>17</v>
      </c>
      <c r="Q775" s="68" t="s">
        <v>15</v>
      </c>
      <c r="R775" s="68" t="s">
        <v>282</v>
      </c>
      <c r="S775" s="68" t="s">
        <v>282</v>
      </c>
      <c r="T775" s="68" t="s">
        <v>282</v>
      </c>
      <c r="U775" s="68" t="s">
        <v>282</v>
      </c>
      <c r="V775" s="68" t="s">
        <v>282</v>
      </c>
      <c r="W775" s="69" t="s">
        <v>282</v>
      </c>
      <c r="X775" s="69" t="s">
        <v>282</v>
      </c>
      <c r="Y775" s="70" t="s">
        <v>282</v>
      </c>
    </row>
    <row r="776" spans="1:25">
      <c r="A776" s="64">
        <v>14</v>
      </c>
      <c r="B776" s="65" t="str">
        <f>VLOOKUP(Tabel10[[#This Row],[Code]],Ruimtegroepen[[Code]:[Ruimte omschrijving]],2,FALSE)</f>
        <v>Praktijklokalen</v>
      </c>
      <c r="C776" s="66" t="s">
        <v>927</v>
      </c>
      <c r="D776" s="65" t="s">
        <v>28</v>
      </c>
      <c r="E776" s="66" t="s">
        <v>99</v>
      </c>
      <c r="F776" s="66" t="s">
        <v>929</v>
      </c>
      <c r="G776" s="71" t="s">
        <v>282</v>
      </c>
      <c r="H776" s="67" t="s">
        <v>17</v>
      </c>
      <c r="I776" s="67" t="s">
        <v>282</v>
      </c>
      <c r="J776" s="67" t="s">
        <v>282</v>
      </c>
      <c r="K776" s="67" t="s">
        <v>282</v>
      </c>
      <c r="L776" s="67" t="s">
        <v>282</v>
      </c>
      <c r="M776" s="67" t="s">
        <v>282</v>
      </c>
      <c r="N776" s="67" t="s">
        <v>282</v>
      </c>
      <c r="O776" s="68" t="s">
        <v>17</v>
      </c>
      <c r="P776" s="68" t="s">
        <v>17</v>
      </c>
      <c r="Q776" s="68" t="s">
        <v>15</v>
      </c>
      <c r="R776" s="68" t="s">
        <v>282</v>
      </c>
      <c r="S776" s="68" t="s">
        <v>282</v>
      </c>
      <c r="T776" s="68" t="s">
        <v>282</v>
      </c>
      <c r="U776" s="68" t="s">
        <v>282</v>
      </c>
      <c r="V776" s="68" t="s">
        <v>282</v>
      </c>
      <c r="W776" s="69" t="s">
        <v>282</v>
      </c>
      <c r="X776" s="69" t="s">
        <v>282</v>
      </c>
      <c r="Y776" s="70" t="s">
        <v>282</v>
      </c>
    </row>
    <row r="777" spans="1:25">
      <c r="A777" s="64">
        <v>14</v>
      </c>
      <c r="B777" s="65" t="str">
        <f>VLOOKUP(Tabel10[[#This Row],[Code]],Ruimtegroepen[[Code]:[Ruimte omschrijving]],2,FALSE)</f>
        <v>Praktijklokalen</v>
      </c>
      <c r="C777" s="66" t="s">
        <v>927</v>
      </c>
      <c r="D777" s="65" t="s">
        <v>28</v>
      </c>
      <c r="E777" s="66" t="s">
        <v>1309</v>
      </c>
      <c r="F777" s="66" t="s">
        <v>1420</v>
      </c>
      <c r="G777" s="71" t="s">
        <v>282</v>
      </c>
      <c r="H777" s="67" t="s">
        <v>282</v>
      </c>
      <c r="I777" s="67" t="s">
        <v>17</v>
      </c>
      <c r="J777" s="67" t="s">
        <v>282</v>
      </c>
      <c r="K777" s="67" t="s">
        <v>282</v>
      </c>
      <c r="L777" s="67" t="s">
        <v>282</v>
      </c>
      <c r="M777" s="67" t="s">
        <v>282</v>
      </c>
      <c r="N777" s="67" t="s">
        <v>282</v>
      </c>
      <c r="O777" s="68" t="s">
        <v>17</v>
      </c>
      <c r="P777" s="68" t="s">
        <v>17</v>
      </c>
      <c r="Q777" s="68" t="s">
        <v>15</v>
      </c>
      <c r="R777" s="68" t="s">
        <v>282</v>
      </c>
      <c r="S777" s="68" t="s">
        <v>282</v>
      </c>
      <c r="T777" s="68" t="s">
        <v>282</v>
      </c>
      <c r="U777" s="68" t="s">
        <v>282</v>
      </c>
      <c r="V777" s="68" t="s">
        <v>282</v>
      </c>
      <c r="W777" s="69" t="s">
        <v>282</v>
      </c>
      <c r="X777" s="69" t="s">
        <v>282</v>
      </c>
      <c r="Y777" s="70" t="s">
        <v>282</v>
      </c>
    </row>
    <row r="778" spans="1:25">
      <c r="A778" s="64">
        <v>15</v>
      </c>
      <c r="B778" s="65" t="str">
        <f>VLOOKUP(Tabel10[[#This Row],[Code]],Ruimtegroepen[[Code]:[Ruimte omschrijving]],2,FALSE)</f>
        <v>Keuken/pantry</v>
      </c>
      <c r="C778" s="66" t="s">
        <v>932</v>
      </c>
      <c r="D778" s="65" t="s">
        <v>29</v>
      </c>
      <c r="E778" s="66" t="s">
        <v>100</v>
      </c>
      <c r="F778" s="66" t="s">
        <v>933</v>
      </c>
      <c r="G778" s="71" t="s">
        <v>282</v>
      </c>
      <c r="H778" s="67" t="s">
        <v>282</v>
      </c>
      <c r="I778" s="67" t="s">
        <v>282</v>
      </c>
      <c r="J778" s="67" t="s">
        <v>2</v>
      </c>
      <c r="K778" s="67" t="s">
        <v>282</v>
      </c>
      <c r="L778" s="67" t="s">
        <v>282</v>
      </c>
      <c r="M778" s="67" t="s">
        <v>282</v>
      </c>
      <c r="N778" s="67" t="s">
        <v>2</v>
      </c>
      <c r="O778" s="68" t="s">
        <v>2</v>
      </c>
      <c r="P778" s="68" t="s">
        <v>2</v>
      </c>
      <c r="Q778" s="68" t="s">
        <v>15</v>
      </c>
      <c r="R778" s="68" t="s">
        <v>15</v>
      </c>
      <c r="S778" s="68" t="s">
        <v>16</v>
      </c>
      <c r="T778" s="68" t="s">
        <v>329</v>
      </c>
      <c r="U778" s="68" t="s">
        <v>249</v>
      </c>
      <c r="V778" s="68" t="s">
        <v>2</v>
      </c>
      <c r="W778" s="69" t="s">
        <v>282</v>
      </c>
      <c r="X778" s="69" t="s">
        <v>282</v>
      </c>
      <c r="Y778" s="70" t="s">
        <v>282</v>
      </c>
    </row>
    <row r="779" spans="1:25">
      <c r="A779" s="64">
        <v>15</v>
      </c>
      <c r="B779" s="65" t="str">
        <f>VLOOKUP(Tabel10[[#This Row],[Code]],Ruimtegroepen[[Code]:[Ruimte omschrijving]],2,FALSE)</f>
        <v>Keuken/pantry</v>
      </c>
      <c r="C779" s="66" t="s">
        <v>932</v>
      </c>
      <c r="D779" s="65" t="s">
        <v>29</v>
      </c>
      <c r="E779" s="66" t="s">
        <v>99</v>
      </c>
      <c r="F779" s="66" t="s">
        <v>934</v>
      </c>
      <c r="G779" s="71" t="s">
        <v>282</v>
      </c>
      <c r="H779" s="67" t="s">
        <v>2</v>
      </c>
      <c r="I779" s="67" t="s">
        <v>282</v>
      </c>
      <c r="J779" s="67" t="s">
        <v>282</v>
      </c>
      <c r="K779" s="67" t="s">
        <v>282</v>
      </c>
      <c r="L779" s="67" t="s">
        <v>282</v>
      </c>
      <c r="M779" s="67" t="s">
        <v>282</v>
      </c>
      <c r="N779" s="67" t="s">
        <v>2</v>
      </c>
      <c r="O779" s="68" t="s">
        <v>2</v>
      </c>
      <c r="P779" s="68" t="s">
        <v>2</v>
      </c>
      <c r="Q779" s="68" t="s">
        <v>15</v>
      </c>
      <c r="R779" s="68" t="s">
        <v>15</v>
      </c>
      <c r="S779" s="68" t="s">
        <v>16</v>
      </c>
      <c r="T779" s="68" t="s">
        <v>329</v>
      </c>
      <c r="U779" s="68" t="s">
        <v>249</v>
      </c>
      <c r="V779" s="68" t="s">
        <v>2</v>
      </c>
      <c r="W779" s="69" t="s">
        <v>282</v>
      </c>
      <c r="X779" s="69" t="s">
        <v>282</v>
      </c>
      <c r="Y779" s="70" t="s">
        <v>282</v>
      </c>
    </row>
    <row r="780" spans="1:25">
      <c r="A780" s="64">
        <v>15</v>
      </c>
      <c r="B780" s="65" t="str">
        <f>VLOOKUP(Tabel10[[#This Row],[Code]],Ruimtegroepen[[Code]:[Ruimte omschrijving]],2,FALSE)</f>
        <v>Keuken/pantry</v>
      </c>
      <c r="C780" s="66" t="s">
        <v>932</v>
      </c>
      <c r="D780" s="65" t="s">
        <v>29</v>
      </c>
      <c r="E780" s="66" t="s">
        <v>101</v>
      </c>
      <c r="F780" s="66" t="s">
        <v>935</v>
      </c>
      <c r="G780" s="71" t="s">
        <v>282</v>
      </c>
      <c r="H780" s="67" t="s">
        <v>282</v>
      </c>
      <c r="I780" s="67" t="s">
        <v>2</v>
      </c>
      <c r="J780" s="67" t="s">
        <v>282</v>
      </c>
      <c r="K780" s="67" t="s">
        <v>2</v>
      </c>
      <c r="L780" s="67" t="s">
        <v>282</v>
      </c>
      <c r="M780" s="67" t="s">
        <v>282</v>
      </c>
      <c r="N780" s="67" t="s">
        <v>2</v>
      </c>
      <c r="O780" s="68" t="s">
        <v>2</v>
      </c>
      <c r="P780" s="68" t="s">
        <v>2</v>
      </c>
      <c r="Q780" s="68" t="s">
        <v>15</v>
      </c>
      <c r="R780" s="68" t="s">
        <v>15</v>
      </c>
      <c r="S780" s="68" t="s">
        <v>16</v>
      </c>
      <c r="T780" s="68" t="s">
        <v>329</v>
      </c>
      <c r="U780" s="68" t="s">
        <v>249</v>
      </c>
      <c r="V780" s="68" t="s">
        <v>2</v>
      </c>
      <c r="W780" s="69" t="s">
        <v>282</v>
      </c>
      <c r="X780" s="69" t="s">
        <v>282</v>
      </c>
      <c r="Y780" s="70" t="s">
        <v>282</v>
      </c>
    </row>
    <row r="781" spans="1:25">
      <c r="A781" s="64">
        <v>15</v>
      </c>
      <c r="B781" s="65" t="str">
        <f>VLOOKUP(Tabel10[[#This Row],[Code]],Ruimtegroepen[[Code]:[Ruimte omschrijving]],2,FALSE)</f>
        <v>Keuken/pantry</v>
      </c>
      <c r="C781" s="66" t="s">
        <v>932</v>
      </c>
      <c r="D781" s="65" t="s">
        <v>29</v>
      </c>
      <c r="E781" s="66" t="s">
        <v>102</v>
      </c>
      <c r="F781" s="66" t="s">
        <v>936</v>
      </c>
      <c r="G781" s="71" t="s">
        <v>282</v>
      </c>
      <c r="H781" s="67" t="s">
        <v>282</v>
      </c>
      <c r="I781" s="67" t="s">
        <v>2</v>
      </c>
      <c r="J781" s="67" t="s">
        <v>282</v>
      </c>
      <c r="K781" s="67" t="s">
        <v>2</v>
      </c>
      <c r="L781" s="67" t="s">
        <v>282</v>
      </c>
      <c r="M781" s="67" t="s">
        <v>282</v>
      </c>
      <c r="N781" s="67" t="s">
        <v>2</v>
      </c>
      <c r="O781" s="68" t="s">
        <v>2</v>
      </c>
      <c r="P781" s="68" t="s">
        <v>2</v>
      </c>
      <c r="Q781" s="68" t="s">
        <v>15</v>
      </c>
      <c r="R781" s="68" t="s">
        <v>15</v>
      </c>
      <c r="S781" s="68" t="s">
        <v>16</v>
      </c>
      <c r="T781" s="68" t="s">
        <v>329</v>
      </c>
      <c r="U781" s="68" t="s">
        <v>249</v>
      </c>
      <c r="V781" s="68" t="s">
        <v>2</v>
      </c>
      <c r="W781" s="69" t="s">
        <v>282</v>
      </c>
      <c r="X781" s="69" t="s">
        <v>282</v>
      </c>
      <c r="Y781" s="70" t="s">
        <v>282</v>
      </c>
    </row>
    <row r="782" spans="1:25">
      <c r="A782" s="64">
        <v>15</v>
      </c>
      <c r="B782" s="65" t="str">
        <f>VLOOKUP(Tabel10[[#This Row],[Code]],Ruimtegroepen[[Code]:[Ruimte omschrijving]],2,FALSE)</f>
        <v>Keuken/pantry</v>
      </c>
      <c r="C782" s="66" t="s">
        <v>932</v>
      </c>
      <c r="D782" s="65" t="s">
        <v>29</v>
      </c>
      <c r="E782" s="66" t="s">
        <v>99</v>
      </c>
      <c r="F782" s="66" t="s">
        <v>934</v>
      </c>
      <c r="G782" s="71" t="s">
        <v>282</v>
      </c>
      <c r="H782" s="67" t="s">
        <v>2</v>
      </c>
      <c r="I782" s="67" t="s">
        <v>282</v>
      </c>
      <c r="J782" s="67" t="s">
        <v>282</v>
      </c>
      <c r="K782" s="67" t="s">
        <v>282</v>
      </c>
      <c r="L782" s="67" t="s">
        <v>282</v>
      </c>
      <c r="M782" s="67" t="s">
        <v>282</v>
      </c>
      <c r="N782" s="67" t="s">
        <v>2</v>
      </c>
      <c r="O782" s="68" t="s">
        <v>2</v>
      </c>
      <c r="P782" s="68" t="s">
        <v>2</v>
      </c>
      <c r="Q782" s="68" t="s">
        <v>15</v>
      </c>
      <c r="R782" s="68" t="s">
        <v>15</v>
      </c>
      <c r="S782" s="68" t="s">
        <v>16</v>
      </c>
      <c r="T782" s="68" t="s">
        <v>329</v>
      </c>
      <c r="U782" s="68" t="s">
        <v>249</v>
      </c>
      <c r="V782" s="68" t="s">
        <v>2</v>
      </c>
      <c r="W782" s="69" t="s">
        <v>282</v>
      </c>
      <c r="X782" s="69" t="s">
        <v>282</v>
      </c>
      <c r="Y782" s="70" t="s">
        <v>282</v>
      </c>
    </row>
    <row r="783" spans="1:25">
      <c r="A783" s="64">
        <v>15</v>
      </c>
      <c r="B783" s="65" t="str">
        <f>VLOOKUP(Tabel10[[#This Row],[Code]],Ruimtegroepen[[Code]:[Ruimte omschrijving]],2,FALSE)</f>
        <v>Keuken/pantry</v>
      </c>
      <c r="C783" s="66" t="s">
        <v>932</v>
      </c>
      <c r="D783" s="65" t="s">
        <v>29</v>
      </c>
      <c r="E783" s="66" t="s">
        <v>1309</v>
      </c>
      <c r="F783" s="66" t="s">
        <v>1488</v>
      </c>
      <c r="G783" s="71" t="s">
        <v>282</v>
      </c>
      <c r="H783" s="67" t="s">
        <v>282</v>
      </c>
      <c r="I783" s="67" t="s">
        <v>2</v>
      </c>
      <c r="J783" s="67" t="s">
        <v>282</v>
      </c>
      <c r="K783" s="67" t="s">
        <v>2</v>
      </c>
      <c r="L783" s="67" t="s">
        <v>282</v>
      </c>
      <c r="M783" s="67" t="s">
        <v>282</v>
      </c>
      <c r="N783" s="67" t="s">
        <v>2</v>
      </c>
      <c r="O783" s="68" t="s">
        <v>2</v>
      </c>
      <c r="P783" s="68" t="s">
        <v>2</v>
      </c>
      <c r="Q783" s="68" t="s">
        <v>15</v>
      </c>
      <c r="R783" s="68" t="s">
        <v>15</v>
      </c>
      <c r="S783" s="68" t="s">
        <v>16</v>
      </c>
      <c r="T783" s="68" t="s">
        <v>329</v>
      </c>
      <c r="U783" s="68" t="s">
        <v>249</v>
      </c>
      <c r="V783" s="68" t="s">
        <v>2</v>
      </c>
      <c r="W783" s="69" t="s">
        <v>282</v>
      </c>
      <c r="X783" s="69" t="s">
        <v>282</v>
      </c>
      <c r="Y783" s="70" t="s">
        <v>282</v>
      </c>
    </row>
    <row r="784" spans="1:25">
      <c r="A784" s="64">
        <v>15</v>
      </c>
      <c r="B784" s="65" t="str">
        <f>VLOOKUP(Tabel10[[#This Row],[Code]],Ruimtegroepen[[Code]:[Ruimte omschrijving]],2,FALSE)</f>
        <v>Keuken/pantry</v>
      </c>
      <c r="C784" s="66" t="s">
        <v>937</v>
      </c>
      <c r="D784" s="65" t="s">
        <v>1</v>
      </c>
      <c r="E784" s="66" t="s">
        <v>100</v>
      </c>
      <c r="F784" s="66" t="s">
        <v>938</v>
      </c>
      <c r="G784" s="71" t="s">
        <v>282</v>
      </c>
      <c r="H784" s="67" t="s">
        <v>282</v>
      </c>
      <c r="I784" s="67" t="s">
        <v>282</v>
      </c>
      <c r="J784" s="67" t="s">
        <v>2</v>
      </c>
      <c r="K784" s="67" t="s">
        <v>282</v>
      </c>
      <c r="L784" s="67" t="s">
        <v>282</v>
      </c>
      <c r="M784" s="67" t="s">
        <v>282</v>
      </c>
      <c r="N784" s="67" t="s">
        <v>282</v>
      </c>
      <c r="O784" s="68" t="s">
        <v>2</v>
      </c>
      <c r="P784" s="68" t="s">
        <v>2</v>
      </c>
      <c r="Q784" s="68" t="s">
        <v>15</v>
      </c>
      <c r="R784" s="68" t="s">
        <v>15</v>
      </c>
      <c r="S784" s="68" t="s">
        <v>16</v>
      </c>
      <c r="T784" s="68" t="s">
        <v>329</v>
      </c>
      <c r="U784" s="68" t="s">
        <v>249</v>
      </c>
      <c r="V784" s="68" t="s">
        <v>282</v>
      </c>
      <c r="W784" s="69" t="s">
        <v>282</v>
      </c>
      <c r="X784" s="69" t="s">
        <v>282</v>
      </c>
      <c r="Y784" s="70" t="s">
        <v>282</v>
      </c>
    </row>
    <row r="785" spans="1:25">
      <c r="A785" s="64">
        <v>15</v>
      </c>
      <c r="B785" s="65" t="str">
        <f>VLOOKUP(Tabel10[[#This Row],[Code]],Ruimtegroepen[[Code]:[Ruimte omschrijving]],2,FALSE)</f>
        <v>Keuken/pantry</v>
      </c>
      <c r="C785" s="66" t="s">
        <v>937</v>
      </c>
      <c r="D785" s="65" t="s">
        <v>1</v>
      </c>
      <c r="E785" s="66" t="s">
        <v>99</v>
      </c>
      <c r="F785" s="66" t="s">
        <v>939</v>
      </c>
      <c r="G785" s="71" t="s">
        <v>282</v>
      </c>
      <c r="H785" s="67" t="s">
        <v>2</v>
      </c>
      <c r="I785" s="67" t="s">
        <v>282</v>
      </c>
      <c r="J785" s="67" t="s">
        <v>282</v>
      </c>
      <c r="K785" s="67" t="s">
        <v>282</v>
      </c>
      <c r="L785" s="67" t="s">
        <v>282</v>
      </c>
      <c r="M785" s="67" t="s">
        <v>282</v>
      </c>
      <c r="N785" s="67" t="s">
        <v>282</v>
      </c>
      <c r="O785" s="68" t="s">
        <v>2</v>
      </c>
      <c r="P785" s="68" t="s">
        <v>2</v>
      </c>
      <c r="Q785" s="68" t="s">
        <v>15</v>
      </c>
      <c r="R785" s="68" t="s">
        <v>15</v>
      </c>
      <c r="S785" s="68" t="s">
        <v>16</v>
      </c>
      <c r="T785" s="68" t="s">
        <v>329</v>
      </c>
      <c r="U785" s="68" t="s">
        <v>249</v>
      </c>
      <c r="V785" s="68" t="s">
        <v>282</v>
      </c>
      <c r="W785" s="69" t="s">
        <v>282</v>
      </c>
      <c r="X785" s="69" t="s">
        <v>282</v>
      </c>
      <c r="Y785" s="70" t="s">
        <v>282</v>
      </c>
    </row>
    <row r="786" spans="1:25">
      <c r="A786" s="64">
        <v>15</v>
      </c>
      <c r="B786" s="65" t="str">
        <f>VLOOKUP(Tabel10[[#This Row],[Code]],Ruimtegroepen[[Code]:[Ruimte omschrijving]],2,FALSE)</f>
        <v>Keuken/pantry</v>
      </c>
      <c r="C786" s="66" t="s">
        <v>937</v>
      </c>
      <c r="D786" s="65" t="s">
        <v>1</v>
      </c>
      <c r="E786" s="66" t="s">
        <v>101</v>
      </c>
      <c r="F786" s="66" t="s">
        <v>940</v>
      </c>
      <c r="G786" s="71" t="s">
        <v>282</v>
      </c>
      <c r="H786" s="67" t="s">
        <v>282</v>
      </c>
      <c r="I786" s="67" t="s">
        <v>2</v>
      </c>
      <c r="J786" s="67" t="s">
        <v>282</v>
      </c>
      <c r="K786" s="67" t="s">
        <v>2</v>
      </c>
      <c r="L786" s="67" t="s">
        <v>282</v>
      </c>
      <c r="M786" s="67" t="s">
        <v>282</v>
      </c>
      <c r="N786" s="67" t="s">
        <v>282</v>
      </c>
      <c r="O786" s="68" t="s">
        <v>2</v>
      </c>
      <c r="P786" s="68" t="s">
        <v>2</v>
      </c>
      <c r="Q786" s="68" t="s">
        <v>15</v>
      </c>
      <c r="R786" s="68" t="s">
        <v>15</v>
      </c>
      <c r="S786" s="68" t="s">
        <v>16</v>
      </c>
      <c r="T786" s="68" t="s">
        <v>329</v>
      </c>
      <c r="U786" s="68" t="s">
        <v>249</v>
      </c>
      <c r="V786" s="68" t="s">
        <v>282</v>
      </c>
      <c r="W786" s="69" t="s">
        <v>282</v>
      </c>
      <c r="X786" s="69" t="s">
        <v>282</v>
      </c>
      <c r="Y786" s="70" t="s">
        <v>282</v>
      </c>
    </row>
    <row r="787" spans="1:25">
      <c r="A787" s="64">
        <v>15</v>
      </c>
      <c r="B787" s="65" t="str">
        <f>VLOOKUP(Tabel10[[#This Row],[Code]],Ruimtegroepen[[Code]:[Ruimte omschrijving]],2,FALSE)</f>
        <v>Keuken/pantry</v>
      </c>
      <c r="C787" s="66" t="s">
        <v>937</v>
      </c>
      <c r="D787" s="65" t="s">
        <v>1</v>
      </c>
      <c r="E787" s="66" t="s">
        <v>102</v>
      </c>
      <c r="F787" s="66" t="s">
        <v>941</v>
      </c>
      <c r="G787" s="71" t="s">
        <v>282</v>
      </c>
      <c r="H787" s="67" t="s">
        <v>282</v>
      </c>
      <c r="I787" s="67" t="s">
        <v>2</v>
      </c>
      <c r="J787" s="67" t="s">
        <v>282</v>
      </c>
      <c r="K787" s="67" t="s">
        <v>2</v>
      </c>
      <c r="L787" s="67" t="s">
        <v>282</v>
      </c>
      <c r="M787" s="67" t="s">
        <v>282</v>
      </c>
      <c r="N787" s="67" t="s">
        <v>282</v>
      </c>
      <c r="O787" s="68" t="s">
        <v>2</v>
      </c>
      <c r="P787" s="68" t="s">
        <v>2</v>
      </c>
      <c r="Q787" s="68" t="s">
        <v>15</v>
      </c>
      <c r="R787" s="68" t="s">
        <v>15</v>
      </c>
      <c r="S787" s="68" t="s">
        <v>16</v>
      </c>
      <c r="T787" s="68" t="s">
        <v>329</v>
      </c>
      <c r="U787" s="68" t="s">
        <v>249</v>
      </c>
      <c r="V787" s="68" t="s">
        <v>282</v>
      </c>
      <c r="W787" s="69" t="s">
        <v>282</v>
      </c>
      <c r="X787" s="69" t="s">
        <v>282</v>
      </c>
      <c r="Y787" s="70" t="s">
        <v>282</v>
      </c>
    </row>
    <row r="788" spans="1:25">
      <c r="A788" s="64">
        <v>15</v>
      </c>
      <c r="B788" s="65" t="str">
        <f>VLOOKUP(Tabel10[[#This Row],[Code]],Ruimtegroepen[[Code]:[Ruimte omschrijving]],2,FALSE)</f>
        <v>Keuken/pantry</v>
      </c>
      <c r="C788" s="66" t="s">
        <v>937</v>
      </c>
      <c r="D788" s="65" t="s">
        <v>1</v>
      </c>
      <c r="E788" s="66" t="s">
        <v>99</v>
      </c>
      <c r="F788" s="66" t="s">
        <v>939</v>
      </c>
      <c r="G788" s="71" t="s">
        <v>282</v>
      </c>
      <c r="H788" s="67" t="s">
        <v>2</v>
      </c>
      <c r="I788" s="67" t="s">
        <v>282</v>
      </c>
      <c r="J788" s="67" t="s">
        <v>282</v>
      </c>
      <c r="K788" s="67" t="s">
        <v>282</v>
      </c>
      <c r="L788" s="67" t="s">
        <v>282</v>
      </c>
      <c r="M788" s="67" t="s">
        <v>282</v>
      </c>
      <c r="N788" s="67" t="s">
        <v>282</v>
      </c>
      <c r="O788" s="68" t="s">
        <v>2</v>
      </c>
      <c r="P788" s="68" t="s">
        <v>2</v>
      </c>
      <c r="Q788" s="68" t="s">
        <v>15</v>
      </c>
      <c r="R788" s="68" t="s">
        <v>15</v>
      </c>
      <c r="S788" s="68" t="s">
        <v>16</v>
      </c>
      <c r="T788" s="68" t="s">
        <v>329</v>
      </c>
      <c r="U788" s="68" t="s">
        <v>249</v>
      </c>
      <c r="V788" s="68" t="s">
        <v>282</v>
      </c>
      <c r="W788" s="69" t="s">
        <v>282</v>
      </c>
      <c r="X788" s="69" t="s">
        <v>282</v>
      </c>
      <c r="Y788" s="70" t="s">
        <v>282</v>
      </c>
    </row>
    <row r="789" spans="1:25">
      <c r="A789" s="64">
        <v>15</v>
      </c>
      <c r="B789" s="65" t="str">
        <f>VLOOKUP(Tabel10[[#This Row],[Code]],Ruimtegroepen[[Code]:[Ruimte omschrijving]],2,FALSE)</f>
        <v>Keuken/pantry</v>
      </c>
      <c r="C789" s="66" t="s">
        <v>937</v>
      </c>
      <c r="D789" s="65" t="s">
        <v>1</v>
      </c>
      <c r="E789" s="66" t="s">
        <v>1309</v>
      </c>
      <c r="F789" s="66" t="s">
        <v>1472</v>
      </c>
      <c r="G789" s="71" t="s">
        <v>282</v>
      </c>
      <c r="H789" s="67" t="s">
        <v>282</v>
      </c>
      <c r="I789" s="67" t="s">
        <v>2</v>
      </c>
      <c r="J789" s="67" t="s">
        <v>282</v>
      </c>
      <c r="K789" s="67" t="s">
        <v>2</v>
      </c>
      <c r="L789" s="67" t="s">
        <v>282</v>
      </c>
      <c r="M789" s="67" t="s">
        <v>282</v>
      </c>
      <c r="N789" s="67" t="s">
        <v>282</v>
      </c>
      <c r="O789" s="68" t="s">
        <v>2</v>
      </c>
      <c r="P789" s="68" t="s">
        <v>2</v>
      </c>
      <c r="Q789" s="68" t="s">
        <v>15</v>
      </c>
      <c r="R789" s="68" t="s">
        <v>15</v>
      </c>
      <c r="S789" s="68" t="s">
        <v>16</v>
      </c>
      <c r="T789" s="68" t="s">
        <v>329</v>
      </c>
      <c r="U789" s="68" t="s">
        <v>249</v>
      </c>
      <c r="V789" s="68" t="s">
        <v>282</v>
      </c>
      <c r="W789" s="69" t="s">
        <v>282</v>
      </c>
      <c r="X789" s="69" t="s">
        <v>282</v>
      </c>
      <c r="Y789" s="70" t="s">
        <v>282</v>
      </c>
    </row>
    <row r="790" spans="1:25">
      <c r="A790" s="64">
        <v>15</v>
      </c>
      <c r="B790" s="65" t="str">
        <f>VLOOKUP(Tabel10[[#This Row],[Code]],Ruimtegroepen[[Code]:[Ruimte omschrijving]],2,FALSE)</f>
        <v>Keuken/pantry</v>
      </c>
      <c r="C790" s="66" t="s">
        <v>942</v>
      </c>
      <c r="D790" s="65" t="s">
        <v>21</v>
      </c>
      <c r="E790" s="66" t="s">
        <v>100</v>
      </c>
      <c r="F790" s="66" t="s">
        <v>943</v>
      </c>
      <c r="G790" s="71" t="s">
        <v>282</v>
      </c>
      <c r="H790" s="67" t="s">
        <v>282</v>
      </c>
      <c r="I790" s="67" t="s">
        <v>282</v>
      </c>
      <c r="J790" s="67" t="s">
        <v>20</v>
      </c>
      <c r="K790" s="67" t="s">
        <v>282</v>
      </c>
      <c r="L790" s="67" t="s">
        <v>282</v>
      </c>
      <c r="M790" s="67" t="s">
        <v>282</v>
      </c>
      <c r="N790" s="67" t="s">
        <v>282</v>
      </c>
      <c r="O790" s="68" t="s">
        <v>20</v>
      </c>
      <c r="P790" s="68" t="s">
        <v>20</v>
      </c>
      <c r="Q790" s="68" t="s">
        <v>15</v>
      </c>
      <c r="R790" s="68" t="s">
        <v>15</v>
      </c>
      <c r="S790" s="68" t="s">
        <v>16</v>
      </c>
      <c r="T790" s="68" t="s">
        <v>329</v>
      </c>
      <c r="U790" s="68" t="s">
        <v>249</v>
      </c>
      <c r="V790" s="68" t="s">
        <v>282</v>
      </c>
      <c r="W790" s="69" t="s">
        <v>282</v>
      </c>
      <c r="X790" s="69" t="s">
        <v>282</v>
      </c>
      <c r="Y790" s="70" t="s">
        <v>282</v>
      </c>
    </row>
    <row r="791" spans="1:25">
      <c r="A791" s="64">
        <v>15</v>
      </c>
      <c r="B791" s="65" t="str">
        <f>VLOOKUP(Tabel10[[#This Row],[Code]],Ruimtegroepen[[Code]:[Ruimte omschrijving]],2,FALSE)</f>
        <v>Keuken/pantry</v>
      </c>
      <c r="C791" s="66" t="s">
        <v>942</v>
      </c>
      <c r="D791" s="65" t="s">
        <v>21</v>
      </c>
      <c r="E791" s="66" t="s">
        <v>99</v>
      </c>
      <c r="F791" s="66" t="s">
        <v>944</v>
      </c>
      <c r="G791" s="71" t="s">
        <v>282</v>
      </c>
      <c r="H791" s="67" t="s">
        <v>20</v>
      </c>
      <c r="I791" s="67" t="s">
        <v>282</v>
      </c>
      <c r="J791" s="67" t="s">
        <v>282</v>
      </c>
      <c r="K791" s="67" t="s">
        <v>282</v>
      </c>
      <c r="L791" s="67" t="s">
        <v>282</v>
      </c>
      <c r="M791" s="67" t="s">
        <v>282</v>
      </c>
      <c r="N791" s="67" t="s">
        <v>282</v>
      </c>
      <c r="O791" s="68" t="s">
        <v>20</v>
      </c>
      <c r="P791" s="68" t="s">
        <v>20</v>
      </c>
      <c r="Q791" s="68" t="s">
        <v>15</v>
      </c>
      <c r="R791" s="68" t="s">
        <v>15</v>
      </c>
      <c r="S791" s="68" t="s">
        <v>16</v>
      </c>
      <c r="T791" s="68" t="s">
        <v>329</v>
      </c>
      <c r="U791" s="68" t="s">
        <v>249</v>
      </c>
      <c r="V791" s="68" t="s">
        <v>282</v>
      </c>
      <c r="W791" s="69" t="s">
        <v>282</v>
      </c>
      <c r="X791" s="69" t="s">
        <v>282</v>
      </c>
      <c r="Y791" s="70" t="s">
        <v>282</v>
      </c>
    </row>
    <row r="792" spans="1:25">
      <c r="A792" s="64">
        <v>15</v>
      </c>
      <c r="B792" s="65" t="str">
        <f>VLOOKUP(Tabel10[[#This Row],[Code]],Ruimtegroepen[[Code]:[Ruimte omschrijving]],2,FALSE)</f>
        <v>Keuken/pantry</v>
      </c>
      <c r="C792" s="66" t="s">
        <v>942</v>
      </c>
      <c r="D792" s="65" t="s">
        <v>21</v>
      </c>
      <c r="E792" s="66" t="s">
        <v>101</v>
      </c>
      <c r="F792" s="66" t="s">
        <v>945</v>
      </c>
      <c r="G792" s="71" t="s">
        <v>282</v>
      </c>
      <c r="H792" s="67" t="s">
        <v>282</v>
      </c>
      <c r="I792" s="67" t="s">
        <v>20</v>
      </c>
      <c r="J792" s="67" t="s">
        <v>282</v>
      </c>
      <c r="K792" s="67" t="s">
        <v>20</v>
      </c>
      <c r="L792" s="67" t="s">
        <v>282</v>
      </c>
      <c r="M792" s="67" t="s">
        <v>282</v>
      </c>
      <c r="N792" s="67" t="s">
        <v>282</v>
      </c>
      <c r="O792" s="68" t="s">
        <v>20</v>
      </c>
      <c r="P792" s="68" t="s">
        <v>20</v>
      </c>
      <c r="Q792" s="68" t="s">
        <v>15</v>
      </c>
      <c r="R792" s="68" t="s">
        <v>15</v>
      </c>
      <c r="S792" s="68" t="s">
        <v>16</v>
      </c>
      <c r="T792" s="68" t="s">
        <v>329</v>
      </c>
      <c r="U792" s="68" t="s">
        <v>249</v>
      </c>
      <c r="V792" s="68" t="s">
        <v>282</v>
      </c>
      <c r="W792" s="69" t="s">
        <v>282</v>
      </c>
      <c r="X792" s="69" t="s">
        <v>282</v>
      </c>
      <c r="Y792" s="70" t="s">
        <v>282</v>
      </c>
    </row>
    <row r="793" spans="1:25">
      <c r="A793" s="64">
        <v>15</v>
      </c>
      <c r="B793" s="65" t="str">
        <f>VLOOKUP(Tabel10[[#This Row],[Code]],Ruimtegroepen[[Code]:[Ruimte omschrijving]],2,FALSE)</f>
        <v>Keuken/pantry</v>
      </c>
      <c r="C793" s="66" t="s">
        <v>942</v>
      </c>
      <c r="D793" s="65" t="s">
        <v>21</v>
      </c>
      <c r="E793" s="66" t="s">
        <v>102</v>
      </c>
      <c r="F793" s="66" t="s">
        <v>946</v>
      </c>
      <c r="G793" s="71" t="s">
        <v>282</v>
      </c>
      <c r="H793" s="67" t="s">
        <v>282</v>
      </c>
      <c r="I793" s="67" t="s">
        <v>20</v>
      </c>
      <c r="J793" s="67" t="s">
        <v>282</v>
      </c>
      <c r="K793" s="67" t="s">
        <v>20</v>
      </c>
      <c r="L793" s="67" t="s">
        <v>282</v>
      </c>
      <c r="M793" s="67" t="s">
        <v>282</v>
      </c>
      <c r="N793" s="67" t="s">
        <v>282</v>
      </c>
      <c r="O793" s="68" t="s">
        <v>20</v>
      </c>
      <c r="P793" s="68" t="s">
        <v>20</v>
      </c>
      <c r="Q793" s="68" t="s">
        <v>15</v>
      </c>
      <c r="R793" s="68" t="s">
        <v>15</v>
      </c>
      <c r="S793" s="68" t="s">
        <v>16</v>
      </c>
      <c r="T793" s="68" t="s">
        <v>329</v>
      </c>
      <c r="U793" s="68" t="s">
        <v>249</v>
      </c>
      <c r="V793" s="68" t="s">
        <v>282</v>
      </c>
      <c r="W793" s="69" t="s">
        <v>282</v>
      </c>
      <c r="X793" s="69" t="s">
        <v>282</v>
      </c>
      <c r="Y793" s="70" t="s">
        <v>282</v>
      </c>
    </row>
    <row r="794" spans="1:25">
      <c r="A794" s="64">
        <v>15</v>
      </c>
      <c r="B794" s="65" t="str">
        <f>VLOOKUP(Tabel10[[#This Row],[Code]],Ruimtegroepen[[Code]:[Ruimte omschrijving]],2,FALSE)</f>
        <v>Keuken/pantry</v>
      </c>
      <c r="C794" s="66" t="s">
        <v>942</v>
      </c>
      <c r="D794" s="65" t="s">
        <v>21</v>
      </c>
      <c r="E794" s="66" t="s">
        <v>99</v>
      </c>
      <c r="F794" s="66" t="s">
        <v>944</v>
      </c>
      <c r="G794" s="71" t="s">
        <v>282</v>
      </c>
      <c r="H794" s="67" t="s">
        <v>20</v>
      </c>
      <c r="I794" s="67" t="s">
        <v>282</v>
      </c>
      <c r="J794" s="67" t="s">
        <v>282</v>
      </c>
      <c r="K794" s="67" t="s">
        <v>282</v>
      </c>
      <c r="L794" s="67" t="s">
        <v>282</v>
      </c>
      <c r="M794" s="67" t="s">
        <v>282</v>
      </c>
      <c r="N794" s="67" t="s">
        <v>282</v>
      </c>
      <c r="O794" s="68" t="s">
        <v>20</v>
      </c>
      <c r="P794" s="68" t="s">
        <v>20</v>
      </c>
      <c r="Q794" s="68" t="s">
        <v>15</v>
      </c>
      <c r="R794" s="68" t="s">
        <v>15</v>
      </c>
      <c r="S794" s="68" t="s">
        <v>16</v>
      </c>
      <c r="T794" s="68" t="s">
        <v>329</v>
      </c>
      <c r="U794" s="68" t="s">
        <v>249</v>
      </c>
      <c r="V794" s="68" t="s">
        <v>282</v>
      </c>
      <c r="W794" s="69" t="s">
        <v>282</v>
      </c>
      <c r="X794" s="69" t="s">
        <v>282</v>
      </c>
      <c r="Y794" s="70" t="s">
        <v>282</v>
      </c>
    </row>
    <row r="795" spans="1:25">
      <c r="A795" s="64">
        <v>15</v>
      </c>
      <c r="B795" s="65" t="str">
        <f>VLOOKUP(Tabel10[[#This Row],[Code]],Ruimtegroepen[[Code]:[Ruimte omschrijving]],2,FALSE)</f>
        <v>Keuken/pantry</v>
      </c>
      <c r="C795" s="66" t="s">
        <v>942</v>
      </c>
      <c r="D795" s="65" t="s">
        <v>21</v>
      </c>
      <c r="E795" s="66" t="s">
        <v>1309</v>
      </c>
      <c r="F795" s="66" t="s">
        <v>1455</v>
      </c>
      <c r="G795" s="71" t="s">
        <v>282</v>
      </c>
      <c r="H795" s="67" t="s">
        <v>282</v>
      </c>
      <c r="I795" s="67" t="s">
        <v>20</v>
      </c>
      <c r="J795" s="67" t="s">
        <v>282</v>
      </c>
      <c r="K795" s="67" t="s">
        <v>20</v>
      </c>
      <c r="L795" s="67" t="s">
        <v>282</v>
      </c>
      <c r="M795" s="67" t="s">
        <v>282</v>
      </c>
      <c r="N795" s="67" t="s">
        <v>282</v>
      </c>
      <c r="O795" s="68" t="s">
        <v>20</v>
      </c>
      <c r="P795" s="68" t="s">
        <v>20</v>
      </c>
      <c r="Q795" s="68" t="s">
        <v>15</v>
      </c>
      <c r="R795" s="68" t="s">
        <v>15</v>
      </c>
      <c r="S795" s="68" t="s">
        <v>16</v>
      </c>
      <c r="T795" s="68" t="s">
        <v>329</v>
      </c>
      <c r="U795" s="68" t="s">
        <v>249</v>
      </c>
      <c r="V795" s="68" t="s">
        <v>282</v>
      </c>
      <c r="W795" s="69" t="s">
        <v>282</v>
      </c>
      <c r="X795" s="69" t="s">
        <v>282</v>
      </c>
      <c r="Y795" s="70" t="s">
        <v>282</v>
      </c>
    </row>
    <row r="796" spans="1:25">
      <c r="A796" s="64">
        <v>15</v>
      </c>
      <c r="B796" s="65" t="str">
        <f>VLOOKUP(Tabel10[[#This Row],[Code]],Ruimtegroepen[[Code]:[Ruimte omschrijving]],2,FALSE)</f>
        <v>Keuken/pantry</v>
      </c>
      <c r="C796" s="66" t="s">
        <v>947</v>
      </c>
      <c r="D796" s="65" t="s">
        <v>12</v>
      </c>
      <c r="E796" s="66" t="s">
        <v>100</v>
      </c>
      <c r="F796" s="66" t="s">
        <v>948</v>
      </c>
      <c r="G796" s="71" t="s">
        <v>282</v>
      </c>
      <c r="H796" s="67" t="s">
        <v>282</v>
      </c>
      <c r="I796" s="67" t="s">
        <v>282</v>
      </c>
      <c r="J796" s="67" t="s">
        <v>18</v>
      </c>
      <c r="K796" s="67" t="s">
        <v>282</v>
      </c>
      <c r="L796" s="67" t="s">
        <v>282</v>
      </c>
      <c r="M796" s="67" t="s">
        <v>282</v>
      </c>
      <c r="N796" s="67" t="s">
        <v>282</v>
      </c>
      <c r="O796" s="68" t="s">
        <v>18</v>
      </c>
      <c r="P796" s="68" t="s">
        <v>18</v>
      </c>
      <c r="Q796" s="68" t="s">
        <v>15</v>
      </c>
      <c r="R796" s="68" t="s">
        <v>15</v>
      </c>
      <c r="S796" s="68" t="s">
        <v>16</v>
      </c>
      <c r="T796" s="68" t="s">
        <v>329</v>
      </c>
      <c r="U796" s="68" t="s">
        <v>249</v>
      </c>
      <c r="V796" s="68" t="s">
        <v>282</v>
      </c>
      <c r="W796" s="69" t="s">
        <v>282</v>
      </c>
      <c r="X796" s="69" t="s">
        <v>282</v>
      </c>
      <c r="Y796" s="70" t="s">
        <v>282</v>
      </c>
    </row>
    <row r="797" spans="1:25">
      <c r="A797" s="64">
        <v>15</v>
      </c>
      <c r="B797" s="65" t="str">
        <f>VLOOKUP(Tabel10[[#This Row],[Code]],Ruimtegroepen[[Code]:[Ruimte omschrijving]],2,FALSE)</f>
        <v>Keuken/pantry</v>
      </c>
      <c r="C797" s="66" t="s">
        <v>947</v>
      </c>
      <c r="D797" s="65" t="s">
        <v>12</v>
      </c>
      <c r="E797" s="66" t="s">
        <v>99</v>
      </c>
      <c r="F797" s="66" t="s">
        <v>949</v>
      </c>
      <c r="G797" s="71" t="s">
        <v>282</v>
      </c>
      <c r="H797" s="67" t="s">
        <v>18</v>
      </c>
      <c r="I797" s="67" t="s">
        <v>282</v>
      </c>
      <c r="J797" s="67" t="s">
        <v>282</v>
      </c>
      <c r="K797" s="67" t="s">
        <v>282</v>
      </c>
      <c r="L797" s="67" t="s">
        <v>282</v>
      </c>
      <c r="M797" s="67" t="s">
        <v>282</v>
      </c>
      <c r="N797" s="67" t="s">
        <v>282</v>
      </c>
      <c r="O797" s="68" t="s">
        <v>18</v>
      </c>
      <c r="P797" s="68" t="s">
        <v>18</v>
      </c>
      <c r="Q797" s="68" t="s">
        <v>15</v>
      </c>
      <c r="R797" s="68" t="s">
        <v>15</v>
      </c>
      <c r="S797" s="68" t="s">
        <v>16</v>
      </c>
      <c r="T797" s="68" t="s">
        <v>329</v>
      </c>
      <c r="U797" s="68" t="s">
        <v>249</v>
      </c>
      <c r="V797" s="68" t="s">
        <v>282</v>
      </c>
      <c r="W797" s="69" t="s">
        <v>282</v>
      </c>
      <c r="X797" s="69" t="s">
        <v>282</v>
      </c>
      <c r="Y797" s="70" t="s">
        <v>282</v>
      </c>
    </row>
    <row r="798" spans="1:25">
      <c r="A798" s="64">
        <v>15</v>
      </c>
      <c r="B798" s="65" t="str">
        <f>VLOOKUP(Tabel10[[#This Row],[Code]],Ruimtegroepen[[Code]:[Ruimte omschrijving]],2,FALSE)</f>
        <v>Keuken/pantry</v>
      </c>
      <c r="C798" s="66" t="s">
        <v>947</v>
      </c>
      <c r="D798" s="65" t="s">
        <v>12</v>
      </c>
      <c r="E798" s="66" t="s">
        <v>101</v>
      </c>
      <c r="F798" s="66" t="s">
        <v>950</v>
      </c>
      <c r="G798" s="71" t="s">
        <v>282</v>
      </c>
      <c r="H798" s="67" t="s">
        <v>282</v>
      </c>
      <c r="I798" s="67" t="s">
        <v>18</v>
      </c>
      <c r="J798" s="67" t="s">
        <v>282</v>
      </c>
      <c r="K798" s="67" t="s">
        <v>18</v>
      </c>
      <c r="L798" s="67" t="s">
        <v>282</v>
      </c>
      <c r="M798" s="67" t="s">
        <v>282</v>
      </c>
      <c r="N798" s="67" t="s">
        <v>282</v>
      </c>
      <c r="O798" s="68" t="s">
        <v>18</v>
      </c>
      <c r="P798" s="68" t="s">
        <v>18</v>
      </c>
      <c r="Q798" s="68" t="s">
        <v>15</v>
      </c>
      <c r="R798" s="68" t="s">
        <v>15</v>
      </c>
      <c r="S798" s="68" t="s">
        <v>16</v>
      </c>
      <c r="T798" s="68" t="s">
        <v>329</v>
      </c>
      <c r="U798" s="68" t="s">
        <v>249</v>
      </c>
      <c r="V798" s="68" t="s">
        <v>282</v>
      </c>
      <c r="W798" s="69" t="s">
        <v>282</v>
      </c>
      <c r="X798" s="69" t="s">
        <v>282</v>
      </c>
      <c r="Y798" s="70" t="s">
        <v>282</v>
      </c>
    </row>
    <row r="799" spans="1:25">
      <c r="A799" s="64">
        <v>15</v>
      </c>
      <c r="B799" s="65" t="str">
        <f>VLOOKUP(Tabel10[[#This Row],[Code]],Ruimtegroepen[[Code]:[Ruimte omschrijving]],2,FALSE)</f>
        <v>Keuken/pantry</v>
      </c>
      <c r="C799" s="66" t="s">
        <v>947</v>
      </c>
      <c r="D799" s="65" t="s">
        <v>12</v>
      </c>
      <c r="E799" s="66" t="s">
        <v>102</v>
      </c>
      <c r="F799" s="66" t="s">
        <v>951</v>
      </c>
      <c r="G799" s="71" t="s">
        <v>282</v>
      </c>
      <c r="H799" s="67" t="s">
        <v>282</v>
      </c>
      <c r="I799" s="67" t="s">
        <v>18</v>
      </c>
      <c r="J799" s="67" t="s">
        <v>282</v>
      </c>
      <c r="K799" s="67" t="s">
        <v>18</v>
      </c>
      <c r="L799" s="67" t="s">
        <v>282</v>
      </c>
      <c r="M799" s="67" t="s">
        <v>282</v>
      </c>
      <c r="N799" s="67" t="s">
        <v>282</v>
      </c>
      <c r="O799" s="68" t="s">
        <v>18</v>
      </c>
      <c r="P799" s="68" t="s">
        <v>18</v>
      </c>
      <c r="Q799" s="68" t="s">
        <v>15</v>
      </c>
      <c r="R799" s="68" t="s">
        <v>15</v>
      </c>
      <c r="S799" s="68" t="s">
        <v>16</v>
      </c>
      <c r="T799" s="68" t="s">
        <v>329</v>
      </c>
      <c r="U799" s="68" t="s">
        <v>249</v>
      </c>
      <c r="V799" s="68" t="s">
        <v>282</v>
      </c>
      <c r="W799" s="69" t="s">
        <v>282</v>
      </c>
      <c r="X799" s="69" t="s">
        <v>282</v>
      </c>
      <c r="Y799" s="70" t="s">
        <v>282</v>
      </c>
    </row>
    <row r="800" spans="1:25">
      <c r="A800" s="64">
        <v>15</v>
      </c>
      <c r="B800" s="65" t="str">
        <f>VLOOKUP(Tabel10[[#This Row],[Code]],Ruimtegroepen[[Code]:[Ruimte omschrijving]],2,FALSE)</f>
        <v>Keuken/pantry</v>
      </c>
      <c r="C800" s="66" t="s">
        <v>947</v>
      </c>
      <c r="D800" s="65" t="s">
        <v>12</v>
      </c>
      <c r="E800" s="66" t="s">
        <v>99</v>
      </c>
      <c r="F800" s="66" t="s">
        <v>949</v>
      </c>
      <c r="G800" s="71" t="s">
        <v>282</v>
      </c>
      <c r="H800" s="67" t="s">
        <v>18</v>
      </c>
      <c r="I800" s="67" t="s">
        <v>282</v>
      </c>
      <c r="J800" s="67" t="s">
        <v>282</v>
      </c>
      <c r="K800" s="67" t="s">
        <v>282</v>
      </c>
      <c r="L800" s="67" t="s">
        <v>282</v>
      </c>
      <c r="M800" s="67" t="s">
        <v>282</v>
      </c>
      <c r="N800" s="67" t="s">
        <v>282</v>
      </c>
      <c r="O800" s="68" t="s">
        <v>18</v>
      </c>
      <c r="P800" s="68" t="s">
        <v>18</v>
      </c>
      <c r="Q800" s="68" t="s">
        <v>15</v>
      </c>
      <c r="R800" s="68" t="s">
        <v>15</v>
      </c>
      <c r="S800" s="68" t="s">
        <v>16</v>
      </c>
      <c r="T800" s="68" t="s">
        <v>329</v>
      </c>
      <c r="U800" s="68" t="s">
        <v>249</v>
      </c>
      <c r="V800" s="68" t="s">
        <v>282</v>
      </c>
      <c r="W800" s="69" t="s">
        <v>282</v>
      </c>
      <c r="X800" s="69" t="s">
        <v>282</v>
      </c>
      <c r="Y800" s="70" t="s">
        <v>282</v>
      </c>
    </row>
    <row r="801" spans="1:25">
      <c r="A801" s="64">
        <v>15</v>
      </c>
      <c r="B801" s="65" t="str">
        <f>VLOOKUP(Tabel10[[#This Row],[Code]],Ruimtegroepen[[Code]:[Ruimte omschrijving]],2,FALSE)</f>
        <v>Keuken/pantry</v>
      </c>
      <c r="C801" s="66" t="s">
        <v>947</v>
      </c>
      <c r="D801" s="65" t="s">
        <v>12</v>
      </c>
      <c r="E801" s="66" t="s">
        <v>1309</v>
      </c>
      <c r="F801" s="66" t="s">
        <v>1437</v>
      </c>
      <c r="G801" s="71" t="s">
        <v>282</v>
      </c>
      <c r="H801" s="67" t="s">
        <v>282</v>
      </c>
      <c r="I801" s="67" t="s">
        <v>18</v>
      </c>
      <c r="J801" s="67" t="s">
        <v>282</v>
      </c>
      <c r="K801" s="67" t="s">
        <v>18</v>
      </c>
      <c r="L801" s="67" t="s">
        <v>282</v>
      </c>
      <c r="M801" s="67" t="s">
        <v>282</v>
      </c>
      <c r="N801" s="67" t="s">
        <v>282</v>
      </c>
      <c r="O801" s="68" t="s">
        <v>18</v>
      </c>
      <c r="P801" s="68" t="s">
        <v>18</v>
      </c>
      <c r="Q801" s="68" t="s">
        <v>15</v>
      </c>
      <c r="R801" s="68" t="s">
        <v>15</v>
      </c>
      <c r="S801" s="68" t="s">
        <v>16</v>
      </c>
      <c r="T801" s="68" t="s">
        <v>329</v>
      </c>
      <c r="U801" s="68" t="s">
        <v>249</v>
      </c>
      <c r="V801" s="68" t="s">
        <v>282</v>
      </c>
      <c r="W801" s="69" t="s">
        <v>282</v>
      </c>
      <c r="X801" s="69" t="s">
        <v>282</v>
      </c>
      <c r="Y801" s="70" t="s">
        <v>282</v>
      </c>
    </row>
    <row r="802" spans="1:25">
      <c r="A802" s="64">
        <v>15</v>
      </c>
      <c r="B802" s="65" t="str">
        <f>VLOOKUP(Tabel10[[#This Row],[Code]],Ruimtegroepen[[Code]:[Ruimte omschrijving]],2,FALSE)</f>
        <v>Keuken/pantry</v>
      </c>
      <c r="C802" s="66" t="s">
        <v>952</v>
      </c>
      <c r="D802" s="65" t="s">
        <v>14</v>
      </c>
      <c r="E802" s="66" t="s">
        <v>100</v>
      </c>
      <c r="F802" s="66" t="s">
        <v>953</v>
      </c>
      <c r="G802" s="71" t="s">
        <v>282</v>
      </c>
      <c r="H802" s="67" t="s">
        <v>282</v>
      </c>
      <c r="I802" s="67" t="s">
        <v>282</v>
      </c>
      <c r="J802" s="67" t="s">
        <v>17</v>
      </c>
      <c r="K802" s="67" t="s">
        <v>282</v>
      </c>
      <c r="L802" s="67" t="s">
        <v>282</v>
      </c>
      <c r="M802" s="67" t="s">
        <v>282</v>
      </c>
      <c r="N802" s="67" t="s">
        <v>282</v>
      </c>
      <c r="O802" s="68" t="s">
        <v>17</v>
      </c>
      <c r="P802" s="68" t="s">
        <v>17</v>
      </c>
      <c r="Q802" s="68" t="s">
        <v>15</v>
      </c>
      <c r="R802" s="68" t="s">
        <v>15</v>
      </c>
      <c r="S802" s="68" t="s">
        <v>16</v>
      </c>
      <c r="T802" s="68" t="s">
        <v>329</v>
      </c>
      <c r="U802" s="68" t="s">
        <v>249</v>
      </c>
      <c r="V802" s="68" t="s">
        <v>282</v>
      </c>
      <c r="W802" s="69" t="s">
        <v>282</v>
      </c>
      <c r="X802" s="69" t="s">
        <v>282</v>
      </c>
      <c r="Y802" s="70" t="s">
        <v>282</v>
      </c>
    </row>
    <row r="803" spans="1:25">
      <c r="A803" s="64">
        <v>15</v>
      </c>
      <c r="B803" s="65" t="str">
        <f>VLOOKUP(Tabel10[[#This Row],[Code]],Ruimtegroepen[[Code]:[Ruimte omschrijving]],2,FALSE)</f>
        <v>Keuken/pantry</v>
      </c>
      <c r="C803" s="66" t="s">
        <v>952</v>
      </c>
      <c r="D803" s="65" t="s">
        <v>14</v>
      </c>
      <c r="E803" s="66" t="s">
        <v>99</v>
      </c>
      <c r="F803" s="66" t="s">
        <v>954</v>
      </c>
      <c r="G803" s="71" t="s">
        <v>282</v>
      </c>
      <c r="H803" s="67" t="s">
        <v>17</v>
      </c>
      <c r="I803" s="67" t="s">
        <v>282</v>
      </c>
      <c r="J803" s="67" t="s">
        <v>282</v>
      </c>
      <c r="K803" s="67" t="s">
        <v>282</v>
      </c>
      <c r="L803" s="67" t="s">
        <v>282</v>
      </c>
      <c r="M803" s="67" t="s">
        <v>282</v>
      </c>
      <c r="N803" s="67" t="s">
        <v>282</v>
      </c>
      <c r="O803" s="68" t="s">
        <v>17</v>
      </c>
      <c r="P803" s="68" t="s">
        <v>17</v>
      </c>
      <c r="Q803" s="68" t="s">
        <v>15</v>
      </c>
      <c r="R803" s="68" t="s">
        <v>15</v>
      </c>
      <c r="S803" s="68" t="s">
        <v>16</v>
      </c>
      <c r="T803" s="68" t="s">
        <v>329</v>
      </c>
      <c r="U803" s="68" t="s">
        <v>249</v>
      </c>
      <c r="V803" s="68" t="s">
        <v>282</v>
      </c>
      <c r="W803" s="69" t="s">
        <v>282</v>
      </c>
      <c r="X803" s="69" t="s">
        <v>282</v>
      </c>
      <c r="Y803" s="70" t="s">
        <v>282</v>
      </c>
    </row>
    <row r="804" spans="1:25">
      <c r="A804" s="64">
        <v>15</v>
      </c>
      <c r="B804" s="65" t="str">
        <f>VLOOKUP(Tabel10[[#This Row],[Code]],Ruimtegroepen[[Code]:[Ruimte omschrijving]],2,FALSE)</f>
        <v>Keuken/pantry</v>
      </c>
      <c r="C804" s="66" t="s">
        <v>952</v>
      </c>
      <c r="D804" s="65" t="s">
        <v>14</v>
      </c>
      <c r="E804" s="66" t="s">
        <v>101</v>
      </c>
      <c r="F804" s="66" t="s">
        <v>955</v>
      </c>
      <c r="G804" s="71" t="s">
        <v>282</v>
      </c>
      <c r="H804" s="67" t="s">
        <v>282</v>
      </c>
      <c r="I804" s="67" t="s">
        <v>17</v>
      </c>
      <c r="J804" s="67" t="s">
        <v>282</v>
      </c>
      <c r="K804" s="67" t="s">
        <v>17</v>
      </c>
      <c r="L804" s="67" t="s">
        <v>282</v>
      </c>
      <c r="M804" s="67" t="s">
        <v>282</v>
      </c>
      <c r="N804" s="67" t="s">
        <v>282</v>
      </c>
      <c r="O804" s="68" t="s">
        <v>17</v>
      </c>
      <c r="P804" s="68" t="s">
        <v>17</v>
      </c>
      <c r="Q804" s="68" t="s">
        <v>15</v>
      </c>
      <c r="R804" s="68" t="s">
        <v>15</v>
      </c>
      <c r="S804" s="68" t="s">
        <v>16</v>
      </c>
      <c r="T804" s="68" t="s">
        <v>329</v>
      </c>
      <c r="U804" s="68" t="s">
        <v>249</v>
      </c>
      <c r="V804" s="68" t="s">
        <v>282</v>
      </c>
      <c r="W804" s="69" t="s">
        <v>282</v>
      </c>
      <c r="X804" s="69" t="s">
        <v>282</v>
      </c>
      <c r="Y804" s="70" t="s">
        <v>282</v>
      </c>
    </row>
    <row r="805" spans="1:25">
      <c r="A805" s="64">
        <v>15</v>
      </c>
      <c r="B805" s="65" t="str">
        <f>VLOOKUP(Tabel10[[#This Row],[Code]],Ruimtegroepen[[Code]:[Ruimte omschrijving]],2,FALSE)</f>
        <v>Keuken/pantry</v>
      </c>
      <c r="C805" s="66" t="s">
        <v>952</v>
      </c>
      <c r="D805" s="65" t="s">
        <v>14</v>
      </c>
      <c r="E805" s="66" t="s">
        <v>102</v>
      </c>
      <c r="F805" s="66" t="s">
        <v>956</v>
      </c>
      <c r="G805" s="71" t="s">
        <v>282</v>
      </c>
      <c r="H805" s="67" t="s">
        <v>282</v>
      </c>
      <c r="I805" s="67" t="s">
        <v>17</v>
      </c>
      <c r="J805" s="67" t="s">
        <v>282</v>
      </c>
      <c r="K805" s="67" t="s">
        <v>17</v>
      </c>
      <c r="L805" s="67" t="s">
        <v>282</v>
      </c>
      <c r="M805" s="67" t="s">
        <v>282</v>
      </c>
      <c r="N805" s="67" t="s">
        <v>282</v>
      </c>
      <c r="O805" s="68" t="s">
        <v>17</v>
      </c>
      <c r="P805" s="68" t="s">
        <v>17</v>
      </c>
      <c r="Q805" s="68" t="s">
        <v>15</v>
      </c>
      <c r="R805" s="68" t="s">
        <v>15</v>
      </c>
      <c r="S805" s="68" t="s">
        <v>16</v>
      </c>
      <c r="T805" s="68" t="s">
        <v>329</v>
      </c>
      <c r="U805" s="68" t="s">
        <v>249</v>
      </c>
      <c r="V805" s="68" t="s">
        <v>282</v>
      </c>
      <c r="W805" s="69" t="s">
        <v>282</v>
      </c>
      <c r="X805" s="69" t="s">
        <v>282</v>
      </c>
      <c r="Y805" s="70" t="s">
        <v>282</v>
      </c>
    </row>
    <row r="806" spans="1:25">
      <c r="A806" s="64">
        <v>15</v>
      </c>
      <c r="B806" s="65" t="str">
        <f>VLOOKUP(Tabel10[[#This Row],[Code]],Ruimtegroepen[[Code]:[Ruimte omschrijving]],2,FALSE)</f>
        <v>Keuken/pantry</v>
      </c>
      <c r="C806" s="66" t="s">
        <v>952</v>
      </c>
      <c r="D806" s="65" t="s">
        <v>14</v>
      </c>
      <c r="E806" s="66" t="s">
        <v>99</v>
      </c>
      <c r="F806" s="66" t="s">
        <v>954</v>
      </c>
      <c r="G806" s="71" t="s">
        <v>282</v>
      </c>
      <c r="H806" s="67" t="s">
        <v>17</v>
      </c>
      <c r="I806" s="67" t="s">
        <v>282</v>
      </c>
      <c r="J806" s="67" t="s">
        <v>282</v>
      </c>
      <c r="K806" s="67" t="s">
        <v>282</v>
      </c>
      <c r="L806" s="67" t="s">
        <v>282</v>
      </c>
      <c r="M806" s="67" t="s">
        <v>282</v>
      </c>
      <c r="N806" s="67" t="s">
        <v>282</v>
      </c>
      <c r="O806" s="68" t="s">
        <v>17</v>
      </c>
      <c r="P806" s="68" t="s">
        <v>17</v>
      </c>
      <c r="Q806" s="68" t="s">
        <v>15</v>
      </c>
      <c r="R806" s="68" t="s">
        <v>15</v>
      </c>
      <c r="S806" s="68" t="s">
        <v>16</v>
      </c>
      <c r="T806" s="68" t="s">
        <v>329</v>
      </c>
      <c r="U806" s="68" t="s">
        <v>249</v>
      </c>
      <c r="V806" s="68" t="s">
        <v>282</v>
      </c>
      <c r="W806" s="69" t="s">
        <v>282</v>
      </c>
      <c r="X806" s="69" t="s">
        <v>282</v>
      </c>
      <c r="Y806" s="70" t="s">
        <v>282</v>
      </c>
    </row>
    <row r="807" spans="1:25">
      <c r="A807" s="64">
        <v>15</v>
      </c>
      <c r="B807" s="65" t="str">
        <f>VLOOKUP(Tabel10[[#This Row],[Code]],Ruimtegroepen[[Code]:[Ruimte omschrijving]],2,FALSE)</f>
        <v>Keuken/pantry</v>
      </c>
      <c r="C807" s="66" t="s">
        <v>952</v>
      </c>
      <c r="D807" s="65" t="s">
        <v>14</v>
      </c>
      <c r="E807" s="66" t="s">
        <v>1309</v>
      </c>
      <c r="F807" s="66" t="s">
        <v>1404</v>
      </c>
      <c r="G807" s="71" t="s">
        <v>282</v>
      </c>
      <c r="H807" s="67" t="s">
        <v>282</v>
      </c>
      <c r="I807" s="67" t="s">
        <v>17</v>
      </c>
      <c r="J807" s="67" t="s">
        <v>282</v>
      </c>
      <c r="K807" s="67" t="s">
        <v>17</v>
      </c>
      <c r="L807" s="67" t="s">
        <v>282</v>
      </c>
      <c r="M807" s="67" t="s">
        <v>282</v>
      </c>
      <c r="N807" s="67" t="s">
        <v>282</v>
      </c>
      <c r="O807" s="68" t="s">
        <v>17</v>
      </c>
      <c r="P807" s="68" t="s">
        <v>17</v>
      </c>
      <c r="Q807" s="68" t="s">
        <v>15</v>
      </c>
      <c r="R807" s="68" t="s">
        <v>15</v>
      </c>
      <c r="S807" s="68" t="s">
        <v>16</v>
      </c>
      <c r="T807" s="68" t="s">
        <v>329</v>
      </c>
      <c r="U807" s="68" t="s">
        <v>249</v>
      </c>
      <c r="V807" s="68" t="s">
        <v>282</v>
      </c>
      <c r="W807" s="69" t="s">
        <v>282</v>
      </c>
      <c r="X807" s="69" t="s">
        <v>282</v>
      </c>
      <c r="Y807" s="70" t="s">
        <v>282</v>
      </c>
    </row>
    <row r="808" spans="1:25">
      <c r="A808" s="64">
        <v>15</v>
      </c>
      <c r="B808" s="65" t="str">
        <f>VLOOKUP(Tabel10[[#This Row],[Code]],Ruimtegroepen[[Code]:[Ruimte omschrijving]],2,FALSE)</f>
        <v>Keuken/pantry</v>
      </c>
      <c r="C808" s="66" t="s">
        <v>957</v>
      </c>
      <c r="D808" s="65" t="s">
        <v>13</v>
      </c>
      <c r="E808" s="66" t="s">
        <v>100</v>
      </c>
      <c r="F808" s="66" t="s">
        <v>958</v>
      </c>
      <c r="G808" s="71" t="s">
        <v>282</v>
      </c>
      <c r="H808" s="67" t="s">
        <v>282</v>
      </c>
      <c r="I808" s="67" t="s">
        <v>282</v>
      </c>
      <c r="J808" s="67" t="s">
        <v>15</v>
      </c>
      <c r="K808" s="67" t="s">
        <v>282</v>
      </c>
      <c r="L808" s="67" t="s">
        <v>282</v>
      </c>
      <c r="M808" s="67" t="s">
        <v>282</v>
      </c>
      <c r="N808" s="67" t="s">
        <v>282</v>
      </c>
      <c r="O808" s="68" t="s">
        <v>15</v>
      </c>
      <c r="P808" s="68" t="s">
        <v>15</v>
      </c>
      <c r="Q808" s="68" t="s">
        <v>15</v>
      </c>
      <c r="R808" s="68" t="s">
        <v>15</v>
      </c>
      <c r="S808" s="68" t="s">
        <v>16</v>
      </c>
      <c r="T808" s="68" t="s">
        <v>329</v>
      </c>
      <c r="U808" s="68" t="s">
        <v>249</v>
      </c>
      <c r="V808" s="68" t="s">
        <v>282</v>
      </c>
      <c r="W808" s="69" t="s">
        <v>282</v>
      </c>
      <c r="X808" s="69" t="s">
        <v>282</v>
      </c>
      <c r="Y808" s="70" t="s">
        <v>282</v>
      </c>
    </row>
    <row r="809" spans="1:25">
      <c r="A809" s="64">
        <v>15</v>
      </c>
      <c r="B809" s="65" t="str">
        <f>VLOOKUP(Tabel10[[#This Row],[Code]],Ruimtegroepen[[Code]:[Ruimte omschrijving]],2,FALSE)</f>
        <v>Keuken/pantry</v>
      </c>
      <c r="C809" s="66" t="s">
        <v>957</v>
      </c>
      <c r="D809" s="65" t="s">
        <v>13</v>
      </c>
      <c r="E809" s="66" t="s">
        <v>99</v>
      </c>
      <c r="F809" s="66" t="s">
        <v>959</v>
      </c>
      <c r="G809" s="71" t="s">
        <v>282</v>
      </c>
      <c r="H809" s="67" t="s">
        <v>15</v>
      </c>
      <c r="I809" s="67" t="s">
        <v>282</v>
      </c>
      <c r="J809" s="67" t="s">
        <v>282</v>
      </c>
      <c r="K809" s="67" t="s">
        <v>282</v>
      </c>
      <c r="L809" s="67" t="s">
        <v>282</v>
      </c>
      <c r="M809" s="67" t="s">
        <v>282</v>
      </c>
      <c r="N809" s="67" t="s">
        <v>282</v>
      </c>
      <c r="O809" s="68" t="s">
        <v>15</v>
      </c>
      <c r="P809" s="68" t="s">
        <v>15</v>
      </c>
      <c r="Q809" s="68" t="s">
        <v>15</v>
      </c>
      <c r="R809" s="68" t="s">
        <v>15</v>
      </c>
      <c r="S809" s="68" t="s">
        <v>16</v>
      </c>
      <c r="T809" s="68" t="s">
        <v>329</v>
      </c>
      <c r="U809" s="68" t="s">
        <v>249</v>
      </c>
      <c r="V809" s="68" t="s">
        <v>282</v>
      </c>
      <c r="W809" s="69" t="s">
        <v>282</v>
      </c>
      <c r="X809" s="69" t="s">
        <v>282</v>
      </c>
      <c r="Y809" s="70" t="s">
        <v>282</v>
      </c>
    </row>
    <row r="810" spans="1:25">
      <c r="A810" s="64">
        <v>15</v>
      </c>
      <c r="B810" s="65" t="str">
        <f>VLOOKUP(Tabel10[[#This Row],[Code]],Ruimtegroepen[[Code]:[Ruimte omschrijving]],2,FALSE)</f>
        <v>Keuken/pantry</v>
      </c>
      <c r="C810" s="66" t="s">
        <v>957</v>
      </c>
      <c r="D810" s="65" t="s">
        <v>13</v>
      </c>
      <c r="E810" s="66" t="s">
        <v>101</v>
      </c>
      <c r="F810" s="66" t="s">
        <v>960</v>
      </c>
      <c r="G810" s="71" t="s">
        <v>282</v>
      </c>
      <c r="H810" s="67" t="s">
        <v>282</v>
      </c>
      <c r="I810" s="67" t="s">
        <v>15</v>
      </c>
      <c r="J810" s="67" t="s">
        <v>282</v>
      </c>
      <c r="K810" s="67" t="s">
        <v>15</v>
      </c>
      <c r="L810" s="67" t="s">
        <v>282</v>
      </c>
      <c r="M810" s="67" t="s">
        <v>282</v>
      </c>
      <c r="N810" s="67" t="s">
        <v>282</v>
      </c>
      <c r="O810" s="68" t="s">
        <v>15</v>
      </c>
      <c r="P810" s="68" t="s">
        <v>15</v>
      </c>
      <c r="Q810" s="68" t="s">
        <v>15</v>
      </c>
      <c r="R810" s="68" t="s">
        <v>15</v>
      </c>
      <c r="S810" s="68" t="s">
        <v>16</v>
      </c>
      <c r="T810" s="68" t="s">
        <v>329</v>
      </c>
      <c r="U810" s="68" t="s">
        <v>249</v>
      </c>
      <c r="V810" s="68" t="s">
        <v>282</v>
      </c>
      <c r="W810" s="69" t="s">
        <v>282</v>
      </c>
      <c r="X810" s="69" t="s">
        <v>282</v>
      </c>
      <c r="Y810" s="70" t="s">
        <v>282</v>
      </c>
    </row>
    <row r="811" spans="1:25">
      <c r="A811" s="64">
        <v>15</v>
      </c>
      <c r="B811" s="65" t="str">
        <f>VLOOKUP(Tabel10[[#This Row],[Code]],Ruimtegroepen[[Code]:[Ruimte omschrijving]],2,FALSE)</f>
        <v>Keuken/pantry</v>
      </c>
      <c r="C811" s="66" t="s">
        <v>957</v>
      </c>
      <c r="D811" s="65" t="s">
        <v>13</v>
      </c>
      <c r="E811" s="66" t="s">
        <v>102</v>
      </c>
      <c r="F811" s="66" t="s">
        <v>961</v>
      </c>
      <c r="G811" s="71" t="s">
        <v>282</v>
      </c>
      <c r="H811" s="67" t="s">
        <v>282</v>
      </c>
      <c r="I811" s="67" t="s">
        <v>15</v>
      </c>
      <c r="J811" s="67" t="s">
        <v>282</v>
      </c>
      <c r="K811" s="67" t="s">
        <v>15</v>
      </c>
      <c r="L811" s="67" t="s">
        <v>282</v>
      </c>
      <c r="M811" s="67" t="s">
        <v>282</v>
      </c>
      <c r="N811" s="67" t="s">
        <v>282</v>
      </c>
      <c r="O811" s="68" t="s">
        <v>15</v>
      </c>
      <c r="P811" s="68" t="s">
        <v>15</v>
      </c>
      <c r="Q811" s="68" t="s">
        <v>15</v>
      </c>
      <c r="R811" s="68" t="s">
        <v>15</v>
      </c>
      <c r="S811" s="68" t="s">
        <v>16</v>
      </c>
      <c r="T811" s="68" t="s">
        <v>329</v>
      </c>
      <c r="U811" s="68" t="s">
        <v>249</v>
      </c>
      <c r="V811" s="68" t="s">
        <v>282</v>
      </c>
      <c r="W811" s="69" t="s">
        <v>282</v>
      </c>
      <c r="X811" s="69" t="s">
        <v>282</v>
      </c>
      <c r="Y811" s="70" t="s">
        <v>282</v>
      </c>
    </row>
    <row r="812" spans="1:25">
      <c r="A812" s="64">
        <v>15</v>
      </c>
      <c r="B812" s="65" t="str">
        <f>VLOOKUP(Tabel10[[#This Row],[Code]],Ruimtegroepen[[Code]:[Ruimte omschrijving]],2,FALSE)</f>
        <v>Keuken/pantry</v>
      </c>
      <c r="C812" s="66" t="s">
        <v>957</v>
      </c>
      <c r="D812" s="65" t="s">
        <v>13</v>
      </c>
      <c r="E812" s="66" t="s">
        <v>99</v>
      </c>
      <c r="F812" s="66" t="s">
        <v>959</v>
      </c>
      <c r="G812" s="71" t="s">
        <v>282</v>
      </c>
      <c r="H812" s="67" t="s">
        <v>15</v>
      </c>
      <c r="I812" s="67" t="s">
        <v>282</v>
      </c>
      <c r="J812" s="67" t="s">
        <v>282</v>
      </c>
      <c r="K812" s="67" t="s">
        <v>282</v>
      </c>
      <c r="L812" s="67" t="s">
        <v>282</v>
      </c>
      <c r="M812" s="67" t="s">
        <v>282</v>
      </c>
      <c r="N812" s="67" t="s">
        <v>282</v>
      </c>
      <c r="O812" s="68" t="s">
        <v>15</v>
      </c>
      <c r="P812" s="68" t="s">
        <v>15</v>
      </c>
      <c r="Q812" s="68" t="s">
        <v>15</v>
      </c>
      <c r="R812" s="68" t="s">
        <v>15</v>
      </c>
      <c r="S812" s="68" t="s">
        <v>16</v>
      </c>
      <c r="T812" s="68" t="s">
        <v>329</v>
      </c>
      <c r="U812" s="68" t="s">
        <v>249</v>
      </c>
      <c r="V812" s="68" t="s">
        <v>282</v>
      </c>
      <c r="W812" s="69" t="s">
        <v>282</v>
      </c>
      <c r="X812" s="69" t="s">
        <v>282</v>
      </c>
      <c r="Y812" s="70" t="s">
        <v>282</v>
      </c>
    </row>
    <row r="813" spans="1:25">
      <c r="A813" s="64">
        <v>15</v>
      </c>
      <c r="B813" s="65" t="str">
        <f>VLOOKUP(Tabel10[[#This Row],[Code]],Ruimtegroepen[[Code]:[Ruimte omschrijving]],2,FALSE)</f>
        <v>Keuken/pantry</v>
      </c>
      <c r="C813" s="66" t="s">
        <v>957</v>
      </c>
      <c r="D813" s="65" t="s">
        <v>13</v>
      </c>
      <c r="E813" s="66" t="s">
        <v>1309</v>
      </c>
      <c r="F813" s="66" t="s">
        <v>1371</v>
      </c>
      <c r="G813" s="71" t="s">
        <v>282</v>
      </c>
      <c r="H813" s="67" t="s">
        <v>282</v>
      </c>
      <c r="I813" s="67" t="s">
        <v>15</v>
      </c>
      <c r="J813" s="67" t="s">
        <v>282</v>
      </c>
      <c r="K813" s="67" t="s">
        <v>15</v>
      </c>
      <c r="L813" s="67" t="s">
        <v>282</v>
      </c>
      <c r="M813" s="67" t="s">
        <v>282</v>
      </c>
      <c r="N813" s="67" t="s">
        <v>282</v>
      </c>
      <c r="O813" s="68" t="s">
        <v>15</v>
      </c>
      <c r="P813" s="68" t="s">
        <v>15</v>
      </c>
      <c r="Q813" s="68" t="s">
        <v>15</v>
      </c>
      <c r="R813" s="68" t="s">
        <v>15</v>
      </c>
      <c r="S813" s="68" t="s">
        <v>16</v>
      </c>
      <c r="T813" s="68" t="s">
        <v>329</v>
      </c>
      <c r="U813" s="68" t="s">
        <v>249</v>
      </c>
      <c r="V813" s="68" t="s">
        <v>282</v>
      </c>
      <c r="W813" s="69" t="s">
        <v>282</v>
      </c>
      <c r="X813" s="69" t="s">
        <v>282</v>
      </c>
      <c r="Y813" s="70" t="s">
        <v>282</v>
      </c>
    </row>
    <row r="814" spans="1:25">
      <c r="A814" s="64">
        <v>15</v>
      </c>
      <c r="B814" s="65" t="str">
        <f>VLOOKUP(Tabel10[[#This Row],[Code]],Ruimtegroepen[[Code]:[Ruimte omschrijving]],2,FALSE)</f>
        <v>Keuken/pantry</v>
      </c>
      <c r="C814" s="66" t="s">
        <v>962</v>
      </c>
      <c r="D814" s="65" t="s">
        <v>0</v>
      </c>
      <c r="E814" s="66" t="s">
        <v>100</v>
      </c>
      <c r="F814" s="66" t="s">
        <v>963</v>
      </c>
      <c r="G814" s="71" t="s">
        <v>282</v>
      </c>
      <c r="H814" s="67" t="s">
        <v>282</v>
      </c>
      <c r="I814" s="67" t="s">
        <v>282</v>
      </c>
      <c r="J814" s="67" t="s">
        <v>16</v>
      </c>
      <c r="K814" s="67" t="s">
        <v>282</v>
      </c>
      <c r="L814" s="67" t="s">
        <v>282</v>
      </c>
      <c r="M814" s="67" t="s">
        <v>282</v>
      </c>
      <c r="N814" s="67" t="s">
        <v>282</v>
      </c>
      <c r="O814" s="68" t="s">
        <v>16</v>
      </c>
      <c r="P814" s="68" t="s">
        <v>16</v>
      </c>
      <c r="Q814" s="68" t="s">
        <v>16</v>
      </c>
      <c r="R814" s="68" t="s">
        <v>16</v>
      </c>
      <c r="S814" s="68" t="s">
        <v>16</v>
      </c>
      <c r="T814" s="68" t="s">
        <v>329</v>
      </c>
      <c r="U814" s="68" t="s">
        <v>249</v>
      </c>
      <c r="V814" s="68" t="s">
        <v>282</v>
      </c>
      <c r="W814" s="69" t="s">
        <v>282</v>
      </c>
      <c r="X814" s="69" t="s">
        <v>282</v>
      </c>
      <c r="Y814" s="70" t="s">
        <v>282</v>
      </c>
    </row>
    <row r="815" spans="1:25">
      <c r="A815" s="64">
        <v>15</v>
      </c>
      <c r="B815" s="65" t="str">
        <f>VLOOKUP(Tabel10[[#This Row],[Code]],Ruimtegroepen[[Code]:[Ruimte omschrijving]],2,FALSE)</f>
        <v>Keuken/pantry</v>
      </c>
      <c r="C815" s="66" t="s">
        <v>962</v>
      </c>
      <c r="D815" s="65" t="s">
        <v>0</v>
      </c>
      <c r="E815" s="66" t="s">
        <v>99</v>
      </c>
      <c r="F815" s="66" t="s">
        <v>964</v>
      </c>
      <c r="G815" s="71" t="s">
        <v>282</v>
      </c>
      <c r="H815" s="67" t="s">
        <v>16</v>
      </c>
      <c r="I815" s="67" t="s">
        <v>282</v>
      </c>
      <c r="J815" s="67" t="s">
        <v>282</v>
      </c>
      <c r="K815" s="67" t="s">
        <v>282</v>
      </c>
      <c r="L815" s="67" t="s">
        <v>282</v>
      </c>
      <c r="M815" s="67" t="s">
        <v>282</v>
      </c>
      <c r="N815" s="67" t="s">
        <v>282</v>
      </c>
      <c r="O815" s="68" t="s">
        <v>16</v>
      </c>
      <c r="P815" s="68" t="s">
        <v>16</v>
      </c>
      <c r="Q815" s="68" t="s">
        <v>16</v>
      </c>
      <c r="R815" s="68" t="s">
        <v>16</v>
      </c>
      <c r="S815" s="68" t="s">
        <v>16</v>
      </c>
      <c r="T815" s="68" t="s">
        <v>329</v>
      </c>
      <c r="U815" s="68" t="s">
        <v>249</v>
      </c>
      <c r="V815" s="68" t="s">
        <v>282</v>
      </c>
      <c r="W815" s="69" t="s">
        <v>282</v>
      </c>
      <c r="X815" s="69" t="s">
        <v>282</v>
      </c>
      <c r="Y815" s="70" t="s">
        <v>282</v>
      </c>
    </row>
    <row r="816" spans="1:25">
      <c r="A816" s="64">
        <v>15</v>
      </c>
      <c r="B816" s="65" t="str">
        <f>VLOOKUP(Tabel10[[#This Row],[Code]],Ruimtegroepen[[Code]:[Ruimte omschrijving]],2,FALSE)</f>
        <v>Keuken/pantry</v>
      </c>
      <c r="C816" s="66" t="s">
        <v>962</v>
      </c>
      <c r="D816" s="65" t="s">
        <v>0</v>
      </c>
      <c r="E816" s="66" t="s">
        <v>101</v>
      </c>
      <c r="F816" s="66" t="s">
        <v>965</v>
      </c>
      <c r="G816" s="71" t="s">
        <v>282</v>
      </c>
      <c r="H816" s="67" t="s">
        <v>282</v>
      </c>
      <c r="I816" s="67" t="s">
        <v>16</v>
      </c>
      <c r="J816" s="67" t="s">
        <v>361</v>
      </c>
      <c r="K816" s="67" t="s">
        <v>16</v>
      </c>
      <c r="L816" s="67" t="s">
        <v>282</v>
      </c>
      <c r="M816" s="67" t="s">
        <v>282</v>
      </c>
      <c r="N816" s="67" t="s">
        <v>282</v>
      </c>
      <c r="O816" s="68" t="s">
        <v>16</v>
      </c>
      <c r="P816" s="68" t="s">
        <v>16</v>
      </c>
      <c r="Q816" s="68" t="s">
        <v>16</v>
      </c>
      <c r="R816" s="68" t="s">
        <v>16</v>
      </c>
      <c r="S816" s="68" t="s">
        <v>16</v>
      </c>
      <c r="T816" s="68" t="s">
        <v>329</v>
      </c>
      <c r="U816" s="68" t="s">
        <v>249</v>
      </c>
      <c r="V816" s="68" t="s">
        <v>282</v>
      </c>
      <c r="W816" s="69" t="s">
        <v>282</v>
      </c>
      <c r="X816" s="69" t="s">
        <v>282</v>
      </c>
      <c r="Y816" s="70" t="s">
        <v>282</v>
      </c>
    </row>
    <row r="817" spans="1:25">
      <c r="A817" s="64">
        <v>15</v>
      </c>
      <c r="B817" s="65" t="str">
        <f>VLOOKUP(Tabel10[[#This Row],[Code]],Ruimtegroepen[[Code]:[Ruimte omschrijving]],2,FALSE)</f>
        <v>Keuken/pantry</v>
      </c>
      <c r="C817" s="66" t="s">
        <v>962</v>
      </c>
      <c r="D817" s="65" t="s">
        <v>0</v>
      </c>
      <c r="E817" s="66" t="s">
        <v>102</v>
      </c>
      <c r="F817" s="66" t="s">
        <v>966</v>
      </c>
      <c r="G817" s="71" t="s">
        <v>282</v>
      </c>
      <c r="H817" s="67" t="s">
        <v>282</v>
      </c>
      <c r="I817" s="67" t="s">
        <v>16</v>
      </c>
      <c r="J817" s="67" t="s">
        <v>282</v>
      </c>
      <c r="K817" s="67" t="s">
        <v>16</v>
      </c>
      <c r="L817" s="67" t="s">
        <v>282</v>
      </c>
      <c r="M817" s="67" t="s">
        <v>282</v>
      </c>
      <c r="N817" s="67" t="s">
        <v>282</v>
      </c>
      <c r="O817" s="68" t="s">
        <v>16</v>
      </c>
      <c r="P817" s="68" t="s">
        <v>16</v>
      </c>
      <c r="Q817" s="68" t="s">
        <v>16</v>
      </c>
      <c r="R817" s="68" t="s">
        <v>16</v>
      </c>
      <c r="S817" s="68" t="s">
        <v>16</v>
      </c>
      <c r="T817" s="68" t="s">
        <v>329</v>
      </c>
      <c r="U817" s="68" t="s">
        <v>249</v>
      </c>
      <c r="V817" s="68" t="s">
        <v>282</v>
      </c>
      <c r="W817" s="69" t="s">
        <v>282</v>
      </c>
      <c r="X817" s="69" t="s">
        <v>282</v>
      </c>
      <c r="Y817" s="70" t="s">
        <v>282</v>
      </c>
    </row>
    <row r="818" spans="1:25">
      <c r="A818" s="64">
        <v>15</v>
      </c>
      <c r="B818" s="65" t="str">
        <f>VLOOKUP(Tabel10[[#This Row],[Code]],Ruimtegroepen[[Code]:[Ruimte omschrijving]],2,FALSE)</f>
        <v>Keuken/pantry</v>
      </c>
      <c r="C818" s="66" t="s">
        <v>962</v>
      </c>
      <c r="D818" s="65" t="s">
        <v>0</v>
      </c>
      <c r="E818" s="66" t="s">
        <v>99</v>
      </c>
      <c r="F818" s="66" t="s">
        <v>964</v>
      </c>
      <c r="G818" s="71" t="s">
        <v>282</v>
      </c>
      <c r="H818" s="67" t="s">
        <v>16</v>
      </c>
      <c r="I818" s="67" t="s">
        <v>282</v>
      </c>
      <c r="J818" s="67" t="s">
        <v>282</v>
      </c>
      <c r="K818" s="67" t="s">
        <v>282</v>
      </c>
      <c r="L818" s="67" t="s">
        <v>282</v>
      </c>
      <c r="M818" s="67" t="s">
        <v>282</v>
      </c>
      <c r="N818" s="67" t="s">
        <v>282</v>
      </c>
      <c r="O818" s="68" t="s">
        <v>16</v>
      </c>
      <c r="P818" s="68" t="s">
        <v>16</v>
      </c>
      <c r="Q818" s="68" t="s">
        <v>16</v>
      </c>
      <c r="R818" s="68" t="s">
        <v>16</v>
      </c>
      <c r="S818" s="68" t="s">
        <v>16</v>
      </c>
      <c r="T818" s="68" t="s">
        <v>329</v>
      </c>
      <c r="U818" s="68" t="s">
        <v>249</v>
      </c>
      <c r="V818" s="68" t="s">
        <v>282</v>
      </c>
      <c r="W818" s="69" t="s">
        <v>282</v>
      </c>
      <c r="X818" s="69" t="s">
        <v>282</v>
      </c>
      <c r="Y818" s="70" t="s">
        <v>282</v>
      </c>
    </row>
    <row r="819" spans="1:25">
      <c r="A819" s="64">
        <v>15</v>
      </c>
      <c r="B819" s="65" t="str">
        <f>VLOOKUP(Tabel10[[#This Row],[Code]],Ruimtegroepen[[Code]:[Ruimte omschrijving]],2,FALSE)</f>
        <v>Keuken/pantry</v>
      </c>
      <c r="C819" s="66" t="s">
        <v>962</v>
      </c>
      <c r="D819" s="65" t="s">
        <v>0</v>
      </c>
      <c r="E819" s="66" t="s">
        <v>1309</v>
      </c>
      <c r="F819" s="66" t="s">
        <v>1355</v>
      </c>
      <c r="G819" s="71" t="s">
        <v>282</v>
      </c>
      <c r="H819" s="67" t="s">
        <v>282</v>
      </c>
      <c r="I819" s="67" t="s">
        <v>16</v>
      </c>
      <c r="J819" s="67" t="s">
        <v>282</v>
      </c>
      <c r="K819" s="67" t="s">
        <v>16</v>
      </c>
      <c r="L819" s="67" t="s">
        <v>282</v>
      </c>
      <c r="M819" s="67" t="s">
        <v>282</v>
      </c>
      <c r="N819" s="67" t="s">
        <v>282</v>
      </c>
      <c r="O819" s="68" t="s">
        <v>16</v>
      </c>
      <c r="P819" s="68" t="s">
        <v>16</v>
      </c>
      <c r="Q819" s="68" t="s">
        <v>16</v>
      </c>
      <c r="R819" s="68" t="s">
        <v>16</v>
      </c>
      <c r="S819" s="68" t="s">
        <v>16</v>
      </c>
      <c r="T819" s="68" t="s">
        <v>329</v>
      </c>
      <c r="U819" s="68" t="s">
        <v>249</v>
      </c>
      <c r="V819" s="68" t="s">
        <v>282</v>
      </c>
      <c r="W819" s="69" t="s">
        <v>282</v>
      </c>
      <c r="X819" s="69" t="s">
        <v>282</v>
      </c>
      <c r="Y819" s="70" t="s">
        <v>282</v>
      </c>
    </row>
    <row r="820" spans="1:25">
      <c r="A820" s="64">
        <v>15</v>
      </c>
      <c r="B820" s="65" t="str">
        <f>VLOOKUP(Tabel10[[#This Row],[Code]],Ruimtegroepen[[Code]:[Ruimte omschrijving]],2,FALSE)</f>
        <v>Keuken/pantry</v>
      </c>
      <c r="C820" s="66" t="s">
        <v>967</v>
      </c>
      <c r="D820" s="65" t="s">
        <v>27</v>
      </c>
      <c r="E820" s="66" t="s">
        <v>100</v>
      </c>
      <c r="F820" s="66" t="s">
        <v>968</v>
      </c>
      <c r="G820" s="71" t="s">
        <v>282</v>
      </c>
      <c r="H820" s="67" t="s">
        <v>282</v>
      </c>
      <c r="I820" s="67" t="s">
        <v>15</v>
      </c>
      <c r="J820" s="67" t="s">
        <v>282</v>
      </c>
      <c r="K820" s="67" t="s">
        <v>282</v>
      </c>
      <c r="L820" s="67" t="s">
        <v>282</v>
      </c>
      <c r="M820" s="67" t="s">
        <v>282</v>
      </c>
      <c r="N820" s="67" t="s">
        <v>282</v>
      </c>
      <c r="O820" s="68" t="s">
        <v>15</v>
      </c>
      <c r="P820" s="68" t="s">
        <v>15</v>
      </c>
      <c r="Q820" s="68" t="s">
        <v>15</v>
      </c>
      <c r="R820" s="68" t="s">
        <v>282</v>
      </c>
      <c r="S820" s="68" t="s">
        <v>282</v>
      </c>
      <c r="T820" s="68" t="s">
        <v>282</v>
      </c>
      <c r="U820" s="68" t="s">
        <v>282</v>
      </c>
      <c r="V820" s="68" t="s">
        <v>282</v>
      </c>
      <c r="W820" s="69" t="s">
        <v>282</v>
      </c>
      <c r="X820" s="69" t="s">
        <v>282</v>
      </c>
      <c r="Y820" s="70" t="s">
        <v>282</v>
      </c>
    </row>
    <row r="821" spans="1:25">
      <c r="A821" s="64">
        <v>15</v>
      </c>
      <c r="B821" s="65" t="str">
        <f>VLOOKUP(Tabel10[[#This Row],[Code]],Ruimtegroepen[[Code]:[Ruimte omschrijving]],2,FALSE)</f>
        <v>Keuken/pantry</v>
      </c>
      <c r="C821" s="66" t="s">
        <v>967</v>
      </c>
      <c r="D821" s="65" t="s">
        <v>27</v>
      </c>
      <c r="E821" s="66" t="s">
        <v>99</v>
      </c>
      <c r="F821" s="66" t="s">
        <v>969</v>
      </c>
      <c r="G821" s="71" t="s">
        <v>282</v>
      </c>
      <c r="H821" s="67" t="s">
        <v>15</v>
      </c>
      <c r="I821" s="67" t="s">
        <v>282</v>
      </c>
      <c r="J821" s="67" t="s">
        <v>282</v>
      </c>
      <c r="K821" s="67" t="s">
        <v>282</v>
      </c>
      <c r="L821" s="67" t="s">
        <v>282</v>
      </c>
      <c r="M821" s="67" t="s">
        <v>282</v>
      </c>
      <c r="N821" s="67" t="s">
        <v>282</v>
      </c>
      <c r="O821" s="68" t="s">
        <v>15</v>
      </c>
      <c r="P821" s="68" t="s">
        <v>15</v>
      </c>
      <c r="Q821" s="68" t="s">
        <v>15</v>
      </c>
      <c r="R821" s="68" t="s">
        <v>282</v>
      </c>
      <c r="S821" s="68" t="s">
        <v>282</v>
      </c>
      <c r="T821" s="68" t="s">
        <v>282</v>
      </c>
      <c r="U821" s="68" t="s">
        <v>282</v>
      </c>
      <c r="V821" s="68" t="s">
        <v>282</v>
      </c>
      <c r="W821" s="69" t="s">
        <v>282</v>
      </c>
      <c r="X821" s="69" t="s">
        <v>282</v>
      </c>
      <c r="Y821" s="70" t="s">
        <v>282</v>
      </c>
    </row>
    <row r="822" spans="1:25">
      <c r="A822" s="64">
        <v>15</v>
      </c>
      <c r="B822" s="65" t="str">
        <f>VLOOKUP(Tabel10[[#This Row],[Code]],Ruimtegroepen[[Code]:[Ruimte omschrijving]],2,FALSE)</f>
        <v>Keuken/pantry</v>
      </c>
      <c r="C822" s="66" t="s">
        <v>967</v>
      </c>
      <c r="D822" s="65" t="s">
        <v>27</v>
      </c>
      <c r="E822" s="66" t="s">
        <v>101</v>
      </c>
      <c r="F822" s="66" t="s">
        <v>970</v>
      </c>
      <c r="G822" s="71" t="s">
        <v>282</v>
      </c>
      <c r="H822" s="67" t="s">
        <v>282</v>
      </c>
      <c r="I822" s="67" t="s">
        <v>15</v>
      </c>
      <c r="J822" s="67" t="s">
        <v>282</v>
      </c>
      <c r="K822" s="67" t="s">
        <v>282</v>
      </c>
      <c r="L822" s="67" t="s">
        <v>282</v>
      </c>
      <c r="M822" s="67" t="s">
        <v>282</v>
      </c>
      <c r="N822" s="67" t="s">
        <v>282</v>
      </c>
      <c r="O822" s="68" t="s">
        <v>15</v>
      </c>
      <c r="P822" s="68" t="s">
        <v>15</v>
      </c>
      <c r="Q822" s="68" t="s">
        <v>15</v>
      </c>
      <c r="R822" s="68" t="s">
        <v>282</v>
      </c>
      <c r="S822" s="68" t="s">
        <v>282</v>
      </c>
      <c r="T822" s="68" t="s">
        <v>282</v>
      </c>
      <c r="U822" s="68" t="s">
        <v>282</v>
      </c>
      <c r="V822" s="68" t="s">
        <v>282</v>
      </c>
      <c r="W822" s="69" t="s">
        <v>282</v>
      </c>
      <c r="X822" s="69" t="s">
        <v>282</v>
      </c>
      <c r="Y822" s="70" t="s">
        <v>282</v>
      </c>
    </row>
    <row r="823" spans="1:25">
      <c r="A823" s="64">
        <v>15</v>
      </c>
      <c r="B823" s="65" t="str">
        <f>VLOOKUP(Tabel10[[#This Row],[Code]],Ruimtegroepen[[Code]:[Ruimte omschrijving]],2,FALSE)</f>
        <v>Keuken/pantry</v>
      </c>
      <c r="C823" s="66" t="s">
        <v>967</v>
      </c>
      <c r="D823" s="65" t="s">
        <v>27</v>
      </c>
      <c r="E823" s="66" t="s">
        <v>102</v>
      </c>
      <c r="F823" s="66" t="s">
        <v>971</v>
      </c>
      <c r="G823" s="71" t="s">
        <v>282</v>
      </c>
      <c r="H823" s="67" t="s">
        <v>282</v>
      </c>
      <c r="I823" s="67" t="s">
        <v>15</v>
      </c>
      <c r="J823" s="67" t="s">
        <v>282</v>
      </c>
      <c r="K823" s="67" t="s">
        <v>282</v>
      </c>
      <c r="L823" s="67" t="s">
        <v>282</v>
      </c>
      <c r="M823" s="67" t="s">
        <v>282</v>
      </c>
      <c r="N823" s="67" t="s">
        <v>282</v>
      </c>
      <c r="O823" s="68" t="s">
        <v>15</v>
      </c>
      <c r="P823" s="68" t="s">
        <v>15</v>
      </c>
      <c r="Q823" s="68" t="s">
        <v>15</v>
      </c>
      <c r="R823" s="68" t="s">
        <v>282</v>
      </c>
      <c r="S823" s="68" t="s">
        <v>282</v>
      </c>
      <c r="T823" s="68" t="s">
        <v>282</v>
      </c>
      <c r="U823" s="68" t="s">
        <v>282</v>
      </c>
      <c r="V823" s="68" t="s">
        <v>282</v>
      </c>
      <c r="W823" s="69" t="s">
        <v>282</v>
      </c>
      <c r="X823" s="69" t="s">
        <v>282</v>
      </c>
      <c r="Y823" s="70" t="s">
        <v>282</v>
      </c>
    </row>
    <row r="824" spans="1:25">
      <c r="A824" s="64">
        <v>15</v>
      </c>
      <c r="B824" s="65" t="str">
        <f>VLOOKUP(Tabel10[[#This Row],[Code]],Ruimtegroepen[[Code]:[Ruimte omschrijving]],2,FALSE)</f>
        <v>Keuken/pantry</v>
      </c>
      <c r="C824" s="66" t="s">
        <v>967</v>
      </c>
      <c r="D824" s="65" t="s">
        <v>27</v>
      </c>
      <c r="E824" s="66" t="s">
        <v>99</v>
      </c>
      <c r="F824" s="66" t="s">
        <v>969</v>
      </c>
      <c r="G824" s="71" t="s">
        <v>282</v>
      </c>
      <c r="H824" s="67" t="s">
        <v>15</v>
      </c>
      <c r="I824" s="67" t="s">
        <v>282</v>
      </c>
      <c r="J824" s="67" t="s">
        <v>282</v>
      </c>
      <c r="K824" s="67" t="s">
        <v>282</v>
      </c>
      <c r="L824" s="67" t="s">
        <v>282</v>
      </c>
      <c r="M824" s="67" t="s">
        <v>282</v>
      </c>
      <c r="N824" s="67" t="s">
        <v>282</v>
      </c>
      <c r="O824" s="68" t="s">
        <v>15</v>
      </c>
      <c r="P824" s="68" t="s">
        <v>15</v>
      </c>
      <c r="Q824" s="68" t="s">
        <v>15</v>
      </c>
      <c r="R824" s="68" t="s">
        <v>282</v>
      </c>
      <c r="S824" s="68" t="s">
        <v>282</v>
      </c>
      <c r="T824" s="68" t="s">
        <v>282</v>
      </c>
      <c r="U824" s="68" t="s">
        <v>282</v>
      </c>
      <c r="V824" s="68" t="s">
        <v>282</v>
      </c>
      <c r="W824" s="69" t="s">
        <v>282</v>
      </c>
      <c r="X824" s="69" t="s">
        <v>282</v>
      </c>
      <c r="Y824" s="70" t="s">
        <v>282</v>
      </c>
    </row>
    <row r="825" spans="1:25">
      <c r="A825" s="64">
        <v>15</v>
      </c>
      <c r="B825" s="65" t="str">
        <f>VLOOKUP(Tabel10[[#This Row],[Code]],Ruimtegroepen[[Code]:[Ruimte omschrijving]],2,FALSE)</f>
        <v>Keuken/pantry</v>
      </c>
      <c r="C825" s="66" t="s">
        <v>967</v>
      </c>
      <c r="D825" s="65" t="s">
        <v>27</v>
      </c>
      <c r="E825" s="66" t="s">
        <v>1309</v>
      </c>
      <c r="F825" s="66" t="s">
        <v>1388</v>
      </c>
      <c r="G825" s="71" t="s">
        <v>282</v>
      </c>
      <c r="H825" s="67" t="s">
        <v>282</v>
      </c>
      <c r="I825" s="67" t="s">
        <v>15</v>
      </c>
      <c r="J825" s="67" t="s">
        <v>282</v>
      </c>
      <c r="K825" s="67" t="s">
        <v>282</v>
      </c>
      <c r="L825" s="67" t="s">
        <v>282</v>
      </c>
      <c r="M825" s="67" t="s">
        <v>282</v>
      </c>
      <c r="N825" s="67" t="s">
        <v>282</v>
      </c>
      <c r="O825" s="68" t="s">
        <v>15</v>
      </c>
      <c r="P825" s="68" t="s">
        <v>15</v>
      </c>
      <c r="Q825" s="68" t="s">
        <v>15</v>
      </c>
      <c r="R825" s="68" t="s">
        <v>282</v>
      </c>
      <c r="S825" s="68" t="s">
        <v>282</v>
      </c>
      <c r="T825" s="68" t="s">
        <v>282</v>
      </c>
      <c r="U825" s="68" t="s">
        <v>282</v>
      </c>
      <c r="V825" s="68" t="s">
        <v>282</v>
      </c>
      <c r="W825" s="69" t="s">
        <v>282</v>
      </c>
      <c r="X825" s="69" t="s">
        <v>282</v>
      </c>
      <c r="Y825" s="70" t="s">
        <v>282</v>
      </c>
    </row>
    <row r="826" spans="1:25">
      <c r="A826" s="64">
        <v>15</v>
      </c>
      <c r="B826" s="65" t="str">
        <f>VLOOKUP(Tabel10[[#This Row],[Code]],Ruimtegroepen[[Code]:[Ruimte omschrijving]],2,FALSE)</f>
        <v>Keuken/pantry</v>
      </c>
      <c r="C826" s="66" t="s">
        <v>972</v>
      </c>
      <c r="D826" s="65" t="s">
        <v>28</v>
      </c>
      <c r="E826" s="66" t="s">
        <v>100</v>
      </c>
      <c r="F826" s="66" t="s">
        <v>973</v>
      </c>
      <c r="G826" s="71" t="s">
        <v>282</v>
      </c>
      <c r="H826" s="67" t="s">
        <v>282</v>
      </c>
      <c r="I826" s="67" t="s">
        <v>17</v>
      </c>
      <c r="J826" s="67" t="s">
        <v>282</v>
      </c>
      <c r="K826" s="67" t="s">
        <v>282</v>
      </c>
      <c r="L826" s="67" t="s">
        <v>282</v>
      </c>
      <c r="M826" s="67" t="s">
        <v>282</v>
      </c>
      <c r="N826" s="67" t="s">
        <v>282</v>
      </c>
      <c r="O826" s="68" t="s">
        <v>17</v>
      </c>
      <c r="P826" s="68" t="s">
        <v>17</v>
      </c>
      <c r="Q826" s="68" t="s">
        <v>15</v>
      </c>
      <c r="R826" s="68" t="s">
        <v>282</v>
      </c>
      <c r="S826" s="68" t="s">
        <v>282</v>
      </c>
      <c r="T826" s="68" t="s">
        <v>282</v>
      </c>
      <c r="U826" s="68" t="s">
        <v>282</v>
      </c>
      <c r="V826" s="68" t="s">
        <v>282</v>
      </c>
      <c r="W826" s="69" t="s">
        <v>282</v>
      </c>
      <c r="X826" s="69" t="s">
        <v>282</v>
      </c>
      <c r="Y826" s="70" t="s">
        <v>282</v>
      </c>
    </row>
    <row r="827" spans="1:25">
      <c r="A827" s="64">
        <v>15</v>
      </c>
      <c r="B827" s="65" t="str">
        <f>VLOOKUP(Tabel10[[#This Row],[Code]],Ruimtegroepen[[Code]:[Ruimte omschrijving]],2,FALSE)</f>
        <v>Keuken/pantry</v>
      </c>
      <c r="C827" s="66" t="s">
        <v>972</v>
      </c>
      <c r="D827" s="65" t="s">
        <v>28</v>
      </c>
      <c r="E827" s="66" t="s">
        <v>99</v>
      </c>
      <c r="F827" s="66" t="s">
        <v>974</v>
      </c>
      <c r="G827" s="71" t="s">
        <v>282</v>
      </c>
      <c r="H827" s="67" t="s">
        <v>17</v>
      </c>
      <c r="I827" s="67" t="s">
        <v>282</v>
      </c>
      <c r="J827" s="67" t="s">
        <v>282</v>
      </c>
      <c r="K827" s="67" t="s">
        <v>282</v>
      </c>
      <c r="L827" s="67" t="s">
        <v>282</v>
      </c>
      <c r="M827" s="67" t="s">
        <v>282</v>
      </c>
      <c r="N827" s="67" t="s">
        <v>282</v>
      </c>
      <c r="O827" s="68" t="s">
        <v>17</v>
      </c>
      <c r="P827" s="68" t="s">
        <v>17</v>
      </c>
      <c r="Q827" s="68" t="s">
        <v>15</v>
      </c>
      <c r="R827" s="68" t="s">
        <v>282</v>
      </c>
      <c r="S827" s="68" t="s">
        <v>282</v>
      </c>
      <c r="T827" s="68" t="s">
        <v>282</v>
      </c>
      <c r="U827" s="68" t="s">
        <v>282</v>
      </c>
      <c r="V827" s="68" t="s">
        <v>282</v>
      </c>
      <c r="W827" s="69" t="s">
        <v>282</v>
      </c>
      <c r="X827" s="69" t="s">
        <v>282</v>
      </c>
      <c r="Y827" s="70" t="s">
        <v>282</v>
      </c>
    </row>
    <row r="828" spans="1:25">
      <c r="A828" s="64">
        <v>15</v>
      </c>
      <c r="B828" s="65" t="str">
        <f>VLOOKUP(Tabel10[[#This Row],[Code]],Ruimtegroepen[[Code]:[Ruimte omschrijving]],2,FALSE)</f>
        <v>Keuken/pantry</v>
      </c>
      <c r="C828" s="66" t="s">
        <v>972</v>
      </c>
      <c r="D828" s="65" t="s">
        <v>28</v>
      </c>
      <c r="E828" s="66" t="s">
        <v>101</v>
      </c>
      <c r="F828" s="66" t="s">
        <v>975</v>
      </c>
      <c r="G828" s="71" t="s">
        <v>282</v>
      </c>
      <c r="H828" s="67" t="s">
        <v>282</v>
      </c>
      <c r="I828" s="67" t="s">
        <v>17</v>
      </c>
      <c r="J828" s="67" t="s">
        <v>282</v>
      </c>
      <c r="K828" s="67" t="s">
        <v>282</v>
      </c>
      <c r="L828" s="67" t="s">
        <v>282</v>
      </c>
      <c r="M828" s="67" t="s">
        <v>282</v>
      </c>
      <c r="N828" s="67" t="s">
        <v>282</v>
      </c>
      <c r="O828" s="68" t="s">
        <v>17</v>
      </c>
      <c r="P828" s="68" t="s">
        <v>17</v>
      </c>
      <c r="Q828" s="68" t="s">
        <v>15</v>
      </c>
      <c r="R828" s="68" t="s">
        <v>282</v>
      </c>
      <c r="S828" s="68" t="s">
        <v>282</v>
      </c>
      <c r="T828" s="68" t="s">
        <v>282</v>
      </c>
      <c r="U828" s="68" t="s">
        <v>282</v>
      </c>
      <c r="V828" s="68" t="s">
        <v>282</v>
      </c>
      <c r="W828" s="69" t="s">
        <v>282</v>
      </c>
      <c r="X828" s="69" t="s">
        <v>282</v>
      </c>
      <c r="Y828" s="70" t="s">
        <v>282</v>
      </c>
    </row>
    <row r="829" spans="1:25">
      <c r="A829" s="64">
        <v>15</v>
      </c>
      <c r="B829" s="65" t="str">
        <f>VLOOKUP(Tabel10[[#This Row],[Code]],Ruimtegroepen[[Code]:[Ruimte omschrijving]],2,FALSE)</f>
        <v>Keuken/pantry</v>
      </c>
      <c r="C829" s="66" t="s">
        <v>972</v>
      </c>
      <c r="D829" s="65" t="s">
        <v>28</v>
      </c>
      <c r="E829" s="66" t="s">
        <v>102</v>
      </c>
      <c r="F829" s="66" t="s">
        <v>976</v>
      </c>
      <c r="G829" s="71" t="s">
        <v>282</v>
      </c>
      <c r="H829" s="67" t="s">
        <v>282</v>
      </c>
      <c r="I829" s="67" t="s">
        <v>17</v>
      </c>
      <c r="J829" s="67" t="s">
        <v>282</v>
      </c>
      <c r="K829" s="67" t="s">
        <v>282</v>
      </c>
      <c r="L829" s="67" t="s">
        <v>282</v>
      </c>
      <c r="M829" s="67" t="s">
        <v>282</v>
      </c>
      <c r="N829" s="67" t="s">
        <v>282</v>
      </c>
      <c r="O829" s="68" t="s">
        <v>17</v>
      </c>
      <c r="P829" s="68" t="s">
        <v>17</v>
      </c>
      <c r="Q829" s="68" t="s">
        <v>15</v>
      </c>
      <c r="R829" s="68" t="s">
        <v>282</v>
      </c>
      <c r="S829" s="68" t="s">
        <v>282</v>
      </c>
      <c r="T829" s="68" t="s">
        <v>282</v>
      </c>
      <c r="U829" s="68" t="s">
        <v>282</v>
      </c>
      <c r="V829" s="68" t="s">
        <v>282</v>
      </c>
      <c r="W829" s="69" t="s">
        <v>282</v>
      </c>
      <c r="X829" s="69" t="s">
        <v>282</v>
      </c>
      <c r="Y829" s="70" t="s">
        <v>282</v>
      </c>
    </row>
    <row r="830" spans="1:25">
      <c r="A830" s="64">
        <v>15</v>
      </c>
      <c r="B830" s="65" t="str">
        <f>VLOOKUP(Tabel10[[#This Row],[Code]],Ruimtegroepen[[Code]:[Ruimte omschrijving]],2,FALSE)</f>
        <v>Keuken/pantry</v>
      </c>
      <c r="C830" s="66" t="s">
        <v>972</v>
      </c>
      <c r="D830" s="65" t="s">
        <v>28</v>
      </c>
      <c r="E830" s="66" t="s">
        <v>99</v>
      </c>
      <c r="F830" s="66" t="s">
        <v>974</v>
      </c>
      <c r="G830" s="71" t="s">
        <v>282</v>
      </c>
      <c r="H830" s="67" t="s">
        <v>17</v>
      </c>
      <c r="I830" s="67" t="s">
        <v>282</v>
      </c>
      <c r="J830" s="67" t="s">
        <v>282</v>
      </c>
      <c r="K830" s="67" t="s">
        <v>282</v>
      </c>
      <c r="L830" s="67" t="s">
        <v>282</v>
      </c>
      <c r="M830" s="67" t="s">
        <v>282</v>
      </c>
      <c r="N830" s="67" t="s">
        <v>282</v>
      </c>
      <c r="O830" s="68" t="s">
        <v>17</v>
      </c>
      <c r="P830" s="68" t="s">
        <v>17</v>
      </c>
      <c r="Q830" s="68" t="s">
        <v>15</v>
      </c>
      <c r="R830" s="68" t="s">
        <v>282</v>
      </c>
      <c r="S830" s="68" t="s">
        <v>282</v>
      </c>
      <c r="T830" s="68" t="s">
        <v>282</v>
      </c>
      <c r="U830" s="68" t="s">
        <v>282</v>
      </c>
      <c r="V830" s="68" t="s">
        <v>282</v>
      </c>
      <c r="W830" s="69" t="s">
        <v>282</v>
      </c>
      <c r="X830" s="69" t="s">
        <v>282</v>
      </c>
      <c r="Y830" s="70" t="s">
        <v>282</v>
      </c>
    </row>
    <row r="831" spans="1:25">
      <c r="A831" s="64">
        <v>15</v>
      </c>
      <c r="B831" s="65" t="str">
        <f>VLOOKUP(Tabel10[[#This Row],[Code]],Ruimtegroepen[[Code]:[Ruimte omschrijving]],2,FALSE)</f>
        <v>Keuken/pantry</v>
      </c>
      <c r="C831" s="66" t="s">
        <v>972</v>
      </c>
      <c r="D831" s="65" t="s">
        <v>28</v>
      </c>
      <c r="E831" s="66" t="s">
        <v>1309</v>
      </c>
      <c r="F831" s="66" t="s">
        <v>1421</v>
      </c>
      <c r="G831" s="71" t="s">
        <v>282</v>
      </c>
      <c r="H831" s="67" t="s">
        <v>282</v>
      </c>
      <c r="I831" s="67" t="s">
        <v>17</v>
      </c>
      <c r="J831" s="67" t="s">
        <v>282</v>
      </c>
      <c r="K831" s="67" t="s">
        <v>282</v>
      </c>
      <c r="L831" s="67" t="s">
        <v>282</v>
      </c>
      <c r="M831" s="67" t="s">
        <v>282</v>
      </c>
      <c r="N831" s="67" t="s">
        <v>282</v>
      </c>
      <c r="O831" s="68" t="s">
        <v>17</v>
      </c>
      <c r="P831" s="68" t="s">
        <v>17</v>
      </c>
      <c r="Q831" s="68" t="s">
        <v>15</v>
      </c>
      <c r="R831" s="68" t="s">
        <v>282</v>
      </c>
      <c r="S831" s="68" t="s">
        <v>282</v>
      </c>
      <c r="T831" s="68" t="s">
        <v>282</v>
      </c>
      <c r="U831" s="68" t="s">
        <v>282</v>
      </c>
      <c r="V831" s="68" t="s">
        <v>282</v>
      </c>
      <c r="W831" s="69" t="s">
        <v>282</v>
      </c>
      <c r="X831" s="69" t="s">
        <v>282</v>
      </c>
      <c r="Y831" s="70" t="s">
        <v>282</v>
      </c>
    </row>
    <row r="832" spans="1:25">
      <c r="A832" s="64">
        <v>16</v>
      </c>
      <c r="B832" s="65" t="str">
        <f>VLOOKUP(Tabel10[[#This Row],[Code]],Ruimtegroepen[[Code]:[Ruimte omschrijving]],2,FALSE)</f>
        <v>Leslokalen</v>
      </c>
      <c r="C832" s="66" t="s">
        <v>977</v>
      </c>
      <c r="D832" s="65" t="s">
        <v>29</v>
      </c>
      <c r="E832" s="66" t="s">
        <v>100</v>
      </c>
      <c r="F832" s="66" t="s">
        <v>978</v>
      </c>
      <c r="G832" s="71" t="s">
        <v>282</v>
      </c>
      <c r="H832" s="67" t="s">
        <v>282</v>
      </c>
      <c r="I832" s="67" t="s">
        <v>20</v>
      </c>
      <c r="J832" s="67" t="s">
        <v>15</v>
      </c>
      <c r="K832" s="67" t="s">
        <v>282</v>
      </c>
      <c r="L832" s="67" t="s">
        <v>282</v>
      </c>
      <c r="M832" s="67" t="s">
        <v>282</v>
      </c>
      <c r="N832" s="67" t="s">
        <v>2</v>
      </c>
      <c r="O832" s="68" t="s">
        <v>2</v>
      </c>
      <c r="P832" s="68" t="s">
        <v>2</v>
      </c>
      <c r="Q832" s="68" t="s">
        <v>15</v>
      </c>
      <c r="R832" s="68" t="s">
        <v>15</v>
      </c>
      <c r="S832" s="68" t="s">
        <v>16</v>
      </c>
      <c r="T832" s="68" t="s">
        <v>329</v>
      </c>
      <c r="U832" s="68" t="s">
        <v>249</v>
      </c>
      <c r="V832" s="68" t="s">
        <v>2</v>
      </c>
      <c r="W832" s="69" t="s">
        <v>282</v>
      </c>
      <c r="X832" s="69" t="s">
        <v>282</v>
      </c>
      <c r="Y832" s="70" t="s">
        <v>282</v>
      </c>
    </row>
    <row r="833" spans="1:25">
      <c r="A833" s="64">
        <v>16</v>
      </c>
      <c r="B833" s="65" t="str">
        <f>VLOOKUP(Tabel10[[#This Row],[Code]],Ruimtegroepen[[Code]:[Ruimte omschrijving]],2,FALSE)</f>
        <v>Leslokalen</v>
      </c>
      <c r="C833" s="66" t="s">
        <v>977</v>
      </c>
      <c r="D833" s="65" t="s">
        <v>29</v>
      </c>
      <c r="E833" s="66" t="s">
        <v>99</v>
      </c>
      <c r="F833" s="66" t="s">
        <v>979</v>
      </c>
      <c r="G833" s="67" t="s">
        <v>18</v>
      </c>
      <c r="H833" s="67" t="s">
        <v>17</v>
      </c>
      <c r="I833" s="67" t="s">
        <v>282</v>
      </c>
      <c r="J833" s="67" t="s">
        <v>282</v>
      </c>
      <c r="K833" s="67" t="s">
        <v>282</v>
      </c>
      <c r="L833" s="67" t="s">
        <v>282</v>
      </c>
      <c r="M833" s="67" t="s">
        <v>282</v>
      </c>
      <c r="N833" s="67" t="s">
        <v>2</v>
      </c>
      <c r="O833" s="68" t="s">
        <v>2</v>
      </c>
      <c r="P833" s="68" t="s">
        <v>2</v>
      </c>
      <c r="Q833" s="68" t="s">
        <v>15</v>
      </c>
      <c r="R833" s="68" t="s">
        <v>15</v>
      </c>
      <c r="S833" s="68" t="s">
        <v>16</v>
      </c>
      <c r="T833" s="68" t="s">
        <v>329</v>
      </c>
      <c r="U833" s="68" t="s">
        <v>249</v>
      </c>
      <c r="V833" s="68" t="s">
        <v>2</v>
      </c>
      <c r="W833" s="69" t="s">
        <v>282</v>
      </c>
      <c r="X833" s="69" t="s">
        <v>282</v>
      </c>
      <c r="Y833" s="70" t="s">
        <v>282</v>
      </c>
    </row>
    <row r="834" spans="1:25">
      <c r="A834" s="64">
        <v>16</v>
      </c>
      <c r="B834" s="65" t="str">
        <f>VLOOKUP(Tabel10[[#This Row],[Code]],Ruimtegroepen[[Code]:[Ruimte omschrijving]],2,FALSE)</f>
        <v>Leslokalen</v>
      </c>
      <c r="C834" s="66" t="s">
        <v>977</v>
      </c>
      <c r="D834" s="65" t="s">
        <v>29</v>
      </c>
      <c r="E834" s="66" t="s">
        <v>101</v>
      </c>
      <c r="F834" s="66" t="s">
        <v>980</v>
      </c>
      <c r="G834" s="71" t="s">
        <v>282</v>
      </c>
      <c r="H834" s="67" t="s">
        <v>282</v>
      </c>
      <c r="I834" s="67" t="s">
        <v>20</v>
      </c>
      <c r="J834" s="67" t="s">
        <v>15</v>
      </c>
      <c r="K834" s="67" t="s">
        <v>16</v>
      </c>
      <c r="L834" s="67" t="s">
        <v>282</v>
      </c>
      <c r="M834" s="67" t="s">
        <v>282</v>
      </c>
      <c r="N834" s="67" t="s">
        <v>2</v>
      </c>
      <c r="O834" s="68" t="s">
        <v>2</v>
      </c>
      <c r="P834" s="68" t="s">
        <v>2</v>
      </c>
      <c r="Q834" s="68" t="s">
        <v>15</v>
      </c>
      <c r="R834" s="68" t="s">
        <v>15</v>
      </c>
      <c r="S834" s="68" t="s">
        <v>16</v>
      </c>
      <c r="T834" s="68" t="s">
        <v>329</v>
      </c>
      <c r="U834" s="68" t="s">
        <v>249</v>
      </c>
      <c r="V834" s="68" t="s">
        <v>2</v>
      </c>
      <c r="W834" s="69" t="s">
        <v>282</v>
      </c>
      <c r="X834" s="69" t="s">
        <v>282</v>
      </c>
      <c r="Y834" s="70" t="s">
        <v>282</v>
      </c>
    </row>
    <row r="835" spans="1:25">
      <c r="A835" s="64">
        <v>16</v>
      </c>
      <c r="B835" s="65" t="str">
        <f>VLOOKUP(Tabel10[[#This Row],[Code]],Ruimtegroepen[[Code]:[Ruimte omschrijving]],2,FALSE)</f>
        <v>Leslokalen</v>
      </c>
      <c r="C835" s="66" t="s">
        <v>977</v>
      </c>
      <c r="D835" s="65" t="s">
        <v>29</v>
      </c>
      <c r="E835" s="66" t="s">
        <v>102</v>
      </c>
      <c r="F835" s="66" t="s">
        <v>981</v>
      </c>
      <c r="G835" s="71" t="s">
        <v>282</v>
      </c>
      <c r="H835" s="67" t="s">
        <v>282</v>
      </c>
      <c r="I835" s="67" t="s">
        <v>20</v>
      </c>
      <c r="J835" s="67" t="s">
        <v>15</v>
      </c>
      <c r="K835" s="67" t="s">
        <v>16</v>
      </c>
      <c r="L835" s="67" t="s">
        <v>282</v>
      </c>
      <c r="M835" s="67" t="s">
        <v>282</v>
      </c>
      <c r="N835" s="67" t="s">
        <v>2</v>
      </c>
      <c r="O835" s="68" t="s">
        <v>2</v>
      </c>
      <c r="P835" s="68" t="s">
        <v>2</v>
      </c>
      <c r="Q835" s="68" t="s">
        <v>15</v>
      </c>
      <c r="R835" s="68" t="s">
        <v>15</v>
      </c>
      <c r="S835" s="68" t="s">
        <v>16</v>
      </c>
      <c r="T835" s="68" t="s">
        <v>329</v>
      </c>
      <c r="U835" s="68" t="s">
        <v>249</v>
      </c>
      <c r="V835" s="68" t="s">
        <v>2</v>
      </c>
      <c r="W835" s="69" t="s">
        <v>282</v>
      </c>
      <c r="X835" s="69" t="s">
        <v>282</v>
      </c>
      <c r="Y835" s="70" t="s">
        <v>282</v>
      </c>
    </row>
    <row r="836" spans="1:25">
      <c r="A836" s="64">
        <v>16</v>
      </c>
      <c r="B836" s="65" t="str">
        <f>VLOOKUP(Tabel10[[#This Row],[Code]],Ruimtegroepen[[Code]:[Ruimte omschrijving]],2,FALSE)</f>
        <v>Leslokalen</v>
      </c>
      <c r="C836" s="66" t="s">
        <v>977</v>
      </c>
      <c r="D836" s="65" t="s">
        <v>29</v>
      </c>
      <c r="E836" s="66" t="s">
        <v>99</v>
      </c>
      <c r="F836" s="66" t="s">
        <v>979</v>
      </c>
      <c r="G836" s="67" t="s">
        <v>18</v>
      </c>
      <c r="H836" s="67" t="s">
        <v>17</v>
      </c>
      <c r="I836" s="67" t="s">
        <v>282</v>
      </c>
      <c r="J836" s="67" t="s">
        <v>282</v>
      </c>
      <c r="K836" s="67" t="s">
        <v>282</v>
      </c>
      <c r="L836" s="67" t="s">
        <v>282</v>
      </c>
      <c r="M836" s="67" t="s">
        <v>282</v>
      </c>
      <c r="N836" s="67" t="s">
        <v>282</v>
      </c>
      <c r="O836" s="68" t="s">
        <v>282</v>
      </c>
      <c r="P836" s="68" t="s">
        <v>282</v>
      </c>
      <c r="Q836" s="68" t="s">
        <v>282</v>
      </c>
      <c r="R836" s="68" t="s">
        <v>282</v>
      </c>
      <c r="S836" s="68" t="s">
        <v>282</v>
      </c>
      <c r="T836" s="68" t="s">
        <v>282</v>
      </c>
      <c r="U836" s="68" t="s">
        <v>282</v>
      </c>
      <c r="V836" s="68" t="s">
        <v>282</v>
      </c>
      <c r="W836" s="69" t="s">
        <v>282</v>
      </c>
      <c r="X836" s="69" t="s">
        <v>282</v>
      </c>
      <c r="Y836" s="70" t="s">
        <v>282</v>
      </c>
    </row>
    <row r="837" spans="1:25">
      <c r="A837" s="64">
        <v>16</v>
      </c>
      <c r="B837" s="65" t="str">
        <f>VLOOKUP(Tabel10[[#This Row],[Code]],Ruimtegroepen[[Code]:[Ruimte omschrijving]],2,FALSE)</f>
        <v>Leslokalen</v>
      </c>
      <c r="C837" s="66" t="s">
        <v>977</v>
      </c>
      <c r="D837" s="65" t="s">
        <v>29</v>
      </c>
      <c r="E837" s="66" t="s">
        <v>1309</v>
      </c>
      <c r="F837" s="66" t="s">
        <v>1489</v>
      </c>
      <c r="G837" s="71" t="s">
        <v>282</v>
      </c>
      <c r="H837" s="67" t="s">
        <v>282</v>
      </c>
      <c r="I837" s="67" t="s">
        <v>20</v>
      </c>
      <c r="J837" s="67" t="s">
        <v>15</v>
      </c>
      <c r="K837" s="67" t="s">
        <v>16</v>
      </c>
      <c r="L837" s="67" t="s">
        <v>282</v>
      </c>
      <c r="M837" s="67" t="s">
        <v>282</v>
      </c>
      <c r="N837" s="67" t="s">
        <v>2</v>
      </c>
      <c r="O837" s="68" t="s">
        <v>2</v>
      </c>
      <c r="P837" s="68" t="s">
        <v>2</v>
      </c>
      <c r="Q837" s="68" t="s">
        <v>15</v>
      </c>
      <c r="R837" s="68" t="s">
        <v>15</v>
      </c>
      <c r="S837" s="68" t="s">
        <v>16</v>
      </c>
      <c r="T837" s="68" t="s">
        <v>329</v>
      </c>
      <c r="U837" s="68" t="s">
        <v>249</v>
      </c>
      <c r="V837" s="68" t="s">
        <v>2</v>
      </c>
      <c r="W837" s="69" t="s">
        <v>282</v>
      </c>
      <c r="X837" s="69" t="s">
        <v>282</v>
      </c>
      <c r="Y837" s="70" t="s">
        <v>282</v>
      </c>
    </row>
    <row r="838" spans="1:25">
      <c r="A838" s="64">
        <v>16</v>
      </c>
      <c r="B838" s="65" t="str">
        <f>VLOOKUP(Tabel10[[#This Row],[Code]],Ruimtegroepen[[Code]:[Ruimte omschrijving]],2,FALSE)</f>
        <v>Leslokalen</v>
      </c>
      <c r="C838" s="66" t="s">
        <v>982</v>
      </c>
      <c r="D838" s="65" t="s">
        <v>1</v>
      </c>
      <c r="E838" s="66" t="s">
        <v>100</v>
      </c>
      <c r="F838" s="66" t="s">
        <v>983</v>
      </c>
      <c r="G838" s="71" t="s">
        <v>282</v>
      </c>
      <c r="H838" s="67" t="s">
        <v>282</v>
      </c>
      <c r="I838" s="67" t="s">
        <v>20</v>
      </c>
      <c r="J838" s="67" t="s">
        <v>15</v>
      </c>
      <c r="K838" s="67" t="s">
        <v>282</v>
      </c>
      <c r="L838" s="67" t="s">
        <v>282</v>
      </c>
      <c r="M838" s="67" t="s">
        <v>282</v>
      </c>
      <c r="N838" s="67" t="s">
        <v>282</v>
      </c>
      <c r="O838" s="68" t="s">
        <v>2</v>
      </c>
      <c r="P838" s="68" t="s">
        <v>2</v>
      </c>
      <c r="Q838" s="68" t="s">
        <v>15</v>
      </c>
      <c r="R838" s="68" t="s">
        <v>15</v>
      </c>
      <c r="S838" s="68" t="s">
        <v>16</v>
      </c>
      <c r="T838" s="68" t="s">
        <v>329</v>
      </c>
      <c r="U838" s="68" t="s">
        <v>249</v>
      </c>
      <c r="V838" s="68" t="s">
        <v>282</v>
      </c>
      <c r="W838" s="69" t="s">
        <v>282</v>
      </c>
      <c r="X838" s="69" t="s">
        <v>282</v>
      </c>
      <c r="Y838" s="70" t="s">
        <v>282</v>
      </c>
    </row>
    <row r="839" spans="1:25">
      <c r="A839" s="64">
        <v>16</v>
      </c>
      <c r="B839" s="65" t="str">
        <f>VLOOKUP(Tabel10[[#This Row],[Code]],Ruimtegroepen[[Code]:[Ruimte omschrijving]],2,FALSE)</f>
        <v>Leslokalen</v>
      </c>
      <c r="C839" s="66" t="s">
        <v>982</v>
      </c>
      <c r="D839" s="65" t="s">
        <v>1</v>
      </c>
      <c r="E839" s="66" t="s">
        <v>99</v>
      </c>
      <c r="F839" s="66" t="s">
        <v>984</v>
      </c>
      <c r="G839" s="67" t="s">
        <v>18</v>
      </c>
      <c r="H839" s="67" t="s">
        <v>17</v>
      </c>
      <c r="I839" s="67" t="s">
        <v>282</v>
      </c>
      <c r="J839" s="67" t="s">
        <v>282</v>
      </c>
      <c r="K839" s="67" t="s">
        <v>282</v>
      </c>
      <c r="L839" s="67" t="s">
        <v>282</v>
      </c>
      <c r="M839" s="67" t="s">
        <v>282</v>
      </c>
      <c r="N839" s="67" t="s">
        <v>282</v>
      </c>
      <c r="O839" s="68" t="s">
        <v>2</v>
      </c>
      <c r="P839" s="68" t="s">
        <v>2</v>
      </c>
      <c r="Q839" s="68" t="s">
        <v>15</v>
      </c>
      <c r="R839" s="68" t="s">
        <v>15</v>
      </c>
      <c r="S839" s="68" t="s">
        <v>16</v>
      </c>
      <c r="T839" s="68" t="s">
        <v>329</v>
      </c>
      <c r="U839" s="68" t="s">
        <v>249</v>
      </c>
      <c r="V839" s="68" t="s">
        <v>282</v>
      </c>
      <c r="W839" s="69" t="s">
        <v>282</v>
      </c>
      <c r="X839" s="69" t="s">
        <v>282</v>
      </c>
      <c r="Y839" s="70" t="s">
        <v>282</v>
      </c>
    </row>
    <row r="840" spans="1:25">
      <c r="A840" s="64">
        <v>16</v>
      </c>
      <c r="B840" s="65" t="str">
        <f>VLOOKUP(Tabel10[[#This Row],[Code]],Ruimtegroepen[[Code]:[Ruimte omschrijving]],2,FALSE)</f>
        <v>Leslokalen</v>
      </c>
      <c r="C840" s="66" t="s">
        <v>982</v>
      </c>
      <c r="D840" s="65" t="s">
        <v>1</v>
      </c>
      <c r="E840" s="66" t="s">
        <v>101</v>
      </c>
      <c r="F840" s="66" t="s">
        <v>985</v>
      </c>
      <c r="G840" s="71" t="s">
        <v>282</v>
      </c>
      <c r="H840" s="67" t="s">
        <v>282</v>
      </c>
      <c r="I840" s="67" t="s">
        <v>20</v>
      </c>
      <c r="J840" s="67" t="s">
        <v>15</v>
      </c>
      <c r="K840" s="67" t="s">
        <v>16</v>
      </c>
      <c r="L840" s="67" t="s">
        <v>282</v>
      </c>
      <c r="M840" s="67" t="s">
        <v>282</v>
      </c>
      <c r="N840" s="67" t="s">
        <v>282</v>
      </c>
      <c r="O840" s="68" t="s">
        <v>2</v>
      </c>
      <c r="P840" s="68" t="s">
        <v>2</v>
      </c>
      <c r="Q840" s="68" t="s">
        <v>15</v>
      </c>
      <c r="R840" s="68" t="s">
        <v>15</v>
      </c>
      <c r="S840" s="68" t="s">
        <v>16</v>
      </c>
      <c r="T840" s="68" t="s">
        <v>329</v>
      </c>
      <c r="U840" s="68" t="s">
        <v>249</v>
      </c>
      <c r="V840" s="68" t="s">
        <v>282</v>
      </c>
      <c r="W840" s="69" t="s">
        <v>282</v>
      </c>
      <c r="X840" s="69" t="s">
        <v>282</v>
      </c>
      <c r="Y840" s="70" t="s">
        <v>282</v>
      </c>
    </row>
    <row r="841" spans="1:25">
      <c r="A841" s="64">
        <v>16</v>
      </c>
      <c r="B841" s="65" t="str">
        <f>VLOOKUP(Tabel10[[#This Row],[Code]],Ruimtegroepen[[Code]:[Ruimte omschrijving]],2,FALSE)</f>
        <v>Leslokalen</v>
      </c>
      <c r="C841" s="66" t="s">
        <v>982</v>
      </c>
      <c r="D841" s="65" t="s">
        <v>1</v>
      </c>
      <c r="E841" s="66" t="s">
        <v>102</v>
      </c>
      <c r="F841" s="66" t="s">
        <v>986</v>
      </c>
      <c r="G841" s="71" t="s">
        <v>282</v>
      </c>
      <c r="H841" s="67" t="s">
        <v>282</v>
      </c>
      <c r="I841" s="67" t="s">
        <v>20</v>
      </c>
      <c r="J841" s="67" t="s">
        <v>15</v>
      </c>
      <c r="K841" s="67" t="s">
        <v>16</v>
      </c>
      <c r="L841" s="67" t="s">
        <v>282</v>
      </c>
      <c r="M841" s="67" t="s">
        <v>282</v>
      </c>
      <c r="N841" s="67" t="s">
        <v>282</v>
      </c>
      <c r="O841" s="68" t="s">
        <v>2</v>
      </c>
      <c r="P841" s="68" t="s">
        <v>2</v>
      </c>
      <c r="Q841" s="68" t="s">
        <v>15</v>
      </c>
      <c r="R841" s="68" t="s">
        <v>15</v>
      </c>
      <c r="S841" s="68" t="s">
        <v>16</v>
      </c>
      <c r="T841" s="68" t="s">
        <v>329</v>
      </c>
      <c r="U841" s="68" t="s">
        <v>249</v>
      </c>
      <c r="V841" s="68" t="s">
        <v>282</v>
      </c>
      <c r="W841" s="69" t="s">
        <v>282</v>
      </c>
      <c r="X841" s="69" t="s">
        <v>282</v>
      </c>
      <c r="Y841" s="70" t="s">
        <v>282</v>
      </c>
    </row>
    <row r="842" spans="1:25">
      <c r="A842" s="64">
        <v>16</v>
      </c>
      <c r="B842" s="65" t="str">
        <f>VLOOKUP(Tabel10[[#This Row],[Code]],Ruimtegroepen[[Code]:[Ruimte omschrijving]],2,FALSE)</f>
        <v>Leslokalen</v>
      </c>
      <c r="C842" s="66" t="s">
        <v>982</v>
      </c>
      <c r="D842" s="65" t="s">
        <v>1</v>
      </c>
      <c r="E842" s="66" t="s">
        <v>99</v>
      </c>
      <c r="F842" s="66" t="s">
        <v>984</v>
      </c>
      <c r="G842" s="67" t="s">
        <v>18</v>
      </c>
      <c r="H842" s="67" t="s">
        <v>17</v>
      </c>
      <c r="I842" s="67" t="s">
        <v>282</v>
      </c>
      <c r="J842" s="67" t="s">
        <v>282</v>
      </c>
      <c r="K842" s="67" t="s">
        <v>282</v>
      </c>
      <c r="L842" s="67" t="s">
        <v>282</v>
      </c>
      <c r="M842" s="67" t="s">
        <v>282</v>
      </c>
      <c r="N842" s="67" t="s">
        <v>282</v>
      </c>
      <c r="O842" s="68" t="s">
        <v>2</v>
      </c>
      <c r="P842" s="68" t="s">
        <v>2</v>
      </c>
      <c r="Q842" s="68" t="s">
        <v>15</v>
      </c>
      <c r="R842" s="68" t="s">
        <v>15</v>
      </c>
      <c r="S842" s="68" t="s">
        <v>16</v>
      </c>
      <c r="T842" s="68" t="s">
        <v>329</v>
      </c>
      <c r="U842" s="68" t="s">
        <v>249</v>
      </c>
      <c r="V842" s="68" t="s">
        <v>282</v>
      </c>
      <c r="W842" s="69" t="s">
        <v>282</v>
      </c>
      <c r="X842" s="69" t="s">
        <v>282</v>
      </c>
      <c r="Y842" s="70" t="s">
        <v>282</v>
      </c>
    </row>
    <row r="843" spans="1:25">
      <c r="A843" s="64">
        <v>16</v>
      </c>
      <c r="B843" s="65" t="str">
        <f>VLOOKUP(Tabel10[[#This Row],[Code]],Ruimtegroepen[[Code]:[Ruimte omschrijving]],2,FALSE)</f>
        <v>Leslokalen</v>
      </c>
      <c r="C843" s="66" t="s">
        <v>982</v>
      </c>
      <c r="D843" s="65" t="s">
        <v>1</v>
      </c>
      <c r="E843" s="66" t="s">
        <v>1309</v>
      </c>
      <c r="F843" s="66" t="s">
        <v>1473</v>
      </c>
      <c r="G843" s="71" t="s">
        <v>282</v>
      </c>
      <c r="H843" s="67" t="s">
        <v>282</v>
      </c>
      <c r="I843" s="67" t="s">
        <v>20</v>
      </c>
      <c r="J843" s="67" t="s">
        <v>15</v>
      </c>
      <c r="K843" s="67" t="s">
        <v>16</v>
      </c>
      <c r="L843" s="67" t="s">
        <v>282</v>
      </c>
      <c r="M843" s="67" t="s">
        <v>282</v>
      </c>
      <c r="N843" s="67" t="s">
        <v>282</v>
      </c>
      <c r="O843" s="68" t="s">
        <v>2</v>
      </c>
      <c r="P843" s="68" t="s">
        <v>2</v>
      </c>
      <c r="Q843" s="68" t="s">
        <v>15</v>
      </c>
      <c r="R843" s="68" t="s">
        <v>15</v>
      </c>
      <c r="S843" s="68" t="s">
        <v>16</v>
      </c>
      <c r="T843" s="68" t="s">
        <v>329</v>
      </c>
      <c r="U843" s="68" t="s">
        <v>249</v>
      </c>
      <c r="V843" s="68" t="s">
        <v>282</v>
      </c>
      <c r="W843" s="69" t="s">
        <v>282</v>
      </c>
      <c r="X843" s="69" t="s">
        <v>282</v>
      </c>
      <c r="Y843" s="70" t="s">
        <v>282</v>
      </c>
    </row>
    <row r="844" spans="1:25">
      <c r="A844" s="64">
        <v>16</v>
      </c>
      <c r="B844" s="65" t="str">
        <f>VLOOKUP(Tabel10[[#This Row],[Code]],Ruimtegroepen[[Code]:[Ruimte omschrijving]],2,FALSE)</f>
        <v>Leslokalen</v>
      </c>
      <c r="C844" s="66" t="s">
        <v>987</v>
      </c>
      <c r="D844" s="65" t="s">
        <v>21</v>
      </c>
      <c r="E844" s="66" t="s">
        <v>100</v>
      </c>
      <c r="F844" s="66" t="s">
        <v>988</v>
      </c>
      <c r="G844" s="71" t="s">
        <v>282</v>
      </c>
      <c r="H844" s="67" t="s">
        <v>282</v>
      </c>
      <c r="I844" s="67" t="s">
        <v>18</v>
      </c>
      <c r="J844" s="67" t="s">
        <v>15</v>
      </c>
      <c r="K844" s="67" t="s">
        <v>282</v>
      </c>
      <c r="L844" s="67" t="s">
        <v>282</v>
      </c>
      <c r="M844" s="67" t="s">
        <v>282</v>
      </c>
      <c r="N844" s="67" t="s">
        <v>282</v>
      </c>
      <c r="O844" s="68" t="s">
        <v>20</v>
      </c>
      <c r="P844" s="68" t="s">
        <v>20</v>
      </c>
      <c r="Q844" s="68" t="s">
        <v>15</v>
      </c>
      <c r="R844" s="68" t="s">
        <v>15</v>
      </c>
      <c r="S844" s="68" t="s">
        <v>16</v>
      </c>
      <c r="T844" s="68" t="s">
        <v>329</v>
      </c>
      <c r="U844" s="68" t="s">
        <v>249</v>
      </c>
      <c r="V844" s="68" t="s">
        <v>282</v>
      </c>
      <c r="W844" s="69" t="s">
        <v>282</v>
      </c>
      <c r="X844" s="69" t="s">
        <v>282</v>
      </c>
      <c r="Y844" s="70" t="s">
        <v>282</v>
      </c>
    </row>
    <row r="845" spans="1:25">
      <c r="A845" s="64">
        <v>16</v>
      </c>
      <c r="B845" s="65" t="str">
        <f>VLOOKUP(Tabel10[[#This Row],[Code]],Ruimtegroepen[[Code]:[Ruimte omschrijving]],2,FALSE)</f>
        <v>Leslokalen</v>
      </c>
      <c r="C845" s="66" t="s">
        <v>987</v>
      </c>
      <c r="D845" s="65" t="s">
        <v>21</v>
      </c>
      <c r="E845" s="66" t="s">
        <v>99</v>
      </c>
      <c r="F845" s="66" t="s">
        <v>989</v>
      </c>
      <c r="G845" s="67" t="s">
        <v>17</v>
      </c>
      <c r="H845" s="67" t="s">
        <v>17</v>
      </c>
      <c r="I845" s="67" t="s">
        <v>282</v>
      </c>
      <c r="J845" s="67" t="s">
        <v>282</v>
      </c>
      <c r="K845" s="67" t="s">
        <v>282</v>
      </c>
      <c r="L845" s="67" t="s">
        <v>282</v>
      </c>
      <c r="M845" s="67" t="s">
        <v>282</v>
      </c>
      <c r="N845" s="67" t="s">
        <v>282</v>
      </c>
      <c r="O845" s="68" t="s">
        <v>20</v>
      </c>
      <c r="P845" s="68" t="s">
        <v>20</v>
      </c>
      <c r="Q845" s="68" t="s">
        <v>15</v>
      </c>
      <c r="R845" s="68" t="s">
        <v>15</v>
      </c>
      <c r="S845" s="68" t="s">
        <v>16</v>
      </c>
      <c r="T845" s="68" t="s">
        <v>329</v>
      </c>
      <c r="U845" s="68" t="s">
        <v>249</v>
      </c>
      <c r="V845" s="68" t="s">
        <v>282</v>
      </c>
      <c r="W845" s="69" t="s">
        <v>282</v>
      </c>
      <c r="X845" s="69" t="s">
        <v>282</v>
      </c>
      <c r="Y845" s="70" t="s">
        <v>282</v>
      </c>
    </row>
    <row r="846" spans="1:25">
      <c r="A846" s="64">
        <v>16</v>
      </c>
      <c r="B846" s="65" t="str">
        <f>VLOOKUP(Tabel10[[#This Row],[Code]],Ruimtegroepen[[Code]:[Ruimte omschrijving]],2,FALSE)</f>
        <v>Leslokalen</v>
      </c>
      <c r="C846" s="66" t="s">
        <v>987</v>
      </c>
      <c r="D846" s="65" t="s">
        <v>21</v>
      </c>
      <c r="E846" s="66" t="s">
        <v>101</v>
      </c>
      <c r="F846" s="66" t="s">
        <v>990</v>
      </c>
      <c r="G846" s="71" t="s">
        <v>282</v>
      </c>
      <c r="H846" s="67" t="s">
        <v>282</v>
      </c>
      <c r="I846" s="67" t="s">
        <v>18</v>
      </c>
      <c r="J846" s="67" t="s">
        <v>15</v>
      </c>
      <c r="K846" s="67" t="s">
        <v>16</v>
      </c>
      <c r="L846" s="67" t="s">
        <v>282</v>
      </c>
      <c r="M846" s="67" t="s">
        <v>282</v>
      </c>
      <c r="N846" s="67" t="s">
        <v>282</v>
      </c>
      <c r="O846" s="68" t="s">
        <v>20</v>
      </c>
      <c r="P846" s="68" t="s">
        <v>20</v>
      </c>
      <c r="Q846" s="68" t="s">
        <v>15</v>
      </c>
      <c r="R846" s="68" t="s">
        <v>15</v>
      </c>
      <c r="S846" s="68" t="s">
        <v>16</v>
      </c>
      <c r="T846" s="68" t="s">
        <v>329</v>
      </c>
      <c r="U846" s="68" t="s">
        <v>249</v>
      </c>
      <c r="V846" s="68" t="s">
        <v>282</v>
      </c>
      <c r="W846" s="69" t="s">
        <v>282</v>
      </c>
      <c r="X846" s="69" t="s">
        <v>282</v>
      </c>
      <c r="Y846" s="70" t="s">
        <v>282</v>
      </c>
    </row>
    <row r="847" spans="1:25">
      <c r="A847" s="64">
        <v>16</v>
      </c>
      <c r="B847" s="65" t="str">
        <f>VLOOKUP(Tabel10[[#This Row],[Code]],Ruimtegroepen[[Code]:[Ruimte omschrijving]],2,FALSE)</f>
        <v>Leslokalen</v>
      </c>
      <c r="C847" s="66" t="s">
        <v>987</v>
      </c>
      <c r="D847" s="65" t="s">
        <v>21</v>
      </c>
      <c r="E847" s="66" t="s">
        <v>102</v>
      </c>
      <c r="F847" s="66" t="s">
        <v>991</v>
      </c>
      <c r="G847" s="71" t="s">
        <v>282</v>
      </c>
      <c r="H847" s="67" t="s">
        <v>282</v>
      </c>
      <c r="I847" s="67" t="s">
        <v>18</v>
      </c>
      <c r="J847" s="67" t="s">
        <v>15</v>
      </c>
      <c r="K847" s="67" t="s">
        <v>16</v>
      </c>
      <c r="L847" s="67" t="s">
        <v>282</v>
      </c>
      <c r="M847" s="67" t="s">
        <v>282</v>
      </c>
      <c r="N847" s="67" t="s">
        <v>282</v>
      </c>
      <c r="O847" s="68" t="s">
        <v>20</v>
      </c>
      <c r="P847" s="68" t="s">
        <v>20</v>
      </c>
      <c r="Q847" s="68" t="s">
        <v>15</v>
      </c>
      <c r="R847" s="68" t="s">
        <v>15</v>
      </c>
      <c r="S847" s="68" t="s">
        <v>16</v>
      </c>
      <c r="T847" s="68" t="s">
        <v>329</v>
      </c>
      <c r="U847" s="68" t="s">
        <v>249</v>
      </c>
      <c r="V847" s="68" t="s">
        <v>282</v>
      </c>
      <c r="W847" s="69" t="s">
        <v>282</v>
      </c>
      <c r="X847" s="69" t="s">
        <v>282</v>
      </c>
      <c r="Y847" s="70" t="s">
        <v>282</v>
      </c>
    </row>
    <row r="848" spans="1:25">
      <c r="A848" s="64">
        <v>16</v>
      </c>
      <c r="B848" s="65" t="str">
        <f>VLOOKUP(Tabel10[[#This Row],[Code]],Ruimtegroepen[[Code]:[Ruimte omschrijving]],2,FALSE)</f>
        <v>Leslokalen</v>
      </c>
      <c r="C848" s="66" t="s">
        <v>987</v>
      </c>
      <c r="D848" s="65" t="s">
        <v>21</v>
      </c>
      <c r="E848" s="66" t="s">
        <v>99</v>
      </c>
      <c r="F848" s="66" t="s">
        <v>989</v>
      </c>
      <c r="G848" s="67" t="s">
        <v>17</v>
      </c>
      <c r="H848" s="67" t="s">
        <v>17</v>
      </c>
      <c r="I848" s="67" t="s">
        <v>282</v>
      </c>
      <c r="J848" s="67" t="s">
        <v>282</v>
      </c>
      <c r="K848" s="67" t="s">
        <v>282</v>
      </c>
      <c r="L848" s="67" t="s">
        <v>282</v>
      </c>
      <c r="M848" s="67" t="s">
        <v>282</v>
      </c>
      <c r="N848" s="67" t="s">
        <v>282</v>
      </c>
      <c r="O848" s="68" t="s">
        <v>282</v>
      </c>
      <c r="P848" s="68" t="s">
        <v>282</v>
      </c>
      <c r="Q848" s="68" t="s">
        <v>282</v>
      </c>
      <c r="R848" s="68" t="s">
        <v>282</v>
      </c>
      <c r="S848" s="68" t="s">
        <v>282</v>
      </c>
      <c r="T848" s="68" t="s">
        <v>282</v>
      </c>
      <c r="U848" s="68" t="s">
        <v>282</v>
      </c>
      <c r="V848" s="68" t="s">
        <v>282</v>
      </c>
      <c r="W848" s="69" t="s">
        <v>282</v>
      </c>
      <c r="X848" s="69" t="s">
        <v>282</v>
      </c>
      <c r="Y848" s="70" t="s">
        <v>282</v>
      </c>
    </row>
    <row r="849" spans="1:25">
      <c r="A849" s="64">
        <v>16</v>
      </c>
      <c r="B849" s="65" t="str">
        <f>VLOOKUP(Tabel10[[#This Row],[Code]],Ruimtegroepen[[Code]:[Ruimte omschrijving]],2,FALSE)</f>
        <v>Leslokalen</v>
      </c>
      <c r="C849" s="66" t="s">
        <v>987</v>
      </c>
      <c r="D849" s="65" t="s">
        <v>21</v>
      </c>
      <c r="E849" s="66" t="s">
        <v>1309</v>
      </c>
      <c r="F849" s="66" t="s">
        <v>1456</v>
      </c>
      <c r="G849" s="71" t="s">
        <v>282</v>
      </c>
      <c r="H849" s="67" t="s">
        <v>282</v>
      </c>
      <c r="I849" s="67" t="s">
        <v>18</v>
      </c>
      <c r="J849" s="67" t="s">
        <v>15</v>
      </c>
      <c r="K849" s="67" t="s">
        <v>16</v>
      </c>
      <c r="L849" s="67" t="s">
        <v>282</v>
      </c>
      <c r="M849" s="67" t="s">
        <v>282</v>
      </c>
      <c r="N849" s="67" t="s">
        <v>282</v>
      </c>
      <c r="O849" s="68" t="s">
        <v>20</v>
      </c>
      <c r="P849" s="68" t="s">
        <v>20</v>
      </c>
      <c r="Q849" s="68" t="s">
        <v>15</v>
      </c>
      <c r="R849" s="68" t="s">
        <v>15</v>
      </c>
      <c r="S849" s="68" t="s">
        <v>16</v>
      </c>
      <c r="T849" s="68" t="s">
        <v>329</v>
      </c>
      <c r="U849" s="68" t="s">
        <v>249</v>
      </c>
      <c r="V849" s="68" t="s">
        <v>282</v>
      </c>
      <c r="W849" s="69" t="s">
        <v>282</v>
      </c>
      <c r="X849" s="69" t="s">
        <v>282</v>
      </c>
      <c r="Y849" s="70" t="s">
        <v>282</v>
      </c>
    </row>
    <row r="850" spans="1:25">
      <c r="A850" s="64">
        <v>16</v>
      </c>
      <c r="B850" s="65" t="str">
        <f>VLOOKUP(Tabel10[[#This Row],[Code]],Ruimtegroepen[[Code]:[Ruimte omschrijving]],2,FALSE)</f>
        <v>Leslokalen</v>
      </c>
      <c r="C850" s="66" t="s">
        <v>992</v>
      </c>
      <c r="D850" s="65" t="s">
        <v>12</v>
      </c>
      <c r="E850" s="66" t="s">
        <v>100</v>
      </c>
      <c r="F850" s="66" t="s">
        <v>993</v>
      </c>
      <c r="G850" s="71" t="s">
        <v>282</v>
      </c>
      <c r="H850" s="67" t="s">
        <v>282</v>
      </c>
      <c r="I850" s="67" t="s">
        <v>17</v>
      </c>
      <c r="J850" s="67" t="s">
        <v>15</v>
      </c>
      <c r="K850" s="67" t="s">
        <v>282</v>
      </c>
      <c r="L850" s="67" t="s">
        <v>282</v>
      </c>
      <c r="M850" s="67" t="s">
        <v>282</v>
      </c>
      <c r="N850" s="67" t="s">
        <v>282</v>
      </c>
      <c r="O850" s="68" t="s">
        <v>18</v>
      </c>
      <c r="P850" s="68" t="s">
        <v>18</v>
      </c>
      <c r="Q850" s="68" t="s">
        <v>15</v>
      </c>
      <c r="R850" s="68" t="s">
        <v>15</v>
      </c>
      <c r="S850" s="68" t="s">
        <v>16</v>
      </c>
      <c r="T850" s="68" t="s">
        <v>329</v>
      </c>
      <c r="U850" s="68" t="s">
        <v>249</v>
      </c>
      <c r="V850" s="68" t="s">
        <v>282</v>
      </c>
      <c r="W850" s="69" t="s">
        <v>282</v>
      </c>
      <c r="X850" s="69" t="s">
        <v>282</v>
      </c>
      <c r="Y850" s="70" t="s">
        <v>282</v>
      </c>
    </row>
    <row r="851" spans="1:25">
      <c r="A851" s="64">
        <v>16</v>
      </c>
      <c r="B851" s="65" t="str">
        <f>VLOOKUP(Tabel10[[#This Row],[Code]],Ruimtegroepen[[Code]:[Ruimte omschrijving]],2,FALSE)</f>
        <v>Leslokalen</v>
      </c>
      <c r="C851" s="66" t="s">
        <v>992</v>
      </c>
      <c r="D851" s="65" t="s">
        <v>12</v>
      </c>
      <c r="E851" s="66" t="s">
        <v>99</v>
      </c>
      <c r="F851" s="66" t="s">
        <v>994</v>
      </c>
      <c r="G851" s="67" t="s">
        <v>17</v>
      </c>
      <c r="H851" s="67" t="s">
        <v>15</v>
      </c>
      <c r="I851" s="67" t="s">
        <v>282</v>
      </c>
      <c r="J851" s="67" t="s">
        <v>282</v>
      </c>
      <c r="K851" s="67" t="s">
        <v>282</v>
      </c>
      <c r="L851" s="67" t="s">
        <v>282</v>
      </c>
      <c r="M851" s="67" t="s">
        <v>282</v>
      </c>
      <c r="N851" s="67" t="s">
        <v>282</v>
      </c>
      <c r="O851" s="68" t="s">
        <v>18</v>
      </c>
      <c r="P851" s="68" t="s">
        <v>18</v>
      </c>
      <c r="Q851" s="68" t="s">
        <v>15</v>
      </c>
      <c r="R851" s="68" t="s">
        <v>15</v>
      </c>
      <c r="S851" s="68" t="s">
        <v>16</v>
      </c>
      <c r="T851" s="68" t="s">
        <v>329</v>
      </c>
      <c r="U851" s="68" t="s">
        <v>249</v>
      </c>
      <c r="V851" s="68" t="s">
        <v>282</v>
      </c>
      <c r="W851" s="69" t="s">
        <v>282</v>
      </c>
      <c r="X851" s="69" t="s">
        <v>282</v>
      </c>
      <c r="Y851" s="70" t="s">
        <v>282</v>
      </c>
    </row>
    <row r="852" spans="1:25">
      <c r="A852" s="64">
        <v>16</v>
      </c>
      <c r="B852" s="65" t="str">
        <f>VLOOKUP(Tabel10[[#This Row],[Code]],Ruimtegroepen[[Code]:[Ruimte omschrijving]],2,FALSE)</f>
        <v>Leslokalen</v>
      </c>
      <c r="C852" s="66" t="s">
        <v>992</v>
      </c>
      <c r="D852" s="65" t="s">
        <v>12</v>
      </c>
      <c r="E852" s="66" t="s">
        <v>101</v>
      </c>
      <c r="F852" s="66" t="s">
        <v>995</v>
      </c>
      <c r="G852" s="71" t="s">
        <v>282</v>
      </c>
      <c r="H852" s="67" t="s">
        <v>282</v>
      </c>
      <c r="I852" s="67" t="s">
        <v>17</v>
      </c>
      <c r="J852" s="67" t="s">
        <v>15</v>
      </c>
      <c r="K852" s="67" t="s">
        <v>16</v>
      </c>
      <c r="L852" s="67" t="s">
        <v>282</v>
      </c>
      <c r="M852" s="67" t="s">
        <v>282</v>
      </c>
      <c r="N852" s="67" t="s">
        <v>282</v>
      </c>
      <c r="O852" s="68" t="s">
        <v>18</v>
      </c>
      <c r="P852" s="68" t="s">
        <v>18</v>
      </c>
      <c r="Q852" s="68" t="s">
        <v>15</v>
      </c>
      <c r="R852" s="68" t="s">
        <v>15</v>
      </c>
      <c r="S852" s="68" t="s">
        <v>16</v>
      </c>
      <c r="T852" s="68" t="s">
        <v>329</v>
      </c>
      <c r="U852" s="68" t="s">
        <v>249</v>
      </c>
      <c r="V852" s="68" t="s">
        <v>282</v>
      </c>
      <c r="W852" s="69" t="s">
        <v>282</v>
      </c>
      <c r="X852" s="69" t="s">
        <v>282</v>
      </c>
      <c r="Y852" s="70" t="s">
        <v>282</v>
      </c>
    </row>
    <row r="853" spans="1:25">
      <c r="A853" s="64">
        <v>16</v>
      </c>
      <c r="B853" s="65" t="str">
        <f>VLOOKUP(Tabel10[[#This Row],[Code]],Ruimtegroepen[[Code]:[Ruimte omschrijving]],2,FALSE)</f>
        <v>Leslokalen</v>
      </c>
      <c r="C853" s="66" t="s">
        <v>992</v>
      </c>
      <c r="D853" s="65" t="s">
        <v>12</v>
      </c>
      <c r="E853" s="66" t="s">
        <v>102</v>
      </c>
      <c r="F853" s="66" t="s">
        <v>996</v>
      </c>
      <c r="G853" s="71" t="s">
        <v>282</v>
      </c>
      <c r="H853" s="67" t="s">
        <v>282</v>
      </c>
      <c r="I853" s="67" t="s">
        <v>17</v>
      </c>
      <c r="J853" s="67" t="s">
        <v>15</v>
      </c>
      <c r="K853" s="67" t="s">
        <v>16</v>
      </c>
      <c r="L853" s="67" t="s">
        <v>282</v>
      </c>
      <c r="M853" s="67" t="s">
        <v>282</v>
      </c>
      <c r="N853" s="67" t="s">
        <v>282</v>
      </c>
      <c r="O853" s="68" t="s">
        <v>18</v>
      </c>
      <c r="P853" s="68" t="s">
        <v>18</v>
      </c>
      <c r="Q853" s="68" t="s">
        <v>15</v>
      </c>
      <c r="R853" s="68" t="s">
        <v>15</v>
      </c>
      <c r="S853" s="68" t="s">
        <v>16</v>
      </c>
      <c r="T853" s="68" t="s">
        <v>329</v>
      </c>
      <c r="U853" s="68" t="s">
        <v>249</v>
      </c>
      <c r="V853" s="68" t="s">
        <v>282</v>
      </c>
      <c r="W853" s="69" t="s">
        <v>282</v>
      </c>
      <c r="X853" s="69" t="s">
        <v>282</v>
      </c>
      <c r="Y853" s="70" t="s">
        <v>282</v>
      </c>
    </row>
    <row r="854" spans="1:25">
      <c r="A854" s="64">
        <v>16</v>
      </c>
      <c r="B854" s="65" t="str">
        <f>VLOOKUP(Tabel10[[#This Row],[Code]],Ruimtegroepen[[Code]:[Ruimte omschrijving]],2,FALSE)</f>
        <v>Leslokalen</v>
      </c>
      <c r="C854" s="66" t="s">
        <v>992</v>
      </c>
      <c r="D854" s="65" t="s">
        <v>12</v>
      </c>
      <c r="E854" s="66" t="s">
        <v>99</v>
      </c>
      <c r="F854" s="66" t="s">
        <v>994</v>
      </c>
      <c r="G854" s="67" t="s">
        <v>17</v>
      </c>
      <c r="H854" s="67" t="s">
        <v>15</v>
      </c>
      <c r="I854" s="67" t="s">
        <v>282</v>
      </c>
      <c r="J854" s="67" t="s">
        <v>282</v>
      </c>
      <c r="K854" s="67" t="s">
        <v>282</v>
      </c>
      <c r="L854" s="67" t="s">
        <v>282</v>
      </c>
      <c r="M854" s="67" t="s">
        <v>282</v>
      </c>
      <c r="N854" s="67" t="s">
        <v>282</v>
      </c>
      <c r="O854" s="68" t="s">
        <v>282</v>
      </c>
      <c r="P854" s="68" t="s">
        <v>282</v>
      </c>
      <c r="Q854" s="68" t="s">
        <v>282</v>
      </c>
      <c r="R854" s="68" t="s">
        <v>282</v>
      </c>
      <c r="S854" s="68" t="s">
        <v>282</v>
      </c>
      <c r="T854" s="68" t="s">
        <v>282</v>
      </c>
      <c r="U854" s="68" t="s">
        <v>282</v>
      </c>
      <c r="V854" s="68" t="s">
        <v>282</v>
      </c>
      <c r="W854" s="69" t="s">
        <v>282</v>
      </c>
      <c r="X854" s="69" t="s">
        <v>282</v>
      </c>
      <c r="Y854" s="70" t="s">
        <v>282</v>
      </c>
    </row>
    <row r="855" spans="1:25">
      <c r="A855" s="64">
        <v>16</v>
      </c>
      <c r="B855" s="65" t="str">
        <f>VLOOKUP(Tabel10[[#This Row],[Code]],Ruimtegroepen[[Code]:[Ruimte omschrijving]],2,FALSE)</f>
        <v>Leslokalen</v>
      </c>
      <c r="C855" s="66" t="s">
        <v>992</v>
      </c>
      <c r="D855" s="65" t="s">
        <v>12</v>
      </c>
      <c r="E855" s="66" t="s">
        <v>1309</v>
      </c>
      <c r="F855" s="66" t="s">
        <v>1438</v>
      </c>
      <c r="G855" s="71" t="s">
        <v>282</v>
      </c>
      <c r="H855" s="67" t="s">
        <v>282</v>
      </c>
      <c r="I855" s="67" t="s">
        <v>17</v>
      </c>
      <c r="J855" s="67" t="s">
        <v>15</v>
      </c>
      <c r="K855" s="67" t="s">
        <v>16</v>
      </c>
      <c r="L855" s="67" t="s">
        <v>282</v>
      </c>
      <c r="M855" s="67" t="s">
        <v>282</v>
      </c>
      <c r="N855" s="67" t="s">
        <v>282</v>
      </c>
      <c r="O855" s="68" t="s">
        <v>18</v>
      </c>
      <c r="P855" s="68" t="s">
        <v>18</v>
      </c>
      <c r="Q855" s="68" t="s">
        <v>15</v>
      </c>
      <c r="R855" s="68" t="s">
        <v>15</v>
      </c>
      <c r="S855" s="68" t="s">
        <v>16</v>
      </c>
      <c r="T855" s="68" t="s">
        <v>329</v>
      </c>
      <c r="U855" s="68" t="s">
        <v>249</v>
      </c>
      <c r="V855" s="68" t="s">
        <v>282</v>
      </c>
      <c r="W855" s="69" t="s">
        <v>282</v>
      </c>
      <c r="X855" s="69" t="s">
        <v>282</v>
      </c>
      <c r="Y855" s="70" t="s">
        <v>282</v>
      </c>
    </row>
    <row r="856" spans="1:25">
      <c r="A856" s="64">
        <v>16</v>
      </c>
      <c r="B856" s="65" t="str">
        <f>VLOOKUP(Tabel10[[#This Row],[Code]],Ruimtegroepen[[Code]:[Ruimte omschrijving]],2,FALSE)</f>
        <v>Leslokalen</v>
      </c>
      <c r="C856" s="66" t="s">
        <v>997</v>
      </c>
      <c r="D856" s="65" t="s">
        <v>14</v>
      </c>
      <c r="E856" s="66" t="s">
        <v>100</v>
      </c>
      <c r="F856" s="66" t="s">
        <v>998</v>
      </c>
      <c r="G856" s="71" t="s">
        <v>282</v>
      </c>
      <c r="H856" s="67" t="s">
        <v>282</v>
      </c>
      <c r="I856" s="67" t="s">
        <v>282</v>
      </c>
      <c r="J856" s="67" t="s">
        <v>17</v>
      </c>
      <c r="K856" s="67" t="s">
        <v>282</v>
      </c>
      <c r="L856" s="67" t="s">
        <v>282</v>
      </c>
      <c r="M856" s="67" t="s">
        <v>282</v>
      </c>
      <c r="N856" s="67" t="s">
        <v>282</v>
      </c>
      <c r="O856" s="68" t="s">
        <v>17</v>
      </c>
      <c r="P856" s="68" t="s">
        <v>17</v>
      </c>
      <c r="Q856" s="68" t="s">
        <v>15</v>
      </c>
      <c r="R856" s="68" t="s">
        <v>15</v>
      </c>
      <c r="S856" s="68" t="s">
        <v>16</v>
      </c>
      <c r="T856" s="68" t="s">
        <v>329</v>
      </c>
      <c r="U856" s="68" t="s">
        <v>249</v>
      </c>
      <c r="V856" s="68" t="s">
        <v>282</v>
      </c>
      <c r="W856" s="69" t="s">
        <v>282</v>
      </c>
      <c r="X856" s="69" t="s">
        <v>282</v>
      </c>
      <c r="Y856" s="70" t="s">
        <v>282</v>
      </c>
    </row>
    <row r="857" spans="1:25">
      <c r="A857" s="64">
        <v>16</v>
      </c>
      <c r="B857" s="65" t="str">
        <f>VLOOKUP(Tabel10[[#This Row],[Code]],Ruimtegroepen[[Code]:[Ruimte omschrijving]],2,FALSE)</f>
        <v>Leslokalen</v>
      </c>
      <c r="C857" s="66" t="s">
        <v>997</v>
      </c>
      <c r="D857" s="65" t="s">
        <v>14</v>
      </c>
      <c r="E857" s="66" t="s">
        <v>99</v>
      </c>
      <c r="F857" s="66" t="s">
        <v>999</v>
      </c>
      <c r="G857" s="67" t="s">
        <v>15</v>
      </c>
      <c r="H857" s="67" t="s">
        <v>15</v>
      </c>
      <c r="I857" s="67" t="s">
        <v>282</v>
      </c>
      <c r="J857" s="67" t="s">
        <v>282</v>
      </c>
      <c r="K857" s="67" t="s">
        <v>282</v>
      </c>
      <c r="L857" s="67" t="s">
        <v>282</v>
      </c>
      <c r="M857" s="67" t="s">
        <v>282</v>
      </c>
      <c r="N857" s="67" t="s">
        <v>282</v>
      </c>
      <c r="O857" s="68" t="s">
        <v>17</v>
      </c>
      <c r="P857" s="68" t="s">
        <v>17</v>
      </c>
      <c r="Q857" s="68" t="s">
        <v>15</v>
      </c>
      <c r="R857" s="68" t="s">
        <v>15</v>
      </c>
      <c r="S857" s="68" t="s">
        <v>16</v>
      </c>
      <c r="T857" s="68" t="s">
        <v>329</v>
      </c>
      <c r="U857" s="68" t="s">
        <v>249</v>
      </c>
      <c r="V857" s="68" t="s">
        <v>282</v>
      </c>
      <c r="W857" s="69" t="s">
        <v>282</v>
      </c>
      <c r="X857" s="69" t="s">
        <v>282</v>
      </c>
      <c r="Y857" s="70" t="s">
        <v>282</v>
      </c>
    </row>
    <row r="858" spans="1:25">
      <c r="A858" s="64">
        <v>16</v>
      </c>
      <c r="B858" s="65" t="str">
        <f>VLOOKUP(Tabel10[[#This Row],[Code]],Ruimtegroepen[[Code]:[Ruimte omschrijving]],2,FALSE)</f>
        <v>Leslokalen</v>
      </c>
      <c r="C858" s="66" t="s">
        <v>997</v>
      </c>
      <c r="D858" s="65" t="s">
        <v>14</v>
      </c>
      <c r="E858" s="66" t="s">
        <v>101</v>
      </c>
      <c r="F858" s="66" t="s">
        <v>1000</v>
      </c>
      <c r="G858" s="71" t="s">
        <v>282</v>
      </c>
      <c r="H858" s="67" t="s">
        <v>282</v>
      </c>
      <c r="I858" s="67" t="s">
        <v>282</v>
      </c>
      <c r="J858" s="67" t="s">
        <v>17</v>
      </c>
      <c r="K858" s="67" t="s">
        <v>16</v>
      </c>
      <c r="L858" s="67" t="s">
        <v>282</v>
      </c>
      <c r="M858" s="67" t="s">
        <v>282</v>
      </c>
      <c r="N858" s="67" t="s">
        <v>282</v>
      </c>
      <c r="O858" s="68" t="s">
        <v>17</v>
      </c>
      <c r="P858" s="68" t="s">
        <v>17</v>
      </c>
      <c r="Q858" s="68" t="s">
        <v>15</v>
      </c>
      <c r="R858" s="68" t="s">
        <v>15</v>
      </c>
      <c r="S858" s="68" t="s">
        <v>16</v>
      </c>
      <c r="T858" s="68" t="s">
        <v>329</v>
      </c>
      <c r="U858" s="68" t="s">
        <v>249</v>
      </c>
      <c r="V858" s="68" t="s">
        <v>282</v>
      </c>
      <c r="W858" s="69" t="s">
        <v>282</v>
      </c>
      <c r="X858" s="69" t="s">
        <v>282</v>
      </c>
      <c r="Y858" s="70" t="s">
        <v>282</v>
      </c>
    </row>
    <row r="859" spans="1:25">
      <c r="A859" s="64">
        <v>16</v>
      </c>
      <c r="B859" s="65" t="str">
        <f>VLOOKUP(Tabel10[[#This Row],[Code]],Ruimtegroepen[[Code]:[Ruimte omschrijving]],2,FALSE)</f>
        <v>Leslokalen</v>
      </c>
      <c r="C859" s="66" t="s">
        <v>997</v>
      </c>
      <c r="D859" s="65" t="s">
        <v>14</v>
      </c>
      <c r="E859" s="66" t="s">
        <v>102</v>
      </c>
      <c r="F859" s="66" t="s">
        <v>1001</v>
      </c>
      <c r="G859" s="71" t="s">
        <v>282</v>
      </c>
      <c r="H859" s="67" t="s">
        <v>282</v>
      </c>
      <c r="I859" s="67" t="s">
        <v>282</v>
      </c>
      <c r="J859" s="67" t="s">
        <v>17</v>
      </c>
      <c r="K859" s="67" t="s">
        <v>16</v>
      </c>
      <c r="L859" s="67" t="s">
        <v>282</v>
      </c>
      <c r="M859" s="67" t="s">
        <v>282</v>
      </c>
      <c r="N859" s="67" t="s">
        <v>282</v>
      </c>
      <c r="O859" s="68" t="s">
        <v>17</v>
      </c>
      <c r="P859" s="68" t="s">
        <v>17</v>
      </c>
      <c r="Q859" s="68" t="s">
        <v>15</v>
      </c>
      <c r="R859" s="68" t="s">
        <v>15</v>
      </c>
      <c r="S859" s="68" t="s">
        <v>16</v>
      </c>
      <c r="T859" s="68" t="s">
        <v>329</v>
      </c>
      <c r="U859" s="68" t="s">
        <v>249</v>
      </c>
      <c r="V859" s="68" t="s">
        <v>282</v>
      </c>
      <c r="W859" s="69" t="s">
        <v>282</v>
      </c>
      <c r="X859" s="69" t="s">
        <v>282</v>
      </c>
      <c r="Y859" s="70" t="s">
        <v>282</v>
      </c>
    </row>
    <row r="860" spans="1:25">
      <c r="A860" s="64">
        <v>16</v>
      </c>
      <c r="B860" s="65" t="str">
        <f>VLOOKUP(Tabel10[[#This Row],[Code]],Ruimtegroepen[[Code]:[Ruimte omschrijving]],2,FALSE)</f>
        <v>Leslokalen</v>
      </c>
      <c r="C860" s="66" t="s">
        <v>997</v>
      </c>
      <c r="D860" s="65" t="s">
        <v>14</v>
      </c>
      <c r="E860" s="66" t="s">
        <v>99</v>
      </c>
      <c r="F860" s="66" t="s">
        <v>999</v>
      </c>
      <c r="G860" s="67" t="s">
        <v>15</v>
      </c>
      <c r="H860" s="67" t="s">
        <v>15</v>
      </c>
      <c r="I860" s="67" t="s">
        <v>282</v>
      </c>
      <c r="J860" s="67" t="s">
        <v>282</v>
      </c>
      <c r="K860" s="67" t="s">
        <v>282</v>
      </c>
      <c r="L860" s="67" t="s">
        <v>282</v>
      </c>
      <c r="M860" s="67" t="s">
        <v>282</v>
      </c>
      <c r="N860" s="67" t="s">
        <v>282</v>
      </c>
      <c r="O860" s="68" t="s">
        <v>282</v>
      </c>
      <c r="P860" s="68" t="s">
        <v>282</v>
      </c>
      <c r="Q860" s="68" t="s">
        <v>282</v>
      </c>
      <c r="R860" s="68" t="s">
        <v>282</v>
      </c>
      <c r="S860" s="68" t="s">
        <v>282</v>
      </c>
      <c r="T860" s="68" t="s">
        <v>282</v>
      </c>
      <c r="U860" s="68" t="s">
        <v>282</v>
      </c>
      <c r="V860" s="68" t="s">
        <v>282</v>
      </c>
      <c r="W860" s="69" t="s">
        <v>282</v>
      </c>
      <c r="X860" s="69" t="s">
        <v>282</v>
      </c>
      <c r="Y860" s="70" t="s">
        <v>282</v>
      </c>
    </row>
    <row r="861" spans="1:25">
      <c r="A861" s="64">
        <v>16</v>
      </c>
      <c r="B861" s="65" t="str">
        <f>VLOOKUP(Tabel10[[#This Row],[Code]],Ruimtegroepen[[Code]:[Ruimte omschrijving]],2,FALSE)</f>
        <v>Leslokalen</v>
      </c>
      <c r="C861" s="66" t="s">
        <v>997</v>
      </c>
      <c r="D861" s="65" t="s">
        <v>14</v>
      </c>
      <c r="E861" s="66" t="s">
        <v>1309</v>
      </c>
      <c r="F861" s="66" t="s">
        <v>1405</v>
      </c>
      <c r="G861" s="71" t="s">
        <v>282</v>
      </c>
      <c r="H861" s="67" t="s">
        <v>282</v>
      </c>
      <c r="I861" s="67" t="s">
        <v>282</v>
      </c>
      <c r="J861" s="67" t="s">
        <v>17</v>
      </c>
      <c r="K861" s="67" t="s">
        <v>16</v>
      </c>
      <c r="L861" s="67" t="s">
        <v>282</v>
      </c>
      <c r="M861" s="67" t="s">
        <v>282</v>
      </c>
      <c r="N861" s="67" t="s">
        <v>282</v>
      </c>
      <c r="O861" s="68" t="s">
        <v>17</v>
      </c>
      <c r="P861" s="68" t="s">
        <v>17</v>
      </c>
      <c r="Q861" s="68" t="s">
        <v>15</v>
      </c>
      <c r="R861" s="68" t="s">
        <v>15</v>
      </c>
      <c r="S861" s="68" t="s">
        <v>16</v>
      </c>
      <c r="T861" s="68" t="s">
        <v>329</v>
      </c>
      <c r="U861" s="68" t="s">
        <v>249</v>
      </c>
      <c r="V861" s="68" t="s">
        <v>282</v>
      </c>
      <c r="W861" s="69" t="s">
        <v>282</v>
      </c>
      <c r="X861" s="69" t="s">
        <v>282</v>
      </c>
      <c r="Y861" s="70" t="s">
        <v>282</v>
      </c>
    </row>
    <row r="862" spans="1:25">
      <c r="A862" s="64">
        <v>16</v>
      </c>
      <c r="B862" s="65" t="str">
        <f>VLOOKUP(Tabel10[[#This Row],[Code]],Ruimtegroepen[[Code]:[Ruimte omschrijving]],2,FALSE)</f>
        <v>Leslokalen</v>
      </c>
      <c r="C862" s="66" t="s">
        <v>1002</v>
      </c>
      <c r="D862" s="65" t="s">
        <v>13</v>
      </c>
      <c r="E862" s="66" t="s">
        <v>100</v>
      </c>
      <c r="F862" s="66" t="s">
        <v>1003</v>
      </c>
      <c r="G862" s="71" t="s">
        <v>282</v>
      </c>
      <c r="H862" s="67" t="s">
        <v>282</v>
      </c>
      <c r="I862" s="67" t="s">
        <v>282</v>
      </c>
      <c r="J862" s="67" t="s">
        <v>15</v>
      </c>
      <c r="K862" s="67" t="s">
        <v>282</v>
      </c>
      <c r="L862" s="67" t="s">
        <v>282</v>
      </c>
      <c r="M862" s="67" t="s">
        <v>282</v>
      </c>
      <c r="N862" s="67" t="s">
        <v>282</v>
      </c>
      <c r="O862" s="68" t="s">
        <v>15</v>
      </c>
      <c r="P862" s="68" t="s">
        <v>15</v>
      </c>
      <c r="Q862" s="68" t="s">
        <v>15</v>
      </c>
      <c r="R862" s="68" t="s">
        <v>15</v>
      </c>
      <c r="S862" s="68" t="s">
        <v>16</v>
      </c>
      <c r="T862" s="68" t="s">
        <v>329</v>
      </c>
      <c r="U862" s="68" t="s">
        <v>249</v>
      </c>
      <c r="V862" s="68" t="s">
        <v>282</v>
      </c>
      <c r="W862" s="69" t="s">
        <v>282</v>
      </c>
      <c r="X862" s="69" t="s">
        <v>282</v>
      </c>
      <c r="Y862" s="70" t="s">
        <v>282</v>
      </c>
    </row>
    <row r="863" spans="1:25">
      <c r="A863" s="64">
        <v>16</v>
      </c>
      <c r="B863" s="65" t="str">
        <f>VLOOKUP(Tabel10[[#This Row],[Code]],Ruimtegroepen[[Code]:[Ruimte omschrijving]],2,FALSE)</f>
        <v>Leslokalen</v>
      </c>
      <c r="C863" s="66" t="s">
        <v>1002</v>
      </c>
      <c r="D863" s="65" t="s">
        <v>13</v>
      </c>
      <c r="E863" s="66" t="s">
        <v>99</v>
      </c>
      <c r="F863" s="66" t="s">
        <v>1004</v>
      </c>
      <c r="G863" s="71" t="s">
        <v>282</v>
      </c>
      <c r="H863" s="67" t="s">
        <v>15</v>
      </c>
      <c r="I863" s="67" t="s">
        <v>282</v>
      </c>
      <c r="J863" s="67" t="s">
        <v>282</v>
      </c>
      <c r="K863" s="67" t="s">
        <v>282</v>
      </c>
      <c r="L863" s="67" t="s">
        <v>282</v>
      </c>
      <c r="M863" s="67" t="s">
        <v>282</v>
      </c>
      <c r="N863" s="67" t="s">
        <v>282</v>
      </c>
      <c r="O863" s="68" t="s">
        <v>15</v>
      </c>
      <c r="P863" s="68" t="s">
        <v>15</v>
      </c>
      <c r="Q863" s="68" t="s">
        <v>15</v>
      </c>
      <c r="R863" s="68" t="s">
        <v>15</v>
      </c>
      <c r="S863" s="68" t="s">
        <v>16</v>
      </c>
      <c r="T863" s="68" t="s">
        <v>329</v>
      </c>
      <c r="U863" s="68" t="s">
        <v>249</v>
      </c>
      <c r="V863" s="68" t="s">
        <v>282</v>
      </c>
      <c r="W863" s="69" t="s">
        <v>282</v>
      </c>
      <c r="X863" s="69" t="s">
        <v>282</v>
      </c>
      <c r="Y863" s="70" t="s">
        <v>282</v>
      </c>
    </row>
    <row r="864" spans="1:25">
      <c r="A864" s="64">
        <v>16</v>
      </c>
      <c r="B864" s="65" t="str">
        <f>VLOOKUP(Tabel10[[#This Row],[Code]],Ruimtegroepen[[Code]:[Ruimte omschrijving]],2,FALSE)</f>
        <v>Leslokalen</v>
      </c>
      <c r="C864" s="66" t="s">
        <v>1002</v>
      </c>
      <c r="D864" s="65" t="s">
        <v>13</v>
      </c>
      <c r="E864" s="66" t="s">
        <v>101</v>
      </c>
      <c r="F864" s="66" t="s">
        <v>1005</v>
      </c>
      <c r="G864" s="71" t="s">
        <v>282</v>
      </c>
      <c r="H864" s="67" t="s">
        <v>282</v>
      </c>
      <c r="I864" s="67" t="s">
        <v>282</v>
      </c>
      <c r="J864" s="67" t="s">
        <v>15</v>
      </c>
      <c r="K864" s="67" t="s">
        <v>16</v>
      </c>
      <c r="L864" s="67" t="s">
        <v>282</v>
      </c>
      <c r="M864" s="67" t="s">
        <v>282</v>
      </c>
      <c r="N864" s="67" t="s">
        <v>282</v>
      </c>
      <c r="O864" s="68" t="s">
        <v>15</v>
      </c>
      <c r="P864" s="68" t="s">
        <v>15</v>
      </c>
      <c r="Q864" s="68" t="s">
        <v>15</v>
      </c>
      <c r="R864" s="68" t="s">
        <v>15</v>
      </c>
      <c r="S864" s="68" t="s">
        <v>16</v>
      </c>
      <c r="T864" s="68" t="s">
        <v>329</v>
      </c>
      <c r="U864" s="68" t="s">
        <v>249</v>
      </c>
      <c r="V864" s="68" t="s">
        <v>282</v>
      </c>
      <c r="W864" s="69" t="s">
        <v>282</v>
      </c>
      <c r="X864" s="69" t="s">
        <v>282</v>
      </c>
      <c r="Y864" s="70" t="s">
        <v>282</v>
      </c>
    </row>
    <row r="865" spans="1:25">
      <c r="A865" s="64">
        <v>16</v>
      </c>
      <c r="B865" s="65" t="str">
        <f>VLOOKUP(Tabel10[[#This Row],[Code]],Ruimtegroepen[[Code]:[Ruimte omschrijving]],2,FALSE)</f>
        <v>Leslokalen</v>
      </c>
      <c r="C865" s="66" t="s">
        <v>1002</v>
      </c>
      <c r="D865" s="65" t="s">
        <v>13</v>
      </c>
      <c r="E865" s="66" t="s">
        <v>102</v>
      </c>
      <c r="F865" s="66" t="s">
        <v>1006</v>
      </c>
      <c r="G865" s="71" t="s">
        <v>282</v>
      </c>
      <c r="H865" s="67" t="s">
        <v>282</v>
      </c>
      <c r="I865" s="67" t="s">
        <v>282</v>
      </c>
      <c r="J865" s="67" t="s">
        <v>15</v>
      </c>
      <c r="K865" s="67" t="s">
        <v>16</v>
      </c>
      <c r="L865" s="67" t="s">
        <v>282</v>
      </c>
      <c r="M865" s="67" t="s">
        <v>282</v>
      </c>
      <c r="N865" s="67" t="s">
        <v>282</v>
      </c>
      <c r="O865" s="68" t="s">
        <v>15</v>
      </c>
      <c r="P865" s="68" t="s">
        <v>15</v>
      </c>
      <c r="Q865" s="68" t="s">
        <v>15</v>
      </c>
      <c r="R865" s="68" t="s">
        <v>15</v>
      </c>
      <c r="S865" s="68" t="s">
        <v>16</v>
      </c>
      <c r="T865" s="68" t="s">
        <v>329</v>
      </c>
      <c r="U865" s="68" t="s">
        <v>249</v>
      </c>
      <c r="V865" s="68" t="s">
        <v>282</v>
      </c>
      <c r="W865" s="69" t="s">
        <v>282</v>
      </c>
      <c r="X865" s="69" t="s">
        <v>282</v>
      </c>
      <c r="Y865" s="70" t="s">
        <v>282</v>
      </c>
    </row>
    <row r="866" spans="1:25">
      <c r="A866" s="64">
        <v>16</v>
      </c>
      <c r="B866" s="65" t="str">
        <f>VLOOKUP(Tabel10[[#This Row],[Code]],Ruimtegroepen[[Code]:[Ruimte omschrijving]],2,FALSE)</f>
        <v>Leslokalen</v>
      </c>
      <c r="C866" s="66" t="s">
        <v>1002</v>
      </c>
      <c r="D866" s="65" t="s">
        <v>13</v>
      </c>
      <c r="E866" s="66" t="s">
        <v>99</v>
      </c>
      <c r="F866" s="66" t="s">
        <v>1004</v>
      </c>
      <c r="G866" s="71" t="s">
        <v>282</v>
      </c>
      <c r="H866" s="67" t="s">
        <v>15</v>
      </c>
      <c r="I866" s="67" t="s">
        <v>282</v>
      </c>
      <c r="J866" s="67" t="s">
        <v>282</v>
      </c>
      <c r="K866" s="67" t="s">
        <v>282</v>
      </c>
      <c r="L866" s="67" t="s">
        <v>282</v>
      </c>
      <c r="M866" s="67" t="s">
        <v>282</v>
      </c>
      <c r="N866" s="67" t="s">
        <v>282</v>
      </c>
      <c r="O866" s="68" t="s">
        <v>282</v>
      </c>
      <c r="P866" s="68" t="s">
        <v>282</v>
      </c>
      <c r="Q866" s="68" t="s">
        <v>282</v>
      </c>
      <c r="R866" s="68" t="s">
        <v>282</v>
      </c>
      <c r="S866" s="68" t="s">
        <v>282</v>
      </c>
      <c r="T866" s="68" t="s">
        <v>282</v>
      </c>
      <c r="U866" s="68" t="s">
        <v>282</v>
      </c>
      <c r="V866" s="68" t="s">
        <v>282</v>
      </c>
      <c r="W866" s="69" t="s">
        <v>282</v>
      </c>
      <c r="X866" s="69" t="s">
        <v>282</v>
      </c>
      <c r="Y866" s="70" t="s">
        <v>282</v>
      </c>
    </row>
    <row r="867" spans="1:25">
      <c r="A867" s="64">
        <v>16</v>
      </c>
      <c r="B867" s="65" t="str">
        <f>VLOOKUP(Tabel10[[#This Row],[Code]],Ruimtegroepen[[Code]:[Ruimte omschrijving]],2,FALSE)</f>
        <v>Leslokalen</v>
      </c>
      <c r="C867" s="66" t="s">
        <v>1002</v>
      </c>
      <c r="D867" s="65" t="s">
        <v>13</v>
      </c>
      <c r="E867" s="66" t="s">
        <v>1309</v>
      </c>
      <c r="F867" s="66" t="s">
        <v>1372</v>
      </c>
      <c r="G867" s="71" t="s">
        <v>282</v>
      </c>
      <c r="H867" s="67" t="s">
        <v>282</v>
      </c>
      <c r="I867" s="67" t="s">
        <v>282</v>
      </c>
      <c r="J867" s="67" t="s">
        <v>15</v>
      </c>
      <c r="K867" s="67" t="s">
        <v>16</v>
      </c>
      <c r="L867" s="67" t="s">
        <v>282</v>
      </c>
      <c r="M867" s="67" t="s">
        <v>282</v>
      </c>
      <c r="N867" s="67" t="s">
        <v>282</v>
      </c>
      <c r="O867" s="68" t="s">
        <v>15</v>
      </c>
      <c r="P867" s="68" t="s">
        <v>15</v>
      </c>
      <c r="Q867" s="68" t="s">
        <v>15</v>
      </c>
      <c r="R867" s="68" t="s">
        <v>15</v>
      </c>
      <c r="S867" s="68" t="s">
        <v>16</v>
      </c>
      <c r="T867" s="68" t="s">
        <v>329</v>
      </c>
      <c r="U867" s="68" t="s">
        <v>249</v>
      </c>
      <c r="V867" s="68" t="s">
        <v>282</v>
      </c>
      <c r="W867" s="69" t="s">
        <v>282</v>
      </c>
      <c r="X867" s="69" t="s">
        <v>282</v>
      </c>
      <c r="Y867" s="70" t="s">
        <v>282</v>
      </c>
    </row>
    <row r="868" spans="1:25">
      <c r="A868" s="64">
        <v>16</v>
      </c>
      <c r="B868" s="65" t="str">
        <f>VLOOKUP(Tabel10[[#This Row],[Code]],Ruimtegroepen[[Code]:[Ruimte omschrijving]],2,FALSE)</f>
        <v>Leslokalen</v>
      </c>
      <c r="C868" s="66" t="s">
        <v>1007</v>
      </c>
      <c r="D868" s="65" t="s">
        <v>0</v>
      </c>
      <c r="E868" s="66" t="s">
        <v>100</v>
      </c>
      <c r="F868" s="66" t="s">
        <v>1008</v>
      </c>
      <c r="G868" s="71" t="s">
        <v>282</v>
      </c>
      <c r="H868" s="67" t="s">
        <v>282</v>
      </c>
      <c r="I868" s="67" t="s">
        <v>16</v>
      </c>
      <c r="J868" s="67" t="s">
        <v>282</v>
      </c>
      <c r="K868" s="67" t="s">
        <v>282</v>
      </c>
      <c r="L868" s="67" t="s">
        <v>282</v>
      </c>
      <c r="M868" s="67" t="s">
        <v>282</v>
      </c>
      <c r="N868" s="67" t="s">
        <v>282</v>
      </c>
      <c r="O868" s="68" t="s">
        <v>16</v>
      </c>
      <c r="P868" s="68" t="s">
        <v>16</v>
      </c>
      <c r="Q868" s="68" t="s">
        <v>16</v>
      </c>
      <c r="R868" s="68" t="s">
        <v>16</v>
      </c>
      <c r="S868" s="68" t="s">
        <v>16</v>
      </c>
      <c r="T868" s="68" t="s">
        <v>329</v>
      </c>
      <c r="U868" s="68" t="s">
        <v>249</v>
      </c>
      <c r="V868" s="68" t="s">
        <v>282</v>
      </c>
      <c r="W868" s="69" t="s">
        <v>282</v>
      </c>
      <c r="X868" s="69" t="s">
        <v>282</v>
      </c>
      <c r="Y868" s="70" t="s">
        <v>282</v>
      </c>
    </row>
    <row r="869" spans="1:25">
      <c r="A869" s="64">
        <v>16</v>
      </c>
      <c r="B869" s="65" t="str">
        <f>VLOOKUP(Tabel10[[#This Row],[Code]],Ruimtegroepen[[Code]:[Ruimte omschrijving]],2,FALSE)</f>
        <v>Leslokalen</v>
      </c>
      <c r="C869" s="66" t="s">
        <v>1007</v>
      </c>
      <c r="D869" s="65" t="s">
        <v>0</v>
      </c>
      <c r="E869" s="66" t="s">
        <v>99</v>
      </c>
      <c r="F869" s="66" t="s">
        <v>1009</v>
      </c>
      <c r="G869" s="71" t="s">
        <v>282</v>
      </c>
      <c r="H869" s="67" t="s">
        <v>16</v>
      </c>
      <c r="I869" s="67" t="s">
        <v>282</v>
      </c>
      <c r="J869" s="67" t="s">
        <v>282</v>
      </c>
      <c r="K869" s="67" t="s">
        <v>282</v>
      </c>
      <c r="L869" s="67" t="s">
        <v>282</v>
      </c>
      <c r="M869" s="67" t="s">
        <v>282</v>
      </c>
      <c r="N869" s="67" t="s">
        <v>282</v>
      </c>
      <c r="O869" s="68" t="s">
        <v>16</v>
      </c>
      <c r="P869" s="68" t="s">
        <v>16</v>
      </c>
      <c r="Q869" s="68" t="s">
        <v>16</v>
      </c>
      <c r="R869" s="68" t="s">
        <v>16</v>
      </c>
      <c r="S869" s="68" t="s">
        <v>16</v>
      </c>
      <c r="T869" s="68" t="s">
        <v>329</v>
      </c>
      <c r="U869" s="68" t="s">
        <v>249</v>
      </c>
      <c r="V869" s="68" t="s">
        <v>282</v>
      </c>
      <c r="W869" s="69" t="s">
        <v>282</v>
      </c>
      <c r="X869" s="69" t="s">
        <v>282</v>
      </c>
      <c r="Y869" s="70" t="s">
        <v>282</v>
      </c>
    </row>
    <row r="870" spans="1:25">
      <c r="A870" s="64">
        <v>16</v>
      </c>
      <c r="B870" s="65" t="str">
        <f>VLOOKUP(Tabel10[[#This Row],[Code]],Ruimtegroepen[[Code]:[Ruimte omschrijving]],2,FALSE)</f>
        <v>Leslokalen</v>
      </c>
      <c r="C870" s="66" t="s">
        <v>1007</v>
      </c>
      <c r="D870" s="65" t="s">
        <v>0</v>
      </c>
      <c r="E870" s="66" t="s">
        <v>101</v>
      </c>
      <c r="F870" s="66" t="s">
        <v>1010</v>
      </c>
      <c r="G870" s="71" t="s">
        <v>282</v>
      </c>
      <c r="H870" s="67" t="s">
        <v>282</v>
      </c>
      <c r="I870" s="67" t="s">
        <v>282</v>
      </c>
      <c r="J870" s="67" t="s">
        <v>361</v>
      </c>
      <c r="K870" s="67" t="s">
        <v>16</v>
      </c>
      <c r="L870" s="67" t="s">
        <v>282</v>
      </c>
      <c r="M870" s="67" t="s">
        <v>282</v>
      </c>
      <c r="N870" s="67" t="s">
        <v>282</v>
      </c>
      <c r="O870" s="68" t="s">
        <v>16</v>
      </c>
      <c r="P870" s="68" t="s">
        <v>16</v>
      </c>
      <c r="Q870" s="68" t="s">
        <v>16</v>
      </c>
      <c r="R870" s="68" t="s">
        <v>16</v>
      </c>
      <c r="S870" s="68" t="s">
        <v>16</v>
      </c>
      <c r="T870" s="68" t="s">
        <v>329</v>
      </c>
      <c r="U870" s="68" t="s">
        <v>249</v>
      </c>
      <c r="V870" s="68" t="s">
        <v>282</v>
      </c>
      <c r="W870" s="69" t="s">
        <v>282</v>
      </c>
      <c r="X870" s="69" t="s">
        <v>282</v>
      </c>
      <c r="Y870" s="70" t="s">
        <v>282</v>
      </c>
    </row>
    <row r="871" spans="1:25">
      <c r="A871" s="64">
        <v>16</v>
      </c>
      <c r="B871" s="65" t="str">
        <f>VLOOKUP(Tabel10[[#This Row],[Code]],Ruimtegroepen[[Code]:[Ruimte omschrijving]],2,FALSE)</f>
        <v>Leslokalen</v>
      </c>
      <c r="C871" s="66" t="s">
        <v>1007</v>
      </c>
      <c r="D871" s="65" t="s">
        <v>0</v>
      </c>
      <c r="E871" s="66" t="s">
        <v>102</v>
      </c>
      <c r="F871" s="66" t="s">
        <v>1011</v>
      </c>
      <c r="G871" s="71" t="s">
        <v>282</v>
      </c>
      <c r="H871" s="67" t="s">
        <v>282</v>
      </c>
      <c r="I871" s="67" t="s">
        <v>16</v>
      </c>
      <c r="J871" s="67" t="s">
        <v>282</v>
      </c>
      <c r="K871" s="67" t="s">
        <v>16</v>
      </c>
      <c r="L871" s="67" t="s">
        <v>282</v>
      </c>
      <c r="M871" s="67" t="s">
        <v>282</v>
      </c>
      <c r="N871" s="67" t="s">
        <v>282</v>
      </c>
      <c r="O871" s="68" t="s">
        <v>16</v>
      </c>
      <c r="P871" s="68" t="s">
        <v>16</v>
      </c>
      <c r="Q871" s="68" t="s">
        <v>16</v>
      </c>
      <c r="R871" s="68" t="s">
        <v>16</v>
      </c>
      <c r="S871" s="68" t="s">
        <v>16</v>
      </c>
      <c r="T871" s="68" t="s">
        <v>329</v>
      </c>
      <c r="U871" s="68" t="s">
        <v>249</v>
      </c>
      <c r="V871" s="68" t="s">
        <v>282</v>
      </c>
      <c r="W871" s="69" t="s">
        <v>282</v>
      </c>
      <c r="X871" s="69" t="s">
        <v>282</v>
      </c>
      <c r="Y871" s="70" t="s">
        <v>282</v>
      </c>
    </row>
    <row r="872" spans="1:25">
      <c r="A872" s="64">
        <v>16</v>
      </c>
      <c r="B872" s="65" t="str">
        <f>VLOOKUP(Tabel10[[#This Row],[Code]],Ruimtegroepen[[Code]:[Ruimte omschrijving]],2,FALSE)</f>
        <v>Leslokalen</v>
      </c>
      <c r="C872" s="66" t="s">
        <v>1007</v>
      </c>
      <c r="D872" s="65" t="s">
        <v>0</v>
      </c>
      <c r="E872" s="66" t="s">
        <v>99</v>
      </c>
      <c r="F872" s="66" t="s">
        <v>1009</v>
      </c>
      <c r="G872" s="71" t="s">
        <v>282</v>
      </c>
      <c r="H872" s="67" t="s">
        <v>16</v>
      </c>
      <c r="I872" s="67" t="s">
        <v>282</v>
      </c>
      <c r="J872" s="67" t="s">
        <v>282</v>
      </c>
      <c r="K872" s="67" t="s">
        <v>282</v>
      </c>
      <c r="L872" s="67" t="s">
        <v>282</v>
      </c>
      <c r="M872" s="67" t="s">
        <v>282</v>
      </c>
      <c r="N872" s="67" t="s">
        <v>282</v>
      </c>
      <c r="O872" s="68" t="s">
        <v>282</v>
      </c>
      <c r="P872" s="68" t="s">
        <v>282</v>
      </c>
      <c r="Q872" s="68" t="s">
        <v>282</v>
      </c>
      <c r="R872" s="68" t="s">
        <v>282</v>
      </c>
      <c r="S872" s="68" t="s">
        <v>282</v>
      </c>
      <c r="T872" s="68" t="s">
        <v>282</v>
      </c>
      <c r="U872" s="68" t="s">
        <v>282</v>
      </c>
      <c r="V872" s="68" t="s">
        <v>282</v>
      </c>
      <c r="W872" s="69" t="s">
        <v>282</v>
      </c>
      <c r="X872" s="69" t="s">
        <v>282</v>
      </c>
      <c r="Y872" s="70" t="s">
        <v>282</v>
      </c>
    </row>
    <row r="873" spans="1:25">
      <c r="A873" s="64">
        <v>16</v>
      </c>
      <c r="B873" s="65" t="str">
        <f>VLOOKUP(Tabel10[[#This Row],[Code]],Ruimtegroepen[[Code]:[Ruimte omschrijving]],2,FALSE)</f>
        <v>Leslokalen</v>
      </c>
      <c r="C873" s="66" t="s">
        <v>1007</v>
      </c>
      <c r="D873" s="65" t="s">
        <v>0</v>
      </c>
      <c r="E873" s="66" t="s">
        <v>1309</v>
      </c>
      <c r="F873" s="66" t="s">
        <v>1356</v>
      </c>
      <c r="G873" s="71" t="s">
        <v>282</v>
      </c>
      <c r="H873" s="67" t="s">
        <v>282</v>
      </c>
      <c r="I873" s="67" t="s">
        <v>16</v>
      </c>
      <c r="J873" s="67" t="s">
        <v>282</v>
      </c>
      <c r="K873" s="67" t="s">
        <v>16</v>
      </c>
      <c r="L873" s="67" t="s">
        <v>282</v>
      </c>
      <c r="M873" s="67" t="s">
        <v>282</v>
      </c>
      <c r="N873" s="67" t="s">
        <v>282</v>
      </c>
      <c r="O873" s="68" t="s">
        <v>16</v>
      </c>
      <c r="P873" s="68" t="s">
        <v>16</v>
      </c>
      <c r="Q873" s="68" t="s">
        <v>16</v>
      </c>
      <c r="R873" s="68" t="s">
        <v>16</v>
      </c>
      <c r="S873" s="68" t="s">
        <v>16</v>
      </c>
      <c r="T873" s="68" t="s">
        <v>329</v>
      </c>
      <c r="U873" s="68" t="s">
        <v>249</v>
      </c>
      <c r="V873" s="68" t="s">
        <v>282</v>
      </c>
      <c r="W873" s="69" t="s">
        <v>282</v>
      </c>
      <c r="X873" s="69" t="s">
        <v>282</v>
      </c>
      <c r="Y873" s="70" t="s">
        <v>282</v>
      </c>
    </row>
    <row r="874" spans="1:25">
      <c r="A874" s="64">
        <v>16</v>
      </c>
      <c r="B874" s="65" t="str">
        <f>VLOOKUP(Tabel10[[#This Row],[Code]],Ruimtegroepen[[Code]:[Ruimte omschrijving]],2,FALSE)</f>
        <v>Leslokalen</v>
      </c>
      <c r="C874" s="66" t="s">
        <v>1012</v>
      </c>
      <c r="D874" s="65" t="s">
        <v>27</v>
      </c>
      <c r="E874" s="66" t="s">
        <v>100</v>
      </c>
      <c r="F874" s="66" t="s">
        <v>1013</v>
      </c>
      <c r="G874" s="71" t="s">
        <v>282</v>
      </c>
      <c r="H874" s="67" t="s">
        <v>282</v>
      </c>
      <c r="I874" s="67" t="s">
        <v>15</v>
      </c>
      <c r="J874" s="67" t="s">
        <v>282</v>
      </c>
      <c r="K874" s="67" t="s">
        <v>282</v>
      </c>
      <c r="L874" s="67" t="s">
        <v>282</v>
      </c>
      <c r="M874" s="67" t="s">
        <v>282</v>
      </c>
      <c r="N874" s="67" t="s">
        <v>282</v>
      </c>
      <c r="O874" s="68" t="s">
        <v>15</v>
      </c>
      <c r="P874" s="68" t="s">
        <v>15</v>
      </c>
      <c r="Q874" s="68" t="s">
        <v>15</v>
      </c>
      <c r="R874" s="68" t="s">
        <v>282</v>
      </c>
      <c r="S874" s="68" t="s">
        <v>282</v>
      </c>
      <c r="T874" s="68" t="s">
        <v>282</v>
      </c>
      <c r="U874" s="68" t="s">
        <v>282</v>
      </c>
      <c r="V874" s="68" t="s">
        <v>282</v>
      </c>
      <c r="W874" s="69" t="s">
        <v>282</v>
      </c>
      <c r="X874" s="69" t="s">
        <v>282</v>
      </c>
      <c r="Y874" s="70" t="s">
        <v>282</v>
      </c>
    </row>
    <row r="875" spans="1:25">
      <c r="A875" s="64">
        <v>16</v>
      </c>
      <c r="B875" s="65" t="str">
        <f>VLOOKUP(Tabel10[[#This Row],[Code]],Ruimtegroepen[[Code]:[Ruimte omschrijving]],2,FALSE)</f>
        <v>Leslokalen</v>
      </c>
      <c r="C875" s="66" t="s">
        <v>1012</v>
      </c>
      <c r="D875" s="65" t="s">
        <v>27</v>
      </c>
      <c r="E875" s="66" t="s">
        <v>99</v>
      </c>
      <c r="F875" s="66" t="s">
        <v>1014</v>
      </c>
      <c r="G875" s="71" t="s">
        <v>282</v>
      </c>
      <c r="H875" s="67" t="s">
        <v>15</v>
      </c>
      <c r="I875" s="67" t="s">
        <v>282</v>
      </c>
      <c r="J875" s="67" t="s">
        <v>282</v>
      </c>
      <c r="K875" s="67" t="s">
        <v>282</v>
      </c>
      <c r="L875" s="67" t="s">
        <v>282</v>
      </c>
      <c r="M875" s="67" t="s">
        <v>282</v>
      </c>
      <c r="N875" s="67" t="s">
        <v>282</v>
      </c>
      <c r="O875" s="68" t="s">
        <v>15</v>
      </c>
      <c r="P875" s="68" t="s">
        <v>15</v>
      </c>
      <c r="Q875" s="68" t="s">
        <v>15</v>
      </c>
      <c r="R875" s="68" t="s">
        <v>282</v>
      </c>
      <c r="S875" s="68" t="s">
        <v>282</v>
      </c>
      <c r="T875" s="68" t="s">
        <v>282</v>
      </c>
      <c r="U875" s="68" t="s">
        <v>282</v>
      </c>
      <c r="V875" s="68" t="s">
        <v>282</v>
      </c>
      <c r="W875" s="69" t="s">
        <v>282</v>
      </c>
      <c r="X875" s="69" t="s">
        <v>282</v>
      </c>
      <c r="Y875" s="70" t="s">
        <v>282</v>
      </c>
    </row>
    <row r="876" spans="1:25">
      <c r="A876" s="64">
        <v>16</v>
      </c>
      <c r="B876" s="65" t="str">
        <f>VLOOKUP(Tabel10[[#This Row],[Code]],Ruimtegroepen[[Code]:[Ruimte omschrijving]],2,FALSE)</f>
        <v>Leslokalen</v>
      </c>
      <c r="C876" s="66" t="s">
        <v>1012</v>
      </c>
      <c r="D876" s="65" t="s">
        <v>27</v>
      </c>
      <c r="E876" s="66" t="s">
        <v>101</v>
      </c>
      <c r="F876" s="66" t="s">
        <v>1015</v>
      </c>
      <c r="G876" s="71" t="s">
        <v>282</v>
      </c>
      <c r="H876" s="67" t="s">
        <v>282</v>
      </c>
      <c r="I876" s="67" t="s">
        <v>15</v>
      </c>
      <c r="J876" s="67" t="s">
        <v>282</v>
      </c>
      <c r="K876" s="67" t="s">
        <v>282</v>
      </c>
      <c r="L876" s="67" t="s">
        <v>282</v>
      </c>
      <c r="M876" s="67" t="s">
        <v>282</v>
      </c>
      <c r="N876" s="67" t="s">
        <v>282</v>
      </c>
      <c r="O876" s="68" t="s">
        <v>15</v>
      </c>
      <c r="P876" s="68" t="s">
        <v>15</v>
      </c>
      <c r="Q876" s="68" t="s">
        <v>15</v>
      </c>
      <c r="R876" s="68" t="s">
        <v>282</v>
      </c>
      <c r="S876" s="68" t="s">
        <v>282</v>
      </c>
      <c r="T876" s="68" t="s">
        <v>282</v>
      </c>
      <c r="U876" s="68" t="s">
        <v>282</v>
      </c>
      <c r="V876" s="68" t="s">
        <v>282</v>
      </c>
      <c r="W876" s="69" t="s">
        <v>282</v>
      </c>
      <c r="X876" s="69" t="s">
        <v>282</v>
      </c>
      <c r="Y876" s="70" t="s">
        <v>282</v>
      </c>
    </row>
    <row r="877" spans="1:25">
      <c r="A877" s="64">
        <v>16</v>
      </c>
      <c r="B877" s="65" t="str">
        <f>VLOOKUP(Tabel10[[#This Row],[Code]],Ruimtegroepen[[Code]:[Ruimte omschrijving]],2,FALSE)</f>
        <v>Leslokalen</v>
      </c>
      <c r="C877" s="66" t="s">
        <v>1012</v>
      </c>
      <c r="D877" s="65" t="s">
        <v>27</v>
      </c>
      <c r="E877" s="66" t="s">
        <v>102</v>
      </c>
      <c r="F877" s="66" t="s">
        <v>1016</v>
      </c>
      <c r="G877" s="71" t="s">
        <v>282</v>
      </c>
      <c r="H877" s="67" t="s">
        <v>282</v>
      </c>
      <c r="I877" s="67" t="s">
        <v>15</v>
      </c>
      <c r="J877" s="67" t="s">
        <v>282</v>
      </c>
      <c r="K877" s="67" t="s">
        <v>282</v>
      </c>
      <c r="L877" s="67" t="s">
        <v>282</v>
      </c>
      <c r="M877" s="67" t="s">
        <v>282</v>
      </c>
      <c r="N877" s="67" t="s">
        <v>282</v>
      </c>
      <c r="O877" s="68" t="s">
        <v>15</v>
      </c>
      <c r="P877" s="68" t="s">
        <v>15</v>
      </c>
      <c r="Q877" s="68" t="s">
        <v>15</v>
      </c>
      <c r="R877" s="68" t="s">
        <v>282</v>
      </c>
      <c r="S877" s="68" t="s">
        <v>282</v>
      </c>
      <c r="T877" s="68" t="s">
        <v>282</v>
      </c>
      <c r="U877" s="68" t="s">
        <v>282</v>
      </c>
      <c r="V877" s="68" t="s">
        <v>282</v>
      </c>
      <c r="W877" s="69" t="s">
        <v>282</v>
      </c>
      <c r="X877" s="69" t="s">
        <v>282</v>
      </c>
      <c r="Y877" s="70" t="s">
        <v>282</v>
      </c>
    </row>
    <row r="878" spans="1:25">
      <c r="A878" s="64">
        <v>16</v>
      </c>
      <c r="B878" s="65" t="str">
        <f>VLOOKUP(Tabel10[[#This Row],[Code]],Ruimtegroepen[[Code]:[Ruimte omschrijving]],2,FALSE)</f>
        <v>Leslokalen</v>
      </c>
      <c r="C878" s="66" t="s">
        <v>1012</v>
      </c>
      <c r="D878" s="65" t="s">
        <v>27</v>
      </c>
      <c r="E878" s="66" t="s">
        <v>99</v>
      </c>
      <c r="F878" s="66" t="s">
        <v>1014</v>
      </c>
      <c r="G878" s="71" t="s">
        <v>282</v>
      </c>
      <c r="H878" s="67" t="s">
        <v>15</v>
      </c>
      <c r="I878" s="67" t="s">
        <v>282</v>
      </c>
      <c r="J878" s="67" t="s">
        <v>282</v>
      </c>
      <c r="K878" s="67" t="s">
        <v>282</v>
      </c>
      <c r="L878" s="67" t="s">
        <v>282</v>
      </c>
      <c r="M878" s="67" t="s">
        <v>282</v>
      </c>
      <c r="N878" s="67" t="s">
        <v>282</v>
      </c>
      <c r="O878" s="68" t="s">
        <v>15</v>
      </c>
      <c r="P878" s="68" t="s">
        <v>15</v>
      </c>
      <c r="Q878" s="68" t="s">
        <v>15</v>
      </c>
      <c r="R878" s="68" t="s">
        <v>282</v>
      </c>
      <c r="S878" s="68" t="s">
        <v>282</v>
      </c>
      <c r="T878" s="68" t="s">
        <v>282</v>
      </c>
      <c r="U878" s="68" t="s">
        <v>282</v>
      </c>
      <c r="V878" s="68" t="s">
        <v>282</v>
      </c>
      <c r="W878" s="69" t="s">
        <v>282</v>
      </c>
      <c r="X878" s="69" t="s">
        <v>282</v>
      </c>
      <c r="Y878" s="70" t="s">
        <v>282</v>
      </c>
    </row>
    <row r="879" spans="1:25">
      <c r="A879" s="64">
        <v>16</v>
      </c>
      <c r="B879" s="65" t="str">
        <f>VLOOKUP(Tabel10[[#This Row],[Code]],Ruimtegroepen[[Code]:[Ruimte omschrijving]],2,FALSE)</f>
        <v>Leslokalen</v>
      </c>
      <c r="C879" s="66" t="s">
        <v>1012</v>
      </c>
      <c r="D879" s="65" t="s">
        <v>27</v>
      </c>
      <c r="E879" s="66" t="s">
        <v>1309</v>
      </c>
      <c r="F879" s="66" t="s">
        <v>1389</v>
      </c>
      <c r="G879" s="71" t="s">
        <v>282</v>
      </c>
      <c r="H879" s="67" t="s">
        <v>282</v>
      </c>
      <c r="I879" s="67" t="s">
        <v>15</v>
      </c>
      <c r="J879" s="67" t="s">
        <v>282</v>
      </c>
      <c r="K879" s="67" t="s">
        <v>282</v>
      </c>
      <c r="L879" s="67" t="s">
        <v>282</v>
      </c>
      <c r="M879" s="67" t="s">
        <v>282</v>
      </c>
      <c r="N879" s="67" t="s">
        <v>282</v>
      </c>
      <c r="O879" s="68" t="s">
        <v>15</v>
      </c>
      <c r="P879" s="68" t="s">
        <v>15</v>
      </c>
      <c r="Q879" s="68" t="s">
        <v>15</v>
      </c>
      <c r="R879" s="68" t="s">
        <v>282</v>
      </c>
      <c r="S879" s="68" t="s">
        <v>282</v>
      </c>
      <c r="T879" s="68" t="s">
        <v>282</v>
      </c>
      <c r="U879" s="68" t="s">
        <v>282</v>
      </c>
      <c r="V879" s="68" t="s">
        <v>282</v>
      </c>
      <c r="W879" s="69" t="s">
        <v>282</v>
      </c>
      <c r="X879" s="69" t="s">
        <v>282</v>
      </c>
      <c r="Y879" s="70" t="s">
        <v>282</v>
      </c>
    </row>
    <row r="880" spans="1:25">
      <c r="A880" s="64">
        <v>16</v>
      </c>
      <c r="B880" s="65" t="str">
        <f>VLOOKUP(Tabel10[[#This Row],[Code]],Ruimtegroepen[[Code]:[Ruimte omschrijving]],2,FALSE)</f>
        <v>Leslokalen</v>
      </c>
      <c r="C880" s="66" t="s">
        <v>1017</v>
      </c>
      <c r="D880" s="65" t="s">
        <v>28</v>
      </c>
      <c r="E880" s="66" t="s">
        <v>100</v>
      </c>
      <c r="F880" s="66" t="s">
        <v>1018</v>
      </c>
      <c r="G880" s="71" t="s">
        <v>282</v>
      </c>
      <c r="H880" s="67" t="s">
        <v>282</v>
      </c>
      <c r="I880" s="67" t="s">
        <v>17</v>
      </c>
      <c r="J880" s="67" t="s">
        <v>282</v>
      </c>
      <c r="K880" s="67" t="s">
        <v>282</v>
      </c>
      <c r="L880" s="67" t="s">
        <v>282</v>
      </c>
      <c r="M880" s="67" t="s">
        <v>282</v>
      </c>
      <c r="N880" s="67" t="s">
        <v>282</v>
      </c>
      <c r="O880" s="68" t="s">
        <v>17</v>
      </c>
      <c r="P880" s="68" t="s">
        <v>17</v>
      </c>
      <c r="Q880" s="68" t="s">
        <v>15</v>
      </c>
      <c r="R880" s="68" t="s">
        <v>282</v>
      </c>
      <c r="S880" s="68" t="s">
        <v>282</v>
      </c>
      <c r="T880" s="68" t="s">
        <v>282</v>
      </c>
      <c r="U880" s="68" t="s">
        <v>282</v>
      </c>
      <c r="V880" s="68" t="s">
        <v>282</v>
      </c>
      <c r="W880" s="69" t="s">
        <v>282</v>
      </c>
      <c r="X880" s="69" t="s">
        <v>282</v>
      </c>
      <c r="Y880" s="70" t="s">
        <v>282</v>
      </c>
    </row>
    <row r="881" spans="1:25">
      <c r="A881" s="64">
        <v>16</v>
      </c>
      <c r="B881" s="65" t="str">
        <f>VLOOKUP(Tabel10[[#This Row],[Code]],Ruimtegroepen[[Code]:[Ruimte omschrijving]],2,FALSE)</f>
        <v>Leslokalen</v>
      </c>
      <c r="C881" s="66" t="s">
        <v>1017</v>
      </c>
      <c r="D881" s="65" t="s">
        <v>28</v>
      </c>
      <c r="E881" s="66" t="s">
        <v>99</v>
      </c>
      <c r="F881" s="66" t="s">
        <v>1019</v>
      </c>
      <c r="G881" s="71" t="s">
        <v>282</v>
      </c>
      <c r="H881" s="67" t="s">
        <v>17</v>
      </c>
      <c r="I881" s="67" t="s">
        <v>282</v>
      </c>
      <c r="J881" s="67" t="s">
        <v>282</v>
      </c>
      <c r="K881" s="67" t="s">
        <v>282</v>
      </c>
      <c r="L881" s="67" t="s">
        <v>282</v>
      </c>
      <c r="M881" s="67" t="s">
        <v>282</v>
      </c>
      <c r="N881" s="67" t="s">
        <v>282</v>
      </c>
      <c r="O881" s="68" t="s">
        <v>17</v>
      </c>
      <c r="P881" s="68" t="s">
        <v>17</v>
      </c>
      <c r="Q881" s="68" t="s">
        <v>15</v>
      </c>
      <c r="R881" s="68" t="s">
        <v>282</v>
      </c>
      <c r="S881" s="68" t="s">
        <v>282</v>
      </c>
      <c r="T881" s="68" t="s">
        <v>282</v>
      </c>
      <c r="U881" s="68" t="s">
        <v>282</v>
      </c>
      <c r="V881" s="68" t="s">
        <v>282</v>
      </c>
      <c r="W881" s="69" t="s">
        <v>282</v>
      </c>
      <c r="X881" s="69" t="s">
        <v>282</v>
      </c>
      <c r="Y881" s="70" t="s">
        <v>282</v>
      </c>
    </row>
    <row r="882" spans="1:25">
      <c r="A882" s="64">
        <v>16</v>
      </c>
      <c r="B882" s="65" t="str">
        <f>VLOOKUP(Tabel10[[#This Row],[Code]],Ruimtegroepen[[Code]:[Ruimte omschrijving]],2,FALSE)</f>
        <v>Leslokalen</v>
      </c>
      <c r="C882" s="66" t="s">
        <v>1017</v>
      </c>
      <c r="D882" s="65" t="s">
        <v>28</v>
      </c>
      <c r="E882" s="66" t="s">
        <v>101</v>
      </c>
      <c r="F882" s="66" t="s">
        <v>1020</v>
      </c>
      <c r="G882" s="71" t="s">
        <v>282</v>
      </c>
      <c r="H882" s="67" t="s">
        <v>282</v>
      </c>
      <c r="I882" s="67" t="s">
        <v>17</v>
      </c>
      <c r="J882" s="67" t="s">
        <v>282</v>
      </c>
      <c r="K882" s="67" t="s">
        <v>282</v>
      </c>
      <c r="L882" s="67" t="s">
        <v>282</v>
      </c>
      <c r="M882" s="67" t="s">
        <v>282</v>
      </c>
      <c r="N882" s="67" t="s">
        <v>282</v>
      </c>
      <c r="O882" s="68" t="s">
        <v>17</v>
      </c>
      <c r="P882" s="68" t="s">
        <v>17</v>
      </c>
      <c r="Q882" s="68" t="s">
        <v>15</v>
      </c>
      <c r="R882" s="68" t="s">
        <v>282</v>
      </c>
      <c r="S882" s="68" t="s">
        <v>282</v>
      </c>
      <c r="T882" s="68" t="s">
        <v>282</v>
      </c>
      <c r="U882" s="68" t="s">
        <v>282</v>
      </c>
      <c r="V882" s="68" t="s">
        <v>282</v>
      </c>
      <c r="W882" s="69" t="s">
        <v>282</v>
      </c>
      <c r="X882" s="69" t="s">
        <v>282</v>
      </c>
      <c r="Y882" s="70" t="s">
        <v>282</v>
      </c>
    </row>
    <row r="883" spans="1:25">
      <c r="A883" s="64">
        <v>16</v>
      </c>
      <c r="B883" s="65" t="str">
        <f>VLOOKUP(Tabel10[[#This Row],[Code]],Ruimtegroepen[[Code]:[Ruimte omschrijving]],2,FALSE)</f>
        <v>Leslokalen</v>
      </c>
      <c r="C883" s="66" t="s">
        <v>1017</v>
      </c>
      <c r="D883" s="65" t="s">
        <v>28</v>
      </c>
      <c r="E883" s="66" t="s">
        <v>102</v>
      </c>
      <c r="F883" s="66" t="s">
        <v>1021</v>
      </c>
      <c r="G883" s="71" t="s">
        <v>282</v>
      </c>
      <c r="H883" s="67" t="s">
        <v>282</v>
      </c>
      <c r="I883" s="67" t="s">
        <v>17</v>
      </c>
      <c r="J883" s="67" t="s">
        <v>282</v>
      </c>
      <c r="K883" s="67" t="s">
        <v>282</v>
      </c>
      <c r="L883" s="67" t="s">
        <v>282</v>
      </c>
      <c r="M883" s="67" t="s">
        <v>282</v>
      </c>
      <c r="N883" s="67" t="s">
        <v>282</v>
      </c>
      <c r="O883" s="68" t="s">
        <v>17</v>
      </c>
      <c r="P883" s="68" t="s">
        <v>17</v>
      </c>
      <c r="Q883" s="68" t="s">
        <v>15</v>
      </c>
      <c r="R883" s="68" t="s">
        <v>282</v>
      </c>
      <c r="S883" s="68" t="s">
        <v>282</v>
      </c>
      <c r="T883" s="68" t="s">
        <v>282</v>
      </c>
      <c r="U883" s="68" t="s">
        <v>282</v>
      </c>
      <c r="V883" s="68" t="s">
        <v>282</v>
      </c>
      <c r="W883" s="69" t="s">
        <v>282</v>
      </c>
      <c r="X883" s="69" t="s">
        <v>282</v>
      </c>
      <c r="Y883" s="70" t="s">
        <v>282</v>
      </c>
    </row>
    <row r="884" spans="1:25">
      <c r="A884" s="64">
        <v>16</v>
      </c>
      <c r="B884" s="65" t="str">
        <f>VLOOKUP(Tabel10[[#This Row],[Code]],Ruimtegroepen[[Code]:[Ruimte omschrijving]],2,FALSE)</f>
        <v>Leslokalen</v>
      </c>
      <c r="C884" s="66" t="s">
        <v>1017</v>
      </c>
      <c r="D884" s="65" t="s">
        <v>28</v>
      </c>
      <c r="E884" s="66" t="s">
        <v>99</v>
      </c>
      <c r="F884" s="66" t="s">
        <v>1019</v>
      </c>
      <c r="G884" s="71" t="s">
        <v>282</v>
      </c>
      <c r="H884" s="67" t="s">
        <v>17</v>
      </c>
      <c r="I884" s="67" t="s">
        <v>282</v>
      </c>
      <c r="J884" s="67" t="s">
        <v>282</v>
      </c>
      <c r="K884" s="67" t="s">
        <v>282</v>
      </c>
      <c r="L884" s="67" t="s">
        <v>282</v>
      </c>
      <c r="M884" s="67" t="s">
        <v>282</v>
      </c>
      <c r="N884" s="67" t="s">
        <v>282</v>
      </c>
      <c r="O884" s="68" t="s">
        <v>17</v>
      </c>
      <c r="P884" s="68" t="s">
        <v>17</v>
      </c>
      <c r="Q884" s="68" t="s">
        <v>15</v>
      </c>
      <c r="R884" s="68" t="s">
        <v>282</v>
      </c>
      <c r="S884" s="68" t="s">
        <v>282</v>
      </c>
      <c r="T884" s="68" t="s">
        <v>282</v>
      </c>
      <c r="U884" s="68" t="s">
        <v>282</v>
      </c>
      <c r="V884" s="68" t="s">
        <v>282</v>
      </c>
      <c r="W884" s="69" t="s">
        <v>282</v>
      </c>
      <c r="X884" s="69" t="s">
        <v>282</v>
      </c>
      <c r="Y884" s="70" t="s">
        <v>282</v>
      </c>
    </row>
    <row r="885" spans="1:25">
      <c r="A885" s="64">
        <v>16</v>
      </c>
      <c r="B885" s="65" t="str">
        <f>VLOOKUP(Tabel10[[#This Row],[Code]],Ruimtegroepen[[Code]:[Ruimte omschrijving]],2,FALSE)</f>
        <v>Leslokalen</v>
      </c>
      <c r="C885" s="66" t="s">
        <v>1017</v>
      </c>
      <c r="D885" s="65" t="s">
        <v>28</v>
      </c>
      <c r="E885" s="66" t="s">
        <v>1309</v>
      </c>
      <c r="F885" s="66" t="s">
        <v>1422</v>
      </c>
      <c r="G885" s="71" t="s">
        <v>282</v>
      </c>
      <c r="H885" s="67" t="s">
        <v>282</v>
      </c>
      <c r="I885" s="67" t="s">
        <v>17</v>
      </c>
      <c r="J885" s="67" t="s">
        <v>282</v>
      </c>
      <c r="K885" s="67" t="s">
        <v>282</v>
      </c>
      <c r="L885" s="67" t="s">
        <v>282</v>
      </c>
      <c r="M885" s="67" t="s">
        <v>282</v>
      </c>
      <c r="N885" s="67" t="s">
        <v>282</v>
      </c>
      <c r="O885" s="68" t="s">
        <v>17</v>
      </c>
      <c r="P885" s="68" t="s">
        <v>17</v>
      </c>
      <c r="Q885" s="68" t="s">
        <v>15</v>
      </c>
      <c r="R885" s="68" t="s">
        <v>282</v>
      </c>
      <c r="S885" s="68" t="s">
        <v>282</v>
      </c>
      <c r="T885" s="68" t="s">
        <v>282</v>
      </c>
      <c r="U885" s="68" t="s">
        <v>282</v>
      </c>
      <c r="V885" s="68" t="s">
        <v>282</v>
      </c>
      <c r="W885" s="69" t="s">
        <v>282</v>
      </c>
      <c r="X885" s="69" t="s">
        <v>282</v>
      </c>
      <c r="Y885" s="70" t="s">
        <v>282</v>
      </c>
    </row>
    <row r="886" spans="1:25">
      <c r="A886" s="64">
        <v>17</v>
      </c>
      <c r="B886" s="65" t="str">
        <f>VLOOKUP(Tabel10[[#This Row],[Code]],Ruimtegroepen[[Code]:[Ruimte omschrijving]],2,FALSE)</f>
        <v>Toestelberging</v>
      </c>
      <c r="C886" s="66" t="s">
        <v>1022</v>
      </c>
      <c r="D886" s="65" t="s">
        <v>29</v>
      </c>
      <c r="E886" s="66" t="s">
        <v>100</v>
      </c>
      <c r="F886" s="66" t="s">
        <v>1023</v>
      </c>
      <c r="G886" s="71" t="s">
        <v>282</v>
      </c>
      <c r="H886" s="67" t="s">
        <v>282</v>
      </c>
      <c r="I886" s="67" t="s">
        <v>20</v>
      </c>
      <c r="J886" s="67" t="s">
        <v>15</v>
      </c>
      <c r="K886" s="67" t="s">
        <v>282</v>
      </c>
      <c r="L886" s="67" t="s">
        <v>282</v>
      </c>
      <c r="M886" s="67" t="s">
        <v>282</v>
      </c>
      <c r="N886" s="67" t="s">
        <v>2</v>
      </c>
      <c r="O886" s="68" t="s">
        <v>2</v>
      </c>
      <c r="P886" s="68" t="s">
        <v>2</v>
      </c>
      <c r="Q886" s="68" t="s">
        <v>15</v>
      </c>
      <c r="R886" s="68" t="s">
        <v>15</v>
      </c>
      <c r="S886" s="68" t="s">
        <v>16</v>
      </c>
      <c r="T886" s="68" t="s">
        <v>329</v>
      </c>
      <c r="U886" s="68" t="s">
        <v>249</v>
      </c>
      <c r="V886" s="68" t="s">
        <v>2</v>
      </c>
      <c r="W886" s="69" t="s">
        <v>282</v>
      </c>
      <c r="X886" s="69" t="s">
        <v>282</v>
      </c>
      <c r="Y886" s="70" t="s">
        <v>282</v>
      </c>
    </row>
    <row r="887" spans="1:25">
      <c r="A887" s="64">
        <v>17</v>
      </c>
      <c r="B887" s="65" t="str">
        <f>VLOOKUP(Tabel10[[#This Row],[Code]],Ruimtegroepen[[Code]:[Ruimte omschrijving]],2,FALSE)</f>
        <v>Toestelberging</v>
      </c>
      <c r="C887" s="66" t="s">
        <v>1022</v>
      </c>
      <c r="D887" s="65" t="s">
        <v>29</v>
      </c>
      <c r="E887" s="66" t="s">
        <v>99</v>
      </c>
      <c r="F887" s="66" t="s">
        <v>1024</v>
      </c>
      <c r="G887" s="67" t="s">
        <v>20</v>
      </c>
      <c r="H887" s="67" t="s">
        <v>15</v>
      </c>
      <c r="I887" s="67" t="s">
        <v>282</v>
      </c>
      <c r="J887" s="67" t="s">
        <v>282</v>
      </c>
      <c r="K887" s="67" t="s">
        <v>282</v>
      </c>
      <c r="L887" s="67" t="s">
        <v>282</v>
      </c>
      <c r="M887" s="67" t="s">
        <v>282</v>
      </c>
      <c r="N887" s="67" t="s">
        <v>2</v>
      </c>
      <c r="O887" s="68" t="s">
        <v>2</v>
      </c>
      <c r="P887" s="68" t="s">
        <v>2</v>
      </c>
      <c r="Q887" s="68" t="s">
        <v>15</v>
      </c>
      <c r="R887" s="68" t="s">
        <v>15</v>
      </c>
      <c r="S887" s="68" t="s">
        <v>16</v>
      </c>
      <c r="T887" s="68" t="s">
        <v>329</v>
      </c>
      <c r="U887" s="68" t="s">
        <v>249</v>
      </c>
      <c r="V887" s="68" t="s">
        <v>2</v>
      </c>
      <c r="W887" s="69" t="s">
        <v>282</v>
      </c>
      <c r="X887" s="69" t="s">
        <v>282</v>
      </c>
      <c r="Y887" s="70" t="s">
        <v>282</v>
      </c>
    </row>
    <row r="888" spans="1:25">
      <c r="A888" s="64">
        <v>17</v>
      </c>
      <c r="B888" s="65" t="str">
        <f>VLOOKUP(Tabel10[[#This Row],[Code]],Ruimtegroepen[[Code]:[Ruimte omschrijving]],2,FALSE)</f>
        <v>Toestelberging</v>
      </c>
      <c r="C888" s="66" t="s">
        <v>1022</v>
      </c>
      <c r="D888" s="65" t="s">
        <v>29</v>
      </c>
      <c r="E888" s="66" t="s">
        <v>101</v>
      </c>
      <c r="F888" s="66" t="s">
        <v>1025</v>
      </c>
      <c r="G888" s="71" t="s">
        <v>282</v>
      </c>
      <c r="H888" s="67" t="s">
        <v>282</v>
      </c>
      <c r="I888" s="67" t="s">
        <v>20</v>
      </c>
      <c r="J888" s="67" t="s">
        <v>15</v>
      </c>
      <c r="K888" s="67" t="s">
        <v>283</v>
      </c>
      <c r="L888" s="67" t="s">
        <v>282</v>
      </c>
      <c r="M888" s="67" t="s">
        <v>282</v>
      </c>
      <c r="N888" s="67" t="s">
        <v>2</v>
      </c>
      <c r="O888" s="68" t="s">
        <v>2</v>
      </c>
      <c r="P888" s="68" t="s">
        <v>2</v>
      </c>
      <c r="Q888" s="68" t="s">
        <v>15</v>
      </c>
      <c r="R888" s="68" t="s">
        <v>15</v>
      </c>
      <c r="S888" s="68" t="s">
        <v>16</v>
      </c>
      <c r="T888" s="68" t="s">
        <v>329</v>
      </c>
      <c r="U888" s="68" t="s">
        <v>249</v>
      </c>
      <c r="V888" s="68" t="s">
        <v>2</v>
      </c>
      <c r="W888" s="69" t="s">
        <v>282</v>
      </c>
      <c r="X888" s="69" t="s">
        <v>282</v>
      </c>
      <c r="Y888" s="70" t="s">
        <v>282</v>
      </c>
    </row>
    <row r="889" spans="1:25">
      <c r="A889" s="64">
        <v>17</v>
      </c>
      <c r="B889" s="65" t="str">
        <f>VLOOKUP(Tabel10[[#This Row],[Code]],Ruimtegroepen[[Code]:[Ruimte omschrijving]],2,FALSE)</f>
        <v>Toestelberging</v>
      </c>
      <c r="C889" s="66" t="s">
        <v>1022</v>
      </c>
      <c r="D889" s="65" t="s">
        <v>29</v>
      </c>
      <c r="E889" s="66" t="s">
        <v>102</v>
      </c>
      <c r="F889" s="66" t="s">
        <v>1026</v>
      </c>
      <c r="G889" s="71" t="s">
        <v>282</v>
      </c>
      <c r="H889" s="67" t="s">
        <v>282</v>
      </c>
      <c r="I889" s="67" t="s">
        <v>20</v>
      </c>
      <c r="J889" s="67" t="s">
        <v>15</v>
      </c>
      <c r="K889" s="67" t="s">
        <v>283</v>
      </c>
      <c r="L889" s="67" t="s">
        <v>282</v>
      </c>
      <c r="M889" s="67" t="s">
        <v>282</v>
      </c>
      <c r="N889" s="67" t="s">
        <v>2</v>
      </c>
      <c r="O889" s="68" t="s">
        <v>2</v>
      </c>
      <c r="P889" s="68" t="s">
        <v>2</v>
      </c>
      <c r="Q889" s="68" t="s">
        <v>15</v>
      </c>
      <c r="R889" s="68" t="s">
        <v>15</v>
      </c>
      <c r="S889" s="68" t="s">
        <v>16</v>
      </c>
      <c r="T889" s="68" t="s">
        <v>329</v>
      </c>
      <c r="U889" s="68" t="s">
        <v>249</v>
      </c>
      <c r="V889" s="68" t="s">
        <v>2</v>
      </c>
      <c r="W889" s="69" t="s">
        <v>282</v>
      </c>
      <c r="X889" s="69" t="s">
        <v>282</v>
      </c>
      <c r="Y889" s="70" t="s">
        <v>282</v>
      </c>
    </row>
    <row r="890" spans="1:25">
      <c r="A890" s="64">
        <v>17</v>
      </c>
      <c r="B890" s="65" t="str">
        <f>VLOOKUP(Tabel10[[#This Row],[Code]],Ruimtegroepen[[Code]:[Ruimte omschrijving]],2,FALSE)</f>
        <v>Toestelberging</v>
      </c>
      <c r="C890" s="66" t="s">
        <v>1022</v>
      </c>
      <c r="D890" s="65" t="s">
        <v>29</v>
      </c>
      <c r="E890" s="66" t="s">
        <v>99</v>
      </c>
      <c r="F890" s="66" t="s">
        <v>1024</v>
      </c>
      <c r="G890" s="71" t="s">
        <v>282</v>
      </c>
      <c r="H890" s="67" t="s">
        <v>2</v>
      </c>
      <c r="I890" s="67" t="s">
        <v>282</v>
      </c>
      <c r="J890" s="67" t="s">
        <v>282</v>
      </c>
      <c r="K890" s="67" t="s">
        <v>282</v>
      </c>
      <c r="L890" s="67" t="s">
        <v>282</v>
      </c>
      <c r="M890" s="67" t="s">
        <v>282</v>
      </c>
      <c r="N890" s="67" t="s">
        <v>2</v>
      </c>
      <c r="O890" s="68" t="s">
        <v>2</v>
      </c>
      <c r="P890" s="68" t="s">
        <v>2</v>
      </c>
      <c r="Q890" s="68" t="s">
        <v>15</v>
      </c>
      <c r="R890" s="68" t="s">
        <v>15</v>
      </c>
      <c r="S890" s="68" t="s">
        <v>16</v>
      </c>
      <c r="T890" s="68" t="s">
        <v>329</v>
      </c>
      <c r="U890" s="68" t="s">
        <v>249</v>
      </c>
      <c r="V890" s="68" t="s">
        <v>2</v>
      </c>
      <c r="W890" s="69" t="s">
        <v>282</v>
      </c>
      <c r="X890" s="69" t="s">
        <v>282</v>
      </c>
      <c r="Y890" s="70" t="s">
        <v>282</v>
      </c>
    </row>
    <row r="891" spans="1:25">
      <c r="A891" s="64">
        <v>17</v>
      </c>
      <c r="B891" s="65" t="str">
        <f>VLOOKUP(Tabel10[[#This Row],[Code]],Ruimtegroepen[[Code]:[Ruimte omschrijving]],2,FALSE)</f>
        <v>Toestelberging</v>
      </c>
      <c r="C891" s="66" t="s">
        <v>1022</v>
      </c>
      <c r="D891" s="65" t="s">
        <v>29</v>
      </c>
      <c r="E891" s="66" t="s">
        <v>1309</v>
      </c>
      <c r="F891" s="66" t="s">
        <v>1490</v>
      </c>
      <c r="G891" s="71" t="s">
        <v>282</v>
      </c>
      <c r="H891" s="67" t="s">
        <v>282</v>
      </c>
      <c r="I891" s="67" t="s">
        <v>20</v>
      </c>
      <c r="J891" s="67" t="s">
        <v>15</v>
      </c>
      <c r="K891" s="67" t="s">
        <v>283</v>
      </c>
      <c r="L891" s="67" t="s">
        <v>282</v>
      </c>
      <c r="M891" s="67" t="s">
        <v>282</v>
      </c>
      <c r="N891" s="67" t="s">
        <v>2</v>
      </c>
      <c r="O891" s="68" t="s">
        <v>2</v>
      </c>
      <c r="P891" s="68" t="s">
        <v>2</v>
      </c>
      <c r="Q891" s="68" t="s">
        <v>15</v>
      </c>
      <c r="R891" s="68" t="s">
        <v>15</v>
      </c>
      <c r="S891" s="68" t="s">
        <v>16</v>
      </c>
      <c r="T891" s="68" t="s">
        <v>329</v>
      </c>
      <c r="U891" s="68" t="s">
        <v>249</v>
      </c>
      <c r="V891" s="68" t="s">
        <v>2</v>
      </c>
      <c r="W891" s="69" t="s">
        <v>282</v>
      </c>
      <c r="X891" s="69" t="s">
        <v>282</v>
      </c>
      <c r="Y891" s="70" t="s">
        <v>282</v>
      </c>
    </row>
    <row r="892" spans="1:25">
      <c r="A892" s="64">
        <v>17</v>
      </c>
      <c r="B892" s="65" t="str">
        <f>VLOOKUP(Tabel10[[#This Row],[Code]],Ruimtegroepen[[Code]:[Ruimte omschrijving]],2,FALSE)</f>
        <v>Toestelberging</v>
      </c>
      <c r="C892" s="66" t="s">
        <v>1027</v>
      </c>
      <c r="D892" s="65" t="s">
        <v>1</v>
      </c>
      <c r="E892" s="66" t="s">
        <v>100</v>
      </c>
      <c r="F892" s="66" t="s">
        <v>1028</v>
      </c>
      <c r="G892" s="71" t="s">
        <v>282</v>
      </c>
      <c r="H892" s="67" t="s">
        <v>282</v>
      </c>
      <c r="I892" s="67" t="s">
        <v>20</v>
      </c>
      <c r="J892" s="67" t="s">
        <v>15</v>
      </c>
      <c r="K892" s="67" t="s">
        <v>282</v>
      </c>
      <c r="L892" s="67" t="s">
        <v>282</v>
      </c>
      <c r="M892" s="67" t="s">
        <v>282</v>
      </c>
      <c r="N892" s="67" t="s">
        <v>282</v>
      </c>
      <c r="O892" s="68" t="s">
        <v>2</v>
      </c>
      <c r="P892" s="68" t="s">
        <v>2</v>
      </c>
      <c r="Q892" s="68" t="s">
        <v>15</v>
      </c>
      <c r="R892" s="68" t="s">
        <v>15</v>
      </c>
      <c r="S892" s="68" t="s">
        <v>16</v>
      </c>
      <c r="T892" s="68" t="s">
        <v>329</v>
      </c>
      <c r="U892" s="68" t="s">
        <v>249</v>
      </c>
      <c r="V892" s="68" t="s">
        <v>282</v>
      </c>
      <c r="W892" s="69" t="s">
        <v>282</v>
      </c>
      <c r="X892" s="69" t="s">
        <v>282</v>
      </c>
      <c r="Y892" s="70" t="s">
        <v>282</v>
      </c>
    </row>
    <row r="893" spans="1:25">
      <c r="A893" s="64">
        <v>17</v>
      </c>
      <c r="B893" s="65" t="str">
        <f>VLOOKUP(Tabel10[[#This Row],[Code]],Ruimtegroepen[[Code]:[Ruimte omschrijving]],2,FALSE)</f>
        <v>Toestelberging</v>
      </c>
      <c r="C893" s="66" t="s">
        <v>1027</v>
      </c>
      <c r="D893" s="65" t="s">
        <v>1</v>
      </c>
      <c r="E893" s="66" t="s">
        <v>99</v>
      </c>
      <c r="F893" s="66" t="s">
        <v>1029</v>
      </c>
      <c r="G893" s="67" t="s">
        <v>20</v>
      </c>
      <c r="H893" s="67" t="s">
        <v>15</v>
      </c>
      <c r="I893" s="67" t="s">
        <v>282</v>
      </c>
      <c r="J893" s="67" t="s">
        <v>282</v>
      </c>
      <c r="K893" s="67" t="s">
        <v>282</v>
      </c>
      <c r="L893" s="67" t="s">
        <v>282</v>
      </c>
      <c r="M893" s="67" t="s">
        <v>282</v>
      </c>
      <c r="N893" s="67" t="s">
        <v>282</v>
      </c>
      <c r="O893" s="68" t="s">
        <v>2</v>
      </c>
      <c r="P893" s="68" t="s">
        <v>2</v>
      </c>
      <c r="Q893" s="68" t="s">
        <v>15</v>
      </c>
      <c r="R893" s="68" t="s">
        <v>15</v>
      </c>
      <c r="S893" s="68" t="s">
        <v>16</v>
      </c>
      <c r="T893" s="68" t="s">
        <v>329</v>
      </c>
      <c r="U893" s="68" t="s">
        <v>249</v>
      </c>
      <c r="V893" s="68" t="s">
        <v>282</v>
      </c>
      <c r="W893" s="69" t="s">
        <v>282</v>
      </c>
      <c r="X893" s="69" t="s">
        <v>282</v>
      </c>
      <c r="Y893" s="70" t="s">
        <v>282</v>
      </c>
    </row>
    <row r="894" spans="1:25">
      <c r="A894" s="64">
        <v>17</v>
      </c>
      <c r="B894" s="65" t="str">
        <f>VLOOKUP(Tabel10[[#This Row],[Code]],Ruimtegroepen[[Code]:[Ruimte omschrijving]],2,FALSE)</f>
        <v>Toestelberging</v>
      </c>
      <c r="C894" s="66" t="s">
        <v>1027</v>
      </c>
      <c r="D894" s="65" t="s">
        <v>1</v>
      </c>
      <c r="E894" s="66" t="s">
        <v>101</v>
      </c>
      <c r="F894" s="66" t="s">
        <v>1030</v>
      </c>
      <c r="G894" s="71" t="s">
        <v>282</v>
      </c>
      <c r="H894" s="67" t="s">
        <v>282</v>
      </c>
      <c r="I894" s="67" t="s">
        <v>20</v>
      </c>
      <c r="J894" s="67" t="s">
        <v>15</v>
      </c>
      <c r="K894" s="67" t="s">
        <v>283</v>
      </c>
      <c r="L894" s="67" t="s">
        <v>282</v>
      </c>
      <c r="M894" s="67" t="s">
        <v>282</v>
      </c>
      <c r="N894" s="67" t="s">
        <v>282</v>
      </c>
      <c r="O894" s="68" t="s">
        <v>2</v>
      </c>
      <c r="P894" s="68" t="s">
        <v>2</v>
      </c>
      <c r="Q894" s="68" t="s">
        <v>15</v>
      </c>
      <c r="R894" s="68" t="s">
        <v>15</v>
      </c>
      <c r="S894" s="68" t="s">
        <v>16</v>
      </c>
      <c r="T894" s="68" t="s">
        <v>329</v>
      </c>
      <c r="U894" s="68" t="s">
        <v>249</v>
      </c>
      <c r="V894" s="68" t="s">
        <v>282</v>
      </c>
      <c r="W894" s="69" t="s">
        <v>282</v>
      </c>
      <c r="X894" s="69" t="s">
        <v>282</v>
      </c>
      <c r="Y894" s="70" t="s">
        <v>282</v>
      </c>
    </row>
    <row r="895" spans="1:25">
      <c r="A895" s="64">
        <v>17</v>
      </c>
      <c r="B895" s="65" t="str">
        <f>VLOOKUP(Tabel10[[#This Row],[Code]],Ruimtegroepen[[Code]:[Ruimte omschrijving]],2,FALSE)</f>
        <v>Toestelberging</v>
      </c>
      <c r="C895" s="66" t="s">
        <v>1027</v>
      </c>
      <c r="D895" s="65" t="s">
        <v>1</v>
      </c>
      <c r="E895" s="66" t="s">
        <v>102</v>
      </c>
      <c r="F895" s="66" t="s">
        <v>1031</v>
      </c>
      <c r="G895" s="71" t="s">
        <v>282</v>
      </c>
      <c r="H895" s="67" t="s">
        <v>282</v>
      </c>
      <c r="I895" s="67" t="s">
        <v>20</v>
      </c>
      <c r="J895" s="67" t="s">
        <v>15</v>
      </c>
      <c r="K895" s="67" t="s">
        <v>283</v>
      </c>
      <c r="L895" s="67" t="s">
        <v>282</v>
      </c>
      <c r="M895" s="67" t="s">
        <v>282</v>
      </c>
      <c r="N895" s="67" t="s">
        <v>282</v>
      </c>
      <c r="O895" s="68" t="s">
        <v>2</v>
      </c>
      <c r="P895" s="68" t="s">
        <v>2</v>
      </c>
      <c r="Q895" s="68" t="s">
        <v>15</v>
      </c>
      <c r="R895" s="68" t="s">
        <v>15</v>
      </c>
      <c r="S895" s="68" t="s">
        <v>16</v>
      </c>
      <c r="T895" s="68" t="s">
        <v>329</v>
      </c>
      <c r="U895" s="68" t="s">
        <v>249</v>
      </c>
      <c r="V895" s="68" t="s">
        <v>282</v>
      </c>
      <c r="W895" s="69" t="s">
        <v>282</v>
      </c>
      <c r="X895" s="69" t="s">
        <v>282</v>
      </c>
      <c r="Y895" s="70" t="s">
        <v>282</v>
      </c>
    </row>
    <row r="896" spans="1:25">
      <c r="A896" s="64">
        <v>17</v>
      </c>
      <c r="B896" s="65" t="str">
        <f>VLOOKUP(Tabel10[[#This Row],[Code]],Ruimtegroepen[[Code]:[Ruimte omschrijving]],2,FALSE)</f>
        <v>Toestelberging</v>
      </c>
      <c r="C896" s="66" t="s">
        <v>1027</v>
      </c>
      <c r="D896" s="65" t="s">
        <v>1</v>
      </c>
      <c r="E896" s="66" t="s">
        <v>99</v>
      </c>
      <c r="F896" s="66" t="s">
        <v>1029</v>
      </c>
      <c r="G896" s="71" t="s">
        <v>282</v>
      </c>
      <c r="H896" s="67" t="s">
        <v>2</v>
      </c>
      <c r="I896" s="67" t="s">
        <v>282</v>
      </c>
      <c r="J896" s="67" t="s">
        <v>282</v>
      </c>
      <c r="K896" s="67" t="s">
        <v>282</v>
      </c>
      <c r="L896" s="67" t="s">
        <v>282</v>
      </c>
      <c r="M896" s="67" t="s">
        <v>282</v>
      </c>
      <c r="N896" s="67" t="s">
        <v>282</v>
      </c>
      <c r="O896" s="68" t="s">
        <v>2</v>
      </c>
      <c r="P896" s="68" t="s">
        <v>2</v>
      </c>
      <c r="Q896" s="68" t="s">
        <v>15</v>
      </c>
      <c r="R896" s="68" t="s">
        <v>15</v>
      </c>
      <c r="S896" s="68" t="s">
        <v>16</v>
      </c>
      <c r="T896" s="68" t="s">
        <v>329</v>
      </c>
      <c r="U896" s="68" t="s">
        <v>249</v>
      </c>
      <c r="V896" s="68" t="s">
        <v>282</v>
      </c>
      <c r="W896" s="69" t="s">
        <v>282</v>
      </c>
      <c r="X896" s="69" t="s">
        <v>282</v>
      </c>
      <c r="Y896" s="70" t="s">
        <v>282</v>
      </c>
    </row>
    <row r="897" spans="1:25">
      <c r="A897" s="64">
        <v>17</v>
      </c>
      <c r="B897" s="65" t="str">
        <f>VLOOKUP(Tabel10[[#This Row],[Code]],Ruimtegroepen[[Code]:[Ruimte omschrijving]],2,FALSE)</f>
        <v>Toestelberging</v>
      </c>
      <c r="C897" s="66" t="s">
        <v>1027</v>
      </c>
      <c r="D897" s="65" t="s">
        <v>1</v>
      </c>
      <c r="E897" s="66" t="s">
        <v>1309</v>
      </c>
      <c r="F897" s="66" t="s">
        <v>1474</v>
      </c>
      <c r="G897" s="71" t="s">
        <v>282</v>
      </c>
      <c r="H897" s="67" t="s">
        <v>282</v>
      </c>
      <c r="I897" s="67" t="s">
        <v>20</v>
      </c>
      <c r="J897" s="67" t="s">
        <v>15</v>
      </c>
      <c r="K897" s="67" t="s">
        <v>283</v>
      </c>
      <c r="L897" s="67" t="s">
        <v>282</v>
      </c>
      <c r="M897" s="67" t="s">
        <v>282</v>
      </c>
      <c r="N897" s="67" t="s">
        <v>282</v>
      </c>
      <c r="O897" s="68" t="s">
        <v>2</v>
      </c>
      <c r="P897" s="68" t="s">
        <v>2</v>
      </c>
      <c r="Q897" s="68" t="s">
        <v>15</v>
      </c>
      <c r="R897" s="68" t="s">
        <v>15</v>
      </c>
      <c r="S897" s="68" t="s">
        <v>16</v>
      </c>
      <c r="T897" s="68" t="s">
        <v>329</v>
      </c>
      <c r="U897" s="68" t="s">
        <v>249</v>
      </c>
      <c r="V897" s="68" t="s">
        <v>282</v>
      </c>
      <c r="W897" s="69" t="s">
        <v>282</v>
      </c>
      <c r="X897" s="69" t="s">
        <v>282</v>
      </c>
      <c r="Y897" s="70" t="s">
        <v>282</v>
      </c>
    </row>
    <row r="898" spans="1:25">
      <c r="A898" s="64">
        <v>17</v>
      </c>
      <c r="B898" s="65" t="str">
        <f>VLOOKUP(Tabel10[[#This Row],[Code]],Ruimtegroepen[[Code]:[Ruimte omschrijving]],2,FALSE)</f>
        <v>Toestelberging</v>
      </c>
      <c r="C898" s="66" t="s">
        <v>1032</v>
      </c>
      <c r="D898" s="65" t="s">
        <v>21</v>
      </c>
      <c r="E898" s="66" t="s">
        <v>100</v>
      </c>
      <c r="F898" s="66" t="s">
        <v>1033</v>
      </c>
      <c r="G898" s="71" t="s">
        <v>282</v>
      </c>
      <c r="H898" s="67" t="s">
        <v>282</v>
      </c>
      <c r="I898" s="67" t="s">
        <v>18</v>
      </c>
      <c r="J898" s="67" t="s">
        <v>15</v>
      </c>
      <c r="K898" s="67" t="s">
        <v>282</v>
      </c>
      <c r="L898" s="67" t="s">
        <v>282</v>
      </c>
      <c r="M898" s="67" t="s">
        <v>282</v>
      </c>
      <c r="N898" s="67" t="s">
        <v>282</v>
      </c>
      <c r="O898" s="68" t="s">
        <v>20</v>
      </c>
      <c r="P898" s="68" t="s">
        <v>20</v>
      </c>
      <c r="Q898" s="68" t="s">
        <v>15</v>
      </c>
      <c r="R898" s="68" t="s">
        <v>15</v>
      </c>
      <c r="S898" s="68" t="s">
        <v>16</v>
      </c>
      <c r="T898" s="68" t="s">
        <v>329</v>
      </c>
      <c r="U898" s="68" t="s">
        <v>249</v>
      </c>
      <c r="V898" s="68" t="s">
        <v>282</v>
      </c>
      <c r="W898" s="69" t="s">
        <v>282</v>
      </c>
      <c r="X898" s="69" t="s">
        <v>282</v>
      </c>
      <c r="Y898" s="70" t="s">
        <v>282</v>
      </c>
    </row>
    <row r="899" spans="1:25">
      <c r="A899" s="64">
        <v>17</v>
      </c>
      <c r="B899" s="65" t="str">
        <f>VLOOKUP(Tabel10[[#This Row],[Code]],Ruimtegroepen[[Code]:[Ruimte omschrijving]],2,FALSE)</f>
        <v>Toestelberging</v>
      </c>
      <c r="C899" s="66" t="s">
        <v>1032</v>
      </c>
      <c r="D899" s="65" t="s">
        <v>21</v>
      </c>
      <c r="E899" s="66" t="s">
        <v>99</v>
      </c>
      <c r="F899" s="66" t="s">
        <v>1034</v>
      </c>
      <c r="G899" s="67" t="s">
        <v>18</v>
      </c>
      <c r="H899" s="67" t="s">
        <v>15</v>
      </c>
      <c r="I899" s="67" t="s">
        <v>282</v>
      </c>
      <c r="J899" s="67" t="s">
        <v>282</v>
      </c>
      <c r="K899" s="67" t="s">
        <v>282</v>
      </c>
      <c r="L899" s="67" t="s">
        <v>282</v>
      </c>
      <c r="M899" s="67" t="s">
        <v>282</v>
      </c>
      <c r="N899" s="67" t="s">
        <v>282</v>
      </c>
      <c r="O899" s="68" t="s">
        <v>20</v>
      </c>
      <c r="P899" s="68" t="s">
        <v>20</v>
      </c>
      <c r="Q899" s="68" t="s">
        <v>15</v>
      </c>
      <c r="R899" s="68" t="s">
        <v>15</v>
      </c>
      <c r="S899" s="68" t="s">
        <v>16</v>
      </c>
      <c r="T899" s="68" t="s">
        <v>329</v>
      </c>
      <c r="U899" s="68" t="s">
        <v>249</v>
      </c>
      <c r="V899" s="68" t="s">
        <v>282</v>
      </c>
      <c r="W899" s="69" t="s">
        <v>282</v>
      </c>
      <c r="X899" s="69" t="s">
        <v>282</v>
      </c>
      <c r="Y899" s="70" t="s">
        <v>282</v>
      </c>
    </row>
    <row r="900" spans="1:25">
      <c r="A900" s="64">
        <v>17</v>
      </c>
      <c r="B900" s="65" t="str">
        <f>VLOOKUP(Tabel10[[#This Row],[Code]],Ruimtegroepen[[Code]:[Ruimte omschrijving]],2,FALSE)</f>
        <v>Toestelberging</v>
      </c>
      <c r="C900" s="66" t="s">
        <v>1032</v>
      </c>
      <c r="D900" s="65" t="s">
        <v>21</v>
      </c>
      <c r="E900" s="66" t="s">
        <v>101</v>
      </c>
      <c r="F900" s="66" t="s">
        <v>1035</v>
      </c>
      <c r="G900" s="71" t="s">
        <v>282</v>
      </c>
      <c r="H900" s="67" t="s">
        <v>282</v>
      </c>
      <c r="I900" s="67" t="s">
        <v>18</v>
      </c>
      <c r="J900" s="67" t="s">
        <v>15</v>
      </c>
      <c r="K900" s="67" t="s">
        <v>283</v>
      </c>
      <c r="L900" s="67" t="s">
        <v>282</v>
      </c>
      <c r="M900" s="67" t="s">
        <v>282</v>
      </c>
      <c r="N900" s="67" t="s">
        <v>282</v>
      </c>
      <c r="O900" s="68" t="s">
        <v>20</v>
      </c>
      <c r="P900" s="68" t="s">
        <v>20</v>
      </c>
      <c r="Q900" s="68" t="s">
        <v>15</v>
      </c>
      <c r="R900" s="68" t="s">
        <v>15</v>
      </c>
      <c r="S900" s="68" t="s">
        <v>16</v>
      </c>
      <c r="T900" s="68" t="s">
        <v>329</v>
      </c>
      <c r="U900" s="68" t="s">
        <v>249</v>
      </c>
      <c r="V900" s="68" t="s">
        <v>282</v>
      </c>
      <c r="W900" s="69" t="s">
        <v>282</v>
      </c>
      <c r="X900" s="69" t="s">
        <v>282</v>
      </c>
      <c r="Y900" s="70" t="s">
        <v>282</v>
      </c>
    </row>
    <row r="901" spans="1:25">
      <c r="A901" s="64">
        <v>17</v>
      </c>
      <c r="B901" s="65" t="str">
        <f>VLOOKUP(Tabel10[[#This Row],[Code]],Ruimtegroepen[[Code]:[Ruimte omschrijving]],2,FALSE)</f>
        <v>Toestelberging</v>
      </c>
      <c r="C901" s="66" t="s">
        <v>1032</v>
      </c>
      <c r="D901" s="65" t="s">
        <v>21</v>
      </c>
      <c r="E901" s="66" t="s">
        <v>102</v>
      </c>
      <c r="F901" s="66" t="s">
        <v>1036</v>
      </c>
      <c r="G901" s="71" t="s">
        <v>282</v>
      </c>
      <c r="H901" s="67" t="s">
        <v>282</v>
      </c>
      <c r="I901" s="67" t="s">
        <v>18</v>
      </c>
      <c r="J901" s="67" t="s">
        <v>15</v>
      </c>
      <c r="K901" s="67" t="s">
        <v>283</v>
      </c>
      <c r="L901" s="67" t="s">
        <v>282</v>
      </c>
      <c r="M901" s="67" t="s">
        <v>282</v>
      </c>
      <c r="N901" s="67" t="s">
        <v>282</v>
      </c>
      <c r="O901" s="68" t="s">
        <v>20</v>
      </c>
      <c r="P901" s="68" t="s">
        <v>20</v>
      </c>
      <c r="Q901" s="68" t="s">
        <v>15</v>
      </c>
      <c r="R901" s="68" t="s">
        <v>15</v>
      </c>
      <c r="S901" s="68" t="s">
        <v>16</v>
      </c>
      <c r="T901" s="68" t="s">
        <v>329</v>
      </c>
      <c r="U901" s="68" t="s">
        <v>249</v>
      </c>
      <c r="V901" s="68" t="s">
        <v>282</v>
      </c>
      <c r="W901" s="69" t="s">
        <v>282</v>
      </c>
      <c r="X901" s="69" t="s">
        <v>282</v>
      </c>
      <c r="Y901" s="70" t="s">
        <v>282</v>
      </c>
    </row>
    <row r="902" spans="1:25">
      <c r="A902" s="64">
        <v>17</v>
      </c>
      <c r="B902" s="65" t="str">
        <f>VLOOKUP(Tabel10[[#This Row],[Code]],Ruimtegroepen[[Code]:[Ruimte omschrijving]],2,FALSE)</f>
        <v>Toestelberging</v>
      </c>
      <c r="C902" s="66" t="s">
        <v>1032</v>
      </c>
      <c r="D902" s="65" t="s">
        <v>21</v>
      </c>
      <c r="E902" s="66" t="s">
        <v>99</v>
      </c>
      <c r="F902" s="66" t="s">
        <v>1034</v>
      </c>
      <c r="G902" s="71" t="s">
        <v>282</v>
      </c>
      <c r="H902" s="67" t="s">
        <v>20</v>
      </c>
      <c r="I902" s="67" t="s">
        <v>282</v>
      </c>
      <c r="J902" s="67" t="s">
        <v>282</v>
      </c>
      <c r="K902" s="67" t="s">
        <v>282</v>
      </c>
      <c r="L902" s="67" t="s">
        <v>282</v>
      </c>
      <c r="M902" s="67" t="s">
        <v>282</v>
      </c>
      <c r="N902" s="67" t="s">
        <v>282</v>
      </c>
      <c r="O902" s="68" t="s">
        <v>20</v>
      </c>
      <c r="P902" s="68" t="s">
        <v>20</v>
      </c>
      <c r="Q902" s="68" t="s">
        <v>15</v>
      </c>
      <c r="R902" s="68" t="s">
        <v>15</v>
      </c>
      <c r="S902" s="68" t="s">
        <v>16</v>
      </c>
      <c r="T902" s="68" t="s">
        <v>329</v>
      </c>
      <c r="U902" s="68" t="s">
        <v>249</v>
      </c>
      <c r="V902" s="68" t="s">
        <v>282</v>
      </c>
      <c r="W902" s="69" t="s">
        <v>282</v>
      </c>
      <c r="X902" s="69" t="s">
        <v>282</v>
      </c>
      <c r="Y902" s="70" t="s">
        <v>282</v>
      </c>
    </row>
    <row r="903" spans="1:25">
      <c r="A903" s="64">
        <v>17</v>
      </c>
      <c r="B903" s="65" t="str">
        <f>VLOOKUP(Tabel10[[#This Row],[Code]],Ruimtegroepen[[Code]:[Ruimte omschrijving]],2,FALSE)</f>
        <v>Toestelberging</v>
      </c>
      <c r="C903" s="66" t="s">
        <v>1032</v>
      </c>
      <c r="D903" s="65" t="s">
        <v>21</v>
      </c>
      <c r="E903" s="66" t="s">
        <v>1309</v>
      </c>
      <c r="F903" s="66" t="s">
        <v>1457</v>
      </c>
      <c r="G903" s="71" t="s">
        <v>282</v>
      </c>
      <c r="H903" s="67" t="s">
        <v>282</v>
      </c>
      <c r="I903" s="67" t="s">
        <v>18</v>
      </c>
      <c r="J903" s="67" t="s">
        <v>15</v>
      </c>
      <c r="K903" s="67" t="s">
        <v>283</v>
      </c>
      <c r="L903" s="67" t="s">
        <v>282</v>
      </c>
      <c r="M903" s="67" t="s">
        <v>282</v>
      </c>
      <c r="N903" s="67" t="s">
        <v>282</v>
      </c>
      <c r="O903" s="68" t="s">
        <v>20</v>
      </c>
      <c r="P903" s="68" t="s">
        <v>20</v>
      </c>
      <c r="Q903" s="68" t="s">
        <v>15</v>
      </c>
      <c r="R903" s="68" t="s">
        <v>15</v>
      </c>
      <c r="S903" s="68" t="s">
        <v>16</v>
      </c>
      <c r="T903" s="68" t="s">
        <v>329</v>
      </c>
      <c r="U903" s="68" t="s">
        <v>249</v>
      </c>
      <c r="V903" s="68" t="s">
        <v>282</v>
      </c>
      <c r="W903" s="69" t="s">
        <v>282</v>
      </c>
      <c r="X903" s="69" t="s">
        <v>282</v>
      </c>
      <c r="Y903" s="70" t="s">
        <v>282</v>
      </c>
    </row>
    <row r="904" spans="1:25">
      <c r="A904" s="64">
        <v>17</v>
      </c>
      <c r="B904" s="65" t="str">
        <f>VLOOKUP(Tabel10[[#This Row],[Code]],Ruimtegroepen[[Code]:[Ruimte omschrijving]],2,FALSE)</f>
        <v>Toestelberging</v>
      </c>
      <c r="C904" s="66" t="s">
        <v>1037</v>
      </c>
      <c r="D904" s="65" t="s">
        <v>12</v>
      </c>
      <c r="E904" s="66" t="s">
        <v>100</v>
      </c>
      <c r="F904" s="66" t="s">
        <v>1038</v>
      </c>
      <c r="G904" s="71" t="s">
        <v>282</v>
      </c>
      <c r="H904" s="67" t="s">
        <v>282</v>
      </c>
      <c r="I904" s="67" t="s">
        <v>17</v>
      </c>
      <c r="J904" s="67" t="s">
        <v>15</v>
      </c>
      <c r="K904" s="67" t="s">
        <v>282</v>
      </c>
      <c r="L904" s="67" t="s">
        <v>282</v>
      </c>
      <c r="M904" s="67" t="s">
        <v>282</v>
      </c>
      <c r="N904" s="67" t="s">
        <v>282</v>
      </c>
      <c r="O904" s="68" t="s">
        <v>18</v>
      </c>
      <c r="P904" s="68" t="s">
        <v>18</v>
      </c>
      <c r="Q904" s="68" t="s">
        <v>15</v>
      </c>
      <c r="R904" s="68" t="s">
        <v>15</v>
      </c>
      <c r="S904" s="68" t="s">
        <v>16</v>
      </c>
      <c r="T904" s="68" t="s">
        <v>329</v>
      </c>
      <c r="U904" s="68" t="s">
        <v>249</v>
      </c>
      <c r="V904" s="68" t="s">
        <v>282</v>
      </c>
      <c r="W904" s="69" t="s">
        <v>282</v>
      </c>
      <c r="X904" s="69" t="s">
        <v>282</v>
      </c>
      <c r="Y904" s="70" t="s">
        <v>282</v>
      </c>
    </row>
    <row r="905" spans="1:25">
      <c r="A905" s="64">
        <v>17</v>
      </c>
      <c r="B905" s="65" t="str">
        <f>VLOOKUP(Tabel10[[#This Row],[Code]],Ruimtegroepen[[Code]:[Ruimte omschrijving]],2,FALSE)</f>
        <v>Toestelberging</v>
      </c>
      <c r="C905" s="66" t="s">
        <v>1037</v>
      </c>
      <c r="D905" s="65" t="s">
        <v>12</v>
      </c>
      <c r="E905" s="66" t="s">
        <v>99</v>
      </c>
      <c r="F905" s="66" t="s">
        <v>1039</v>
      </c>
      <c r="G905" s="67" t="s">
        <v>17</v>
      </c>
      <c r="H905" s="67" t="s">
        <v>15</v>
      </c>
      <c r="I905" s="67" t="s">
        <v>282</v>
      </c>
      <c r="J905" s="67" t="s">
        <v>282</v>
      </c>
      <c r="K905" s="67" t="s">
        <v>282</v>
      </c>
      <c r="L905" s="67" t="s">
        <v>282</v>
      </c>
      <c r="M905" s="67" t="s">
        <v>282</v>
      </c>
      <c r="N905" s="67" t="s">
        <v>282</v>
      </c>
      <c r="O905" s="68" t="s">
        <v>18</v>
      </c>
      <c r="P905" s="68" t="s">
        <v>18</v>
      </c>
      <c r="Q905" s="68" t="s">
        <v>15</v>
      </c>
      <c r="R905" s="68" t="s">
        <v>15</v>
      </c>
      <c r="S905" s="68" t="s">
        <v>16</v>
      </c>
      <c r="T905" s="68" t="s">
        <v>329</v>
      </c>
      <c r="U905" s="68" t="s">
        <v>249</v>
      </c>
      <c r="V905" s="68" t="s">
        <v>282</v>
      </c>
      <c r="W905" s="69" t="s">
        <v>282</v>
      </c>
      <c r="X905" s="69" t="s">
        <v>282</v>
      </c>
      <c r="Y905" s="70" t="s">
        <v>282</v>
      </c>
    </row>
    <row r="906" spans="1:25">
      <c r="A906" s="64">
        <v>17</v>
      </c>
      <c r="B906" s="65" t="str">
        <f>VLOOKUP(Tabel10[[#This Row],[Code]],Ruimtegroepen[[Code]:[Ruimte omschrijving]],2,FALSE)</f>
        <v>Toestelberging</v>
      </c>
      <c r="C906" s="66" t="s">
        <v>1037</v>
      </c>
      <c r="D906" s="65" t="s">
        <v>12</v>
      </c>
      <c r="E906" s="66" t="s">
        <v>101</v>
      </c>
      <c r="F906" s="66" t="s">
        <v>1040</v>
      </c>
      <c r="G906" s="71" t="s">
        <v>282</v>
      </c>
      <c r="H906" s="67" t="s">
        <v>282</v>
      </c>
      <c r="I906" s="67" t="s">
        <v>17</v>
      </c>
      <c r="J906" s="67" t="s">
        <v>15</v>
      </c>
      <c r="K906" s="67" t="s">
        <v>283</v>
      </c>
      <c r="L906" s="67" t="s">
        <v>282</v>
      </c>
      <c r="M906" s="67" t="s">
        <v>282</v>
      </c>
      <c r="N906" s="67" t="s">
        <v>282</v>
      </c>
      <c r="O906" s="68" t="s">
        <v>18</v>
      </c>
      <c r="P906" s="68" t="s">
        <v>18</v>
      </c>
      <c r="Q906" s="68" t="s">
        <v>15</v>
      </c>
      <c r="R906" s="68" t="s">
        <v>15</v>
      </c>
      <c r="S906" s="68" t="s">
        <v>16</v>
      </c>
      <c r="T906" s="68" t="s">
        <v>329</v>
      </c>
      <c r="U906" s="68" t="s">
        <v>249</v>
      </c>
      <c r="V906" s="68" t="s">
        <v>282</v>
      </c>
      <c r="W906" s="69" t="s">
        <v>282</v>
      </c>
      <c r="X906" s="69" t="s">
        <v>282</v>
      </c>
      <c r="Y906" s="70" t="s">
        <v>282</v>
      </c>
    </row>
    <row r="907" spans="1:25">
      <c r="A907" s="64">
        <v>17</v>
      </c>
      <c r="B907" s="65" t="str">
        <f>VLOOKUP(Tabel10[[#This Row],[Code]],Ruimtegroepen[[Code]:[Ruimte omschrijving]],2,FALSE)</f>
        <v>Toestelberging</v>
      </c>
      <c r="C907" s="66" t="s">
        <v>1037</v>
      </c>
      <c r="D907" s="65" t="s">
        <v>12</v>
      </c>
      <c r="E907" s="66" t="s">
        <v>102</v>
      </c>
      <c r="F907" s="66" t="s">
        <v>1041</v>
      </c>
      <c r="G907" s="71" t="s">
        <v>282</v>
      </c>
      <c r="H907" s="67" t="s">
        <v>282</v>
      </c>
      <c r="I907" s="67" t="s">
        <v>17</v>
      </c>
      <c r="J907" s="67" t="s">
        <v>15</v>
      </c>
      <c r="K907" s="67" t="s">
        <v>283</v>
      </c>
      <c r="L907" s="67" t="s">
        <v>282</v>
      </c>
      <c r="M907" s="67" t="s">
        <v>282</v>
      </c>
      <c r="N907" s="67" t="s">
        <v>282</v>
      </c>
      <c r="O907" s="68" t="s">
        <v>18</v>
      </c>
      <c r="P907" s="68" t="s">
        <v>18</v>
      </c>
      <c r="Q907" s="68" t="s">
        <v>15</v>
      </c>
      <c r="R907" s="68" t="s">
        <v>15</v>
      </c>
      <c r="S907" s="68" t="s">
        <v>16</v>
      </c>
      <c r="T907" s="68" t="s">
        <v>329</v>
      </c>
      <c r="U907" s="68" t="s">
        <v>249</v>
      </c>
      <c r="V907" s="68" t="s">
        <v>282</v>
      </c>
      <c r="W907" s="69" t="s">
        <v>282</v>
      </c>
      <c r="X907" s="69" t="s">
        <v>282</v>
      </c>
      <c r="Y907" s="70" t="s">
        <v>282</v>
      </c>
    </row>
    <row r="908" spans="1:25">
      <c r="A908" s="64">
        <v>17</v>
      </c>
      <c r="B908" s="65" t="str">
        <f>VLOOKUP(Tabel10[[#This Row],[Code]],Ruimtegroepen[[Code]:[Ruimte omschrijving]],2,FALSE)</f>
        <v>Toestelberging</v>
      </c>
      <c r="C908" s="66" t="s">
        <v>1037</v>
      </c>
      <c r="D908" s="65" t="s">
        <v>12</v>
      </c>
      <c r="E908" s="66" t="s">
        <v>99</v>
      </c>
      <c r="F908" s="66" t="s">
        <v>1039</v>
      </c>
      <c r="G908" s="71" t="s">
        <v>282</v>
      </c>
      <c r="H908" s="67" t="s">
        <v>18</v>
      </c>
      <c r="I908" s="67" t="s">
        <v>282</v>
      </c>
      <c r="J908" s="67" t="s">
        <v>282</v>
      </c>
      <c r="K908" s="67" t="s">
        <v>282</v>
      </c>
      <c r="L908" s="67" t="s">
        <v>282</v>
      </c>
      <c r="M908" s="67" t="s">
        <v>282</v>
      </c>
      <c r="N908" s="67" t="s">
        <v>282</v>
      </c>
      <c r="O908" s="68" t="s">
        <v>18</v>
      </c>
      <c r="P908" s="68" t="s">
        <v>18</v>
      </c>
      <c r="Q908" s="68" t="s">
        <v>15</v>
      </c>
      <c r="R908" s="68" t="s">
        <v>15</v>
      </c>
      <c r="S908" s="68" t="s">
        <v>16</v>
      </c>
      <c r="T908" s="68" t="s">
        <v>329</v>
      </c>
      <c r="U908" s="68" t="s">
        <v>249</v>
      </c>
      <c r="V908" s="68" t="s">
        <v>282</v>
      </c>
      <c r="W908" s="69" t="s">
        <v>282</v>
      </c>
      <c r="X908" s="69" t="s">
        <v>282</v>
      </c>
      <c r="Y908" s="70" t="s">
        <v>282</v>
      </c>
    </row>
    <row r="909" spans="1:25">
      <c r="A909" s="64">
        <v>17</v>
      </c>
      <c r="B909" s="65" t="str">
        <f>VLOOKUP(Tabel10[[#This Row],[Code]],Ruimtegroepen[[Code]:[Ruimte omschrijving]],2,FALSE)</f>
        <v>Toestelberging</v>
      </c>
      <c r="C909" s="66" t="s">
        <v>1037</v>
      </c>
      <c r="D909" s="65" t="s">
        <v>12</v>
      </c>
      <c r="E909" s="66" t="s">
        <v>1309</v>
      </c>
      <c r="F909" s="66" t="s">
        <v>1439</v>
      </c>
      <c r="G909" s="71" t="s">
        <v>282</v>
      </c>
      <c r="H909" s="67" t="s">
        <v>282</v>
      </c>
      <c r="I909" s="67" t="s">
        <v>17</v>
      </c>
      <c r="J909" s="67" t="s">
        <v>15</v>
      </c>
      <c r="K909" s="67" t="s">
        <v>283</v>
      </c>
      <c r="L909" s="67" t="s">
        <v>282</v>
      </c>
      <c r="M909" s="67" t="s">
        <v>282</v>
      </c>
      <c r="N909" s="67" t="s">
        <v>282</v>
      </c>
      <c r="O909" s="68" t="s">
        <v>18</v>
      </c>
      <c r="P909" s="68" t="s">
        <v>18</v>
      </c>
      <c r="Q909" s="68" t="s">
        <v>15</v>
      </c>
      <c r="R909" s="68" t="s">
        <v>15</v>
      </c>
      <c r="S909" s="68" t="s">
        <v>16</v>
      </c>
      <c r="T909" s="68" t="s">
        <v>329</v>
      </c>
      <c r="U909" s="68" t="s">
        <v>249</v>
      </c>
      <c r="V909" s="68" t="s">
        <v>282</v>
      </c>
      <c r="W909" s="69" t="s">
        <v>282</v>
      </c>
      <c r="X909" s="69" t="s">
        <v>282</v>
      </c>
      <c r="Y909" s="70" t="s">
        <v>282</v>
      </c>
    </row>
    <row r="910" spans="1:25">
      <c r="A910" s="64">
        <v>17</v>
      </c>
      <c r="B910" s="65" t="str">
        <f>VLOOKUP(Tabel10[[#This Row],[Code]],Ruimtegroepen[[Code]:[Ruimte omschrijving]],2,FALSE)</f>
        <v>Toestelberging</v>
      </c>
      <c r="C910" s="66" t="s">
        <v>1042</v>
      </c>
      <c r="D910" s="65" t="s">
        <v>14</v>
      </c>
      <c r="E910" s="66" t="s">
        <v>100</v>
      </c>
      <c r="F910" s="66" t="s">
        <v>1043</v>
      </c>
      <c r="G910" s="71" t="s">
        <v>282</v>
      </c>
      <c r="H910" s="67" t="s">
        <v>282</v>
      </c>
      <c r="I910" s="67" t="s">
        <v>15</v>
      </c>
      <c r="J910" s="67" t="s">
        <v>15</v>
      </c>
      <c r="K910" s="67" t="s">
        <v>282</v>
      </c>
      <c r="L910" s="67" t="s">
        <v>282</v>
      </c>
      <c r="M910" s="67" t="s">
        <v>282</v>
      </c>
      <c r="N910" s="67" t="s">
        <v>282</v>
      </c>
      <c r="O910" s="68" t="s">
        <v>17</v>
      </c>
      <c r="P910" s="68" t="s">
        <v>17</v>
      </c>
      <c r="Q910" s="68" t="s">
        <v>15</v>
      </c>
      <c r="R910" s="68" t="s">
        <v>15</v>
      </c>
      <c r="S910" s="68" t="s">
        <v>16</v>
      </c>
      <c r="T910" s="68" t="s">
        <v>329</v>
      </c>
      <c r="U910" s="68" t="s">
        <v>249</v>
      </c>
      <c r="V910" s="68" t="s">
        <v>282</v>
      </c>
      <c r="W910" s="69" t="s">
        <v>282</v>
      </c>
      <c r="X910" s="69" t="s">
        <v>282</v>
      </c>
      <c r="Y910" s="70" t="s">
        <v>282</v>
      </c>
    </row>
    <row r="911" spans="1:25">
      <c r="A911" s="64">
        <v>17</v>
      </c>
      <c r="B911" s="65" t="str">
        <f>VLOOKUP(Tabel10[[#This Row],[Code]],Ruimtegroepen[[Code]:[Ruimte omschrijving]],2,FALSE)</f>
        <v>Toestelberging</v>
      </c>
      <c r="C911" s="66" t="s">
        <v>1042</v>
      </c>
      <c r="D911" s="65" t="s">
        <v>14</v>
      </c>
      <c r="E911" s="66" t="s">
        <v>99</v>
      </c>
      <c r="F911" s="66" t="s">
        <v>1044</v>
      </c>
      <c r="G911" s="67" t="s">
        <v>15</v>
      </c>
      <c r="H911" s="67" t="s">
        <v>15</v>
      </c>
      <c r="I911" s="67" t="s">
        <v>282</v>
      </c>
      <c r="J911" s="67" t="s">
        <v>282</v>
      </c>
      <c r="K911" s="67" t="s">
        <v>282</v>
      </c>
      <c r="L911" s="67" t="s">
        <v>282</v>
      </c>
      <c r="M911" s="67" t="s">
        <v>282</v>
      </c>
      <c r="N911" s="67" t="s">
        <v>282</v>
      </c>
      <c r="O911" s="68" t="s">
        <v>17</v>
      </c>
      <c r="P911" s="68" t="s">
        <v>17</v>
      </c>
      <c r="Q911" s="68" t="s">
        <v>15</v>
      </c>
      <c r="R911" s="68" t="s">
        <v>15</v>
      </c>
      <c r="S911" s="68" t="s">
        <v>16</v>
      </c>
      <c r="T911" s="68" t="s">
        <v>329</v>
      </c>
      <c r="U911" s="68" t="s">
        <v>249</v>
      </c>
      <c r="V911" s="68" t="s">
        <v>282</v>
      </c>
      <c r="W911" s="69" t="s">
        <v>282</v>
      </c>
      <c r="X911" s="69" t="s">
        <v>282</v>
      </c>
      <c r="Y911" s="70" t="s">
        <v>282</v>
      </c>
    </row>
    <row r="912" spans="1:25">
      <c r="A912" s="64">
        <v>17</v>
      </c>
      <c r="B912" s="65" t="str">
        <f>VLOOKUP(Tabel10[[#This Row],[Code]],Ruimtegroepen[[Code]:[Ruimte omschrijving]],2,FALSE)</f>
        <v>Toestelberging</v>
      </c>
      <c r="C912" s="66" t="s">
        <v>1042</v>
      </c>
      <c r="D912" s="65" t="s">
        <v>14</v>
      </c>
      <c r="E912" s="66" t="s">
        <v>101</v>
      </c>
      <c r="F912" s="66" t="s">
        <v>1045</v>
      </c>
      <c r="G912" s="71" t="s">
        <v>282</v>
      </c>
      <c r="H912" s="67" t="s">
        <v>282</v>
      </c>
      <c r="I912" s="67" t="s">
        <v>15</v>
      </c>
      <c r="J912" s="67" t="s">
        <v>15</v>
      </c>
      <c r="K912" s="67" t="s">
        <v>283</v>
      </c>
      <c r="L912" s="67" t="s">
        <v>282</v>
      </c>
      <c r="M912" s="67" t="s">
        <v>282</v>
      </c>
      <c r="N912" s="67" t="s">
        <v>282</v>
      </c>
      <c r="O912" s="68" t="s">
        <v>17</v>
      </c>
      <c r="P912" s="68" t="s">
        <v>17</v>
      </c>
      <c r="Q912" s="68" t="s">
        <v>15</v>
      </c>
      <c r="R912" s="68" t="s">
        <v>15</v>
      </c>
      <c r="S912" s="68" t="s">
        <v>16</v>
      </c>
      <c r="T912" s="68" t="s">
        <v>329</v>
      </c>
      <c r="U912" s="68" t="s">
        <v>249</v>
      </c>
      <c r="V912" s="68" t="s">
        <v>282</v>
      </c>
      <c r="W912" s="69" t="s">
        <v>282</v>
      </c>
      <c r="X912" s="69" t="s">
        <v>282</v>
      </c>
      <c r="Y912" s="70" t="s">
        <v>282</v>
      </c>
    </row>
    <row r="913" spans="1:25">
      <c r="A913" s="64">
        <v>17</v>
      </c>
      <c r="B913" s="65" t="str">
        <f>VLOOKUP(Tabel10[[#This Row],[Code]],Ruimtegroepen[[Code]:[Ruimte omschrijving]],2,FALSE)</f>
        <v>Toestelberging</v>
      </c>
      <c r="C913" s="66" t="s">
        <v>1042</v>
      </c>
      <c r="D913" s="65" t="s">
        <v>14</v>
      </c>
      <c r="E913" s="66" t="s">
        <v>102</v>
      </c>
      <c r="F913" s="66" t="s">
        <v>1046</v>
      </c>
      <c r="G913" s="71" t="s">
        <v>282</v>
      </c>
      <c r="H913" s="67" t="s">
        <v>282</v>
      </c>
      <c r="I913" s="67" t="s">
        <v>15</v>
      </c>
      <c r="J913" s="67" t="s">
        <v>15</v>
      </c>
      <c r="K913" s="67" t="s">
        <v>283</v>
      </c>
      <c r="L913" s="67" t="s">
        <v>282</v>
      </c>
      <c r="M913" s="67" t="s">
        <v>282</v>
      </c>
      <c r="N913" s="67" t="s">
        <v>282</v>
      </c>
      <c r="O913" s="68" t="s">
        <v>17</v>
      </c>
      <c r="P913" s="68" t="s">
        <v>17</v>
      </c>
      <c r="Q913" s="68" t="s">
        <v>15</v>
      </c>
      <c r="R913" s="68" t="s">
        <v>15</v>
      </c>
      <c r="S913" s="68" t="s">
        <v>16</v>
      </c>
      <c r="T913" s="68" t="s">
        <v>329</v>
      </c>
      <c r="U913" s="68" t="s">
        <v>249</v>
      </c>
      <c r="V913" s="68" t="s">
        <v>282</v>
      </c>
      <c r="W913" s="69" t="s">
        <v>282</v>
      </c>
      <c r="X913" s="69" t="s">
        <v>282</v>
      </c>
      <c r="Y913" s="70" t="s">
        <v>282</v>
      </c>
    </row>
    <row r="914" spans="1:25">
      <c r="A914" s="64">
        <v>17</v>
      </c>
      <c r="B914" s="65" t="str">
        <f>VLOOKUP(Tabel10[[#This Row],[Code]],Ruimtegroepen[[Code]:[Ruimte omschrijving]],2,FALSE)</f>
        <v>Toestelberging</v>
      </c>
      <c r="C914" s="66" t="s">
        <v>1042</v>
      </c>
      <c r="D914" s="65" t="s">
        <v>14</v>
      </c>
      <c r="E914" s="66" t="s">
        <v>99</v>
      </c>
      <c r="F914" s="66" t="s">
        <v>1044</v>
      </c>
      <c r="G914" s="71" t="s">
        <v>282</v>
      </c>
      <c r="H914" s="67" t="s">
        <v>17</v>
      </c>
      <c r="I914" s="67" t="s">
        <v>282</v>
      </c>
      <c r="J914" s="67" t="s">
        <v>282</v>
      </c>
      <c r="K914" s="67" t="s">
        <v>282</v>
      </c>
      <c r="L914" s="67" t="s">
        <v>282</v>
      </c>
      <c r="M914" s="67" t="s">
        <v>282</v>
      </c>
      <c r="N914" s="67" t="s">
        <v>282</v>
      </c>
      <c r="O914" s="68" t="s">
        <v>17</v>
      </c>
      <c r="P914" s="68" t="s">
        <v>17</v>
      </c>
      <c r="Q914" s="68" t="s">
        <v>15</v>
      </c>
      <c r="R914" s="68" t="s">
        <v>15</v>
      </c>
      <c r="S914" s="68" t="s">
        <v>16</v>
      </c>
      <c r="T914" s="68" t="s">
        <v>329</v>
      </c>
      <c r="U914" s="68" t="s">
        <v>249</v>
      </c>
      <c r="V914" s="68" t="s">
        <v>282</v>
      </c>
      <c r="W914" s="69" t="s">
        <v>282</v>
      </c>
      <c r="X914" s="69" t="s">
        <v>282</v>
      </c>
      <c r="Y914" s="70" t="s">
        <v>282</v>
      </c>
    </row>
    <row r="915" spans="1:25">
      <c r="A915" s="64">
        <v>17</v>
      </c>
      <c r="B915" s="65" t="str">
        <f>VLOOKUP(Tabel10[[#This Row],[Code]],Ruimtegroepen[[Code]:[Ruimte omschrijving]],2,FALSE)</f>
        <v>Toestelberging</v>
      </c>
      <c r="C915" s="66" t="s">
        <v>1042</v>
      </c>
      <c r="D915" s="65" t="s">
        <v>14</v>
      </c>
      <c r="E915" s="66" t="s">
        <v>1309</v>
      </c>
      <c r="F915" s="66" t="s">
        <v>1406</v>
      </c>
      <c r="G915" s="71" t="s">
        <v>282</v>
      </c>
      <c r="H915" s="67" t="s">
        <v>282</v>
      </c>
      <c r="I915" s="67" t="s">
        <v>15</v>
      </c>
      <c r="J915" s="67" t="s">
        <v>15</v>
      </c>
      <c r="K915" s="67" t="s">
        <v>283</v>
      </c>
      <c r="L915" s="67" t="s">
        <v>282</v>
      </c>
      <c r="M915" s="67" t="s">
        <v>282</v>
      </c>
      <c r="N915" s="67" t="s">
        <v>282</v>
      </c>
      <c r="O915" s="68" t="s">
        <v>17</v>
      </c>
      <c r="P915" s="68" t="s">
        <v>17</v>
      </c>
      <c r="Q915" s="68" t="s">
        <v>15</v>
      </c>
      <c r="R915" s="68" t="s">
        <v>15</v>
      </c>
      <c r="S915" s="68" t="s">
        <v>16</v>
      </c>
      <c r="T915" s="68" t="s">
        <v>329</v>
      </c>
      <c r="U915" s="68" t="s">
        <v>249</v>
      </c>
      <c r="V915" s="68" t="s">
        <v>282</v>
      </c>
      <c r="W915" s="69" t="s">
        <v>282</v>
      </c>
      <c r="X915" s="69" t="s">
        <v>282</v>
      </c>
      <c r="Y915" s="70" t="s">
        <v>282</v>
      </c>
    </row>
    <row r="916" spans="1:25">
      <c r="A916" s="64">
        <v>17</v>
      </c>
      <c r="B916" s="65" t="str">
        <f>VLOOKUP(Tabel10[[#This Row],[Code]],Ruimtegroepen[[Code]:[Ruimte omschrijving]],2,FALSE)</f>
        <v>Toestelberging</v>
      </c>
      <c r="C916" s="66" t="s">
        <v>1047</v>
      </c>
      <c r="D916" s="65" t="s">
        <v>13</v>
      </c>
      <c r="E916" s="66" t="s">
        <v>100</v>
      </c>
      <c r="F916" s="66" t="s">
        <v>1048</v>
      </c>
      <c r="G916" s="71" t="s">
        <v>282</v>
      </c>
      <c r="H916" s="67" t="s">
        <v>282</v>
      </c>
      <c r="I916" s="67" t="s">
        <v>282</v>
      </c>
      <c r="J916" s="67" t="s">
        <v>15</v>
      </c>
      <c r="K916" s="67" t="s">
        <v>282</v>
      </c>
      <c r="L916" s="67" t="s">
        <v>282</v>
      </c>
      <c r="M916" s="67" t="s">
        <v>282</v>
      </c>
      <c r="N916" s="67" t="s">
        <v>282</v>
      </c>
      <c r="O916" s="68" t="s">
        <v>15</v>
      </c>
      <c r="P916" s="68" t="s">
        <v>15</v>
      </c>
      <c r="Q916" s="68" t="s">
        <v>15</v>
      </c>
      <c r="R916" s="68" t="s">
        <v>15</v>
      </c>
      <c r="S916" s="68" t="s">
        <v>16</v>
      </c>
      <c r="T916" s="68" t="s">
        <v>329</v>
      </c>
      <c r="U916" s="68" t="s">
        <v>249</v>
      </c>
      <c r="V916" s="68" t="s">
        <v>282</v>
      </c>
      <c r="W916" s="69" t="s">
        <v>282</v>
      </c>
      <c r="X916" s="69" t="s">
        <v>282</v>
      </c>
      <c r="Y916" s="70" t="s">
        <v>282</v>
      </c>
    </row>
    <row r="917" spans="1:25">
      <c r="A917" s="64">
        <v>17</v>
      </c>
      <c r="B917" s="65" t="str">
        <f>VLOOKUP(Tabel10[[#This Row],[Code]],Ruimtegroepen[[Code]:[Ruimte omschrijving]],2,FALSE)</f>
        <v>Toestelberging</v>
      </c>
      <c r="C917" s="66" t="s">
        <v>1047</v>
      </c>
      <c r="D917" s="65" t="s">
        <v>13</v>
      </c>
      <c r="E917" s="66" t="s">
        <v>99</v>
      </c>
      <c r="F917" s="66" t="s">
        <v>1049</v>
      </c>
      <c r="G917" s="71" t="s">
        <v>282</v>
      </c>
      <c r="H917" s="67" t="s">
        <v>15</v>
      </c>
      <c r="I917" s="67" t="s">
        <v>282</v>
      </c>
      <c r="J917" s="67" t="s">
        <v>282</v>
      </c>
      <c r="K917" s="67" t="s">
        <v>282</v>
      </c>
      <c r="L917" s="67" t="s">
        <v>282</v>
      </c>
      <c r="M917" s="67" t="s">
        <v>282</v>
      </c>
      <c r="N917" s="67" t="s">
        <v>282</v>
      </c>
      <c r="O917" s="68" t="s">
        <v>15</v>
      </c>
      <c r="P917" s="68" t="s">
        <v>15</v>
      </c>
      <c r="Q917" s="68" t="s">
        <v>15</v>
      </c>
      <c r="R917" s="68" t="s">
        <v>15</v>
      </c>
      <c r="S917" s="68" t="s">
        <v>16</v>
      </c>
      <c r="T917" s="68" t="s">
        <v>329</v>
      </c>
      <c r="U917" s="68" t="s">
        <v>249</v>
      </c>
      <c r="V917" s="68" t="s">
        <v>282</v>
      </c>
      <c r="W917" s="69" t="s">
        <v>282</v>
      </c>
      <c r="X917" s="69" t="s">
        <v>282</v>
      </c>
      <c r="Y917" s="70" t="s">
        <v>282</v>
      </c>
    </row>
    <row r="918" spans="1:25">
      <c r="A918" s="64">
        <v>17</v>
      </c>
      <c r="B918" s="65" t="str">
        <f>VLOOKUP(Tabel10[[#This Row],[Code]],Ruimtegroepen[[Code]:[Ruimte omschrijving]],2,FALSE)</f>
        <v>Toestelberging</v>
      </c>
      <c r="C918" s="66" t="s">
        <v>1047</v>
      </c>
      <c r="D918" s="65" t="s">
        <v>13</v>
      </c>
      <c r="E918" s="66" t="s">
        <v>101</v>
      </c>
      <c r="F918" s="66" t="s">
        <v>1050</v>
      </c>
      <c r="G918" s="71" t="s">
        <v>282</v>
      </c>
      <c r="H918" s="67" t="s">
        <v>282</v>
      </c>
      <c r="I918" s="67" t="s">
        <v>282</v>
      </c>
      <c r="J918" s="67" t="s">
        <v>15</v>
      </c>
      <c r="K918" s="67" t="s">
        <v>283</v>
      </c>
      <c r="L918" s="67" t="s">
        <v>282</v>
      </c>
      <c r="M918" s="67" t="s">
        <v>282</v>
      </c>
      <c r="N918" s="67" t="s">
        <v>282</v>
      </c>
      <c r="O918" s="68" t="s">
        <v>15</v>
      </c>
      <c r="P918" s="68" t="s">
        <v>15</v>
      </c>
      <c r="Q918" s="68" t="s">
        <v>15</v>
      </c>
      <c r="R918" s="68" t="s">
        <v>15</v>
      </c>
      <c r="S918" s="68" t="s">
        <v>16</v>
      </c>
      <c r="T918" s="68" t="s">
        <v>329</v>
      </c>
      <c r="U918" s="68" t="s">
        <v>249</v>
      </c>
      <c r="V918" s="68" t="s">
        <v>282</v>
      </c>
      <c r="W918" s="69" t="s">
        <v>282</v>
      </c>
      <c r="X918" s="69" t="s">
        <v>282</v>
      </c>
      <c r="Y918" s="70" t="s">
        <v>282</v>
      </c>
    </row>
    <row r="919" spans="1:25">
      <c r="A919" s="64">
        <v>17</v>
      </c>
      <c r="B919" s="65" t="str">
        <f>VLOOKUP(Tabel10[[#This Row],[Code]],Ruimtegroepen[[Code]:[Ruimte omschrijving]],2,FALSE)</f>
        <v>Toestelberging</v>
      </c>
      <c r="C919" s="66" t="s">
        <v>1047</v>
      </c>
      <c r="D919" s="65" t="s">
        <v>13</v>
      </c>
      <c r="E919" s="66" t="s">
        <v>102</v>
      </c>
      <c r="F919" s="66" t="s">
        <v>1051</v>
      </c>
      <c r="G919" s="71" t="s">
        <v>282</v>
      </c>
      <c r="H919" s="67" t="s">
        <v>282</v>
      </c>
      <c r="I919" s="67" t="s">
        <v>282</v>
      </c>
      <c r="J919" s="67" t="s">
        <v>15</v>
      </c>
      <c r="K919" s="67" t="s">
        <v>283</v>
      </c>
      <c r="L919" s="67" t="s">
        <v>282</v>
      </c>
      <c r="M919" s="67" t="s">
        <v>282</v>
      </c>
      <c r="N919" s="67" t="s">
        <v>282</v>
      </c>
      <c r="O919" s="68" t="s">
        <v>15</v>
      </c>
      <c r="P919" s="68" t="s">
        <v>15</v>
      </c>
      <c r="Q919" s="68" t="s">
        <v>15</v>
      </c>
      <c r="R919" s="68" t="s">
        <v>15</v>
      </c>
      <c r="S919" s="68" t="s">
        <v>16</v>
      </c>
      <c r="T919" s="68" t="s">
        <v>329</v>
      </c>
      <c r="U919" s="68" t="s">
        <v>249</v>
      </c>
      <c r="V919" s="68" t="s">
        <v>282</v>
      </c>
      <c r="W919" s="69" t="s">
        <v>282</v>
      </c>
      <c r="X919" s="69" t="s">
        <v>282</v>
      </c>
      <c r="Y919" s="70" t="s">
        <v>282</v>
      </c>
    </row>
    <row r="920" spans="1:25">
      <c r="A920" s="64">
        <v>17</v>
      </c>
      <c r="B920" s="65" t="str">
        <f>VLOOKUP(Tabel10[[#This Row],[Code]],Ruimtegroepen[[Code]:[Ruimte omschrijving]],2,FALSE)</f>
        <v>Toestelberging</v>
      </c>
      <c r="C920" s="66" t="s">
        <v>1047</v>
      </c>
      <c r="D920" s="65" t="s">
        <v>13</v>
      </c>
      <c r="E920" s="66" t="s">
        <v>99</v>
      </c>
      <c r="F920" s="66" t="s">
        <v>1049</v>
      </c>
      <c r="G920" s="71" t="s">
        <v>282</v>
      </c>
      <c r="H920" s="67" t="s">
        <v>15</v>
      </c>
      <c r="I920" s="67" t="s">
        <v>282</v>
      </c>
      <c r="J920" s="67" t="s">
        <v>282</v>
      </c>
      <c r="K920" s="67" t="s">
        <v>282</v>
      </c>
      <c r="L920" s="67" t="s">
        <v>282</v>
      </c>
      <c r="M920" s="67" t="s">
        <v>282</v>
      </c>
      <c r="N920" s="67" t="s">
        <v>282</v>
      </c>
      <c r="O920" s="68" t="s">
        <v>15</v>
      </c>
      <c r="P920" s="68" t="s">
        <v>15</v>
      </c>
      <c r="Q920" s="68" t="s">
        <v>15</v>
      </c>
      <c r="R920" s="68" t="s">
        <v>15</v>
      </c>
      <c r="S920" s="68" t="s">
        <v>16</v>
      </c>
      <c r="T920" s="68" t="s">
        <v>329</v>
      </c>
      <c r="U920" s="68" t="s">
        <v>249</v>
      </c>
      <c r="V920" s="68" t="s">
        <v>282</v>
      </c>
      <c r="W920" s="69" t="s">
        <v>282</v>
      </c>
      <c r="X920" s="69" t="s">
        <v>282</v>
      </c>
      <c r="Y920" s="70" t="s">
        <v>282</v>
      </c>
    </row>
    <row r="921" spans="1:25">
      <c r="A921" s="64">
        <v>17</v>
      </c>
      <c r="B921" s="65" t="str">
        <f>VLOOKUP(Tabel10[[#This Row],[Code]],Ruimtegroepen[[Code]:[Ruimte omschrijving]],2,FALSE)</f>
        <v>Toestelberging</v>
      </c>
      <c r="C921" s="66" t="s">
        <v>1047</v>
      </c>
      <c r="D921" s="65" t="s">
        <v>13</v>
      </c>
      <c r="E921" s="66" t="s">
        <v>1309</v>
      </c>
      <c r="F921" s="66" t="s">
        <v>1373</v>
      </c>
      <c r="G921" s="71" t="s">
        <v>282</v>
      </c>
      <c r="H921" s="67" t="s">
        <v>282</v>
      </c>
      <c r="I921" s="67" t="s">
        <v>282</v>
      </c>
      <c r="J921" s="67" t="s">
        <v>15</v>
      </c>
      <c r="K921" s="67" t="s">
        <v>283</v>
      </c>
      <c r="L921" s="67" t="s">
        <v>282</v>
      </c>
      <c r="M921" s="67" t="s">
        <v>282</v>
      </c>
      <c r="N921" s="67" t="s">
        <v>282</v>
      </c>
      <c r="O921" s="68" t="s">
        <v>15</v>
      </c>
      <c r="P921" s="68" t="s">
        <v>15</v>
      </c>
      <c r="Q921" s="68" t="s">
        <v>15</v>
      </c>
      <c r="R921" s="68" t="s">
        <v>15</v>
      </c>
      <c r="S921" s="68" t="s">
        <v>16</v>
      </c>
      <c r="T921" s="68" t="s">
        <v>329</v>
      </c>
      <c r="U921" s="68" t="s">
        <v>249</v>
      </c>
      <c r="V921" s="68" t="s">
        <v>282</v>
      </c>
      <c r="W921" s="69" t="s">
        <v>282</v>
      </c>
      <c r="X921" s="69" t="s">
        <v>282</v>
      </c>
      <c r="Y921" s="70" t="s">
        <v>282</v>
      </c>
    </row>
    <row r="922" spans="1:25">
      <c r="A922" s="64">
        <v>17</v>
      </c>
      <c r="B922" s="65" t="str">
        <f>VLOOKUP(Tabel10[[#This Row],[Code]],Ruimtegroepen[[Code]:[Ruimte omschrijving]],2,FALSE)</f>
        <v>Toestelberging</v>
      </c>
      <c r="C922" s="66" t="s">
        <v>1052</v>
      </c>
      <c r="D922" s="65" t="s">
        <v>0</v>
      </c>
      <c r="E922" s="66" t="s">
        <v>100</v>
      </c>
      <c r="F922" s="66" t="s">
        <v>1053</v>
      </c>
      <c r="G922" s="71" t="s">
        <v>282</v>
      </c>
      <c r="H922" s="67" t="s">
        <v>282</v>
      </c>
      <c r="I922" s="67" t="s">
        <v>16</v>
      </c>
      <c r="J922" s="67" t="s">
        <v>282</v>
      </c>
      <c r="K922" s="67" t="s">
        <v>282</v>
      </c>
      <c r="L922" s="67" t="s">
        <v>282</v>
      </c>
      <c r="M922" s="67" t="s">
        <v>282</v>
      </c>
      <c r="N922" s="67" t="s">
        <v>282</v>
      </c>
      <c r="O922" s="68" t="s">
        <v>16</v>
      </c>
      <c r="P922" s="68" t="s">
        <v>16</v>
      </c>
      <c r="Q922" s="68" t="s">
        <v>16</v>
      </c>
      <c r="R922" s="68" t="s">
        <v>16</v>
      </c>
      <c r="S922" s="68" t="s">
        <v>16</v>
      </c>
      <c r="T922" s="68" t="s">
        <v>329</v>
      </c>
      <c r="U922" s="68" t="s">
        <v>249</v>
      </c>
      <c r="V922" s="68" t="s">
        <v>282</v>
      </c>
      <c r="W922" s="69" t="s">
        <v>282</v>
      </c>
      <c r="X922" s="69" t="s">
        <v>282</v>
      </c>
      <c r="Y922" s="70" t="s">
        <v>282</v>
      </c>
    </row>
    <row r="923" spans="1:25">
      <c r="A923" s="64">
        <v>17</v>
      </c>
      <c r="B923" s="65" t="str">
        <f>VLOOKUP(Tabel10[[#This Row],[Code]],Ruimtegroepen[[Code]:[Ruimte omschrijving]],2,FALSE)</f>
        <v>Toestelberging</v>
      </c>
      <c r="C923" s="66" t="s">
        <v>1052</v>
      </c>
      <c r="D923" s="65" t="s">
        <v>0</v>
      </c>
      <c r="E923" s="66" t="s">
        <v>99</v>
      </c>
      <c r="F923" s="66" t="s">
        <v>1054</v>
      </c>
      <c r="G923" s="71" t="s">
        <v>282</v>
      </c>
      <c r="H923" s="67" t="s">
        <v>16</v>
      </c>
      <c r="I923" s="67" t="s">
        <v>282</v>
      </c>
      <c r="J923" s="67" t="s">
        <v>282</v>
      </c>
      <c r="K923" s="67" t="s">
        <v>282</v>
      </c>
      <c r="L923" s="67" t="s">
        <v>282</v>
      </c>
      <c r="M923" s="67" t="s">
        <v>282</v>
      </c>
      <c r="N923" s="67" t="s">
        <v>282</v>
      </c>
      <c r="O923" s="68" t="s">
        <v>16</v>
      </c>
      <c r="P923" s="68" t="s">
        <v>16</v>
      </c>
      <c r="Q923" s="68" t="s">
        <v>16</v>
      </c>
      <c r="R923" s="68" t="s">
        <v>16</v>
      </c>
      <c r="S923" s="68" t="s">
        <v>16</v>
      </c>
      <c r="T923" s="68" t="s">
        <v>329</v>
      </c>
      <c r="U923" s="68" t="s">
        <v>249</v>
      </c>
      <c r="V923" s="68" t="s">
        <v>282</v>
      </c>
      <c r="W923" s="69" t="s">
        <v>282</v>
      </c>
      <c r="X923" s="69" t="s">
        <v>282</v>
      </c>
      <c r="Y923" s="70" t="s">
        <v>282</v>
      </c>
    </row>
    <row r="924" spans="1:25">
      <c r="A924" s="64">
        <v>17</v>
      </c>
      <c r="B924" s="65" t="str">
        <f>VLOOKUP(Tabel10[[#This Row],[Code]],Ruimtegroepen[[Code]:[Ruimte omschrijving]],2,FALSE)</f>
        <v>Toestelberging</v>
      </c>
      <c r="C924" s="66" t="s">
        <v>1052</v>
      </c>
      <c r="D924" s="65" t="s">
        <v>0</v>
      </c>
      <c r="E924" s="66" t="s">
        <v>101</v>
      </c>
      <c r="F924" s="66" t="s">
        <v>1055</v>
      </c>
      <c r="G924" s="71" t="s">
        <v>282</v>
      </c>
      <c r="H924" s="67" t="s">
        <v>282</v>
      </c>
      <c r="I924" s="67" t="s">
        <v>16</v>
      </c>
      <c r="J924" s="67" t="s">
        <v>282</v>
      </c>
      <c r="K924" s="67" t="s">
        <v>283</v>
      </c>
      <c r="L924" s="67" t="s">
        <v>282</v>
      </c>
      <c r="M924" s="67" t="s">
        <v>282</v>
      </c>
      <c r="N924" s="67" t="s">
        <v>282</v>
      </c>
      <c r="O924" s="68" t="s">
        <v>16</v>
      </c>
      <c r="P924" s="68" t="s">
        <v>16</v>
      </c>
      <c r="Q924" s="68" t="s">
        <v>16</v>
      </c>
      <c r="R924" s="68" t="s">
        <v>16</v>
      </c>
      <c r="S924" s="68" t="s">
        <v>16</v>
      </c>
      <c r="T924" s="68" t="s">
        <v>329</v>
      </c>
      <c r="U924" s="68" t="s">
        <v>249</v>
      </c>
      <c r="V924" s="68" t="s">
        <v>282</v>
      </c>
      <c r="W924" s="69" t="s">
        <v>282</v>
      </c>
      <c r="X924" s="69" t="s">
        <v>282</v>
      </c>
      <c r="Y924" s="70" t="s">
        <v>282</v>
      </c>
    </row>
    <row r="925" spans="1:25">
      <c r="A925" s="64">
        <v>17</v>
      </c>
      <c r="B925" s="65" t="str">
        <f>VLOOKUP(Tabel10[[#This Row],[Code]],Ruimtegroepen[[Code]:[Ruimte omschrijving]],2,FALSE)</f>
        <v>Toestelberging</v>
      </c>
      <c r="C925" s="66" t="s">
        <v>1052</v>
      </c>
      <c r="D925" s="65" t="s">
        <v>0</v>
      </c>
      <c r="E925" s="66" t="s">
        <v>102</v>
      </c>
      <c r="F925" s="66" t="s">
        <v>1056</v>
      </c>
      <c r="G925" s="71" t="s">
        <v>282</v>
      </c>
      <c r="H925" s="67" t="s">
        <v>282</v>
      </c>
      <c r="I925" s="67" t="s">
        <v>16</v>
      </c>
      <c r="J925" s="67" t="s">
        <v>282</v>
      </c>
      <c r="K925" s="67" t="s">
        <v>283</v>
      </c>
      <c r="L925" s="67" t="s">
        <v>282</v>
      </c>
      <c r="M925" s="67" t="s">
        <v>282</v>
      </c>
      <c r="N925" s="67" t="s">
        <v>282</v>
      </c>
      <c r="O925" s="68" t="s">
        <v>16</v>
      </c>
      <c r="P925" s="68" t="s">
        <v>16</v>
      </c>
      <c r="Q925" s="68" t="s">
        <v>16</v>
      </c>
      <c r="R925" s="68" t="s">
        <v>16</v>
      </c>
      <c r="S925" s="68" t="s">
        <v>16</v>
      </c>
      <c r="T925" s="68" t="s">
        <v>329</v>
      </c>
      <c r="U925" s="68" t="s">
        <v>249</v>
      </c>
      <c r="V925" s="68" t="s">
        <v>282</v>
      </c>
      <c r="W925" s="69" t="s">
        <v>282</v>
      </c>
      <c r="X925" s="69" t="s">
        <v>282</v>
      </c>
      <c r="Y925" s="70" t="s">
        <v>282</v>
      </c>
    </row>
    <row r="926" spans="1:25">
      <c r="A926" s="64">
        <v>17</v>
      </c>
      <c r="B926" s="65" t="str">
        <f>VLOOKUP(Tabel10[[#This Row],[Code]],Ruimtegroepen[[Code]:[Ruimte omschrijving]],2,FALSE)</f>
        <v>Toestelberging</v>
      </c>
      <c r="C926" s="66" t="s">
        <v>1052</v>
      </c>
      <c r="D926" s="65" t="s">
        <v>0</v>
      </c>
      <c r="E926" s="66" t="s">
        <v>99</v>
      </c>
      <c r="F926" s="66" t="s">
        <v>1054</v>
      </c>
      <c r="G926" s="71" t="s">
        <v>282</v>
      </c>
      <c r="H926" s="67" t="s">
        <v>16</v>
      </c>
      <c r="I926" s="67" t="s">
        <v>282</v>
      </c>
      <c r="J926" s="67" t="s">
        <v>282</v>
      </c>
      <c r="K926" s="67" t="s">
        <v>282</v>
      </c>
      <c r="L926" s="67" t="s">
        <v>282</v>
      </c>
      <c r="M926" s="67" t="s">
        <v>282</v>
      </c>
      <c r="N926" s="67" t="s">
        <v>282</v>
      </c>
      <c r="O926" s="68" t="s">
        <v>16</v>
      </c>
      <c r="P926" s="68" t="s">
        <v>16</v>
      </c>
      <c r="Q926" s="68" t="s">
        <v>16</v>
      </c>
      <c r="R926" s="68" t="s">
        <v>16</v>
      </c>
      <c r="S926" s="68" t="s">
        <v>16</v>
      </c>
      <c r="T926" s="68" t="s">
        <v>329</v>
      </c>
      <c r="U926" s="68" t="s">
        <v>249</v>
      </c>
      <c r="V926" s="68" t="s">
        <v>282</v>
      </c>
      <c r="W926" s="69" t="s">
        <v>282</v>
      </c>
      <c r="X926" s="69" t="s">
        <v>282</v>
      </c>
      <c r="Y926" s="70" t="s">
        <v>282</v>
      </c>
    </row>
    <row r="927" spans="1:25">
      <c r="A927" s="64">
        <v>17</v>
      </c>
      <c r="B927" s="65" t="str">
        <f>VLOOKUP(Tabel10[[#This Row],[Code]],Ruimtegroepen[[Code]:[Ruimte omschrijving]],2,FALSE)</f>
        <v>Toestelberging</v>
      </c>
      <c r="C927" s="66" t="s">
        <v>1052</v>
      </c>
      <c r="D927" s="65" t="s">
        <v>0</v>
      </c>
      <c r="E927" s="66" t="s">
        <v>1309</v>
      </c>
      <c r="F927" s="66" t="s">
        <v>1357</v>
      </c>
      <c r="G927" s="71" t="s">
        <v>282</v>
      </c>
      <c r="H927" s="67" t="s">
        <v>282</v>
      </c>
      <c r="I927" s="67" t="s">
        <v>16</v>
      </c>
      <c r="J927" s="67" t="s">
        <v>282</v>
      </c>
      <c r="K927" s="67" t="s">
        <v>283</v>
      </c>
      <c r="L927" s="67" t="s">
        <v>282</v>
      </c>
      <c r="M927" s="67" t="s">
        <v>282</v>
      </c>
      <c r="N927" s="67" t="s">
        <v>282</v>
      </c>
      <c r="O927" s="68" t="s">
        <v>16</v>
      </c>
      <c r="P927" s="68" t="s">
        <v>16</v>
      </c>
      <c r="Q927" s="68" t="s">
        <v>16</v>
      </c>
      <c r="R927" s="68" t="s">
        <v>16</v>
      </c>
      <c r="S927" s="68" t="s">
        <v>16</v>
      </c>
      <c r="T927" s="68" t="s">
        <v>329</v>
      </c>
      <c r="U927" s="68" t="s">
        <v>249</v>
      </c>
      <c r="V927" s="68" t="s">
        <v>282</v>
      </c>
      <c r="W927" s="69" t="s">
        <v>282</v>
      </c>
      <c r="X927" s="69" t="s">
        <v>282</v>
      </c>
      <c r="Y927" s="70" t="s">
        <v>282</v>
      </c>
    </row>
    <row r="928" spans="1:25">
      <c r="A928" s="64">
        <v>17</v>
      </c>
      <c r="B928" s="65" t="str">
        <f>VLOOKUP(Tabel10[[#This Row],[Code]],Ruimtegroepen[[Code]:[Ruimte omschrijving]],2,FALSE)</f>
        <v>Toestelberging</v>
      </c>
      <c r="C928" s="66" t="s">
        <v>1057</v>
      </c>
      <c r="D928" s="65" t="s">
        <v>27</v>
      </c>
      <c r="E928" s="66" t="s">
        <v>100</v>
      </c>
      <c r="F928" s="66" t="s">
        <v>1058</v>
      </c>
      <c r="G928" s="71" t="s">
        <v>282</v>
      </c>
      <c r="H928" s="67" t="s">
        <v>282</v>
      </c>
      <c r="I928" s="67" t="s">
        <v>15</v>
      </c>
      <c r="J928" s="67" t="s">
        <v>282</v>
      </c>
      <c r="K928" s="67" t="s">
        <v>282</v>
      </c>
      <c r="L928" s="67" t="s">
        <v>282</v>
      </c>
      <c r="M928" s="67" t="s">
        <v>282</v>
      </c>
      <c r="N928" s="67" t="s">
        <v>282</v>
      </c>
      <c r="O928" s="68" t="s">
        <v>15</v>
      </c>
      <c r="P928" s="68" t="s">
        <v>15</v>
      </c>
      <c r="Q928" s="68" t="s">
        <v>15</v>
      </c>
      <c r="R928" s="68" t="s">
        <v>282</v>
      </c>
      <c r="S928" s="68" t="s">
        <v>282</v>
      </c>
      <c r="T928" s="68" t="s">
        <v>282</v>
      </c>
      <c r="U928" s="68" t="s">
        <v>282</v>
      </c>
      <c r="V928" s="68" t="s">
        <v>282</v>
      </c>
      <c r="W928" s="69" t="s">
        <v>282</v>
      </c>
      <c r="X928" s="69" t="s">
        <v>282</v>
      </c>
      <c r="Y928" s="70" t="s">
        <v>282</v>
      </c>
    </row>
    <row r="929" spans="1:25">
      <c r="A929" s="64">
        <v>17</v>
      </c>
      <c r="B929" s="65" t="str">
        <f>VLOOKUP(Tabel10[[#This Row],[Code]],Ruimtegroepen[[Code]:[Ruimte omschrijving]],2,FALSE)</f>
        <v>Toestelberging</v>
      </c>
      <c r="C929" s="66" t="s">
        <v>1057</v>
      </c>
      <c r="D929" s="65" t="s">
        <v>27</v>
      </c>
      <c r="E929" s="66" t="s">
        <v>99</v>
      </c>
      <c r="F929" s="66" t="s">
        <v>1059</v>
      </c>
      <c r="G929" s="71" t="s">
        <v>282</v>
      </c>
      <c r="H929" s="67" t="s">
        <v>15</v>
      </c>
      <c r="I929" s="67" t="s">
        <v>282</v>
      </c>
      <c r="J929" s="67" t="s">
        <v>282</v>
      </c>
      <c r="K929" s="67" t="s">
        <v>282</v>
      </c>
      <c r="L929" s="67" t="s">
        <v>282</v>
      </c>
      <c r="M929" s="67" t="s">
        <v>282</v>
      </c>
      <c r="N929" s="67" t="s">
        <v>282</v>
      </c>
      <c r="O929" s="68" t="s">
        <v>15</v>
      </c>
      <c r="P929" s="68" t="s">
        <v>15</v>
      </c>
      <c r="Q929" s="68" t="s">
        <v>15</v>
      </c>
      <c r="R929" s="68" t="s">
        <v>282</v>
      </c>
      <c r="S929" s="68" t="s">
        <v>282</v>
      </c>
      <c r="T929" s="68" t="s">
        <v>282</v>
      </c>
      <c r="U929" s="68" t="s">
        <v>282</v>
      </c>
      <c r="V929" s="68" t="s">
        <v>282</v>
      </c>
      <c r="W929" s="69" t="s">
        <v>282</v>
      </c>
      <c r="X929" s="69" t="s">
        <v>282</v>
      </c>
      <c r="Y929" s="70" t="s">
        <v>282</v>
      </c>
    </row>
    <row r="930" spans="1:25">
      <c r="A930" s="64">
        <v>17</v>
      </c>
      <c r="B930" s="65" t="str">
        <f>VLOOKUP(Tabel10[[#This Row],[Code]],Ruimtegroepen[[Code]:[Ruimte omschrijving]],2,FALSE)</f>
        <v>Toestelberging</v>
      </c>
      <c r="C930" s="66" t="s">
        <v>1057</v>
      </c>
      <c r="D930" s="65" t="s">
        <v>27</v>
      </c>
      <c r="E930" s="66" t="s">
        <v>101</v>
      </c>
      <c r="F930" s="66" t="s">
        <v>1060</v>
      </c>
      <c r="G930" s="71" t="s">
        <v>282</v>
      </c>
      <c r="H930" s="67" t="s">
        <v>282</v>
      </c>
      <c r="I930" s="67" t="s">
        <v>15</v>
      </c>
      <c r="J930" s="67" t="s">
        <v>282</v>
      </c>
      <c r="K930" s="67" t="s">
        <v>282</v>
      </c>
      <c r="L930" s="67" t="s">
        <v>282</v>
      </c>
      <c r="M930" s="67" t="s">
        <v>282</v>
      </c>
      <c r="N930" s="67" t="s">
        <v>282</v>
      </c>
      <c r="O930" s="68" t="s">
        <v>15</v>
      </c>
      <c r="P930" s="68" t="s">
        <v>15</v>
      </c>
      <c r="Q930" s="68" t="s">
        <v>15</v>
      </c>
      <c r="R930" s="68" t="s">
        <v>282</v>
      </c>
      <c r="S930" s="68" t="s">
        <v>282</v>
      </c>
      <c r="T930" s="68" t="s">
        <v>282</v>
      </c>
      <c r="U930" s="68" t="s">
        <v>282</v>
      </c>
      <c r="V930" s="68" t="s">
        <v>282</v>
      </c>
      <c r="W930" s="69" t="s">
        <v>282</v>
      </c>
      <c r="X930" s="69" t="s">
        <v>282</v>
      </c>
      <c r="Y930" s="70" t="s">
        <v>282</v>
      </c>
    </row>
    <row r="931" spans="1:25">
      <c r="A931" s="64">
        <v>17</v>
      </c>
      <c r="B931" s="65" t="str">
        <f>VLOOKUP(Tabel10[[#This Row],[Code]],Ruimtegroepen[[Code]:[Ruimte omschrijving]],2,FALSE)</f>
        <v>Toestelberging</v>
      </c>
      <c r="C931" s="66" t="s">
        <v>1057</v>
      </c>
      <c r="D931" s="65" t="s">
        <v>27</v>
      </c>
      <c r="E931" s="66" t="s">
        <v>102</v>
      </c>
      <c r="F931" s="66" t="s">
        <v>1061</v>
      </c>
      <c r="G931" s="71" t="s">
        <v>282</v>
      </c>
      <c r="H931" s="67" t="s">
        <v>282</v>
      </c>
      <c r="I931" s="67" t="s">
        <v>15</v>
      </c>
      <c r="J931" s="67" t="s">
        <v>282</v>
      </c>
      <c r="K931" s="67" t="s">
        <v>282</v>
      </c>
      <c r="L931" s="67" t="s">
        <v>282</v>
      </c>
      <c r="M931" s="67" t="s">
        <v>282</v>
      </c>
      <c r="N931" s="67" t="s">
        <v>282</v>
      </c>
      <c r="O931" s="68" t="s">
        <v>15</v>
      </c>
      <c r="P931" s="68" t="s">
        <v>15</v>
      </c>
      <c r="Q931" s="68" t="s">
        <v>15</v>
      </c>
      <c r="R931" s="68" t="s">
        <v>282</v>
      </c>
      <c r="S931" s="68" t="s">
        <v>282</v>
      </c>
      <c r="T931" s="68" t="s">
        <v>282</v>
      </c>
      <c r="U931" s="68" t="s">
        <v>282</v>
      </c>
      <c r="V931" s="68" t="s">
        <v>282</v>
      </c>
      <c r="W931" s="69" t="s">
        <v>282</v>
      </c>
      <c r="X931" s="69" t="s">
        <v>282</v>
      </c>
      <c r="Y931" s="70" t="s">
        <v>282</v>
      </c>
    </row>
    <row r="932" spans="1:25">
      <c r="A932" s="64">
        <v>17</v>
      </c>
      <c r="B932" s="65" t="str">
        <f>VLOOKUP(Tabel10[[#This Row],[Code]],Ruimtegroepen[[Code]:[Ruimte omschrijving]],2,FALSE)</f>
        <v>Toestelberging</v>
      </c>
      <c r="C932" s="66" t="s">
        <v>1057</v>
      </c>
      <c r="D932" s="65" t="s">
        <v>27</v>
      </c>
      <c r="E932" s="66" t="s">
        <v>99</v>
      </c>
      <c r="F932" s="66" t="s">
        <v>1059</v>
      </c>
      <c r="G932" s="71" t="s">
        <v>282</v>
      </c>
      <c r="H932" s="67" t="s">
        <v>15</v>
      </c>
      <c r="I932" s="67" t="s">
        <v>282</v>
      </c>
      <c r="J932" s="67" t="s">
        <v>282</v>
      </c>
      <c r="K932" s="67" t="s">
        <v>282</v>
      </c>
      <c r="L932" s="67" t="s">
        <v>282</v>
      </c>
      <c r="M932" s="67" t="s">
        <v>282</v>
      </c>
      <c r="N932" s="67" t="s">
        <v>282</v>
      </c>
      <c r="O932" s="68" t="s">
        <v>15</v>
      </c>
      <c r="P932" s="68" t="s">
        <v>15</v>
      </c>
      <c r="Q932" s="68" t="s">
        <v>15</v>
      </c>
      <c r="R932" s="68" t="s">
        <v>282</v>
      </c>
      <c r="S932" s="68" t="s">
        <v>282</v>
      </c>
      <c r="T932" s="68" t="s">
        <v>282</v>
      </c>
      <c r="U932" s="68" t="s">
        <v>282</v>
      </c>
      <c r="V932" s="68" t="s">
        <v>282</v>
      </c>
      <c r="W932" s="69" t="s">
        <v>282</v>
      </c>
      <c r="X932" s="69" t="s">
        <v>282</v>
      </c>
      <c r="Y932" s="70" t="s">
        <v>282</v>
      </c>
    </row>
    <row r="933" spans="1:25">
      <c r="A933" s="64">
        <v>17</v>
      </c>
      <c r="B933" s="65" t="str">
        <f>VLOOKUP(Tabel10[[#This Row],[Code]],Ruimtegroepen[[Code]:[Ruimte omschrijving]],2,FALSE)</f>
        <v>Toestelberging</v>
      </c>
      <c r="C933" s="66" t="s">
        <v>1057</v>
      </c>
      <c r="D933" s="65" t="s">
        <v>27</v>
      </c>
      <c r="E933" s="66" t="s">
        <v>1309</v>
      </c>
      <c r="F933" s="66" t="s">
        <v>1390</v>
      </c>
      <c r="G933" s="71" t="s">
        <v>282</v>
      </c>
      <c r="H933" s="67" t="s">
        <v>282</v>
      </c>
      <c r="I933" s="67" t="s">
        <v>15</v>
      </c>
      <c r="J933" s="67" t="s">
        <v>282</v>
      </c>
      <c r="K933" s="67" t="s">
        <v>282</v>
      </c>
      <c r="L933" s="67" t="s">
        <v>282</v>
      </c>
      <c r="M933" s="67" t="s">
        <v>282</v>
      </c>
      <c r="N933" s="67" t="s">
        <v>282</v>
      </c>
      <c r="O933" s="68" t="s">
        <v>15</v>
      </c>
      <c r="P933" s="68" t="s">
        <v>15</v>
      </c>
      <c r="Q933" s="68" t="s">
        <v>15</v>
      </c>
      <c r="R933" s="68" t="s">
        <v>282</v>
      </c>
      <c r="S933" s="68" t="s">
        <v>282</v>
      </c>
      <c r="T933" s="68" t="s">
        <v>282</v>
      </c>
      <c r="U933" s="68" t="s">
        <v>282</v>
      </c>
      <c r="V933" s="68" t="s">
        <v>282</v>
      </c>
      <c r="W933" s="69" t="s">
        <v>282</v>
      </c>
      <c r="X933" s="69" t="s">
        <v>282</v>
      </c>
      <c r="Y933" s="70" t="s">
        <v>282</v>
      </c>
    </row>
    <row r="934" spans="1:25">
      <c r="A934" s="64">
        <v>17</v>
      </c>
      <c r="B934" s="65" t="str">
        <f>VLOOKUP(Tabel10[[#This Row],[Code]],Ruimtegroepen[[Code]:[Ruimte omschrijving]],2,FALSE)</f>
        <v>Toestelberging</v>
      </c>
      <c r="C934" s="66" t="s">
        <v>1062</v>
      </c>
      <c r="D934" s="65" t="s">
        <v>28</v>
      </c>
      <c r="E934" s="66" t="s">
        <v>100</v>
      </c>
      <c r="F934" s="66" t="s">
        <v>1063</v>
      </c>
      <c r="G934" s="71" t="s">
        <v>282</v>
      </c>
      <c r="H934" s="67" t="s">
        <v>282</v>
      </c>
      <c r="I934" s="67" t="s">
        <v>17</v>
      </c>
      <c r="J934" s="67" t="s">
        <v>282</v>
      </c>
      <c r="K934" s="67" t="s">
        <v>282</v>
      </c>
      <c r="L934" s="67" t="s">
        <v>282</v>
      </c>
      <c r="M934" s="67" t="s">
        <v>282</v>
      </c>
      <c r="N934" s="67" t="s">
        <v>282</v>
      </c>
      <c r="O934" s="68" t="s">
        <v>17</v>
      </c>
      <c r="P934" s="68" t="s">
        <v>17</v>
      </c>
      <c r="Q934" s="68" t="s">
        <v>15</v>
      </c>
      <c r="R934" s="68" t="s">
        <v>282</v>
      </c>
      <c r="S934" s="68" t="s">
        <v>282</v>
      </c>
      <c r="T934" s="68" t="s">
        <v>282</v>
      </c>
      <c r="U934" s="68" t="s">
        <v>282</v>
      </c>
      <c r="V934" s="68" t="s">
        <v>282</v>
      </c>
      <c r="W934" s="69" t="s">
        <v>282</v>
      </c>
      <c r="X934" s="69" t="s">
        <v>282</v>
      </c>
      <c r="Y934" s="70" t="s">
        <v>282</v>
      </c>
    </row>
    <row r="935" spans="1:25">
      <c r="A935" s="64">
        <v>17</v>
      </c>
      <c r="B935" s="65" t="str">
        <f>VLOOKUP(Tabel10[[#This Row],[Code]],Ruimtegroepen[[Code]:[Ruimte omschrijving]],2,FALSE)</f>
        <v>Toestelberging</v>
      </c>
      <c r="C935" s="66" t="s">
        <v>1062</v>
      </c>
      <c r="D935" s="65" t="s">
        <v>28</v>
      </c>
      <c r="E935" s="66" t="s">
        <v>99</v>
      </c>
      <c r="F935" s="66" t="s">
        <v>1064</v>
      </c>
      <c r="G935" s="71" t="s">
        <v>282</v>
      </c>
      <c r="H935" s="67" t="s">
        <v>17</v>
      </c>
      <c r="I935" s="67" t="s">
        <v>282</v>
      </c>
      <c r="J935" s="67" t="s">
        <v>282</v>
      </c>
      <c r="K935" s="67" t="s">
        <v>282</v>
      </c>
      <c r="L935" s="67" t="s">
        <v>282</v>
      </c>
      <c r="M935" s="67" t="s">
        <v>282</v>
      </c>
      <c r="N935" s="67" t="s">
        <v>282</v>
      </c>
      <c r="O935" s="68" t="s">
        <v>17</v>
      </c>
      <c r="P935" s="68" t="s">
        <v>17</v>
      </c>
      <c r="Q935" s="68" t="s">
        <v>15</v>
      </c>
      <c r="R935" s="68" t="s">
        <v>282</v>
      </c>
      <c r="S935" s="68" t="s">
        <v>282</v>
      </c>
      <c r="T935" s="68" t="s">
        <v>282</v>
      </c>
      <c r="U935" s="68" t="s">
        <v>282</v>
      </c>
      <c r="V935" s="68" t="s">
        <v>282</v>
      </c>
      <c r="W935" s="69" t="s">
        <v>282</v>
      </c>
      <c r="X935" s="69" t="s">
        <v>282</v>
      </c>
      <c r="Y935" s="70" t="s">
        <v>282</v>
      </c>
    </row>
    <row r="936" spans="1:25">
      <c r="A936" s="64">
        <v>17</v>
      </c>
      <c r="B936" s="65" t="str">
        <f>VLOOKUP(Tabel10[[#This Row],[Code]],Ruimtegroepen[[Code]:[Ruimte omschrijving]],2,FALSE)</f>
        <v>Toestelberging</v>
      </c>
      <c r="C936" s="66" t="s">
        <v>1062</v>
      </c>
      <c r="D936" s="65" t="s">
        <v>28</v>
      </c>
      <c r="E936" s="66" t="s">
        <v>101</v>
      </c>
      <c r="F936" s="66" t="s">
        <v>1065</v>
      </c>
      <c r="G936" s="71" t="s">
        <v>282</v>
      </c>
      <c r="H936" s="67" t="s">
        <v>282</v>
      </c>
      <c r="I936" s="67" t="s">
        <v>17</v>
      </c>
      <c r="J936" s="67" t="s">
        <v>282</v>
      </c>
      <c r="K936" s="67" t="s">
        <v>282</v>
      </c>
      <c r="L936" s="67" t="s">
        <v>282</v>
      </c>
      <c r="M936" s="67" t="s">
        <v>282</v>
      </c>
      <c r="N936" s="67" t="s">
        <v>282</v>
      </c>
      <c r="O936" s="68" t="s">
        <v>17</v>
      </c>
      <c r="P936" s="68" t="s">
        <v>17</v>
      </c>
      <c r="Q936" s="68" t="s">
        <v>15</v>
      </c>
      <c r="R936" s="68" t="s">
        <v>282</v>
      </c>
      <c r="S936" s="68" t="s">
        <v>282</v>
      </c>
      <c r="T936" s="68" t="s">
        <v>282</v>
      </c>
      <c r="U936" s="68" t="s">
        <v>282</v>
      </c>
      <c r="V936" s="68" t="s">
        <v>282</v>
      </c>
      <c r="W936" s="69" t="s">
        <v>282</v>
      </c>
      <c r="X936" s="69" t="s">
        <v>282</v>
      </c>
      <c r="Y936" s="70" t="s">
        <v>282</v>
      </c>
    </row>
    <row r="937" spans="1:25">
      <c r="A937" s="64">
        <v>17</v>
      </c>
      <c r="B937" s="65" t="str">
        <f>VLOOKUP(Tabel10[[#This Row],[Code]],Ruimtegroepen[[Code]:[Ruimte omschrijving]],2,FALSE)</f>
        <v>Toestelberging</v>
      </c>
      <c r="C937" s="66" t="s">
        <v>1062</v>
      </c>
      <c r="D937" s="65" t="s">
        <v>28</v>
      </c>
      <c r="E937" s="66" t="s">
        <v>102</v>
      </c>
      <c r="F937" s="66" t="s">
        <v>1066</v>
      </c>
      <c r="G937" s="71" t="s">
        <v>282</v>
      </c>
      <c r="H937" s="67" t="s">
        <v>282</v>
      </c>
      <c r="I937" s="67" t="s">
        <v>17</v>
      </c>
      <c r="J937" s="67" t="s">
        <v>282</v>
      </c>
      <c r="K937" s="67" t="s">
        <v>282</v>
      </c>
      <c r="L937" s="67" t="s">
        <v>282</v>
      </c>
      <c r="M937" s="67" t="s">
        <v>282</v>
      </c>
      <c r="N937" s="67" t="s">
        <v>282</v>
      </c>
      <c r="O937" s="68" t="s">
        <v>17</v>
      </c>
      <c r="P937" s="68" t="s">
        <v>17</v>
      </c>
      <c r="Q937" s="68" t="s">
        <v>15</v>
      </c>
      <c r="R937" s="68" t="s">
        <v>282</v>
      </c>
      <c r="S937" s="68" t="s">
        <v>282</v>
      </c>
      <c r="T937" s="68" t="s">
        <v>282</v>
      </c>
      <c r="U937" s="68" t="s">
        <v>282</v>
      </c>
      <c r="V937" s="68" t="s">
        <v>282</v>
      </c>
      <c r="W937" s="69" t="s">
        <v>282</v>
      </c>
      <c r="X937" s="69" t="s">
        <v>282</v>
      </c>
      <c r="Y937" s="70" t="s">
        <v>282</v>
      </c>
    </row>
    <row r="938" spans="1:25">
      <c r="A938" s="64">
        <v>17</v>
      </c>
      <c r="B938" s="65" t="str">
        <f>VLOOKUP(Tabel10[[#This Row],[Code]],Ruimtegroepen[[Code]:[Ruimte omschrijving]],2,FALSE)</f>
        <v>Toestelberging</v>
      </c>
      <c r="C938" s="66" t="s">
        <v>1062</v>
      </c>
      <c r="D938" s="65" t="s">
        <v>28</v>
      </c>
      <c r="E938" s="66" t="s">
        <v>99</v>
      </c>
      <c r="F938" s="66" t="s">
        <v>1064</v>
      </c>
      <c r="G938" s="71" t="s">
        <v>282</v>
      </c>
      <c r="H938" s="67" t="s">
        <v>17</v>
      </c>
      <c r="I938" s="67" t="s">
        <v>282</v>
      </c>
      <c r="J938" s="67" t="s">
        <v>282</v>
      </c>
      <c r="K938" s="67" t="s">
        <v>282</v>
      </c>
      <c r="L938" s="67" t="s">
        <v>282</v>
      </c>
      <c r="M938" s="67" t="s">
        <v>282</v>
      </c>
      <c r="N938" s="67" t="s">
        <v>282</v>
      </c>
      <c r="O938" s="68" t="s">
        <v>17</v>
      </c>
      <c r="P938" s="68" t="s">
        <v>17</v>
      </c>
      <c r="Q938" s="68" t="s">
        <v>15</v>
      </c>
      <c r="R938" s="68" t="s">
        <v>282</v>
      </c>
      <c r="S938" s="68" t="s">
        <v>282</v>
      </c>
      <c r="T938" s="68" t="s">
        <v>282</v>
      </c>
      <c r="U938" s="68" t="s">
        <v>282</v>
      </c>
      <c r="V938" s="68" t="s">
        <v>282</v>
      </c>
      <c r="W938" s="69" t="s">
        <v>282</v>
      </c>
      <c r="X938" s="69" t="s">
        <v>282</v>
      </c>
      <c r="Y938" s="70" t="s">
        <v>282</v>
      </c>
    </row>
    <row r="939" spans="1:25">
      <c r="A939" s="64">
        <v>17</v>
      </c>
      <c r="B939" s="65" t="str">
        <f>VLOOKUP(Tabel10[[#This Row],[Code]],Ruimtegroepen[[Code]:[Ruimte omschrijving]],2,FALSE)</f>
        <v>Toestelberging</v>
      </c>
      <c r="C939" s="66" t="s">
        <v>1062</v>
      </c>
      <c r="D939" s="65" t="s">
        <v>28</v>
      </c>
      <c r="E939" s="66" t="s">
        <v>1309</v>
      </c>
      <c r="F939" s="66" t="s">
        <v>1423</v>
      </c>
      <c r="G939" s="71" t="s">
        <v>282</v>
      </c>
      <c r="H939" s="67" t="s">
        <v>282</v>
      </c>
      <c r="I939" s="67" t="s">
        <v>17</v>
      </c>
      <c r="J939" s="67" t="s">
        <v>282</v>
      </c>
      <c r="K939" s="67" t="s">
        <v>282</v>
      </c>
      <c r="L939" s="67" t="s">
        <v>282</v>
      </c>
      <c r="M939" s="67" t="s">
        <v>282</v>
      </c>
      <c r="N939" s="67" t="s">
        <v>282</v>
      </c>
      <c r="O939" s="68" t="s">
        <v>17</v>
      </c>
      <c r="P939" s="68" t="s">
        <v>17</v>
      </c>
      <c r="Q939" s="68" t="s">
        <v>15</v>
      </c>
      <c r="R939" s="68" t="s">
        <v>282</v>
      </c>
      <c r="S939" s="68" t="s">
        <v>282</v>
      </c>
      <c r="T939" s="68" t="s">
        <v>282</v>
      </c>
      <c r="U939" s="68" t="s">
        <v>282</v>
      </c>
      <c r="V939" s="68" t="s">
        <v>282</v>
      </c>
      <c r="W939" s="69" t="s">
        <v>282</v>
      </c>
      <c r="X939" s="69" t="s">
        <v>282</v>
      </c>
      <c r="Y939" s="70" t="s">
        <v>282</v>
      </c>
    </row>
    <row r="940" spans="1:25">
      <c r="A940" s="64">
        <v>18</v>
      </c>
      <c r="B940" s="65" t="str">
        <f>VLOOKUP(Tabel10[[#This Row],[Code]],Ruimtegroepen[[Code]:[Ruimte omschrijving]],2,FALSE)</f>
        <v>Gymzaal</v>
      </c>
      <c r="C940" s="66" t="s">
        <v>1067</v>
      </c>
      <c r="D940" s="65" t="s">
        <v>29</v>
      </c>
      <c r="E940" s="66" t="s">
        <v>100</v>
      </c>
      <c r="F940" s="66" t="s">
        <v>1068</v>
      </c>
      <c r="G940" s="71" t="s">
        <v>282</v>
      </c>
      <c r="H940" s="67" t="s">
        <v>282</v>
      </c>
      <c r="I940" s="67" t="s">
        <v>20</v>
      </c>
      <c r="J940" s="67" t="s">
        <v>15</v>
      </c>
      <c r="K940" s="67" t="s">
        <v>282</v>
      </c>
      <c r="L940" s="67" t="s">
        <v>282</v>
      </c>
      <c r="M940" s="67" t="s">
        <v>282</v>
      </c>
      <c r="N940" s="67" t="s">
        <v>2</v>
      </c>
      <c r="O940" s="68" t="s">
        <v>2</v>
      </c>
      <c r="P940" s="68" t="s">
        <v>2</v>
      </c>
      <c r="Q940" s="68" t="s">
        <v>2</v>
      </c>
      <c r="R940" s="68" t="s">
        <v>2</v>
      </c>
      <c r="S940" s="68" t="s">
        <v>16</v>
      </c>
      <c r="T940" s="68" t="s">
        <v>329</v>
      </c>
      <c r="U940" s="68" t="s">
        <v>249</v>
      </c>
      <c r="V940" s="68" t="s">
        <v>2</v>
      </c>
      <c r="W940" s="69" t="s">
        <v>282</v>
      </c>
      <c r="X940" s="69" t="s">
        <v>282</v>
      </c>
      <c r="Y940" s="70" t="s">
        <v>282</v>
      </c>
    </row>
    <row r="941" spans="1:25">
      <c r="A941" s="64">
        <v>18</v>
      </c>
      <c r="B941" s="65" t="str">
        <f>VLOOKUP(Tabel10[[#This Row],[Code]],Ruimtegroepen[[Code]:[Ruimte omschrijving]],2,FALSE)</f>
        <v>Gymzaal</v>
      </c>
      <c r="C941" s="66" t="s">
        <v>1067</v>
      </c>
      <c r="D941" s="65" t="s">
        <v>29</v>
      </c>
      <c r="E941" s="66" t="s">
        <v>99</v>
      </c>
      <c r="F941" s="66" t="s">
        <v>1069</v>
      </c>
      <c r="G941" s="67" t="s">
        <v>20</v>
      </c>
      <c r="H941" s="67" t="s">
        <v>15</v>
      </c>
      <c r="I941" s="67" t="s">
        <v>282</v>
      </c>
      <c r="J941" s="67" t="s">
        <v>282</v>
      </c>
      <c r="K941" s="67" t="s">
        <v>282</v>
      </c>
      <c r="L941" s="67" t="s">
        <v>282</v>
      </c>
      <c r="M941" s="67" t="s">
        <v>282</v>
      </c>
      <c r="N941" s="67" t="s">
        <v>2</v>
      </c>
      <c r="O941" s="68" t="s">
        <v>2</v>
      </c>
      <c r="P941" s="68" t="s">
        <v>2</v>
      </c>
      <c r="Q941" s="68" t="s">
        <v>2</v>
      </c>
      <c r="R941" s="68" t="s">
        <v>2</v>
      </c>
      <c r="S941" s="68" t="s">
        <v>16</v>
      </c>
      <c r="T941" s="68" t="s">
        <v>329</v>
      </c>
      <c r="U941" s="68" t="s">
        <v>249</v>
      </c>
      <c r="V941" s="68" t="s">
        <v>2</v>
      </c>
      <c r="W941" s="69" t="s">
        <v>282</v>
      </c>
      <c r="X941" s="69" t="s">
        <v>282</v>
      </c>
      <c r="Y941" s="70" t="s">
        <v>282</v>
      </c>
    </row>
    <row r="942" spans="1:25">
      <c r="A942" s="64">
        <v>18</v>
      </c>
      <c r="B942" s="65" t="str">
        <f>VLOOKUP(Tabel10[[#This Row],[Code]],Ruimtegroepen[[Code]:[Ruimte omschrijving]],2,FALSE)</f>
        <v>Gymzaal</v>
      </c>
      <c r="C942" s="66" t="s">
        <v>1067</v>
      </c>
      <c r="D942" s="65" t="s">
        <v>29</v>
      </c>
      <c r="E942" s="66" t="s">
        <v>101</v>
      </c>
      <c r="F942" s="66" t="s">
        <v>1070</v>
      </c>
      <c r="G942" s="71" t="s">
        <v>282</v>
      </c>
      <c r="H942" s="67" t="s">
        <v>282</v>
      </c>
      <c r="I942" s="67" t="s">
        <v>20</v>
      </c>
      <c r="J942" s="67" t="s">
        <v>15</v>
      </c>
      <c r="K942" s="67" t="s">
        <v>283</v>
      </c>
      <c r="L942" s="67" t="s">
        <v>282</v>
      </c>
      <c r="M942" s="67" t="s">
        <v>282</v>
      </c>
      <c r="N942" s="67" t="s">
        <v>2</v>
      </c>
      <c r="O942" s="68" t="s">
        <v>2</v>
      </c>
      <c r="P942" s="68" t="s">
        <v>2</v>
      </c>
      <c r="Q942" s="68" t="s">
        <v>2</v>
      </c>
      <c r="R942" s="68" t="s">
        <v>2</v>
      </c>
      <c r="S942" s="68" t="s">
        <v>16</v>
      </c>
      <c r="T942" s="68" t="s">
        <v>329</v>
      </c>
      <c r="U942" s="68" t="s">
        <v>249</v>
      </c>
      <c r="V942" s="68" t="s">
        <v>2</v>
      </c>
      <c r="W942" s="69" t="s">
        <v>282</v>
      </c>
      <c r="X942" s="69" t="s">
        <v>282</v>
      </c>
      <c r="Y942" s="70" t="s">
        <v>282</v>
      </c>
    </row>
    <row r="943" spans="1:25">
      <c r="A943" s="64">
        <v>18</v>
      </c>
      <c r="B943" s="65" t="str">
        <f>VLOOKUP(Tabel10[[#This Row],[Code]],Ruimtegroepen[[Code]:[Ruimte omschrijving]],2,FALSE)</f>
        <v>Gymzaal</v>
      </c>
      <c r="C943" s="66" t="s">
        <v>1067</v>
      </c>
      <c r="D943" s="65" t="s">
        <v>29</v>
      </c>
      <c r="E943" s="66" t="s">
        <v>102</v>
      </c>
      <c r="F943" s="66" t="s">
        <v>1071</v>
      </c>
      <c r="G943" s="71" t="s">
        <v>282</v>
      </c>
      <c r="H943" s="67" t="s">
        <v>282</v>
      </c>
      <c r="I943" s="67" t="s">
        <v>20</v>
      </c>
      <c r="J943" s="67" t="s">
        <v>15</v>
      </c>
      <c r="K943" s="67" t="s">
        <v>283</v>
      </c>
      <c r="L943" s="67" t="s">
        <v>282</v>
      </c>
      <c r="M943" s="67" t="s">
        <v>282</v>
      </c>
      <c r="N943" s="67" t="s">
        <v>2</v>
      </c>
      <c r="O943" s="68" t="s">
        <v>2</v>
      </c>
      <c r="P943" s="68" t="s">
        <v>2</v>
      </c>
      <c r="Q943" s="68" t="s">
        <v>2</v>
      </c>
      <c r="R943" s="68" t="s">
        <v>2</v>
      </c>
      <c r="S943" s="68" t="s">
        <v>16</v>
      </c>
      <c r="T943" s="68" t="s">
        <v>329</v>
      </c>
      <c r="U943" s="68" t="s">
        <v>249</v>
      </c>
      <c r="V943" s="68" t="s">
        <v>2</v>
      </c>
      <c r="W943" s="69" t="s">
        <v>282</v>
      </c>
      <c r="X943" s="69" t="s">
        <v>282</v>
      </c>
      <c r="Y943" s="70" t="s">
        <v>282</v>
      </c>
    </row>
    <row r="944" spans="1:25">
      <c r="A944" s="64">
        <v>18</v>
      </c>
      <c r="B944" s="65" t="str">
        <f>VLOOKUP(Tabel10[[#This Row],[Code]],Ruimtegroepen[[Code]:[Ruimte omschrijving]],2,FALSE)</f>
        <v>Gymzaal</v>
      </c>
      <c r="C944" s="66" t="s">
        <v>1067</v>
      </c>
      <c r="D944" s="65" t="s">
        <v>29</v>
      </c>
      <c r="E944" s="66" t="s">
        <v>99</v>
      </c>
      <c r="F944" s="66" t="s">
        <v>1069</v>
      </c>
      <c r="G944" s="71" t="s">
        <v>282</v>
      </c>
      <c r="H944" s="67" t="s">
        <v>2</v>
      </c>
      <c r="I944" s="67" t="s">
        <v>282</v>
      </c>
      <c r="J944" s="67" t="s">
        <v>282</v>
      </c>
      <c r="K944" s="67" t="s">
        <v>282</v>
      </c>
      <c r="L944" s="67" t="s">
        <v>282</v>
      </c>
      <c r="M944" s="67" t="s">
        <v>282</v>
      </c>
      <c r="N944" s="67" t="s">
        <v>2</v>
      </c>
      <c r="O944" s="68" t="s">
        <v>2</v>
      </c>
      <c r="P944" s="68" t="s">
        <v>2</v>
      </c>
      <c r="Q944" s="68" t="s">
        <v>2</v>
      </c>
      <c r="R944" s="68" t="s">
        <v>2</v>
      </c>
      <c r="S944" s="68" t="s">
        <v>16</v>
      </c>
      <c r="T944" s="68" t="s">
        <v>329</v>
      </c>
      <c r="U944" s="68" t="s">
        <v>249</v>
      </c>
      <c r="V944" s="68" t="s">
        <v>2</v>
      </c>
      <c r="W944" s="69" t="s">
        <v>282</v>
      </c>
      <c r="X944" s="69" t="s">
        <v>282</v>
      </c>
      <c r="Y944" s="70" t="s">
        <v>282</v>
      </c>
    </row>
    <row r="945" spans="1:25">
      <c r="A945" s="64">
        <v>18</v>
      </c>
      <c r="B945" s="65" t="str">
        <f>VLOOKUP(Tabel10[[#This Row],[Code]],Ruimtegroepen[[Code]:[Ruimte omschrijving]],2,FALSE)</f>
        <v>Gymzaal</v>
      </c>
      <c r="C945" s="66" t="s">
        <v>1067</v>
      </c>
      <c r="D945" s="65" t="s">
        <v>29</v>
      </c>
      <c r="E945" s="66" t="s">
        <v>1309</v>
      </c>
      <c r="F945" s="66" t="s">
        <v>1491</v>
      </c>
      <c r="G945" s="71" t="s">
        <v>282</v>
      </c>
      <c r="H945" s="67" t="s">
        <v>282</v>
      </c>
      <c r="I945" s="67" t="s">
        <v>20</v>
      </c>
      <c r="J945" s="67" t="s">
        <v>15</v>
      </c>
      <c r="K945" s="67" t="s">
        <v>283</v>
      </c>
      <c r="L945" s="67" t="s">
        <v>282</v>
      </c>
      <c r="M945" s="67" t="s">
        <v>282</v>
      </c>
      <c r="N945" s="67" t="s">
        <v>2</v>
      </c>
      <c r="O945" s="68" t="s">
        <v>2</v>
      </c>
      <c r="P945" s="68" t="s">
        <v>2</v>
      </c>
      <c r="Q945" s="68" t="s">
        <v>2</v>
      </c>
      <c r="R945" s="68" t="s">
        <v>2</v>
      </c>
      <c r="S945" s="68" t="s">
        <v>16</v>
      </c>
      <c r="T945" s="68" t="s">
        <v>329</v>
      </c>
      <c r="U945" s="68" t="s">
        <v>249</v>
      </c>
      <c r="V945" s="68" t="s">
        <v>2</v>
      </c>
      <c r="W945" s="69" t="s">
        <v>282</v>
      </c>
      <c r="X945" s="69" t="s">
        <v>282</v>
      </c>
      <c r="Y945" s="70" t="s">
        <v>282</v>
      </c>
    </row>
    <row r="946" spans="1:25">
      <c r="A946" s="64">
        <v>18</v>
      </c>
      <c r="B946" s="65" t="str">
        <f>VLOOKUP(Tabel10[[#This Row],[Code]],Ruimtegroepen[[Code]:[Ruimte omschrijving]],2,FALSE)</f>
        <v>Gymzaal</v>
      </c>
      <c r="C946" s="66" t="s">
        <v>1072</v>
      </c>
      <c r="D946" s="65" t="s">
        <v>1</v>
      </c>
      <c r="E946" s="66" t="s">
        <v>100</v>
      </c>
      <c r="F946" s="66" t="s">
        <v>1073</v>
      </c>
      <c r="G946" s="71" t="s">
        <v>282</v>
      </c>
      <c r="H946" s="67" t="s">
        <v>282</v>
      </c>
      <c r="I946" s="67" t="s">
        <v>20</v>
      </c>
      <c r="J946" s="67" t="s">
        <v>15</v>
      </c>
      <c r="K946" s="67" t="s">
        <v>282</v>
      </c>
      <c r="L946" s="67" t="s">
        <v>282</v>
      </c>
      <c r="M946" s="67" t="s">
        <v>282</v>
      </c>
      <c r="N946" s="67" t="s">
        <v>282</v>
      </c>
      <c r="O946" s="68" t="s">
        <v>2</v>
      </c>
      <c r="P946" s="68" t="s">
        <v>2</v>
      </c>
      <c r="Q946" s="68" t="s">
        <v>2</v>
      </c>
      <c r="R946" s="68" t="s">
        <v>2</v>
      </c>
      <c r="S946" s="68" t="s">
        <v>16</v>
      </c>
      <c r="T946" s="68" t="s">
        <v>329</v>
      </c>
      <c r="U946" s="68" t="s">
        <v>249</v>
      </c>
      <c r="V946" s="68" t="s">
        <v>282</v>
      </c>
      <c r="W946" s="69" t="s">
        <v>282</v>
      </c>
      <c r="X946" s="69" t="s">
        <v>282</v>
      </c>
      <c r="Y946" s="70" t="s">
        <v>282</v>
      </c>
    </row>
    <row r="947" spans="1:25">
      <c r="A947" s="64">
        <v>18</v>
      </c>
      <c r="B947" s="65" t="str">
        <f>VLOOKUP(Tabel10[[#This Row],[Code]],Ruimtegroepen[[Code]:[Ruimte omschrijving]],2,FALSE)</f>
        <v>Gymzaal</v>
      </c>
      <c r="C947" s="66" t="s">
        <v>1072</v>
      </c>
      <c r="D947" s="65" t="s">
        <v>1</v>
      </c>
      <c r="E947" s="66" t="s">
        <v>99</v>
      </c>
      <c r="F947" s="66" t="s">
        <v>1074</v>
      </c>
      <c r="G947" s="67" t="s">
        <v>20</v>
      </c>
      <c r="H947" s="67" t="s">
        <v>15</v>
      </c>
      <c r="I947" s="67" t="s">
        <v>282</v>
      </c>
      <c r="J947" s="67" t="s">
        <v>282</v>
      </c>
      <c r="K947" s="67" t="s">
        <v>282</v>
      </c>
      <c r="L947" s="67" t="s">
        <v>282</v>
      </c>
      <c r="M947" s="67" t="s">
        <v>282</v>
      </c>
      <c r="N947" s="67" t="s">
        <v>282</v>
      </c>
      <c r="O947" s="68" t="s">
        <v>2</v>
      </c>
      <c r="P947" s="68" t="s">
        <v>2</v>
      </c>
      <c r="Q947" s="68" t="s">
        <v>2</v>
      </c>
      <c r="R947" s="68" t="s">
        <v>2</v>
      </c>
      <c r="S947" s="68" t="s">
        <v>16</v>
      </c>
      <c r="T947" s="68" t="s">
        <v>329</v>
      </c>
      <c r="U947" s="68" t="s">
        <v>249</v>
      </c>
      <c r="V947" s="68" t="s">
        <v>282</v>
      </c>
      <c r="W947" s="69" t="s">
        <v>282</v>
      </c>
      <c r="X947" s="69" t="s">
        <v>282</v>
      </c>
      <c r="Y947" s="70" t="s">
        <v>282</v>
      </c>
    </row>
    <row r="948" spans="1:25">
      <c r="A948" s="64">
        <v>18</v>
      </c>
      <c r="B948" s="65" t="str">
        <f>VLOOKUP(Tabel10[[#This Row],[Code]],Ruimtegroepen[[Code]:[Ruimte omschrijving]],2,FALSE)</f>
        <v>Gymzaal</v>
      </c>
      <c r="C948" s="66" t="s">
        <v>1072</v>
      </c>
      <c r="D948" s="65" t="s">
        <v>1</v>
      </c>
      <c r="E948" s="66" t="s">
        <v>101</v>
      </c>
      <c r="F948" s="66" t="s">
        <v>1075</v>
      </c>
      <c r="G948" s="71" t="s">
        <v>282</v>
      </c>
      <c r="H948" s="67" t="s">
        <v>282</v>
      </c>
      <c r="I948" s="67" t="s">
        <v>20</v>
      </c>
      <c r="J948" s="67" t="s">
        <v>15</v>
      </c>
      <c r="K948" s="67" t="s">
        <v>283</v>
      </c>
      <c r="L948" s="67" t="s">
        <v>282</v>
      </c>
      <c r="M948" s="67" t="s">
        <v>282</v>
      </c>
      <c r="N948" s="67" t="s">
        <v>282</v>
      </c>
      <c r="O948" s="68" t="s">
        <v>2</v>
      </c>
      <c r="P948" s="68" t="s">
        <v>2</v>
      </c>
      <c r="Q948" s="68" t="s">
        <v>2</v>
      </c>
      <c r="R948" s="68" t="s">
        <v>2</v>
      </c>
      <c r="S948" s="68" t="s">
        <v>16</v>
      </c>
      <c r="T948" s="68" t="s">
        <v>329</v>
      </c>
      <c r="U948" s="68" t="s">
        <v>249</v>
      </c>
      <c r="V948" s="68" t="s">
        <v>282</v>
      </c>
      <c r="W948" s="69" t="s">
        <v>282</v>
      </c>
      <c r="X948" s="69" t="s">
        <v>282</v>
      </c>
      <c r="Y948" s="70" t="s">
        <v>282</v>
      </c>
    </row>
    <row r="949" spans="1:25">
      <c r="A949" s="64">
        <v>18</v>
      </c>
      <c r="B949" s="65" t="str">
        <f>VLOOKUP(Tabel10[[#This Row],[Code]],Ruimtegroepen[[Code]:[Ruimte omschrijving]],2,FALSE)</f>
        <v>Gymzaal</v>
      </c>
      <c r="C949" s="66" t="s">
        <v>1072</v>
      </c>
      <c r="D949" s="65" t="s">
        <v>1</v>
      </c>
      <c r="E949" s="66" t="s">
        <v>102</v>
      </c>
      <c r="F949" s="66" t="s">
        <v>1076</v>
      </c>
      <c r="G949" s="71" t="s">
        <v>282</v>
      </c>
      <c r="H949" s="67" t="s">
        <v>282</v>
      </c>
      <c r="I949" s="67" t="s">
        <v>20</v>
      </c>
      <c r="J949" s="67" t="s">
        <v>15</v>
      </c>
      <c r="K949" s="67" t="s">
        <v>283</v>
      </c>
      <c r="L949" s="67" t="s">
        <v>282</v>
      </c>
      <c r="M949" s="67" t="s">
        <v>282</v>
      </c>
      <c r="N949" s="67" t="s">
        <v>282</v>
      </c>
      <c r="O949" s="68" t="s">
        <v>2</v>
      </c>
      <c r="P949" s="68" t="s">
        <v>2</v>
      </c>
      <c r="Q949" s="68" t="s">
        <v>2</v>
      </c>
      <c r="R949" s="68" t="s">
        <v>2</v>
      </c>
      <c r="S949" s="68" t="s">
        <v>16</v>
      </c>
      <c r="T949" s="68" t="s">
        <v>329</v>
      </c>
      <c r="U949" s="68" t="s">
        <v>249</v>
      </c>
      <c r="V949" s="68" t="s">
        <v>282</v>
      </c>
      <c r="W949" s="69" t="s">
        <v>282</v>
      </c>
      <c r="X949" s="69" t="s">
        <v>282</v>
      </c>
      <c r="Y949" s="70" t="s">
        <v>282</v>
      </c>
    </row>
    <row r="950" spans="1:25">
      <c r="A950" s="64">
        <v>18</v>
      </c>
      <c r="B950" s="65" t="str">
        <f>VLOOKUP(Tabel10[[#This Row],[Code]],Ruimtegroepen[[Code]:[Ruimte omschrijving]],2,FALSE)</f>
        <v>Gymzaal</v>
      </c>
      <c r="C950" s="66" t="s">
        <v>1072</v>
      </c>
      <c r="D950" s="65" t="s">
        <v>1</v>
      </c>
      <c r="E950" s="66" t="s">
        <v>99</v>
      </c>
      <c r="F950" s="66" t="s">
        <v>1074</v>
      </c>
      <c r="G950" s="71" t="s">
        <v>282</v>
      </c>
      <c r="H950" s="67" t="s">
        <v>2</v>
      </c>
      <c r="I950" s="67" t="s">
        <v>282</v>
      </c>
      <c r="J950" s="67" t="s">
        <v>282</v>
      </c>
      <c r="K950" s="67" t="s">
        <v>282</v>
      </c>
      <c r="L950" s="67" t="s">
        <v>282</v>
      </c>
      <c r="M950" s="67" t="s">
        <v>282</v>
      </c>
      <c r="N950" s="67" t="s">
        <v>282</v>
      </c>
      <c r="O950" s="68" t="s">
        <v>2</v>
      </c>
      <c r="P950" s="68" t="s">
        <v>2</v>
      </c>
      <c r="Q950" s="68" t="s">
        <v>2</v>
      </c>
      <c r="R950" s="68" t="s">
        <v>2</v>
      </c>
      <c r="S950" s="68" t="s">
        <v>16</v>
      </c>
      <c r="T950" s="68" t="s">
        <v>329</v>
      </c>
      <c r="U950" s="68" t="s">
        <v>249</v>
      </c>
      <c r="V950" s="68" t="s">
        <v>282</v>
      </c>
      <c r="W950" s="69" t="s">
        <v>282</v>
      </c>
      <c r="X950" s="69" t="s">
        <v>282</v>
      </c>
      <c r="Y950" s="70" t="s">
        <v>282</v>
      </c>
    </row>
    <row r="951" spans="1:25">
      <c r="A951" s="64">
        <v>18</v>
      </c>
      <c r="B951" s="65" t="str">
        <f>VLOOKUP(Tabel10[[#This Row],[Code]],Ruimtegroepen[[Code]:[Ruimte omschrijving]],2,FALSE)</f>
        <v>Gymzaal</v>
      </c>
      <c r="C951" s="66" t="s">
        <v>1072</v>
      </c>
      <c r="D951" s="65" t="s">
        <v>1</v>
      </c>
      <c r="E951" s="66" t="s">
        <v>1309</v>
      </c>
      <c r="F951" s="66" t="s">
        <v>1475</v>
      </c>
      <c r="G951" s="71" t="s">
        <v>282</v>
      </c>
      <c r="H951" s="67" t="s">
        <v>282</v>
      </c>
      <c r="I951" s="67" t="s">
        <v>20</v>
      </c>
      <c r="J951" s="67" t="s">
        <v>15</v>
      </c>
      <c r="K951" s="67" t="s">
        <v>283</v>
      </c>
      <c r="L951" s="67" t="s">
        <v>282</v>
      </c>
      <c r="M951" s="67" t="s">
        <v>282</v>
      </c>
      <c r="N951" s="67" t="s">
        <v>282</v>
      </c>
      <c r="O951" s="68" t="s">
        <v>2</v>
      </c>
      <c r="P951" s="68" t="s">
        <v>2</v>
      </c>
      <c r="Q951" s="68" t="s">
        <v>2</v>
      </c>
      <c r="R951" s="68" t="s">
        <v>2</v>
      </c>
      <c r="S951" s="68" t="s">
        <v>16</v>
      </c>
      <c r="T951" s="68" t="s">
        <v>329</v>
      </c>
      <c r="U951" s="68" t="s">
        <v>249</v>
      </c>
      <c r="V951" s="68" t="s">
        <v>282</v>
      </c>
      <c r="W951" s="69" t="s">
        <v>282</v>
      </c>
      <c r="X951" s="69" t="s">
        <v>282</v>
      </c>
      <c r="Y951" s="70" t="s">
        <v>282</v>
      </c>
    </row>
    <row r="952" spans="1:25">
      <c r="A952" s="64">
        <v>18</v>
      </c>
      <c r="B952" s="65" t="str">
        <f>VLOOKUP(Tabel10[[#This Row],[Code]],Ruimtegroepen[[Code]:[Ruimte omschrijving]],2,FALSE)</f>
        <v>Gymzaal</v>
      </c>
      <c r="C952" s="66" t="s">
        <v>1077</v>
      </c>
      <c r="D952" s="65" t="s">
        <v>21</v>
      </c>
      <c r="E952" s="66" t="s">
        <v>100</v>
      </c>
      <c r="F952" s="66" t="s">
        <v>1078</v>
      </c>
      <c r="G952" s="71" t="s">
        <v>282</v>
      </c>
      <c r="H952" s="67" t="s">
        <v>282</v>
      </c>
      <c r="I952" s="67" t="s">
        <v>18</v>
      </c>
      <c r="J952" s="67" t="s">
        <v>15</v>
      </c>
      <c r="K952" s="67" t="s">
        <v>282</v>
      </c>
      <c r="L952" s="67" t="s">
        <v>282</v>
      </c>
      <c r="M952" s="67" t="s">
        <v>282</v>
      </c>
      <c r="N952" s="67" t="s">
        <v>282</v>
      </c>
      <c r="O952" s="68" t="s">
        <v>20</v>
      </c>
      <c r="P952" s="68" t="s">
        <v>20</v>
      </c>
      <c r="Q952" s="68" t="s">
        <v>20</v>
      </c>
      <c r="R952" s="68" t="s">
        <v>15</v>
      </c>
      <c r="S952" s="68" t="s">
        <v>16</v>
      </c>
      <c r="T952" s="68" t="s">
        <v>329</v>
      </c>
      <c r="U952" s="68" t="s">
        <v>249</v>
      </c>
      <c r="V952" s="68" t="s">
        <v>282</v>
      </c>
      <c r="W952" s="69" t="s">
        <v>282</v>
      </c>
      <c r="X952" s="69" t="s">
        <v>282</v>
      </c>
      <c r="Y952" s="70" t="s">
        <v>282</v>
      </c>
    </row>
    <row r="953" spans="1:25">
      <c r="A953" s="64">
        <v>18</v>
      </c>
      <c r="B953" s="65" t="str">
        <f>VLOOKUP(Tabel10[[#This Row],[Code]],Ruimtegroepen[[Code]:[Ruimte omschrijving]],2,FALSE)</f>
        <v>Gymzaal</v>
      </c>
      <c r="C953" s="66" t="s">
        <v>1077</v>
      </c>
      <c r="D953" s="65" t="s">
        <v>21</v>
      </c>
      <c r="E953" s="66" t="s">
        <v>99</v>
      </c>
      <c r="F953" s="66" t="s">
        <v>1079</v>
      </c>
      <c r="G953" s="67" t="s">
        <v>18</v>
      </c>
      <c r="H953" s="67" t="s">
        <v>15</v>
      </c>
      <c r="I953" s="67" t="s">
        <v>282</v>
      </c>
      <c r="J953" s="67" t="s">
        <v>282</v>
      </c>
      <c r="K953" s="67" t="s">
        <v>282</v>
      </c>
      <c r="L953" s="67" t="s">
        <v>282</v>
      </c>
      <c r="M953" s="67" t="s">
        <v>282</v>
      </c>
      <c r="N953" s="67" t="s">
        <v>282</v>
      </c>
      <c r="O953" s="68" t="s">
        <v>20</v>
      </c>
      <c r="P953" s="68" t="s">
        <v>20</v>
      </c>
      <c r="Q953" s="68" t="s">
        <v>20</v>
      </c>
      <c r="R953" s="68" t="s">
        <v>15</v>
      </c>
      <c r="S953" s="68" t="s">
        <v>16</v>
      </c>
      <c r="T953" s="68" t="s">
        <v>329</v>
      </c>
      <c r="U953" s="68" t="s">
        <v>249</v>
      </c>
      <c r="V953" s="68" t="s">
        <v>282</v>
      </c>
      <c r="W953" s="69" t="s">
        <v>282</v>
      </c>
      <c r="X953" s="69" t="s">
        <v>282</v>
      </c>
      <c r="Y953" s="70" t="s">
        <v>282</v>
      </c>
    </row>
    <row r="954" spans="1:25">
      <c r="A954" s="64">
        <v>18</v>
      </c>
      <c r="B954" s="65" t="str">
        <f>VLOOKUP(Tabel10[[#This Row],[Code]],Ruimtegroepen[[Code]:[Ruimte omschrijving]],2,FALSE)</f>
        <v>Gymzaal</v>
      </c>
      <c r="C954" s="66" t="s">
        <v>1077</v>
      </c>
      <c r="D954" s="65" t="s">
        <v>21</v>
      </c>
      <c r="E954" s="66" t="s">
        <v>101</v>
      </c>
      <c r="F954" s="66" t="s">
        <v>1080</v>
      </c>
      <c r="G954" s="71" t="s">
        <v>282</v>
      </c>
      <c r="H954" s="67" t="s">
        <v>282</v>
      </c>
      <c r="I954" s="67" t="s">
        <v>18</v>
      </c>
      <c r="J954" s="67" t="s">
        <v>15</v>
      </c>
      <c r="K954" s="67" t="s">
        <v>283</v>
      </c>
      <c r="L954" s="67" t="s">
        <v>282</v>
      </c>
      <c r="M954" s="67" t="s">
        <v>282</v>
      </c>
      <c r="N954" s="67" t="s">
        <v>282</v>
      </c>
      <c r="O954" s="68" t="s">
        <v>20</v>
      </c>
      <c r="P954" s="68" t="s">
        <v>20</v>
      </c>
      <c r="Q954" s="68" t="s">
        <v>20</v>
      </c>
      <c r="R954" s="68" t="s">
        <v>15</v>
      </c>
      <c r="S954" s="68" t="s">
        <v>16</v>
      </c>
      <c r="T954" s="68" t="s">
        <v>329</v>
      </c>
      <c r="U954" s="68" t="s">
        <v>249</v>
      </c>
      <c r="V954" s="68" t="s">
        <v>282</v>
      </c>
      <c r="W954" s="69" t="s">
        <v>282</v>
      </c>
      <c r="X954" s="69" t="s">
        <v>282</v>
      </c>
      <c r="Y954" s="70" t="s">
        <v>282</v>
      </c>
    </row>
    <row r="955" spans="1:25">
      <c r="A955" s="64">
        <v>18</v>
      </c>
      <c r="B955" s="65" t="str">
        <f>VLOOKUP(Tabel10[[#This Row],[Code]],Ruimtegroepen[[Code]:[Ruimte omschrijving]],2,FALSE)</f>
        <v>Gymzaal</v>
      </c>
      <c r="C955" s="66" t="s">
        <v>1077</v>
      </c>
      <c r="D955" s="65" t="s">
        <v>21</v>
      </c>
      <c r="E955" s="66" t="s">
        <v>102</v>
      </c>
      <c r="F955" s="66" t="s">
        <v>1081</v>
      </c>
      <c r="G955" s="71" t="s">
        <v>282</v>
      </c>
      <c r="H955" s="67" t="s">
        <v>282</v>
      </c>
      <c r="I955" s="67" t="s">
        <v>18</v>
      </c>
      <c r="J955" s="67" t="s">
        <v>15</v>
      </c>
      <c r="K955" s="67" t="s">
        <v>283</v>
      </c>
      <c r="L955" s="67" t="s">
        <v>282</v>
      </c>
      <c r="M955" s="67" t="s">
        <v>282</v>
      </c>
      <c r="N955" s="67" t="s">
        <v>282</v>
      </c>
      <c r="O955" s="68" t="s">
        <v>20</v>
      </c>
      <c r="P955" s="68" t="s">
        <v>20</v>
      </c>
      <c r="Q955" s="68" t="s">
        <v>20</v>
      </c>
      <c r="R955" s="68" t="s">
        <v>15</v>
      </c>
      <c r="S955" s="68" t="s">
        <v>16</v>
      </c>
      <c r="T955" s="68" t="s">
        <v>329</v>
      </c>
      <c r="U955" s="68" t="s">
        <v>249</v>
      </c>
      <c r="V955" s="68" t="s">
        <v>282</v>
      </c>
      <c r="W955" s="69" t="s">
        <v>282</v>
      </c>
      <c r="X955" s="69" t="s">
        <v>282</v>
      </c>
      <c r="Y955" s="70" t="s">
        <v>282</v>
      </c>
    </row>
    <row r="956" spans="1:25">
      <c r="A956" s="64">
        <v>18</v>
      </c>
      <c r="B956" s="65" t="str">
        <f>VLOOKUP(Tabel10[[#This Row],[Code]],Ruimtegroepen[[Code]:[Ruimte omschrijving]],2,FALSE)</f>
        <v>Gymzaal</v>
      </c>
      <c r="C956" s="66" t="s">
        <v>1077</v>
      </c>
      <c r="D956" s="65" t="s">
        <v>21</v>
      </c>
      <c r="E956" s="66" t="s">
        <v>99</v>
      </c>
      <c r="F956" s="66" t="s">
        <v>1079</v>
      </c>
      <c r="G956" s="71" t="s">
        <v>282</v>
      </c>
      <c r="H956" s="67" t="s">
        <v>20</v>
      </c>
      <c r="I956" s="67" t="s">
        <v>282</v>
      </c>
      <c r="J956" s="67" t="s">
        <v>282</v>
      </c>
      <c r="K956" s="67" t="s">
        <v>282</v>
      </c>
      <c r="L956" s="67" t="s">
        <v>282</v>
      </c>
      <c r="M956" s="67" t="s">
        <v>282</v>
      </c>
      <c r="N956" s="67" t="s">
        <v>282</v>
      </c>
      <c r="O956" s="68" t="s">
        <v>20</v>
      </c>
      <c r="P956" s="68" t="s">
        <v>20</v>
      </c>
      <c r="Q956" s="68" t="s">
        <v>20</v>
      </c>
      <c r="R956" s="68" t="s">
        <v>15</v>
      </c>
      <c r="S956" s="68" t="s">
        <v>16</v>
      </c>
      <c r="T956" s="68" t="s">
        <v>329</v>
      </c>
      <c r="U956" s="68" t="s">
        <v>249</v>
      </c>
      <c r="V956" s="68" t="s">
        <v>282</v>
      </c>
      <c r="W956" s="69" t="s">
        <v>282</v>
      </c>
      <c r="X956" s="69" t="s">
        <v>282</v>
      </c>
      <c r="Y956" s="70" t="s">
        <v>282</v>
      </c>
    </row>
    <row r="957" spans="1:25">
      <c r="A957" s="64">
        <v>18</v>
      </c>
      <c r="B957" s="65" t="str">
        <f>VLOOKUP(Tabel10[[#This Row],[Code]],Ruimtegroepen[[Code]:[Ruimte omschrijving]],2,FALSE)</f>
        <v>Gymzaal</v>
      </c>
      <c r="C957" s="66" t="s">
        <v>1077</v>
      </c>
      <c r="D957" s="65" t="s">
        <v>21</v>
      </c>
      <c r="E957" s="66" t="s">
        <v>1309</v>
      </c>
      <c r="F957" s="66" t="s">
        <v>1458</v>
      </c>
      <c r="G957" s="71" t="s">
        <v>282</v>
      </c>
      <c r="H957" s="67" t="s">
        <v>282</v>
      </c>
      <c r="I957" s="67" t="s">
        <v>18</v>
      </c>
      <c r="J957" s="67" t="s">
        <v>15</v>
      </c>
      <c r="K957" s="67" t="s">
        <v>283</v>
      </c>
      <c r="L957" s="67" t="s">
        <v>282</v>
      </c>
      <c r="M957" s="67" t="s">
        <v>282</v>
      </c>
      <c r="N957" s="67" t="s">
        <v>282</v>
      </c>
      <c r="O957" s="68" t="s">
        <v>20</v>
      </c>
      <c r="P957" s="68" t="s">
        <v>20</v>
      </c>
      <c r="Q957" s="68" t="s">
        <v>20</v>
      </c>
      <c r="R957" s="68" t="s">
        <v>15</v>
      </c>
      <c r="S957" s="68" t="s">
        <v>16</v>
      </c>
      <c r="T957" s="68" t="s">
        <v>329</v>
      </c>
      <c r="U957" s="68" t="s">
        <v>249</v>
      </c>
      <c r="V957" s="68" t="s">
        <v>282</v>
      </c>
      <c r="W957" s="69" t="s">
        <v>282</v>
      </c>
      <c r="X957" s="69" t="s">
        <v>282</v>
      </c>
      <c r="Y957" s="70" t="s">
        <v>282</v>
      </c>
    </row>
    <row r="958" spans="1:25">
      <c r="A958" s="64">
        <v>18</v>
      </c>
      <c r="B958" s="65" t="str">
        <f>VLOOKUP(Tabel10[[#This Row],[Code]],Ruimtegroepen[[Code]:[Ruimte omschrijving]],2,FALSE)</f>
        <v>Gymzaal</v>
      </c>
      <c r="C958" s="66" t="s">
        <v>1082</v>
      </c>
      <c r="D958" s="65" t="s">
        <v>12</v>
      </c>
      <c r="E958" s="66" t="s">
        <v>100</v>
      </c>
      <c r="F958" s="66" t="s">
        <v>1083</v>
      </c>
      <c r="G958" s="71" t="s">
        <v>282</v>
      </c>
      <c r="H958" s="67" t="s">
        <v>282</v>
      </c>
      <c r="I958" s="67" t="s">
        <v>17</v>
      </c>
      <c r="J958" s="67" t="s">
        <v>15</v>
      </c>
      <c r="K958" s="67" t="s">
        <v>282</v>
      </c>
      <c r="L958" s="67" t="s">
        <v>282</v>
      </c>
      <c r="M958" s="67" t="s">
        <v>282</v>
      </c>
      <c r="N958" s="67" t="s">
        <v>282</v>
      </c>
      <c r="O958" s="68" t="s">
        <v>18</v>
      </c>
      <c r="P958" s="68" t="s">
        <v>18</v>
      </c>
      <c r="Q958" s="68" t="s">
        <v>18</v>
      </c>
      <c r="R958" s="68" t="s">
        <v>15</v>
      </c>
      <c r="S958" s="68" t="s">
        <v>16</v>
      </c>
      <c r="T958" s="68" t="s">
        <v>329</v>
      </c>
      <c r="U958" s="68" t="s">
        <v>249</v>
      </c>
      <c r="V958" s="68" t="s">
        <v>282</v>
      </c>
      <c r="W958" s="69" t="s">
        <v>282</v>
      </c>
      <c r="X958" s="69" t="s">
        <v>282</v>
      </c>
      <c r="Y958" s="70" t="s">
        <v>282</v>
      </c>
    </row>
    <row r="959" spans="1:25">
      <c r="A959" s="64">
        <v>18</v>
      </c>
      <c r="B959" s="65" t="str">
        <f>VLOOKUP(Tabel10[[#This Row],[Code]],Ruimtegroepen[[Code]:[Ruimte omschrijving]],2,FALSE)</f>
        <v>Gymzaal</v>
      </c>
      <c r="C959" s="77" t="s">
        <v>1082</v>
      </c>
      <c r="D959" s="65" t="s">
        <v>12</v>
      </c>
      <c r="E959" s="66" t="s">
        <v>99</v>
      </c>
      <c r="F959" s="66" t="s">
        <v>1084</v>
      </c>
      <c r="G959" s="73" t="s">
        <v>17</v>
      </c>
      <c r="H959" s="73" t="s">
        <v>15</v>
      </c>
      <c r="I959" s="67" t="s">
        <v>282</v>
      </c>
      <c r="J959" s="73" t="s">
        <v>282</v>
      </c>
      <c r="K959" s="73" t="s">
        <v>282</v>
      </c>
      <c r="L959" s="67" t="s">
        <v>282</v>
      </c>
      <c r="M959" s="67" t="s">
        <v>282</v>
      </c>
      <c r="N959" s="73" t="s">
        <v>282</v>
      </c>
      <c r="O959" s="74" t="s">
        <v>18</v>
      </c>
      <c r="P959" s="74" t="s">
        <v>18</v>
      </c>
      <c r="Q959" s="74" t="s">
        <v>18</v>
      </c>
      <c r="R959" s="74" t="s">
        <v>15</v>
      </c>
      <c r="S959" s="68" t="s">
        <v>16</v>
      </c>
      <c r="T959" s="68" t="s">
        <v>329</v>
      </c>
      <c r="U959" s="68" t="s">
        <v>249</v>
      </c>
      <c r="V959" s="74" t="s">
        <v>282</v>
      </c>
      <c r="W959" s="75" t="s">
        <v>282</v>
      </c>
      <c r="X959" s="75" t="s">
        <v>282</v>
      </c>
      <c r="Y959" s="76" t="s">
        <v>282</v>
      </c>
    </row>
    <row r="960" spans="1:25">
      <c r="A960" s="64">
        <v>18</v>
      </c>
      <c r="B960" s="65" t="str">
        <f>VLOOKUP(Tabel10[[#This Row],[Code]],Ruimtegroepen[[Code]:[Ruimte omschrijving]],2,FALSE)</f>
        <v>Gymzaal</v>
      </c>
      <c r="C960" s="66" t="s">
        <v>1082</v>
      </c>
      <c r="D960" s="65" t="s">
        <v>12</v>
      </c>
      <c r="E960" s="66" t="s">
        <v>101</v>
      </c>
      <c r="F960" s="66" t="s">
        <v>1085</v>
      </c>
      <c r="G960" s="71" t="s">
        <v>282</v>
      </c>
      <c r="H960" s="67" t="s">
        <v>282</v>
      </c>
      <c r="I960" s="67" t="s">
        <v>17</v>
      </c>
      <c r="J960" s="67" t="s">
        <v>15</v>
      </c>
      <c r="K960" s="67" t="s">
        <v>283</v>
      </c>
      <c r="L960" s="67" t="s">
        <v>282</v>
      </c>
      <c r="M960" s="67" t="s">
        <v>282</v>
      </c>
      <c r="N960" s="67" t="s">
        <v>282</v>
      </c>
      <c r="O960" s="68" t="s">
        <v>18</v>
      </c>
      <c r="P960" s="68" t="s">
        <v>18</v>
      </c>
      <c r="Q960" s="68" t="s">
        <v>18</v>
      </c>
      <c r="R960" s="68" t="s">
        <v>15</v>
      </c>
      <c r="S960" s="68" t="s">
        <v>16</v>
      </c>
      <c r="T960" s="68" t="s">
        <v>329</v>
      </c>
      <c r="U960" s="68" t="s">
        <v>249</v>
      </c>
      <c r="V960" s="68" t="s">
        <v>282</v>
      </c>
      <c r="W960" s="69" t="s">
        <v>282</v>
      </c>
      <c r="X960" s="69" t="s">
        <v>282</v>
      </c>
      <c r="Y960" s="70" t="s">
        <v>282</v>
      </c>
    </row>
    <row r="961" spans="1:25">
      <c r="A961" s="64">
        <v>18</v>
      </c>
      <c r="B961" s="65" t="str">
        <f>VLOOKUP(Tabel10[[#This Row],[Code]],Ruimtegroepen[[Code]:[Ruimte omschrijving]],2,FALSE)</f>
        <v>Gymzaal</v>
      </c>
      <c r="C961" s="66" t="s">
        <v>1082</v>
      </c>
      <c r="D961" s="65" t="s">
        <v>12</v>
      </c>
      <c r="E961" s="66" t="s">
        <v>102</v>
      </c>
      <c r="F961" s="66" t="s">
        <v>1086</v>
      </c>
      <c r="G961" s="71" t="s">
        <v>282</v>
      </c>
      <c r="H961" s="67" t="s">
        <v>282</v>
      </c>
      <c r="I961" s="67" t="s">
        <v>17</v>
      </c>
      <c r="J961" s="67" t="s">
        <v>15</v>
      </c>
      <c r="K961" s="67" t="s">
        <v>283</v>
      </c>
      <c r="L961" s="67" t="s">
        <v>282</v>
      </c>
      <c r="M961" s="67" t="s">
        <v>282</v>
      </c>
      <c r="N961" s="67" t="s">
        <v>282</v>
      </c>
      <c r="O961" s="68" t="s">
        <v>18</v>
      </c>
      <c r="P961" s="68" t="s">
        <v>18</v>
      </c>
      <c r="Q961" s="68" t="s">
        <v>18</v>
      </c>
      <c r="R961" s="68" t="s">
        <v>15</v>
      </c>
      <c r="S961" s="68" t="s">
        <v>16</v>
      </c>
      <c r="T961" s="68" t="s">
        <v>329</v>
      </c>
      <c r="U961" s="68" t="s">
        <v>249</v>
      </c>
      <c r="V961" s="68" t="s">
        <v>282</v>
      </c>
      <c r="W961" s="69" t="s">
        <v>282</v>
      </c>
      <c r="X961" s="69" t="s">
        <v>282</v>
      </c>
      <c r="Y961" s="70" t="s">
        <v>282</v>
      </c>
    </row>
    <row r="962" spans="1:25">
      <c r="A962" s="64">
        <v>18</v>
      </c>
      <c r="B962" s="65" t="str">
        <f>VLOOKUP(Tabel10[[#This Row],[Code]],Ruimtegroepen[[Code]:[Ruimte omschrijving]],2,FALSE)</f>
        <v>Gymzaal</v>
      </c>
      <c r="C962" s="66" t="s">
        <v>1082</v>
      </c>
      <c r="D962" s="65" t="s">
        <v>12</v>
      </c>
      <c r="E962" s="66" t="s">
        <v>99</v>
      </c>
      <c r="F962" s="66" t="s">
        <v>1084</v>
      </c>
      <c r="G962" s="71" t="s">
        <v>282</v>
      </c>
      <c r="H962" s="67" t="s">
        <v>18</v>
      </c>
      <c r="I962" s="67" t="s">
        <v>282</v>
      </c>
      <c r="J962" s="67" t="s">
        <v>282</v>
      </c>
      <c r="K962" s="67" t="s">
        <v>282</v>
      </c>
      <c r="L962" s="67" t="s">
        <v>282</v>
      </c>
      <c r="M962" s="67" t="s">
        <v>282</v>
      </c>
      <c r="N962" s="67" t="s">
        <v>282</v>
      </c>
      <c r="O962" s="68" t="s">
        <v>18</v>
      </c>
      <c r="P962" s="68" t="s">
        <v>18</v>
      </c>
      <c r="Q962" s="68" t="s">
        <v>18</v>
      </c>
      <c r="R962" s="68" t="s">
        <v>15</v>
      </c>
      <c r="S962" s="68" t="s">
        <v>16</v>
      </c>
      <c r="T962" s="68" t="s">
        <v>329</v>
      </c>
      <c r="U962" s="68" t="s">
        <v>249</v>
      </c>
      <c r="V962" s="68" t="s">
        <v>282</v>
      </c>
      <c r="W962" s="69" t="s">
        <v>282</v>
      </c>
      <c r="X962" s="69" t="s">
        <v>282</v>
      </c>
      <c r="Y962" s="70" t="s">
        <v>282</v>
      </c>
    </row>
    <row r="963" spans="1:25">
      <c r="A963" s="64">
        <v>18</v>
      </c>
      <c r="B963" s="65" t="str">
        <f>VLOOKUP(Tabel10[[#This Row],[Code]],Ruimtegroepen[[Code]:[Ruimte omschrijving]],2,FALSE)</f>
        <v>Gymzaal</v>
      </c>
      <c r="C963" s="66" t="s">
        <v>1082</v>
      </c>
      <c r="D963" s="65" t="s">
        <v>12</v>
      </c>
      <c r="E963" s="66" t="s">
        <v>1309</v>
      </c>
      <c r="F963" s="66" t="s">
        <v>1440</v>
      </c>
      <c r="G963" s="71" t="s">
        <v>282</v>
      </c>
      <c r="H963" s="67" t="s">
        <v>282</v>
      </c>
      <c r="I963" s="67" t="s">
        <v>17</v>
      </c>
      <c r="J963" s="67" t="s">
        <v>15</v>
      </c>
      <c r="K963" s="67" t="s">
        <v>283</v>
      </c>
      <c r="L963" s="67" t="s">
        <v>282</v>
      </c>
      <c r="M963" s="67" t="s">
        <v>282</v>
      </c>
      <c r="N963" s="67" t="s">
        <v>282</v>
      </c>
      <c r="O963" s="68" t="s">
        <v>18</v>
      </c>
      <c r="P963" s="68" t="s">
        <v>18</v>
      </c>
      <c r="Q963" s="68" t="s">
        <v>18</v>
      </c>
      <c r="R963" s="68" t="s">
        <v>15</v>
      </c>
      <c r="S963" s="68" t="s">
        <v>16</v>
      </c>
      <c r="T963" s="68" t="s">
        <v>329</v>
      </c>
      <c r="U963" s="68" t="s">
        <v>249</v>
      </c>
      <c r="V963" s="68" t="s">
        <v>282</v>
      </c>
      <c r="W963" s="69" t="s">
        <v>282</v>
      </c>
      <c r="X963" s="69" t="s">
        <v>282</v>
      </c>
      <c r="Y963" s="70" t="s">
        <v>282</v>
      </c>
    </row>
    <row r="964" spans="1:25">
      <c r="A964" s="64">
        <v>18</v>
      </c>
      <c r="B964" s="65" t="str">
        <f>VLOOKUP(Tabel10[[#This Row],[Code]],Ruimtegroepen[[Code]:[Ruimte omschrijving]],2,FALSE)</f>
        <v>Gymzaal</v>
      </c>
      <c r="C964" s="66" t="s">
        <v>1087</v>
      </c>
      <c r="D964" s="65" t="s">
        <v>14</v>
      </c>
      <c r="E964" s="66" t="s">
        <v>100</v>
      </c>
      <c r="F964" s="66" t="s">
        <v>1088</v>
      </c>
      <c r="G964" s="71" t="s">
        <v>282</v>
      </c>
      <c r="H964" s="67" t="s">
        <v>282</v>
      </c>
      <c r="I964" s="67" t="s">
        <v>17</v>
      </c>
      <c r="J964" s="67" t="s">
        <v>15</v>
      </c>
      <c r="K964" s="67" t="s">
        <v>282</v>
      </c>
      <c r="L964" s="67" t="s">
        <v>282</v>
      </c>
      <c r="M964" s="67" t="s">
        <v>282</v>
      </c>
      <c r="N964" s="67" t="s">
        <v>282</v>
      </c>
      <c r="O964" s="68" t="s">
        <v>17</v>
      </c>
      <c r="P964" s="68" t="s">
        <v>17</v>
      </c>
      <c r="Q964" s="68" t="s">
        <v>17</v>
      </c>
      <c r="R964" s="68" t="s">
        <v>15</v>
      </c>
      <c r="S964" s="68" t="s">
        <v>16</v>
      </c>
      <c r="T964" s="68" t="s">
        <v>329</v>
      </c>
      <c r="U964" s="68" t="s">
        <v>249</v>
      </c>
      <c r="V964" s="68" t="s">
        <v>282</v>
      </c>
      <c r="W964" s="69" t="s">
        <v>282</v>
      </c>
      <c r="X964" s="69" t="s">
        <v>282</v>
      </c>
      <c r="Y964" s="70" t="s">
        <v>282</v>
      </c>
    </row>
    <row r="965" spans="1:25">
      <c r="A965" s="64">
        <v>18</v>
      </c>
      <c r="B965" s="65" t="str">
        <f>VLOOKUP(Tabel10[[#This Row],[Code]],Ruimtegroepen[[Code]:[Ruimte omschrijving]],2,FALSE)</f>
        <v>Gymzaal</v>
      </c>
      <c r="C965" s="66" t="s">
        <v>1087</v>
      </c>
      <c r="D965" s="65" t="s">
        <v>14</v>
      </c>
      <c r="E965" s="66" t="s">
        <v>99</v>
      </c>
      <c r="F965" s="66" t="s">
        <v>1089</v>
      </c>
      <c r="G965" s="67" t="s">
        <v>15</v>
      </c>
      <c r="H965" s="67" t="s">
        <v>15</v>
      </c>
      <c r="I965" s="67" t="s">
        <v>282</v>
      </c>
      <c r="J965" s="67" t="s">
        <v>282</v>
      </c>
      <c r="K965" s="67" t="s">
        <v>282</v>
      </c>
      <c r="L965" s="67" t="s">
        <v>282</v>
      </c>
      <c r="M965" s="67" t="s">
        <v>282</v>
      </c>
      <c r="N965" s="67" t="s">
        <v>282</v>
      </c>
      <c r="O965" s="68" t="s">
        <v>17</v>
      </c>
      <c r="P965" s="68" t="s">
        <v>17</v>
      </c>
      <c r="Q965" s="68" t="s">
        <v>17</v>
      </c>
      <c r="R965" s="68" t="s">
        <v>15</v>
      </c>
      <c r="S965" s="68" t="s">
        <v>16</v>
      </c>
      <c r="T965" s="68" t="s">
        <v>329</v>
      </c>
      <c r="U965" s="68" t="s">
        <v>249</v>
      </c>
      <c r="V965" s="68" t="s">
        <v>282</v>
      </c>
      <c r="W965" s="69" t="s">
        <v>282</v>
      </c>
      <c r="X965" s="69" t="s">
        <v>282</v>
      </c>
      <c r="Y965" s="70" t="s">
        <v>282</v>
      </c>
    </row>
    <row r="966" spans="1:25">
      <c r="A966" s="64">
        <v>18</v>
      </c>
      <c r="B966" s="65" t="str">
        <f>VLOOKUP(Tabel10[[#This Row],[Code]],Ruimtegroepen[[Code]:[Ruimte omschrijving]],2,FALSE)</f>
        <v>Gymzaal</v>
      </c>
      <c r="C966" s="66" t="s">
        <v>1087</v>
      </c>
      <c r="D966" s="65" t="s">
        <v>14</v>
      </c>
      <c r="E966" s="66" t="s">
        <v>101</v>
      </c>
      <c r="F966" s="66" t="s">
        <v>1090</v>
      </c>
      <c r="G966" s="71" t="s">
        <v>282</v>
      </c>
      <c r="H966" s="67" t="s">
        <v>282</v>
      </c>
      <c r="I966" s="67" t="s">
        <v>15</v>
      </c>
      <c r="J966" s="67" t="s">
        <v>15</v>
      </c>
      <c r="K966" s="67" t="s">
        <v>283</v>
      </c>
      <c r="L966" s="67" t="s">
        <v>282</v>
      </c>
      <c r="M966" s="67" t="s">
        <v>282</v>
      </c>
      <c r="N966" s="67" t="s">
        <v>282</v>
      </c>
      <c r="O966" s="68" t="s">
        <v>17</v>
      </c>
      <c r="P966" s="68" t="s">
        <v>17</v>
      </c>
      <c r="Q966" s="68" t="s">
        <v>17</v>
      </c>
      <c r="R966" s="68" t="s">
        <v>15</v>
      </c>
      <c r="S966" s="68" t="s">
        <v>16</v>
      </c>
      <c r="T966" s="68" t="s">
        <v>329</v>
      </c>
      <c r="U966" s="68" t="s">
        <v>249</v>
      </c>
      <c r="V966" s="68" t="s">
        <v>282</v>
      </c>
      <c r="W966" s="69" t="s">
        <v>282</v>
      </c>
      <c r="X966" s="69" t="s">
        <v>282</v>
      </c>
      <c r="Y966" s="70" t="s">
        <v>282</v>
      </c>
    </row>
    <row r="967" spans="1:25">
      <c r="A967" s="64">
        <v>18</v>
      </c>
      <c r="B967" s="65" t="str">
        <f>VLOOKUP(Tabel10[[#This Row],[Code]],Ruimtegroepen[[Code]:[Ruimte omschrijving]],2,FALSE)</f>
        <v>Gymzaal</v>
      </c>
      <c r="C967" s="66" t="s">
        <v>1087</v>
      </c>
      <c r="D967" s="65" t="s">
        <v>14</v>
      </c>
      <c r="E967" s="66" t="s">
        <v>102</v>
      </c>
      <c r="F967" s="66" t="s">
        <v>1091</v>
      </c>
      <c r="G967" s="71" t="s">
        <v>282</v>
      </c>
      <c r="H967" s="67" t="s">
        <v>282</v>
      </c>
      <c r="I967" s="67" t="s">
        <v>17</v>
      </c>
      <c r="J967" s="67" t="s">
        <v>15</v>
      </c>
      <c r="K967" s="67" t="s">
        <v>283</v>
      </c>
      <c r="L967" s="67" t="s">
        <v>282</v>
      </c>
      <c r="M967" s="67" t="s">
        <v>282</v>
      </c>
      <c r="N967" s="67" t="s">
        <v>282</v>
      </c>
      <c r="O967" s="68" t="s">
        <v>17</v>
      </c>
      <c r="P967" s="68" t="s">
        <v>17</v>
      </c>
      <c r="Q967" s="68" t="s">
        <v>17</v>
      </c>
      <c r="R967" s="68" t="s">
        <v>15</v>
      </c>
      <c r="S967" s="68" t="s">
        <v>16</v>
      </c>
      <c r="T967" s="68" t="s">
        <v>329</v>
      </c>
      <c r="U967" s="68" t="s">
        <v>249</v>
      </c>
      <c r="V967" s="68" t="s">
        <v>282</v>
      </c>
      <c r="W967" s="69" t="s">
        <v>282</v>
      </c>
      <c r="X967" s="69" t="s">
        <v>282</v>
      </c>
      <c r="Y967" s="70" t="s">
        <v>282</v>
      </c>
    </row>
    <row r="968" spans="1:25">
      <c r="A968" s="64">
        <v>18</v>
      </c>
      <c r="B968" s="65" t="str">
        <f>VLOOKUP(Tabel10[[#This Row],[Code]],Ruimtegroepen[[Code]:[Ruimte omschrijving]],2,FALSE)</f>
        <v>Gymzaal</v>
      </c>
      <c r="C968" s="66" t="s">
        <v>1087</v>
      </c>
      <c r="D968" s="65" t="s">
        <v>14</v>
      </c>
      <c r="E968" s="66" t="s">
        <v>99</v>
      </c>
      <c r="F968" s="66" t="s">
        <v>1089</v>
      </c>
      <c r="G968" s="71" t="s">
        <v>282</v>
      </c>
      <c r="H968" s="67" t="s">
        <v>17</v>
      </c>
      <c r="I968" s="67" t="s">
        <v>282</v>
      </c>
      <c r="J968" s="67" t="s">
        <v>282</v>
      </c>
      <c r="K968" s="67" t="s">
        <v>282</v>
      </c>
      <c r="L968" s="67" t="s">
        <v>282</v>
      </c>
      <c r="M968" s="67" t="s">
        <v>282</v>
      </c>
      <c r="N968" s="67" t="s">
        <v>282</v>
      </c>
      <c r="O968" s="68" t="s">
        <v>17</v>
      </c>
      <c r="P968" s="68" t="s">
        <v>17</v>
      </c>
      <c r="Q968" s="68" t="s">
        <v>17</v>
      </c>
      <c r="R968" s="68" t="s">
        <v>15</v>
      </c>
      <c r="S968" s="68" t="s">
        <v>16</v>
      </c>
      <c r="T968" s="68" t="s">
        <v>329</v>
      </c>
      <c r="U968" s="68" t="s">
        <v>249</v>
      </c>
      <c r="V968" s="68" t="s">
        <v>282</v>
      </c>
      <c r="W968" s="69" t="s">
        <v>282</v>
      </c>
      <c r="X968" s="69" t="s">
        <v>282</v>
      </c>
      <c r="Y968" s="70" t="s">
        <v>282</v>
      </c>
    </row>
    <row r="969" spans="1:25">
      <c r="A969" s="64">
        <v>18</v>
      </c>
      <c r="B969" s="65" t="str">
        <f>VLOOKUP(Tabel10[[#This Row],[Code]],Ruimtegroepen[[Code]:[Ruimte omschrijving]],2,FALSE)</f>
        <v>Gymzaal</v>
      </c>
      <c r="C969" s="66" t="s">
        <v>1087</v>
      </c>
      <c r="D969" s="65" t="s">
        <v>14</v>
      </c>
      <c r="E969" s="66" t="s">
        <v>1309</v>
      </c>
      <c r="F969" s="66" t="s">
        <v>1407</v>
      </c>
      <c r="G969" s="71" t="s">
        <v>282</v>
      </c>
      <c r="H969" s="67" t="s">
        <v>282</v>
      </c>
      <c r="I969" s="67" t="s">
        <v>17</v>
      </c>
      <c r="J969" s="67" t="s">
        <v>15</v>
      </c>
      <c r="K969" s="67" t="s">
        <v>283</v>
      </c>
      <c r="L969" s="67" t="s">
        <v>282</v>
      </c>
      <c r="M969" s="67" t="s">
        <v>282</v>
      </c>
      <c r="N969" s="67" t="s">
        <v>282</v>
      </c>
      <c r="O969" s="68" t="s">
        <v>17</v>
      </c>
      <c r="P969" s="68" t="s">
        <v>17</v>
      </c>
      <c r="Q969" s="68" t="s">
        <v>17</v>
      </c>
      <c r="R969" s="68" t="s">
        <v>15</v>
      </c>
      <c r="S969" s="68" t="s">
        <v>16</v>
      </c>
      <c r="T969" s="68" t="s">
        <v>329</v>
      </c>
      <c r="U969" s="68" t="s">
        <v>249</v>
      </c>
      <c r="V969" s="68" t="s">
        <v>282</v>
      </c>
      <c r="W969" s="69" t="s">
        <v>282</v>
      </c>
      <c r="X969" s="69" t="s">
        <v>282</v>
      </c>
      <c r="Y969" s="70" t="s">
        <v>282</v>
      </c>
    </row>
    <row r="970" spans="1:25">
      <c r="A970" s="64">
        <v>18</v>
      </c>
      <c r="B970" s="65" t="str">
        <f>VLOOKUP(Tabel10[[#This Row],[Code]],Ruimtegroepen[[Code]:[Ruimte omschrijving]],2,FALSE)</f>
        <v>Gymzaal</v>
      </c>
      <c r="C970" s="66" t="s">
        <v>1092</v>
      </c>
      <c r="D970" s="65" t="s">
        <v>13</v>
      </c>
      <c r="E970" s="66" t="s">
        <v>100</v>
      </c>
      <c r="F970" s="66" t="s">
        <v>1093</v>
      </c>
      <c r="G970" s="71" t="s">
        <v>282</v>
      </c>
      <c r="H970" s="67" t="s">
        <v>282</v>
      </c>
      <c r="I970" s="67" t="s">
        <v>15</v>
      </c>
      <c r="J970" s="67" t="s">
        <v>15</v>
      </c>
      <c r="K970" s="67" t="s">
        <v>282</v>
      </c>
      <c r="L970" s="67" t="s">
        <v>282</v>
      </c>
      <c r="M970" s="67" t="s">
        <v>282</v>
      </c>
      <c r="N970" s="67" t="s">
        <v>282</v>
      </c>
      <c r="O970" s="68" t="s">
        <v>15</v>
      </c>
      <c r="P970" s="68" t="s">
        <v>15</v>
      </c>
      <c r="Q970" s="68" t="s">
        <v>15</v>
      </c>
      <c r="R970" s="68" t="s">
        <v>15</v>
      </c>
      <c r="S970" s="68" t="s">
        <v>16</v>
      </c>
      <c r="T970" s="68" t="s">
        <v>329</v>
      </c>
      <c r="U970" s="68" t="s">
        <v>249</v>
      </c>
      <c r="V970" s="68" t="s">
        <v>282</v>
      </c>
      <c r="W970" s="69" t="s">
        <v>282</v>
      </c>
      <c r="X970" s="69" t="s">
        <v>282</v>
      </c>
      <c r="Y970" s="70" t="s">
        <v>282</v>
      </c>
    </row>
    <row r="971" spans="1:25">
      <c r="A971" s="64">
        <v>18</v>
      </c>
      <c r="B971" s="65" t="str">
        <f>VLOOKUP(Tabel10[[#This Row],[Code]],Ruimtegroepen[[Code]:[Ruimte omschrijving]],2,FALSE)</f>
        <v>Gymzaal</v>
      </c>
      <c r="C971" s="66" t="s">
        <v>1092</v>
      </c>
      <c r="D971" s="65" t="s">
        <v>13</v>
      </c>
      <c r="E971" s="66" t="s">
        <v>99</v>
      </c>
      <c r="F971" s="66" t="s">
        <v>1094</v>
      </c>
      <c r="G971" s="71" t="s">
        <v>282</v>
      </c>
      <c r="H971" s="67" t="s">
        <v>15</v>
      </c>
      <c r="I971" s="67" t="s">
        <v>282</v>
      </c>
      <c r="J971" s="67" t="s">
        <v>282</v>
      </c>
      <c r="K971" s="67" t="s">
        <v>282</v>
      </c>
      <c r="L971" s="67" t="s">
        <v>282</v>
      </c>
      <c r="M971" s="67" t="s">
        <v>282</v>
      </c>
      <c r="N971" s="67" t="s">
        <v>282</v>
      </c>
      <c r="O971" s="68" t="s">
        <v>15</v>
      </c>
      <c r="P971" s="68" t="s">
        <v>15</v>
      </c>
      <c r="Q971" s="68" t="s">
        <v>15</v>
      </c>
      <c r="R971" s="68" t="s">
        <v>15</v>
      </c>
      <c r="S971" s="68" t="s">
        <v>16</v>
      </c>
      <c r="T971" s="68" t="s">
        <v>329</v>
      </c>
      <c r="U971" s="68" t="s">
        <v>249</v>
      </c>
      <c r="V971" s="68" t="s">
        <v>282</v>
      </c>
      <c r="W971" s="69" t="s">
        <v>282</v>
      </c>
      <c r="X971" s="69" t="s">
        <v>282</v>
      </c>
      <c r="Y971" s="70" t="s">
        <v>282</v>
      </c>
    </row>
    <row r="972" spans="1:25">
      <c r="A972" s="64">
        <v>18</v>
      </c>
      <c r="B972" s="65" t="str">
        <f>VLOOKUP(Tabel10[[#This Row],[Code]],Ruimtegroepen[[Code]:[Ruimte omschrijving]],2,FALSE)</f>
        <v>Gymzaal</v>
      </c>
      <c r="C972" s="66" t="s">
        <v>1092</v>
      </c>
      <c r="D972" s="65" t="s">
        <v>13</v>
      </c>
      <c r="E972" s="66" t="s">
        <v>101</v>
      </c>
      <c r="F972" s="66" t="s">
        <v>1095</v>
      </c>
      <c r="G972" s="71" t="s">
        <v>282</v>
      </c>
      <c r="H972" s="67" t="s">
        <v>282</v>
      </c>
      <c r="I972" s="67" t="s">
        <v>282</v>
      </c>
      <c r="J972" s="67" t="s">
        <v>15</v>
      </c>
      <c r="K972" s="67" t="s">
        <v>283</v>
      </c>
      <c r="L972" s="67" t="s">
        <v>282</v>
      </c>
      <c r="M972" s="67" t="s">
        <v>282</v>
      </c>
      <c r="N972" s="67" t="s">
        <v>282</v>
      </c>
      <c r="O972" s="68" t="s">
        <v>15</v>
      </c>
      <c r="P972" s="68" t="s">
        <v>15</v>
      </c>
      <c r="Q972" s="68" t="s">
        <v>15</v>
      </c>
      <c r="R972" s="68" t="s">
        <v>15</v>
      </c>
      <c r="S972" s="68" t="s">
        <v>16</v>
      </c>
      <c r="T972" s="68" t="s">
        <v>329</v>
      </c>
      <c r="U972" s="68" t="s">
        <v>249</v>
      </c>
      <c r="V972" s="68" t="s">
        <v>282</v>
      </c>
      <c r="W972" s="69" t="s">
        <v>282</v>
      </c>
      <c r="X972" s="69" t="s">
        <v>282</v>
      </c>
      <c r="Y972" s="70" t="s">
        <v>282</v>
      </c>
    </row>
    <row r="973" spans="1:25">
      <c r="A973" s="64">
        <v>18</v>
      </c>
      <c r="B973" s="65" t="str">
        <f>VLOOKUP(Tabel10[[#This Row],[Code]],Ruimtegroepen[[Code]:[Ruimte omschrijving]],2,FALSE)</f>
        <v>Gymzaal</v>
      </c>
      <c r="C973" s="66" t="s">
        <v>1092</v>
      </c>
      <c r="D973" s="65" t="s">
        <v>13</v>
      </c>
      <c r="E973" s="66" t="s">
        <v>102</v>
      </c>
      <c r="F973" s="66" t="s">
        <v>1096</v>
      </c>
      <c r="G973" s="71" t="s">
        <v>282</v>
      </c>
      <c r="H973" s="67" t="s">
        <v>282</v>
      </c>
      <c r="I973" s="67" t="s">
        <v>15</v>
      </c>
      <c r="J973" s="67" t="s">
        <v>15</v>
      </c>
      <c r="K973" s="67" t="s">
        <v>283</v>
      </c>
      <c r="L973" s="67" t="s">
        <v>282</v>
      </c>
      <c r="M973" s="67" t="s">
        <v>282</v>
      </c>
      <c r="N973" s="67" t="s">
        <v>282</v>
      </c>
      <c r="O973" s="68" t="s">
        <v>15</v>
      </c>
      <c r="P973" s="68" t="s">
        <v>15</v>
      </c>
      <c r="Q973" s="68" t="s">
        <v>15</v>
      </c>
      <c r="R973" s="68" t="s">
        <v>15</v>
      </c>
      <c r="S973" s="68" t="s">
        <v>16</v>
      </c>
      <c r="T973" s="68" t="s">
        <v>329</v>
      </c>
      <c r="U973" s="68" t="s">
        <v>249</v>
      </c>
      <c r="V973" s="68" t="s">
        <v>282</v>
      </c>
      <c r="W973" s="69" t="s">
        <v>282</v>
      </c>
      <c r="X973" s="69" t="s">
        <v>282</v>
      </c>
      <c r="Y973" s="70" t="s">
        <v>282</v>
      </c>
    </row>
    <row r="974" spans="1:25">
      <c r="A974" s="64">
        <v>18</v>
      </c>
      <c r="B974" s="65" t="str">
        <f>VLOOKUP(Tabel10[[#This Row],[Code]],Ruimtegroepen[[Code]:[Ruimte omschrijving]],2,FALSE)</f>
        <v>Gymzaal</v>
      </c>
      <c r="C974" s="66" t="s">
        <v>1092</v>
      </c>
      <c r="D974" s="65" t="s">
        <v>13</v>
      </c>
      <c r="E974" s="66" t="s">
        <v>99</v>
      </c>
      <c r="F974" s="66" t="s">
        <v>1094</v>
      </c>
      <c r="G974" s="71" t="s">
        <v>282</v>
      </c>
      <c r="H974" s="67" t="s">
        <v>15</v>
      </c>
      <c r="I974" s="67" t="s">
        <v>282</v>
      </c>
      <c r="J974" s="67" t="s">
        <v>282</v>
      </c>
      <c r="K974" s="67" t="s">
        <v>282</v>
      </c>
      <c r="L974" s="67" t="s">
        <v>282</v>
      </c>
      <c r="M974" s="67" t="s">
        <v>282</v>
      </c>
      <c r="N974" s="67" t="s">
        <v>282</v>
      </c>
      <c r="O974" s="68" t="s">
        <v>15</v>
      </c>
      <c r="P974" s="68" t="s">
        <v>15</v>
      </c>
      <c r="Q974" s="68" t="s">
        <v>15</v>
      </c>
      <c r="R974" s="68" t="s">
        <v>15</v>
      </c>
      <c r="S974" s="68" t="s">
        <v>16</v>
      </c>
      <c r="T974" s="68" t="s">
        <v>329</v>
      </c>
      <c r="U974" s="68" t="s">
        <v>249</v>
      </c>
      <c r="V974" s="68" t="s">
        <v>282</v>
      </c>
      <c r="W974" s="69" t="s">
        <v>282</v>
      </c>
      <c r="X974" s="69" t="s">
        <v>282</v>
      </c>
      <c r="Y974" s="70" t="s">
        <v>282</v>
      </c>
    </row>
    <row r="975" spans="1:25">
      <c r="A975" s="64">
        <v>18</v>
      </c>
      <c r="B975" s="65" t="str">
        <f>VLOOKUP(Tabel10[[#This Row],[Code]],Ruimtegroepen[[Code]:[Ruimte omschrijving]],2,FALSE)</f>
        <v>Gymzaal</v>
      </c>
      <c r="C975" s="66" t="s">
        <v>1092</v>
      </c>
      <c r="D975" s="65" t="s">
        <v>13</v>
      </c>
      <c r="E975" s="66" t="s">
        <v>1309</v>
      </c>
      <c r="F975" s="66" t="s">
        <v>1374</v>
      </c>
      <c r="G975" s="71" t="s">
        <v>282</v>
      </c>
      <c r="H975" s="67" t="s">
        <v>282</v>
      </c>
      <c r="I975" s="67" t="s">
        <v>15</v>
      </c>
      <c r="J975" s="67" t="s">
        <v>15</v>
      </c>
      <c r="K975" s="67" t="s">
        <v>283</v>
      </c>
      <c r="L975" s="67" t="s">
        <v>282</v>
      </c>
      <c r="M975" s="67" t="s">
        <v>282</v>
      </c>
      <c r="N975" s="67" t="s">
        <v>282</v>
      </c>
      <c r="O975" s="68" t="s">
        <v>15</v>
      </c>
      <c r="P975" s="68" t="s">
        <v>15</v>
      </c>
      <c r="Q975" s="68" t="s">
        <v>15</v>
      </c>
      <c r="R975" s="68" t="s">
        <v>15</v>
      </c>
      <c r="S975" s="68" t="s">
        <v>16</v>
      </c>
      <c r="T975" s="68" t="s">
        <v>329</v>
      </c>
      <c r="U975" s="68" t="s">
        <v>249</v>
      </c>
      <c r="V975" s="68" t="s">
        <v>282</v>
      </c>
      <c r="W975" s="69" t="s">
        <v>282</v>
      </c>
      <c r="X975" s="69" t="s">
        <v>282</v>
      </c>
      <c r="Y975" s="70" t="s">
        <v>282</v>
      </c>
    </row>
    <row r="976" spans="1:25">
      <c r="A976" s="64">
        <v>18</v>
      </c>
      <c r="B976" s="65" t="str">
        <f>VLOOKUP(Tabel10[[#This Row],[Code]],Ruimtegroepen[[Code]:[Ruimte omschrijving]],2,FALSE)</f>
        <v>Gymzaal</v>
      </c>
      <c r="C976" s="66" t="s">
        <v>1097</v>
      </c>
      <c r="D976" s="65" t="s">
        <v>0</v>
      </c>
      <c r="E976" s="66" t="s">
        <v>100</v>
      </c>
      <c r="F976" s="66" t="s">
        <v>1098</v>
      </c>
      <c r="G976" s="71" t="s">
        <v>282</v>
      </c>
      <c r="H976" s="67" t="s">
        <v>282</v>
      </c>
      <c r="I976" s="67" t="s">
        <v>16</v>
      </c>
      <c r="J976" s="67" t="s">
        <v>282</v>
      </c>
      <c r="K976" s="67" t="s">
        <v>282</v>
      </c>
      <c r="L976" s="67" t="s">
        <v>282</v>
      </c>
      <c r="M976" s="67" t="s">
        <v>282</v>
      </c>
      <c r="N976" s="67" t="s">
        <v>282</v>
      </c>
      <c r="O976" s="68" t="s">
        <v>16</v>
      </c>
      <c r="P976" s="68" t="s">
        <v>16</v>
      </c>
      <c r="Q976" s="68" t="s">
        <v>16</v>
      </c>
      <c r="R976" s="68" t="s">
        <v>16</v>
      </c>
      <c r="S976" s="68" t="s">
        <v>16</v>
      </c>
      <c r="T976" s="68" t="s">
        <v>329</v>
      </c>
      <c r="U976" s="68" t="s">
        <v>249</v>
      </c>
      <c r="V976" s="68" t="s">
        <v>282</v>
      </c>
      <c r="W976" s="69" t="s">
        <v>282</v>
      </c>
      <c r="X976" s="69" t="s">
        <v>282</v>
      </c>
      <c r="Y976" s="70" t="s">
        <v>282</v>
      </c>
    </row>
    <row r="977" spans="1:25">
      <c r="A977" s="64">
        <v>18</v>
      </c>
      <c r="B977" s="65" t="str">
        <f>VLOOKUP(Tabel10[[#This Row],[Code]],Ruimtegroepen[[Code]:[Ruimte omschrijving]],2,FALSE)</f>
        <v>Gymzaal</v>
      </c>
      <c r="C977" s="66" t="s">
        <v>1097</v>
      </c>
      <c r="D977" s="65" t="s">
        <v>0</v>
      </c>
      <c r="E977" s="66" t="s">
        <v>99</v>
      </c>
      <c r="F977" s="66" t="s">
        <v>1099</v>
      </c>
      <c r="G977" s="71" t="s">
        <v>282</v>
      </c>
      <c r="H977" s="67" t="s">
        <v>16</v>
      </c>
      <c r="I977" s="67" t="s">
        <v>282</v>
      </c>
      <c r="J977" s="67" t="s">
        <v>282</v>
      </c>
      <c r="K977" s="67" t="s">
        <v>282</v>
      </c>
      <c r="L977" s="67" t="s">
        <v>282</v>
      </c>
      <c r="M977" s="67" t="s">
        <v>282</v>
      </c>
      <c r="N977" s="67" t="s">
        <v>282</v>
      </c>
      <c r="O977" s="68" t="s">
        <v>16</v>
      </c>
      <c r="P977" s="68" t="s">
        <v>16</v>
      </c>
      <c r="Q977" s="68" t="s">
        <v>16</v>
      </c>
      <c r="R977" s="68" t="s">
        <v>16</v>
      </c>
      <c r="S977" s="68" t="s">
        <v>16</v>
      </c>
      <c r="T977" s="68" t="s">
        <v>329</v>
      </c>
      <c r="U977" s="68" t="s">
        <v>249</v>
      </c>
      <c r="V977" s="68" t="s">
        <v>282</v>
      </c>
      <c r="W977" s="69" t="s">
        <v>282</v>
      </c>
      <c r="X977" s="69" t="s">
        <v>282</v>
      </c>
      <c r="Y977" s="70" t="s">
        <v>282</v>
      </c>
    </row>
    <row r="978" spans="1:25">
      <c r="A978" s="64">
        <v>18</v>
      </c>
      <c r="B978" s="65" t="str">
        <f>VLOOKUP(Tabel10[[#This Row],[Code]],Ruimtegroepen[[Code]:[Ruimte omschrijving]],2,FALSE)</f>
        <v>Gymzaal</v>
      </c>
      <c r="C978" s="66" t="s">
        <v>1097</v>
      </c>
      <c r="D978" s="65" t="s">
        <v>0</v>
      </c>
      <c r="E978" s="66" t="s">
        <v>101</v>
      </c>
      <c r="F978" s="66" t="s">
        <v>1100</v>
      </c>
      <c r="G978" s="71" t="s">
        <v>282</v>
      </c>
      <c r="H978" s="67" t="s">
        <v>282</v>
      </c>
      <c r="I978" s="67" t="s">
        <v>16</v>
      </c>
      <c r="J978" s="67" t="s">
        <v>282</v>
      </c>
      <c r="K978" s="67" t="s">
        <v>283</v>
      </c>
      <c r="L978" s="67" t="s">
        <v>282</v>
      </c>
      <c r="M978" s="67" t="s">
        <v>282</v>
      </c>
      <c r="N978" s="67" t="s">
        <v>282</v>
      </c>
      <c r="O978" s="68" t="s">
        <v>16</v>
      </c>
      <c r="P978" s="68" t="s">
        <v>16</v>
      </c>
      <c r="Q978" s="68" t="s">
        <v>16</v>
      </c>
      <c r="R978" s="68" t="s">
        <v>16</v>
      </c>
      <c r="S978" s="68" t="s">
        <v>16</v>
      </c>
      <c r="T978" s="68" t="s">
        <v>329</v>
      </c>
      <c r="U978" s="68" t="s">
        <v>249</v>
      </c>
      <c r="V978" s="68" t="s">
        <v>282</v>
      </c>
      <c r="W978" s="69" t="s">
        <v>282</v>
      </c>
      <c r="X978" s="69" t="s">
        <v>282</v>
      </c>
      <c r="Y978" s="70" t="s">
        <v>282</v>
      </c>
    </row>
    <row r="979" spans="1:25">
      <c r="A979" s="64">
        <v>18</v>
      </c>
      <c r="B979" s="65" t="str">
        <f>VLOOKUP(Tabel10[[#This Row],[Code]],Ruimtegroepen[[Code]:[Ruimte omschrijving]],2,FALSE)</f>
        <v>Gymzaal</v>
      </c>
      <c r="C979" s="66" t="s">
        <v>1097</v>
      </c>
      <c r="D979" s="65" t="s">
        <v>0</v>
      </c>
      <c r="E979" s="66" t="s">
        <v>102</v>
      </c>
      <c r="F979" s="66" t="s">
        <v>1101</v>
      </c>
      <c r="G979" s="71" t="s">
        <v>282</v>
      </c>
      <c r="H979" s="67" t="s">
        <v>282</v>
      </c>
      <c r="I979" s="67" t="s">
        <v>16</v>
      </c>
      <c r="J979" s="67" t="s">
        <v>282</v>
      </c>
      <c r="K979" s="67" t="s">
        <v>283</v>
      </c>
      <c r="L979" s="67" t="s">
        <v>282</v>
      </c>
      <c r="M979" s="67" t="s">
        <v>282</v>
      </c>
      <c r="N979" s="67" t="s">
        <v>282</v>
      </c>
      <c r="O979" s="68" t="s">
        <v>16</v>
      </c>
      <c r="P979" s="68" t="s">
        <v>16</v>
      </c>
      <c r="Q979" s="68" t="s">
        <v>16</v>
      </c>
      <c r="R979" s="68" t="s">
        <v>16</v>
      </c>
      <c r="S979" s="68" t="s">
        <v>16</v>
      </c>
      <c r="T979" s="68" t="s">
        <v>329</v>
      </c>
      <c r="U979" s="68" t="s">
        <v>249</v>
      </c>
      <c r="V979" s="68" t="s">
        <v>282</v>
      </c>
      <c r="W979" s="69" t="s">
        <v>282</v>
      </c>
      <c r="X979" s="69" t="s">
        <v>282</v>
      </c>
      <c r="Y979" s="70" t="s">
        <v>282</v>
      </c>
    </row>
    <row r="980" spans="1:25">
      <c r="A980" s="64">
        <v>18</v>
      </c>
      <c r="B980" s="65" t="str">
        <f>VLOOKUP(Tabel10[[#This Row],[Code]],Ruimtegroepen[[Code]:[Ruimte omschrijving]],2,FALSE)</f>
        <v>Gymzaal</v>
      </c>
      <c r="C980" s="66" t="s">
        <v>1097</v>
      </c>
      <c r="D980" s="65" t="s">
        <v>0</v>
      </c>
      <c r="E980" s="66" t="s">
        <v>99</v>
      </c>
      <c r="F980" s="66" t="s">
        <v>1099</v>
      </c>
      <c r="G980" s="71" t="s">
        <v>282</v>
      </c>
      <c r="H980" s="67" t="s">
        <v>16</v>
      </c>
      <c r="I980" s="67" t="s">
        <v>282</v>
      </c>
      <c r="J980" s="67" t="s">
        <v>282</v>
      </c>
      <c r="K980" s="67" t="s">
        <v>282</v>
      </c>
      <c r="L980" s="67" t="s">
        <v>282</v>
      </c>
      <c r="M980" s="67" t="s">
        <v>282</v>
      </c>
      <c r="N980" s="67" t="s">
        <v>282</v>
      </c>
      <c r="O980" s="68" t="s">
        <v>16</v>
      </c>
      <c r="P980" s="68" t="s">
        <v>16</v>
      </c>
      <c r="Q980" s="68" t="s">
        <v>16</v>
      </c>
      <c r="R980" s="68" t="s">
        <v>16</v>
      </c>
      <c r="S980" s="68" t="s">
        <v>16</v>
      </c>
      <c r="T980" s="68" t="s">
        <v>329</v>
      </c>
      <c r="U980" s="68" t="s">
        <v>249</v>
      </c>
      <c r="V980" s="68" t="s">
        <v>282</v>
      </c>
      <c r="W980" s="69" t="s">
        <v>282</v>
      </c>
      <c r="X980" s="69" t="s">
        <v>282</v>
      </c>
      <c r="Y980" s="70" t="s">
        <v>282</v>
      </c>
    </row>
    <row r="981" spans="1:25">
      <c r="A981" s="64">
        <v>18</v>
      </c>
      <c r="B981" s="65" t="str">
        <f>VLOOKUP(Tabel10[[#This Row],[Code]],Ruimtegroepen[[Code]:[Ruimte omschrijving]],2,FALSE)</f>
        <v>Gymzaal</v>
      </c>
      <c r="C981" s="66" t="s">
        <v>1097</v>
      </c>
      <c r="D981" s="65" t="s">
        <v>0</v>
      </c>
      <c r="E981" s="66" t="s">
        <v>1309</v>
      </c>
      <c r="F981" s="66" t="s">
        <v>1358</v>
      </c>
      <c r="G981" s="71" t="s">
        <v>282</v>
      </c>
      <c r="H981" s="67" t="s">
        <v>282</v>
      </c>
      <c r="I981" s="67" t="s">
        <v>16</v>
      </c>
      <c r="J981" s="67" t="s">
        <v>282</v>
      </c>
      <c r="K981" s="67" t="s">
        <v>283</v>
      </c>
      <c r="L981" s="67" t="s">
        <v>282</v>
      </c>
      <c r="M981" s="67" t="s">
        <v>282</v>
      </c>
      <c r="N981" s="67" t="s">
        <v>282</v>
      </c>
      <c r="O981" s="68" t="s">
        <v>16</v>
      </c>
      <c r="P981" s="68" t="s">
        <v>16</v>
      </c>
      <c r="Q981" s="68" t="s">
        <v>16</v>
      </c>
      <c r="R981" s="68" t="s">
        <v>16</v>
      </c>
      <c r="S981" s="68" t="s">
        <v>16</v>
      </c>
      <c r="T981" s="68" t="s">
        <v>329</v>
      </c>
      <c r="U981" s="68" t="s">
        <v>249</v>
      </c>
      <c r="V981" s="68" t="s">
        <v>282</v>
      </c>
      <c r="W981" s="69" t="s">
        <v>282</v>
      </c>
      <c r="X981" s="69" t="s">
        <v>282</v>
      </c>
      <c r="Y981" s="70" t="s">
        <v>282</v>
      </c>
    </row>
    <row r="982" spans="1:25">
      <c r="A982" s="64">
        <v>18</v>
      </c>
      <c r="B982" s="65" t="str">
        <f>VLOOKUP(Tabel10[[#This Row],[Code]],Ruimtegroepen[[Code]:[Ruimte omschrijving]],2,FALSE)</f>
        <v>Gymzaal</v>
      </c>
      <c r="C982" s="66" t="s">
        <v>1102</v>
      </c>
      <c r="D982" s="65" t="s">
        <v>27</v>
      </c>
      <c r="E982" s="66" t="s">
        <v>100</v>
      </c>
      <c r="F982" s="66" t="s">
        <v>1103</v>
      </c>
      <c r="G982" s="71" t="s">
        <v>282</v>
      </c>
      <c r="H982" s="67" t="s">
        <v>282</v>
      </c>
      <c r="I982" s="67" t="s">
        <v>15</v>
      </c>
      <c r="J982" s="67" t="s">
        <v>282</v>
      </c>
      <c r="K982" s="67" t="s">
        <v>282</v>
      </c>
      <c r="L982" s="67" t="s">
        <v>282</v>
      </c>
      <c r="M982" s="67" t="s">
        <v>282</v>
      </c>
      <c r="N982" s="67" t="s">
        <v>282</v>
      </c>
      <c r="O982" s="68" t="s">
        <v>15</v>
      </c>
      <c r="P982" s="68" t="s">
        <v>15</v>
      </c>
      <c r="Q982" s="68" t="s">
        <v>15</v>
      </c>
      <c r="R982" s="68" t="s">
        <v>15</v>
      </c>
      <c r="S982" s="68" t="s">
        <v>282</v>
      </c>
      <c r="T982" s="68" t="s">
        <v>282</v>
      </c>
      <c r="U982" s="68" t="s">
        <v>282</v>
      </c>
      <c r="V982" s="68" t="s">
        <v>282</v>
      </c>
      <c r="W982" s="69" t="s">
        <v>282</v>
      </c>
      <c r="X982" s="69" t="s">
        <v>282</v>
      </c>
      <c r="Y982" s="70" t="s">
        <v>282</v>
      </c>
    </row>
    <row r="983" spans="1:25">
      <c r="A983" s="64">
        <v>18</v>
      </c>
      <c r="B983" s="65" t="str">
        <f>VLOOKUP(Tabel10[[#This Row],[Code]],Ruimtegroepen[[Code]:[Ruimte omschrijving]],2,FALSE)</f>
        <v>Gymzaal</v>
      </c>
      <c r="C983" s="66" t="s">
        <v>1102</v>
      </c>
      <c r="D983" s="65" t="s">
        <v>27</v>
      </c>
      <c r="E983" s="66" t="s">
        <v>99</v>
      </c>
      <c r="F983" s="66" t="s">
        <v>1104</v>
      </c>
      <c r="G983" s="71" t="s">
        <v>282</v>
      </c>
      <c r="H983" s="67" t="s">
        <v>15</v>
      </c>
      <c r="I983" s="67" t="s">
        <v>282</v>
      </c>
      <c r="J983" s="67" t="s">
        <v>282</v>
      </c>
      <c r="K983" s="67" t="s">
        <v>282</v>
      </c>
      <c r="L983" s="67" t="s">
        <v>282</v>
      </c>
      <c r="M983" s="67" t="s">
        <v>282</v>
      </c>
      <c r="N983" s="67" t="s">
        <v>282</v>
      </c>
      <c r="O983" s="68" t="s">
        <v>15</v>
      </c>
      <c r="P983" s="68" t="s">
        <v>15</v>
      </c>
      <c r="Q983" s="68" t="s">
        <v>15</v>
      </c>
      <c r="R983" s="68" t="s">
        <v>15</v>
      </c>
      <c r="S983" s="68" t="s">
        <v>282</v>
      </c>
      <c r="T983" s="68" t="s">
        <v>282</v>
      </c>
      <c r="U983" s="68" t="s">
        <v>282</v>
      </c>
      <c r="V983" s="68" t="s">
        <v>282</v>
      </c>
      <c r="W983" s="69" t="s">
        <v>282</v>
      </c>
      <c r="X983" s="69" t="s">
        <v>282</v>
      </c>
      <c r="Y983" s="70" t="s">
        <v>282</v>
      </c>
    </row>
    <row r="984" spans="1:25">
      <c r="A984" s="64">
        <v>18</v>
      </c>
      <c r="B984" s="65" t="str">
        <f>VLOOKUP(Tabel10[[#This Row],[Code]],Ruimtegroepen[[Code]:[Ruimte omschrijving]],2,FALSE)</f>
        <v>Gymzaal</v>
      </c>
      <c r="C984" s="66" t="s">
        <v>1102</v>
      </c>
      <c r="D984" s="65" t="s">
        <v>27</v>
      </c>
      <c r="E984" s="66" t="s">
        <v>101</v>
      </c>
      <c r="F984" s="66" t="s">
        <v>1105</v>
      </c>
      <c r="G984" s="71" t="s">
        <v>282</v>
      </c>
      <c r="H984" s="67" t="s">
        <v>282</v>
      </c>
      <c r="I984" s="67" t="s">
        <v>15</v>
      </c>
      <c r="J984" s="67" t="s">
        <v>282</v>
      </c>
      <c r="K984" s="67" t="s">
        <v>282</v>
      </c>
      <c r="L984" s="67" t="s">
        <v>282</v>
      </c>
      <c r="M984" s="67" t="s">
        <v>282</v>
      </c>
      <c r="N984" s="67" t="s">
        <v>282</v>
      </c>
      <c r="O984" s="68" t="s">
        <v>15</v>
      </c>
      <c r="P984" s="68" t="s">
        <v>15</v>
      </c>
      <c r="Q984" s="68" t="s">
        <v>15</v>
      </c>
      <c r="R984" s="68" t="s">
        <v>15</v>
      </c>
      <c r="S984" s="68" t="s">
        <v>282</v>
      </c>
      <c r="T984" s="68" t="s">
        <v>282</v>
      </c>
      <c r="U984" s="68" t="s">
        <v>282</v>
      </c>
      <c r="V984" s="68" t="s">
        <v>282</v>
      </c>
      <c r="W984" s="69" t="s">
        <v>282</v>
      </c>
      <c r="X984" s="69" t="s">
        <v>282</v>
      </c>
      <c r="Y984" s="70" t="s">
        <v>282</v>
      </c>
    </row>
    <row r="985" spans="1:25">
      <c r="A985" s="64">
        <v>18</v>
      </c>
      <c r="B985" s="65" t="str">
        <f>VLOOKUP(Tabel10[[#This Row],[Code]],Ruimtegroepen[[Code]:[Ruimte omschrijving]],2,FALSE)</f>
        <v>Gymzaal</v>
      </c>
      <c r="C985" s="66" t="s">
        <v>1102</v>
      </c>
      <c r="D985" s="65" t="s">
        <v>27</v>
      </c>
      <c r="E985" s="66" t="s">
        <v>102</v>
      </c>
      <c r="F985" s="66" t="s">
        <v>1106</v>
      </c>
      <c r="G985" s="71" t="s">
        <v>282</v>
      </c>
      <c r="H985" s="67" t="s">
        <v>282</v>
      </c>
      <c r="I985" s="67" t="s">
        <v>15</v>
      </c>
      <c r="J985" s="67" t="s">
        <v>282</v>
      </c>
      <c r="K985" s="67" t="s">
        <v>282</v>
      </c>
      <c r="L985" s="67" t="s">
        <v>282</v>
      </c>
      <c r="M985" s="67" t="s">
        <v>282</v>
      </c>
      <c r="N985" s="67" t="s">
        <v>282</v>
      </c>
      <c r="O985" s="68" t="s">
        <v>15</v>
      </c>
      <c r="P985" s="68" t="s">
        <v>15</v>
      </c>
      <c r="Q985" s="68" t="s">
        <v>15</v>
      </c>
      <c r="R985" s="68" t="s">
        <v>15</v>
      </c>
      <c r="S985" s="68" t="s">
        <v>282</v>
      </c>
      <c r="T985" s="68" t="s">
        <v>282</v>
      </c>
      <c r="U985" s="68" t="s">
        <v>282</v>
      </c>
      <c r="V985" s="68" t="s">
        <v>282</v>
      </c>
      <c r="W985" s="69" t="s">
        <v>282</v>
      </c>
      <c r="X985" s="69" t="s">
        <v>282</v>
      </c>
      <c r="Y985" s="70" t="s">
        <v>282</v>
      </c>
    </row>
    <row r="986" spans="1:25">
      <c r="A986" s="64">
        <v>18</v>
      </c>
      <c r="B986" s="65" t="str">
        <f>VLOOKUP(Tabel10[[#This Row],[Code]],Ruimtegroepen[[Code]:[Ruimte omschrijving]],2,FALSE)</f>
        <v>Gymzaal</v>
      </c>
      <c r="C986" s="66" t="s">
        <v>1102</v>
      </c>
      <c r="D986" s="65" t="s">
        <v>27</v>
      </c>
      <c r="E986" s="66" t="s">
        <v>99</v>
      </c>
      <c r="F986" s="66" t="s">
        <v>1104</v>
      </c>
      <c r="G986" s="71" t="s">
        <v>282</v>
      </c>
      <c r="H986" s="67" t="s">
        <v>15</v>
      </c>
      <c r="I986" s="67" t="s">
        <v>282</v>
      </c>
      <c r="J986" s="67" t="s">
        <v>282</v>
      </c>
      <c r="K986" s="67" t="s">
        <v>282</v>
      </c>
      <c r="L986" s="67" t="s">
        <v>282</v>
      </c>
      <c r="M986" s="67" t="s">
        <v>282</v>
      </c>
      <c r="N986" s="67" t="s">
        <v>282</v>
      </c>
      <c r="O986" s="68" t="s">
        <v>15</v>
      </c>
      <c r="P986" s="68" t="s">
        <v>15</v>
      </c>
      <c r="Q986" s="68" t="s">
        <v>15</v>
      </c>
      <c r="R986" s="68" t="s">
        <v>15</v>
      </c>
      <c r="S986" s="68" t="s">
        <v>282</v>
      </c>
      <c r="T986" s="68" t="s">
        <v>282</v>
      </c>
      <c r="U986" s="68" t="s">
        <v>282</v>
      </c>
      <c r="V986" s="68" t="s">
        <v>282</v>
      </c>
      <c r="W986" s="69" t="s">
        <v>282</v>
      </c>
      <c r="X986" s="69" t="s">
        <v>282</v>
      </c>
      <c r="Y986" s="70" t="s">
        <v>282</v>
      </c>
    </row>
    <row r="987" spans="1:25">
      <c r="A987" s="64">
        <v>18</v>
      </c>
      <c r="B987" s="65" t="str">
        <f>VLOOKUP(Tabel10[[#This Row],[Code]],Ruimtegroepen[[Code]:[Ruimte omschrijving]],2,FALSE)</f>
        <v>Gymzaal</v>
      </c>
      <c r="C987" s="66" t="s">
        <v>1102</v>
      </c>
      <c r="D987" s="65" t="s">
        <v>27</v>
      </c>
      <c r="E987" s="66" t="s">
        <v>1309</v>
      </c>
      <c r="F987" s="66" t="s">
        <v>1391</v>
      </c>
      <c r="G987" s="71" t="s">
        <v>282</v>
      </c>
      <c r="H987" s="67" t="s">
        <v>282</v>
      </c>
      <c r="I987" s="67" t="s">
        <v>15</v>
      </c>
      <c r="J987" s="67" t="s">
        <v>282</v>
      </c>
      <c r="K987" s="67" t="s">
        <v>282</v>
      </c>
      <c r="L987" s="67" t="s">
        <v>282</v>
      </c>
      <c r="M987" s="67" t="s">
        <v>282</v>
      </c>
      <c r="N987" s="67" t="s">
        <v>282</v>
      </c>
      <c r="O987" s="68" t="s">
        <v>15</v>
      </c>
      <c r="P987" s="68" t="s">
        <v>15</v>
      </c>
      <c r="Q987" s="68" t="s">
        <v>15</v>
      </c>
      <c r="R987" s="68" t="s">
        <v>15</v>
      </c>
      <c r="S987" s="68" t="s">
        <v>282</v>
      </c>
      <c r="T987" s="68" t="s">
        <v>282</v>
      </c>
      <c r="U987" s="68" t="s">
        <v>282</v>
      </c>
      <c r="V987" s="68" t="s">
        <v>282</v>
      </c>
      <c r="W987" s="69" t="s">
        <v>282</v>
      </c>
      <c r="X987" s="69" t="s">
        <v>282</v>
      </c>
      <c r="Y987" s="70" t="s">
        <v>282</v>
      </c>
    </row>
    <row r="988" spans="1:25">
      <c r="A988" s="64">
        <v>18</v>
      </c>
      <c r="B988" s="65" t="str">
        <f>VLOOKUP(Tabel10[[#This Row],[Code]],Ruimtegroepen[[Code]:[Ruimte omschrijving]],2,FALSE)</f>
        <v>Gymzaal</v>
      </c>
      <c r="C988" s="66" t="s">
        <v>1107</v>
      </c>
      <c r="D988" s="65" t="s">
        <v>28</v>
      </c>
      <c r="E988" s="66" t="s">
        <v>100</v>
      </c>
      <c r="F988" s="66" t="s">
        <v>1108</v>
      </c>
      <c r="G988" s="71" t="s">
        <v>282</v>
      </c>
      <c r="H988" s="67" t="s">
        <v>282</v>
      </c>
      <c r="I988" s="67" t="s">
        <v>17</v>
      </c>
      <c r="J988" s="67" t="s">
        <v>282</v>
      </c>
      <c r="K988" s="67" t="s">
        <v>282</v>
      </c>
      <c r="L988" s="67" t="s">
        <v>282</v>
      </c>
      <c r="M988" s="67" t="s">
        <v>282</v>
      </c>
      <c r="N988" s="67" t="s">
        <v>282</v>
      </c>
      <c r="O988" s="68" t="s">
        <v>17</v>
      </c>
      <c r="P988" s="68" t="s">
        <v>17</v>
      </c>
      <c r="Q988" s="68" t="s">
        <v>17</v>
      </c>
      <c r="R988" s="68" t="s">
        <v>17</v>
      </c>
      <c r="S988" s="68" t="s">
        <v>282</v>
      </c>
      <c r="T988" s="68" t="s">
        <v>282</v>
      </c>
      <c r="U988" s="68" t="s">
        <v>282</v>
      </c>
      <c r="V988" s="68" t="s">
        <v>282</v>
      </c>
      <c r="W988" s="69" t="s">
        <v>282</v>
      </c>
      <c r="X988" s="69" t="s">
        <v>282</v>
      </c>
      <c r="Y988" s="70" t="s">
        <v>282</v>
      </c>
    </row>
    <row r="989" spans="1:25">
      <c r="A989" s="64">
        <v>18</v>
      </c>
      <c r="B989" s="65" t="str">
        <f>VLOOKUP(Tabel10[[#This Row],[Code]],Ruimtegroepen[[Code]:[Ruimte omschrijving]],2,FALSE)</f>
        <v>Gymzaal</v>
      </c>
      <c r="C989" s="66" t="s">
        <v>1107</v>
      </c>
      <c r="D989" s="65" t="s">
        <v>28</v>
      </c>
      <c r="E989" s="66" t="s">
        <v>99</v>
      </c>
      <c r="F989" s="66" t="s">
        <v>1109</v>
      </c>
      <c r="G989" s="71" t="s">
        <v>282</v>
      </c>
      <c r="H989" s="67" t="s">
        <v>17</v>
      </c>
      <c r="I989" s="67" t="s">
        <v>282</v>
      </c>
      <c r="J989" s="67" t="s">
        <v>282</v>
      </c>
      <c r="K989" s="67" t="s">
        <v>282</v>
      </c>
      <c r="L989" s="67" t="s">
        <v>282</v>
      </c>
      <c r="M989" s="67" t="s">
        <v>282</v>
      </c>
      <c r="N989" s="67" t="s">
        <v>282</v>
      </c>
      <c r="O989" s="68" t="s">
        <v>17</v>
      </c>
      <c r="P989" s="68" t="s">
        <v>17</v>
      </c>
      <c r="Q989" s="68" t="s">
        <v>17</v>
      </c>
      <c r="R989" s="68" t="s">
        <v>17</v>
      </c>
      <c r="S989" s="68" t="s">
        <v>282</v>
      </c>
      <c r="T989" s="68" t="s">
        <v>282</v>
      </c>
      <c r="U989" s="68" t="s">
        <v>282</v>
      </c>
      <c r="V989" s="68" t="s">
        <v>282</v>
      </c>
      <c r="W989" s="69" t="s">
        <v>282</v>
      </c>
      <c r="X989" s="69" t="s">
        <v>282</v>
      </c>
      <c r="Y989" s="70" t="s">
        <v>282</v>
      </c>
    </row>
    <row r="990" spans="1:25">
      <c r="A990" s="64">
        <v>18</v>
      </c>
      <c r="B990" s="65" t="str">
        <f>VLOOKUP(Tabel10[[#This Row],[Code]],Ruimtegroepen[[Code]:[Ruimte omschrijving]],2,FALSE)</f>
        <v>Gymzaal</v>
      </c>
      <c r="C990" s="66" t="s">
        <v>1107</v>
      </c>
      <c r="D990" s="65" t="s">
        <v>28</v>
      </c>
      <c r="E990" s="66" t="s">
        <v>101</v>
      </c>
      <c r="F990" s="66" t="s">
        <v>1110</v>
      </c>
      <c r="G990" s="71" t="s">
        <v>282</v>
      </c>
      <c r="H990" s="67" t="s">
        <v>282</v>
      </c>
      <c r="I990" s="67" t="s">
        <v>17</v>
      </c>
      <c r="J990" s="67" t="s">
        <v>282</v>
      </c>
      <c r="K990" s="67" t="s">
        <v>282</v>
      </c>
      <c r="L990" s="67" t="s">
        <v>282</v>
      </c>
      <c r="M990" s="67" t="s">
        <v>282</v>
      </c>
      <c r="N990" s="67" t="s">
        <v>282</v>
      </c>
      <c r="O990" s="68" t="s">
        <v>17</v>
      </c>
      <c r="P990" s="68" t="s">
        <v>17</v>
      </c>
      <c r="Q990" s="68" t="s">
        <v>17</v>
      </c>
      <c r="R990" s="68" t="s">
        <v>17</v>
      </c>
      <c r="S990" s="68" t="s">
        <v>282</v>
      </c>
      <c r="T990" s="68" t="s">
        <v>282</v>
      </c>
      <c r="U990" s="68" t="s">
        <v>282</v>
      </c>
      <c r="V990" s="68" t="s">
        <v>282</v>
      </c>
      <c r="W990" s="69" t="s">
        <v>282</v>
      </c>
      <c r="X990" s="69" t="s">
        <v>282</v>
      </c>
      <c r="Y990" s="70" t="s">
        <v>282</v>
      </c>
    </row>
    <row r="991" spans="1:25">
      <c r="A991" s="64">
        <v>18</v>
      </c>
      <c r="B991" s="65" t="str">
        <f>VLOOKUP(Tabel10[[#This Row],[Code]],Ruimtegroepen[[Code]:[Ruimte omschrijving]],2,FALSE)</f>
        <v>Gymzaal</v>
      </c>
      <c r="C991" s="66" t="s">
        <v>1107</v>
      </c>
      <c r="D991" s="65" t="s">
        <v>28</v>
      </c>
      <c r="E991" s="66" t="s">
        <v>102</v>
      </c>
      <c r="F991" s="66" t="s">
        <v>1111</v>
      </c>
      <c r="G991" s="71" t="s">
        <v>282</v>
      </c>
      <c r="H991" s="67" t="s">
        <v>282</v>
      </c>
      <c r="I991" s="67" t="s">
        <v>17</v>
      </c>
      <c r="J991" s="67" t="s">
        <v>282</v>
      </c>
      <c r="K991" s="67" t="s">
        <v>282</v>
      </c>
      <c r="L991" s="67" t="s">
        <v>282</v>
      </c>
      <c r="M991" s="67" t="s">
        <v>282</v>
      </c>
      <c r="N991" s="67" t="s">
        <v>282</v>
      </c>
      <c r="O991" s="68" t="s">
        <v>17</v>
      </c>
      <c r="P991" s="68" t="s">
        <v>17</v>
      </c>
      <c r="Q991" s="68" t="s">
        <v>17</v>
      </c>
      <c r="R991" s="68" t="s">
        <v>17</v>
      </c>
      <c r="S991" s="68" t="s">
        <v>282</v>
      </c>
      <c r="T991" s="68" t="s">
        <v>282</v>
      </c>
      <c r="U991" s="68" t="s">
        <v>282</v>
      </c>
      <c r="V991" s="68" t="s">
        <v>282</v>
      </c>
      <c r="W991" s="69" t="s">
        <v>282</v>
      </c>
      <c r="X991" s="69" t="s">
        <v>282</v>
      </c>
      <c r="Y991" s="70" t="s">
        <v>282</v>
      </c>
    </row>
    <row r="992" spans="1:25">
      <c r="A992" s="64">
        <v>18</v>
      </c>
      <c r="B992" s="65" t="str">
        <f>VLOOKUP(Tabel10[[#This Row],[Code]],Ruimtegroepen[[Code]:[Ruimte omschrijving]],2,FALSE)</f>
        <v>Gymzaal</v>
      </c>
      <c r="C992" s="66" t="s">
        <v>1107</v>
      </c>
      <c r="D992" s="65" t="s">
        <v>28</v>
      </c>
      <c r="E992" s="66" t="s">
        <v>99</v>
      </c>
      <c r="F992" s="66" t="s">
        <v>1109</v>
      </c>
      <c r="G992" s="71" t="s">
        <v>282</v>
      </c>
      <c r="H992" s="67" t="s">
        <v>17</v>
      </c>
      <c r="I992" s="67" t="s">
        <v>282</v>
      </c>
      <c r="J992" s="67" t="s">
        <v>282</v>
      </c>
      <c r="K992" s="67" t="s">
        <v>282</v>
      </c>
      <c r="L992" s="67" t="s">
        <v>282</v>
      </c>
      <c r="M992" s="67" t="s">
        <v>282</v>
      </c>
      <c r="N992" s="67" t="s">
        <v>282</v>
      </c>
      <c r="O992" s="68" t="s">
        <v>17</v>
      </c>
      <c r="P992" s="68" t="s">
        <v>17</v>
      </c>
      <c r="Q992" s="68" t="s">
        <v>17</v>
      </c>
      <c r="R992" s="68" t="s">
        <v>17</v>
      </c>
      <c r="S992" s="68" t="s">
        <v>282</v>
      </c>
      <c r="T992" s="68" t="s">
        <v>282</v>
      </c>
      <c r="U992" s="68" t="s">
        <v>282</v>
      </c>
      <c r="V992" s="68" t="s">
        <v>282</v>
      </c>
      <c r="W992" s="69" t="s">
        <v>282</v>
      </c>
      <c r="X992" s="69" t="s">
        <v>282</v>
      </c>
      <c r="Y992" s="70" t="s">
        <v>282</v>
      </c>
    </row>
    <row r="993" spans="1:25">
      <c r="A993" s="64">
        <v>18</v>
      </c>
      <c r="B993" s="65" t="str">
        <f>VLOOKUP(Tabel10[[#This Row],[Code]],Ruimtegroepen[[Code]:[Ruimte omschrijving]],2,FALSE)</f>
        <v>Gymzaal</v>
      </c>
      <c r="C993" s="66" t="s">
        <v>1107</v>
      </c>
      <c r="D993" s="65" t="s">
        <v>28</v>
      </c>
      <c r="E993" s="66" t="s">
        <v>1309</v>
      </c>
      <c r="F993" s="66" t="s">
        <v>1424</v>
      </c>
      <c r="G993" s="71" t="s">
        <v>282</v>
      </c>
      <c r="H993" s="67" t="s">
        <v>282</v>
      </c>
      <c r="I993" s="67" t="s">
        <v>17</v>
      </c>
      <c r="J993" s="67" t="s">
        <v>282</v>
      </c>
      <c r="K993" s="67" t="s">
        <v>282</v>
      </c>
      <c r="L993" s="67" t="s">
        <v>282</v>
      </c>
      <c r="M993" s="67" t="s">
        <v>282</v>
      </c>
      <c r="N993" s="67" t="s">
        <v>282</v>
      </c>
      <c r="O993" s="68" t="s">
        <v>17</v>
      </c>
      <c r="P993" s="68" t="s">
        <v>17</v>
      </c>
      <c r="Q993" s="68" t="s">
        <v>17</v>
      </c>
      <c r="R993" s="68" t="s">
        <v>17</v>
      </c>
      <c r="S993" s="68" t="s">
        <v>282</v>
      </c>
      <c r="T993" s="68" t="s">
        <v>282</v>
      </c>
      <c r="U993" s="68" t="s">
        <v>282</v>
      </c>
      <c r="V993" s="68" t="s">
        <v>282</v>
      </c>
      <c r="W993" s="69" t="s">
        <v>282</v>
      </c>
      <c r="X993" s="69" t="s">
        <v>282</v>
      </c>
      <c r="Y993" s="70" t="s">
        <v>282</v>
      </c>
    </row>
    <row r="994" spans="1:25">
      <c r="A994" s="64">
        <v>19</v>
      </c>
      <c r="B994" s="65" t="str">
        <f>VLOOKUP(Tabel10[[#This Row],[Code]],Ruimtegroepen[[Code]:[Ruimte omschrijving]],2,FALSE)</f>
        <v>Kleedruimtes</v>
      </c>
      <c r="C994" s="66" t="s">
        <v>1112</v>
      </c>
      <c r="D994" s="65" t="s">
        <v>29</v>
      </c>
      <c r="E994" s="66" t="s">
        <v>100</v>
      </c>
      <c r="F994" s="66" t="s">
        <v>1113</v>
      </c>
      <c r="G994" s="71" t="s">
        <v>282</v>
      </c>
      <c r="H994" s="67" t="s">
        <v>282</v>
      </c>
      <c r="I994" s="67" t="s">
        <v>2</v>
      </c>
      <c r="J994" s="67" t="s">
        <v>282</v>
      </c>
      <c r="K994" s="67" t="s">
        <v>2</v>
      </c>
      <c r="L994" s="67" t="s">
        <v>282</v>
      </c>
      <c r="M994" s="67" t="s">
        <v>282</v>
      </c>
      <c r="N994" s="67" t="s">
        <v>2</v>
      </c>
      <c r="O994" s="68" t="s">
        <v>2</v>
      </c>
      <c r="P994" s="68" t="s">
        <v>2</v>
      </c>
      <c r="Q994" s="68" t="s">
        <v>15</v>
      </c>
      <c r="R994" s="68" t="s">
        <v>15</v>
      </c>
      <c r="S994" s="68" t="s">
        <v>16</v>
      </c>
      <c r="T994" s="68" t="s">
        <v>329</v>
      </c>
      <c r="U994" s="68" t="s">
        <v>249</v>
      </c>
      <c r="V994" s="68" t="s">
        <v>2</v>
      </c>
      <c r="W994" s="69" t="s">
        <v>282</v>
      </c>
      <c r="X994" s="69" t="s">
        <v>282</v>
      </c>
      <c r="Y994" s="70" t="s">
        <v>282</v>
      </c>
    </row>
    <row r="995" spans="1:25">
      <c r="A995" s="64">
        <v>19</v>
      </c>
      <c r="B995" s="65" t="str">
        <f>VLOOKUP(Tabel10[[#This Row],[Code]],Ruimtegroepen[[Code]:[Ruimte omschrijving]],2,FALSE)</f>
        <v>Kleedruimtes</v>
      </c>
      <c r="C995" s="66" t="s">
        <v>1112</v>
      </c>
      <c r="D995" s="65" t="s">
        <v>29</v>
      </c>
      <c r="E995" s="66" t="s">
        <v>99</v>
      </c>
      <c r="F995" s="66" t="s">
        <v>1114</v>
      </c>
      <c r="G995" s="71" t="s">
        <v>282</v>
      </c>
      <c r="H995" s="67" t="s">
        <v>2</v>
      </c>
      <c r="I995" s="67" t="s">
        <v>282</v>
      </c>
      <c r="J995" s="67" t="s">
        <v>282</v>
      </c>
      <c r="K995" s="67" t="s">
        <v>282</v>
      </c>
      <c r="L995" s="67" t="s">
        <v>282</v>
      </c>
      <c r="M995" s="67" t="s">
        <v>282</v>
      </c>
      <c r="N995" s="67" t="s">
        <v>2</v>
      </c>
      <c r="O995" s="68" t="s">
        <v>2</v>
      </c>
      <c r="P995" s="68" t="s">
        <v>2</v>
      </c>
      <c r="Q995" s="68" t="s">
        <v>15</v>
      </c>
      <c r="R995" s="68" t="s">
        <v>15</v>
      </c>
      <c r="S995" s="68" t="s">
        <v>16</v>
      </c>
      <c r="T995" s="68" t="s">
        <v>329</v>
      </c>
      <c r="U995" s="68" t="s">
        <v>249</v>
      </c>
      <c r="V995" s="68" t="s">
        <v>2</v>
      </c>
      <c r="W995" s="69" t="s">
        <v>282</v>
      </c>
      <c r="X995" s="69" t="s">
        <v>282</v>
      </c>
      <c r="Y995" s="70" t="s">
        <v>282</v>
      </c>
    </row>
    <row r="996" spans="1:25">
      <c r="A996" s="64">
        <v>19</v>
      </c>
      <c r="B996" s="65" t="str">
        <f>VLOOKUP(Tabel10[[#This Row],[Code]],Ruimtegroepen[[Code]:[Ruimte omschrijving]],2,FALSE)</f>
        <v>Kleedruimtes</v>
      </c>
      <c r="C996" s="66" t="s">
        <v>1112</v>
      </c>
      <c r="D996" s="65" t="s">
        <v>29</v>
      </c>
      <c r="E996" s="66" t="s">
        <v>101</v>
      </c>
      <c r="F996" s="66" t="s">
        <v>1115</v>
      </c>
      <c r="G996" s="71" t="s">
        <v>282</v>
      </c>
      <c r="H996" s="67" t="s">
        <v>282</v>
      </c>
      <c r="I996" s="67" t="s">
        <v>2</v>
      </c>
      <c r="J996" s="67" t="s">
        <v>282</v>
      </c>
      <c r="K996" s="67" t="s">
        <v>2</v>
      </c>
      <c r="L996" s="67" t="s">
        <v>282</v>
      </c>
      <c r="M996" s="67" t="s">
        <v>282</v>
      </c>
      <c r="N996" s="67" t="s">
        <v>2</v>
      </c>
      <c r="O996" s="68" t="s">
        <v>2</v>
      </c>
      <c r="P996" s="68" t="s">
        <v>2</v>
      </c>
      <c r="Q996" s="68" t="s">
        <v>15</v>
      </c>
      <c r="R996" s="68" t="s">
        <v>15</v>
      </c>
      <c r="S996" s="68" t="s">
        <v>16</v>
      </c>
      <c r="T996" s="68" t="s">
        <v>329</v>
      </c>
      <c r="U996" s="68" t="s">
        <v>249</v>
      </c>
      <c r="V996" s="68" t="s">
        <v>2</v>
      </c>
      <c r="W996" s="69" t="s">
        <v>282</v>
      </c>
      <c r="X996" s="69" t="s">
        <v>282</v>
      </c>
      <c r="Y996" s="70" t="s">
        <v>282</v>
      </c>
    </row>
    <row r="997" spans="1:25">
      <c r="A997" s="64">
        <v>19</v>
      </c>
      <c r="B997" s="65" t="str">
        <f>VLOOKUP(Tabel10[[#This Row],[Code]],Ruimtegroepen[[Code]:[Ruimte omschrijving]],2,FALSE)</f>
        <v>Kleedruimtes</v>
      </c>
      <c r="C997" s="66" t="s">
        <v>1112</v>
      </c>
      <c r="D997" s="65" t="s">
        <v>29</v>
      </c>
      <c r="E997" s="66" t="s">
        <v>102</v>
      </c>
      <c r="F997" s="66" t="s">
        <v>1116</v>
      </c>
      <c r="G997" s="71" t="s">
        <v>282</v>
      </c>
      <c r="H997" s="67" t="s">
        <v>282</v>
      </c>
      <c r="I997" s="67" t="s">
        <v>2</v>
      </c>
      <c r="J997" s="67" t="s">
        <v>282</v>
      </c>
      <c r="K997" s="67" t="s">
        <v>2</v>
      </c>
      <c r="L997" s="67" t="s">
        <v>282</v>
      </c>
      <c r="M997" s="67" t="s">
        <v>282</v>
      </c>
      <c r="N997" s="67" t="s">
        <v>2</v>
      </c>
      <c r="O997" s="68" t="s">
        <v>2</v>
      </c>
      <c r="P997" s="68" t="s">
        <v>2</v>
      </c>
      <c r="Q997" s="68" t="s">
        <v>15</v>
      </c>
      <c r="R997" s="68" t="s">
        <v>15</v>
      </c>
      <c r="S997" s="68" t="s">
        <v>16</v>
      </c>
      <c r="T997" s="68" t="s">
        <v>329</v>
      </c>
      <c r="U997" s="68" t="s">
        <v>249</v>
      </c>
      <c r="V997" s="68" t="s">
        <v>2</v>
      </c>
      <c r="W997" s="69" t="s">
        <v>282</v>
      </c>
      <c r="X997" s="69" t="s">
        <v>282</v>
      </c>
      <c r="Y997" s="70" t="s">
        <v>282</v>
      </c>
    </row>
    <row r="998" spans="1:25">
      <c r="A998" s="64">
        <v>19</v>
      </c>
      <c r="B998" s="65" t="str">
        <f>VLOOKUP(Tabel10[[#This Row],[Code]],Ruimtegroepen[[Code]:[Ruimte omschrijving]],2,FALSE)</f>
        <v>Kleedruimtes</v>
      </c>
      <c r="C998" s="66" t="s">
        <v>1112</v>
      </c>
      <c r="D998" s="65" t="s">
        <v>29</v>
      </c>
      <c r="E998" s="66" t="s">
        <v>99</v>
      </c>
      <c r="F998" s="66" t="s">
        <v>1114</v>
      </c>
      <c r="G998" s="71" t="s">
        <v>282</v>
      </c>
      <c r="H998" s="67" t="s">
        <v>2</v>
      </c>
      <c r="I998" s="67" t="s">
        <v>282</v>
      </c>
      <c r="J998" s="67" t="s">
        <v>282</v>
      </c>
      <c r="K998" s="67" t="s">
        <v>282</v>
      </c>
      <c r="L998" s="67" t="s">
        <v>282</v>
      </c>
      <c r="M998" s="67" t="s">
        <v>282</v>
      </c>
      <c r="N998" s="67" t="s">
        <v>2</v>
      </c>
      <c r="O998" s="68" t="s">
        <v>2</v>
      </c>
      <c r="P998" s="68" t="s">
        <v>2</v>
      </c>
      <c r="Q998" s="68" t="s">
        <v>15</v>
      </c>
      <c r="R998" s="68" t="s">
        <v>15</v>
      </c>
      <c r="S998" s="68" t="s">
        <v>16</v>
      </c>
      <c r="T998" s="68" t="s">
        <v>329</v>
      </c>
      <c r="U998" s="68" t="s">
        <v>249</v>
      </c>
      <c r="V998" s="68" t="s">
        <v>2</v>
      </c>
      <c r="W998" s="69" t="s">
        <v>282</v>
      </c>
      <c r="X998" s="69" t="s">
        <v>282</v>
      </c>
      <c r="Y998" s="70" t="s">
        <v>282</v>
      </c>
    </row>
    <row r="999" spans="1:25">
      <c r="A999" s="64">
        <v>19</v>
      </c>
      <c r="B999" s="65" t="str">
        <f>VLOOKUP(Tabel10[[#This Row],[Code]],Ruimtegroepen[[Code]:[Ruimte omschrijving]],2,FALSE)</f>
        <v>Kleedruimtes</v>
      </c>
      <c r="C999" s="66" t="s">
        <v>1112</v>
      </c>
      <c r="D999" s="65" t="s">
        <v>29</v>
      </c>
      <c r="E999" s="66" t="s">
        <v>1309</v>
      </c>
      <c r="F999" s="66" t="s">
        <v>1492</v>
      </c>
      <c r="G999" s="71" t="s">
        <v>282</v>
      </c>
      <c r="H999" s="67" t="s">
        <v>282</v>
      </c>
      <c r="I999" s="67" t="s">
        <v>2</v>
      </c>
      <c r="J999" s="67" t="s">
        <v>282</v>
      </c>
      <c r="K999" s="67" t="s">
        <v>2</v>
      </c>
      <c r="L999" s="67" t="s">
        <v>282</v>
      </c>
      <c r="M999" s="67" t="s">
        <v>282</v>
      </c>
      <c r="N999" s="67" t="s">
        <v>2</v>
      </c>
      <c r="O999" s="68" t="s">
        <v>2</v>
      </c>
      <c r="P999" s="68" t="s">
        <v>2</v>
      </c>
      <c r="Q999" s="68" t="s">
        <v>15</v>
      </c>
      <c r="R999" s="68" t="s">
        <v>15</v>
      </c>
      <c r="S999" s="68" t="s">
        <v>16</v>
      </c>
      <c r="T999" s="68" t="s">
        <v>329</v>
      </c>
      <c r="U999" s="68" t="s">
        <v>249</v>
      </c>
      <c r="V999" s="68" t="s">
        <v>2</v>
      </c>
      <c r="W999" s="69" t="s">
        <v>282</v>
      </c>
      <c r="X999" s="69" t="s">
        <v>282</v>
      </c>
      <c r="Y999" s="70" t="s">
        <v>282</v>
      </c>
    </row>
    <row r="1000" spans="1:25">
      <c r="A1000" s="64">
        <v>19</v>
      </c>
      <c r="B1000" s="65" t="str">
        <f>VLOOKUP(Tabel10[[#This Row],[Code]],Ruimtegroepen[[Code]:[Ruimte omschrijving]],2,FALSE)</f>
        <v>Kleedruimtes</v>
      </c>
      <c r="C1000" s="66" t="s">
        <v>1117</v>
      </c>
      <c r="D1000" s="65" t="s">
        <v>1</v>
      </c>
      <c r="E1000" s="66" t="s">
        <v>100</v>
      </c>
      <c r="F1000" s="66" t="s">
        <v>1118</v>
      </c>
      <c r="G1000" s="71" t="s">
        <v>282</v>
      </c>
      <c r="H1000" s="67" t="s">
        <v>282</v>
      </c>
      <c r="I1000" s="67" t="s">
        <v>2</v>
      </c>
      <c r="J1000" s="67" t="s">
        <v>282</v>
      </c>
      <c r="K1000" s="67" t="s">
        <v>2</v>
      </c>
      <c r="L1000" s="67" t="s">
        <v>282</v>
      </c>
      <c r="M1000" s="67" t="s">
        <v>282</v>
      </c>
      <c r="N1000" s="67" t="s">
        <v>282</v>
      </c>
      <c r="O1000" s="68" t="s">
        <v>2</v>
      </c>
      <c r="P1000" s="68" t="s">
        <v>2</v>
      </c>
      <c r="Q1000" s="68" t="s">
        <v>15</v>
      </c>
      <c r="R1000" s="68" t="s">
        <v>15</v>
      </c>
      <c r="S1000" s="68" t="s">
        <v>16</v>
      </c>
      <c r="T1000" s="68" t="s">
        <v>329</v>
      </c>
      <c r="U1000" s="68" t="s">
        <v>249</v>
      </c>
      <c r="V1000" s="68" t="s">
        <v>282</v>
      </c>
      <c r="W1000" s="69" t="s">
        <v>282</v>
      </c>
      <c r="X1000" s="69" t="s">
        <v>282</v>
      </c>
      <c r="Y1000" s="70" t="s">
        <v>282</v>
      </c>
    </row>
    <row r="1001" spans="1:25">
      <c r="A1001" s="64">
        <v>19</v>
      </c>
      <c r="B1001" s="65" t="str">
        <f>VLOOKUP(Tabel10[[#This Row],[Code]],Ruimtegroepen[[Code]:[Ruimte omschrijving]],2,FALSE)</f>
        <v>Kleedruimtes</v>
      </c>
      <c r="C1001" s="66" t="s">
        <v>1117</v>
      </c>
      <c r="D1001" s="65" t="s">
        <v>1</v>
      </c>
      <c r="E1001" s="66" t="s">
        <v>99</v>
      </c>
      <c r="F1001" s="66" t="s">
        <v>1119</v>
      </c>
      <c r="G1001" s="71" t="s">
        <v>282</v>
      </c>
      <c r="H1001" s="67" t="s">
        <v>2</v>
      </c>
      <c r="I1001" s="67" t="s">
        <v>282</v>
      </c>
      <c r="J1001" s="67" t="s">
        <v>282</v>
      </c>
      <c r="K1001" s="67" t="s">
        <v>282</v>
      </c>
      <c r="L1001" s="67" t="s">
        <v>282</v>
      </c>
      <c r="M1001" s="67" t="s">
        <v>282</v>
      </c>
      <c r="N1001" s="67" t="s">
        <v>282</v>
      </c>
      <c r="O1001" s="68" t="s">
        <v>2</v>
      </c>
      <c r="P1001" s="68" t="s">
        <v>2</v>
      </c>
      <c r="Q1001" s="68" t="s">
        <v>15</v>
      </c>
      <c r="R1001" s="68" t="s">
        <v>15</v>
      </c>
      <c r="S1001" s="68" t="s">
        <v>16</v>
      </c>
      <c r="T1001" s="68" t="s">
        <v>329</v>
      </c>
      <c r="U1001" s="68" t="s">
        <v>249</v>
      </c>
      <c r="V1001" s="68" t="s">
        <v>282</v>
      </c>
      <c r="W1001" s="69" t="s">
        <v>282</v>
      </c>
      <c r="X1001" s="69" t="s">
        <v>282</v>
      </c>
      <c r="Y1001" s="70" t="s">
        <v>282</v>
      </c>
    </row>
    <row r="1002" spans="1:25">
      <c r="A1002" s="64">
        <v>19</v>
      </c>
      <c r="B1002" s="65" t="str">
        <f>VLOOKUP(Tabel10[[#This Row],[Code]],Ruimtegroepen[[Code]:[Ruimte omschrijving]],2,FALSE)</f>
        <v>Kleedruimtes</v>
      </c>
      <c r="C1002" s="66" t="s">
        <v>1117</v>
      </c>
      <c r="D1002" s="65" t="s">
        <v>1</v>
      </c>
      <c r="E1002" s="66" t="s">
        <v>101</v>
      </c>
      <c r="F1002" s="66" t="s">
        <v>1120</v>
      </c>
      <c r="G1002" s="71" t="s">
        <v>282</v>
      </c>
      <c r="H1002" s="67" t="s">
        <v>282</v>
      </c>
      <c r="I1002" s="67" t="s">
        <v>2</v>
      </c>
      <c r="J1002" s="67" t="s">
        <v>282</v>
      </c>
      <c r="K1002" s="67" t="s">
        <v>2</v>
      </c>
      <c r="L1002" s="67" t="s">
        <v>282</v>
      </c>
      <c r="M1002" s="67" t="s">
        <v>282</v>
      </c>
      <c r="N1002" s="67" t="s">
        <v>282</v>
      </c>
      <c r="O1002" s="68" t="s">
        <v>2</v>
      </c>
      <c r="P1002" s="68" t="s">
        <v>2</v>
      </c>
      <c r="Q1002" s="68" t="s">
        <v>15</v>
      </c>
      <c r="R1002" s="68" t="s">
        <v>15</v>
      </c>
      <c r="S1002" s="68" t="s">
        <v>16</v>
      </c>
      <c r="T1002" s="68" t="s">
        <v>329</v>
      </c>
      <c r="U1002" s="68" t="s">
        <v>249</v>
      </c>
      <c r="V1002" s="68" t="s">
        <v>282</v>
      </c>
      <c r="W1002" s="69" t="s">
        <v>282</v>
      </c>
      <c r="X1002" s="69" t="s">
        <v>282</v>
      </c>
      <c r="Y1002" s="70" t="s">
        <v>282</v>
      </c>
    </row>
    <row r="1003" spans="1:25">
      <c r="A1003" s="64">
        <v>19</v>
      </c>
      <c r="B1003" s="65" t="str">
        <f>VLOOKUP(Tabel10[[#This Row],[Code]],Ruimtegroepen[[Code]:[Ruimte omschrijving]],2,FALSE)</f>
        <v>Kleedruimtes</v>
      </c>
      <c r="C1003" s="66" t="s">
        <v>1117</v>
      </c>
      <c r="D1003" s="65" t="s">
        <v>1</v>
      </c>
      <c r="E1003" s="66" t="s">
        <v>102</v>
      </c>
      <c r="F1003" s="66" t="s">
        <v>1121</v>
      </c>
      <c r="G1003" s="71" t="s">
        <v>282</v>
      </c>
      <c r="H1003" s="67" t="s">
        <v>282</v>
      </c>
      <c r="I1003" s="67" t="s">
        <v>2</v>
      </c>
      <c r="J1003" s="67" t="s">
        <v>282</v>
      </c>
      <c r="K1003" s="67" t="s">
        <v>2</v>
      </c>
      <c r="L1003" s="67" t="s">
        <v>282</v>
      </c>
      <c r="M1003" s="67" t="s">
        <v>282</v>
      </c>
      <c r="N1003" s="67" t="s">
        <v>282</v>
      </c>
      <c r="O1003" s="68" t="s">
        <v>2</v>
      </c>
      <c r="P1003" s="68" t="s">
        <v>2</v>
      </c>
      <c r="Q1003" s="68" t="s">
        <v>15</v>
      </c>
      <c r="R1003" s="68" t="s">
        <v>15</v>
      </c>
      <c r="S1003" s="68" t="s">
        <v>16</v>
      </c>
      <c r="T1003" s="68" t="s">
        <v>329</v>
      </c>
      <c r="U1003" s="68" t="s">
        <v>249</v>
      </c>
      <c r="V1003" s="68" t="s">
        <v>282</v>
      </c>
      <c r="W1003" s="69" t="s">
        <v>282</v>
      </c>
      <c r="X1003" s="69" t="s">
        <v>282</v>
      </c>
      <c r="Y1003" s="70" t="s">
        <v>282</v>
      </c>
    </row>
    <row r="1004" spans="1:25">
      <c r="A1004" s="64">
        <v>19</v>
      </c>
      <c r="B1004" s="65" t="str">
        <f>VLOOKUP(Tabel10[[#This Row],[Code]],Ruimtegroepen[[Code]:[Ruimte omschrijving]],2,FALSE)</f>
        <v>Kleedruimtes</v>
      </c>
      <c r="C1004" s="66" t="s">
        <v>1117</v>
      </c>
      <c r="D1004" s="65" t="s">
        <v>1</v>
      </c>
      <c r="E1004" s="66" t="s">
        <v>99</v>
      </c>
      <c r="F1004" s="66" t="s">
        <v>1119</v>
      </c>
      <c r="G1004" s="71" t="s">
        <v>282</v>
      </c>
      <c r="H1004" s="67" t="s">
        <v>2</v>
      </c>
      <c r="I1004" s="67" t="s">
        <v>282</v>
      </c>
      <c r="J1004" s="67" t="s">
        <v>282</v>
      </c>
      <c r="K1004" s="67" t="s">
        <v>282</v>
      </c>
      <c r="L1004" s="67" t="s">
        <v>282</v>
      </c>
      <c r="M1004" s="67" t="s">
        <v>282</v>
      </c>
      <c r="N1004" s="67" t="s">
        <v>282</v>
      </c>
      <c r="O1004" s="68" t="s">
        <v>2</v>
      </c>
      <c r="P1004" s="68" t="s">
        <v>2</v>
      </c>
      <c r="Q1004" s="68" t="s">
        <v>15</v>
      </c>
      <c r="R1004" s="68" t="s">
        <v>15</v>
      </c>
      <c r="S1004" s="68" t="s">
        <v>16</v>
      </c>
      <c r="T1004" s="68" t="s">
        <v>329</v>
      </c>
      <c r="U1004" s="68" t="s">
        <v>249</v>
      </c>
      <c r="V1004" s="68" t="s">
        <v>282</v>
      </c>
      <c r="W1004" s="69" t="s">
        <v>282</v>
      </c>
      <c r="X1004" s="69" t="s">
        <v>282</v>
      </c>
      <c r="Y1004" s="70" t="s">
        <v>282</v>
      </c>
    </row>
    <row r="1005" spans="1:25">
      <c r="A1005" s="64">
        <v>19</v>
      </c>
      <c r="B1005" s="65" t="str">
        <f>VLOOKUP(Tabel10[[#This Row],[Code]],Ruimtegroepen[[Code]:[Ruimte omschrijving]],2,FALSE)</f>
        <v>Kleedruimtes</v>
      </c>
      <c r="C1005" s="66" t="s">
        <v>1117</v>
      </c>
      <c r="D1005" s="65" t="s">
        <v>1</v>
      </c>
      <c r="E1005" s="66" t="s">
        <v>1309</v>
      </c>
      <c r="F1005" s="66" t="s">
        <v>1476</v>
      </c>
      <c r="G1005" s="71" t="s">
        <v>282</v>
      </c>
      <c r="H1005" s="67" t="s">
        <v>282</v>
      </c>
      <c r="I1005" s="67" t="s">
        <v>2</v>
      </c>
      <c r="J1005" s="67" t="s">
        <v>282</v>
      </c>
      <c r="K1005" s="67" t="s">
        <v>2</v>
      </c>
      <c r="L1005" s="67" t="s">
        <v>282</v>
      </c>
      <c r="M1005" s="67" t="s">
        <v>282</v>
      </c>
      <c r="N1005" s="67" t="s">
        <v>282</v>
      </c>
      <c r="O1005" s="68" t="s">
        <v>2</v>
      </c>
      <c r="P1005" s="68" t="s">
        <v>2</v>
      </c>
      <c r="Q1005" s="68" t="s">
        <v>15</v>
      </c>
      <c r="R1005" s="68" t="s">
        <v>15</v>
      </c>
      <c r="S1005" s="68" t="s">
        <v>16</v>
      </c>
      <c r="T1005" s="68" t="s">
        <v>329</v>
      </c>
      <c r="U1005" s="68" t="s">
        <v>249</v>
      </c>
      <c r="V1005" s="68" t="s">
        <v>282</v>
      </c>
      <c r="W1005" s="69" t="s">
        <v>282</v>
      </c>
      <c r="X1005" s="69" t="s">
        <v>282</v>
      </c>
      <c r="Y1005" s="70" t="s">
        <v>282</v>
      </c>
    </row>
    <row r="1006" spans="1:25">
      <c r="A1006" s="64">
        <v>19</v>
      </c>
      <c r="B1006" s="65" t="str">
        <f>VLOOKUP(Tabel10[[#This Row],[Code]],Ruimtegroepen[[Code]:[Ruimte omschrijving]],2,FALSE)</f>
        <v>Kleedruimtes</v>
      </c>
      <c r="C1006" s="66" t="s">
        <v>1122</v>
      </c>
      <c r="D1006" s="65" t="s">
        <v>21</v>
      </c>
      <c r="E1006" s="66" t="s">
        <v>100</v>
      </c>
      <c r="F1006" s="66" t="s">
        <v>1123</v>
      </c>
      <c r="G1006" s="71" t="s">
        <v>282</v>
      </c>
      <c r="H1006" s="67" t="s">
        <v>282</v>
      </c>
      <c r="I1006" s="67" t="s">
        <v>20</v>
      </c>
      <c r="J1006" s="67" t="s">
        <v>282</v>
      </c>
      <c r="K1006" s="67" t="s">
        <v>20</v>
      </c>
      <c r="L1006" s="67" t="s">
        <v>282</v>
      </c>
      <c r="M1006" s="67" t="s">
        <v>282</v>
      </c>
      <c r="N1006" s="67" t="s">
        <v>282</v>
      </c>
      <c r="O1006" s="68" t="s">
        <v>20</v>
      </c>
      <c r="P1006" s="68" t="s">
        <v>20</v>
      </c>
      <c r="Q1006" s="68" t="s">
        <v>15</v>
      </c>
      <c r="R1006" s="68" t="s">
        <v>15</v>
      </c>
      <c r="S1006" s="68" t="s">
        <v>16</v>
      </c>
      <c r="T1006" s="68" t="s">
        <v>329</v>
      </c>
      <c r="U1006" s="68" t="s">
        <v>249</v>
      </c>
      <c r="V1006" s="68" t="s">
        <v>282</v>
      </c>
      <c r="W1006" s="69" t="s">
        <v>282</v>
      </c>
      <c r="X1006" s="69" t="s">
        <v>282</v>
      </c>
      <c r="Y1006" s="70" t="s">
        <v>282</v>
      </c>
    </row>
    <row r="1007" spans="1:25">
      <c r="A1007" s="64">
        <v>19</v>
      </c>
      <c r="B1007" s="65" t="str">
        <f>VLOOKUP(Tabel10[[#This Row],[Code]],Ruimtegroepen[[Code]:[Ruimte omschrijving]],2,FALSE)</f>
        <v>Kleedruimtes</v>
      </c>
      <c r="C1007" s="66" t="s">
        <v>1122</v>
      </c>
      <c r="D1007" s="65" t="s">
        <v>21</v>
      </c>
      <c r="E1007" s="66" t="s">
        <v>99</v>
      </c>
      <c r="F1007" s="66" t="s">
        <v>1124</v>
      </c>
      <c r="G1007" s="71" t="s">
        <v>282</v>
      </c>
      <c r="H1007" s="67" t="s">
        <v>20</v>
      </c>
      <c r="I1007" s="67" t="s">
        <v>282</v>
      </c>
      <c r="J1007" s="67" t="s">
        <v>282</v>
      </c>
      <c r="K1007" s="67" t="s">
        <v>282</v>
      </c>
      <c r="L1007" s="67" t="s">
        <v>282</v>
      </c>
      <c r="M1007" s="67" t="s">
        <v>282</v>
      </c>
      <c r="N1007" s="67" t="s">
        <v>282</v>
      </c>
      <c r="O1007" s="68" t="s">
        <v>20</v>
      </c>
      <c r="P1007" s="68" t="s">
        <v>20</v>
      </c>
      <c r="Q1007" s="68" t="s">
        <v>15</v>
      </c>
      <c r="R1007" s="68" t="s">
        <v>15</v>
      </c>
      <c r="S1007" s="68" t="s">
        <v>16</v>
      </c>
      <c r="T1007" s="68" t="s">
        <v>329</v>
      </c>
      <c r="U1007" s="68" t="s">
        <v>249</v>
      </c>
      <c r="V1007" s="68" t="s">
        <v>282</v>
      </c>
      <c r="W1007" s="69" t="s">
        <v>282</v>
      </c>
      <c r="X1007" s="69" t="s">
        <v>282</v>
      </c>
      <c r="Y1007" s="70" t="s">
        <v>282</v>
      </c>
    </row>
    <row r="1008" spans="1:25">
      <c r="A1008" s="64">
        <v>19</v>
      </c>
      <c r="B1008" s="65" t="str">
        <f>VLOOKUP(Tabel10[[#This Row],[Code]],Ruimtegroepen[[Code]:[Ruimte omschrijving]],2,FALSE)</f>
        <v>Kleedruimtes</v>
      </c>
      <c r="C1008" s="66" t="s">
        <v>1122</v>
      </c>
      <c r="D1008" s="65" t="s">
        <v>21</v>
      </c>
      <c r="E1008" s="66" t="s">
        <v>101</v>
      </c>
      <c r="F1008" s="66" t="s">
        <v>1125</v>
      </c>
      <c r="G1008" s="71" t="s">
        <v>282</v>
      </c>
      <c r="H1008" s="67" t="s">
        <v>282</v>
      </c>
      <c r="I1008" s="67" t="s">
        <v>20</v>
      </c>
      <c r="J1008" s="67" t="s">
        <v>282</v>
      </c>
      <c r="K1008" s="67" t="s">
        <v>20</v>
      </c>
      <c r="L1008" s="67" t="s">
        <v>282</v>
      </c>
      <c r="M1008" s="67" t="s">
        <v>282</v>
      </c>
      <c r="N1008" s="67" t="s">
        <v>282</v>
      </c>
      <c r="O1008" s="68" t="s">
        <v>20</v>
      </c>
      <c r="P1008" s="68" t="s">
        <v>20</v>
      </c>
      <c r="Q1008" s="68" t="s">
        <v>15</v>
      </c>
      <c r="R1008" s="68" t="s">
        <v>15</v>
      </c>
      <c r="S1008" s="68" t="s">
        <v>16</v>
      </c>
      <c r="T1008" s="68" t="s">
        <v>329</v>
      </c>
      <c r="U1008" s="68" t="s">
        <v>249</v>
      </c>
      <c r="V1008" s="68" t="s">
        <v>282</v>
      </c>
      <c r="W1008" s="69" t="s">
        <v>282</v>
      </c>
      <c r="X1008" s="69" t="s">
        <v>282</v>
      </c>
      <c r="Y1008" s="70" t="s">
        <v>282</v>
      </c>
    </row>
    <row r="1009" spans="1:25">
      <c r="A1009" s="64">
        <v>19</v>
      </c>
      <c r="B1009" s="65" t="str">
        <f>VLOOKUP(Tabel10[[#This Row],[Code]],Ruimtegroepen[[Code]:[Ruimte omschrijving]],2,FALSE)</f>
        <v>Kleedruimtes</v>
      </c>
      <c r="C1009" s="66" t="s">
        <v>1122</v>
      </c>
      <c r="D1009" s="65" t="s">
        <v>21</v>
      </c>
      <c r="E1009" s="66" t="s">
        <v>102</v>
      </c>
      <c r="F1009" s="66" t="s">
        <v>1126</v>
      </c>
      <c r="G1009" s="71" t="s">
        <v>282</v>
      </c>
      <c r="H1009" s="67" t="s">
        <v>282</v>
      </c>
      <c r="I1009" s="67" t="s">
        <v>20</v>
      </c>
      <c r="J1009" s="67" t="s">
        <v>282</v>
      </c>
      <c r="K1009" s="67" t="s">
        <v>20</v>
      </c>
      <c r="L1009" s="67" t="s">
        <v>282</v>
      </c>
      <c r="M1009" s="67" t="s">
        <v>282</v>
      </c>
      <c r="N1009" s="67" t="s">
        <v>282</v>
      </c>
      <c r="O1009" s="68" t="s">
        <v>20</v>
      </c>
      <c r="P1009" s="68" t="s">
        <v>20</v>
      </c>
      <c r="Q1009" s="68" t="s">
        <v>15</v>
      </c>
      <c r="R1009" s="68" t="s">
        <v>15</v>
      </c>
      <c r="S1009" s="68" t="s">
        <v>16</v>
      </c>
      <c r="T1009" s="68" t="s">
        <v>329</v>
      </c>
      <c r="U1009" s="68" t="s">
        <v>249</v>
      </c>
      <c r="V1009" s="68" t="s">
        <v>282</v>
      </c>
      <c r="W1009" s="69" t="s">
        <v>282</v>
      </c>
      <c r="X1009" s="69" t="s">
        <v>282</v>
      </c>
      <c r="Y1009" s="70" t="s">
        <v>282</v>
      </c>
    </row>
    <row r="1010" spans="1:25">
      <c r="A1010" s="64">
        <v>19</v>
      </c>
      <c r="B1010" s="65" t="str">
        <f>VLOOKUP(Tabel10[[#This Row],[Code]],Ruimtegroepen[[Code]:[Ruimte omschrijving]],2,FALSE)</f>
        <v>Kleedruimtes</v>
      </c>
      <c r="C1010" s="66" t="s">
        <v>1122</v>
      </c>
      <c r="D1010" s="65" t="s">
        <v>21</v>
      </c>
      <c r="E1010" s="66" t="s">
        <v>99</v>
      </c>
      <c r="F1010" s="66" t="s">
        <v>1124</v>
      </c>
      <c r="G1010" s="71" t="s">
        <v>282</v>
      </c>
      <c r="H1010" s="67" t="s">
        <v>20</v>
      </c>
      <c r="I1010" s="67" t="s">
        <v>282</v>
      </c>
      <c r="J1010" s="67" t="s">
        <v>282</v>
      </c>
      <c r="K1010" s="67" t="s">
        <v>282</v>
      </c>
      <c r="L1010" s="67" t="s">
        <v>282</v>
      </c>
      <c r="M1010" s="67" t="s">
        <v>282</v>
      </c>
      <c r="N1010" s="67" t="s">
        <v>282</v>
      </c>
      <c r="O1010" s="68" t="s">
        <v>20</v>
      </c>
      <c r="P1010" s="68" t="s">
        <v>20</v>
      </c>
      <c r="Q1010" s="68" t="s">
        <v>15</v>
      </c>
      <c r="R1010" s="68" t="s">
        <v>15</v>
      </c>
      <c r="S1010" s="68" t="s">
        <v>16</v>
      </c>
      <c r="T1010" s="68" t="s">
        <v>329</v>
      </c>
      <c r="U1010" s="68" t="s">
        <v>249</v>
      </c>
      <c r="V1010" s="68" t="s">
        <v>282</v>
      </c>
      <c r="W1010" s="69" t="s">
        <v>282</v>
      </c>
      <c r="X1010" s="69" t="s">
        <v>282</v>
      </c>
      <c r="Y1010" s="70" t="s">
        <v>282</v>
      </c>
    </row>
    <row r="1011" spans="1:25">
      <c r="A1011" s="64">
        <v>19</v>
      </c>
      <c r="B1011" s="65" t="str">
        <f>VLOOKUP(Tabel10[[#This Row],[Code]],Ruimtegroepen[[Code]:[Ruimte omschrijving]],2,FALSE)</f>
        <v>Kleedruimtes</v>
      </c>
      <c r="C1011" s="66" t="s">
        <v>1122</v>
      </c>
      <c r="D1011" s="65" t="s">
        <v>21</v>
      </c>
      <c r="E1011" s="66" t="s">
        <v>1309</v>
      </c>
      <c r="F1011" s="66" t="s">
        <v>1459</v>
      </c>
      <c r="G1011" s="71" t="s">
        <v>282</v>
      </c>
      <c r="H1011" s="67" t="s">
        <v>282</v>
      </c>
      <c r="I1011" s="67" t="s">
        <v>20</v>
      </c>
      <c r="J1011" s="67" t="s">
        <v>282</v>
      </c>
      <c r="K1011" s="67" t="s">
        <v>20</v>
      </c>
      <c r="L1011" s="67" t="s">
        <v>282</v>
      </c>
      <c r="M1011" s="67" t="s">
        <v>282</v>
      </c>
      <c r="N1011" s="67" t="s">
        <v>282</v>
      </c>
      <c r="O1011" s="68" t="s">
        <v>20</v>
      </c>
      <c r="P1011" s="68" t="s">
        <v>20</v>
      </c>
      <c r="Q1011" s="68" t="s">
        <v>15</v>
      </c>
      <c r="R1011" s="68" t="s">
        <v>15</v>
      </c>
      <c r="S1011" s="68" t="s">
        <v>16</v>
      </c>
      <c r="T1011" s="68" t="s">
        <v>329</v>
      </c>
      <c r="U1011" s="68" t="s">
        <v>249</v>
      </c>
      <c r="V1011" s="68" t="s">
        <v>282</v>
      </c>
      <c r="W1011" s="69" t="s">
        <v>282</v>
      </c>
      <c r="X1011" s="69" t="s">
        <v>282</v>
      </c>
      <c r="Y1011" s="70" t="s">
        <v>282</v>
      </c>
    </row>
    <row r="1012" spans="1:25">
      <c r="A1012" s="64">
        <v>19</v>
      </c>
      <c r="B1012" s="65" t="str">
        <f>VLOOKUP(Tabel10[[#This Row],[Code]],Ruimtegroepen[[Code]:[Ruimte omschrijving]],2,FALSE)</f>
        <v>Kleedruimtes</v>
      </c>
      <c r="C1012" s="66" t="s">
        <v>1127</v>
      </c>
      <c r="D1012" s="65" t="s">
        <v>12</v>
      </c>
      <c r="E1012" s="66" t="s">
        <v>100</v>
      </c>
      <c r="F1012" s="66" t="s">
        <v>1128</v>
      </c>
      <c r="G1012" s="71" t="s">
        <v>282</v>
      </c>
      <c r="H1012" s="67" t="s">
        <v>282</v>
      </c>
      <c r="I1012" s="67" t="s">
        <v>18</v>
      </c>
      <c r="J1012" s="67" t="s">
        <v>282</v>
      </c>
      <c r="K1012" s="67" t="s">
        <v>18</v>
      </c>
      <c r="L1012" s="67" t="s">
        <v>282</v>
      </c>
      <c r="M1012" s="67" t="s">
        <v>282</v>
      </c>
      <c r="N1012" s="67" t="s">
        <v>282</v>
      </c>
      <c r="O1012" s="68" t="s">
        <v>18</v>
      </c>
      <c r="P1012" s="68" t="s">
        <v>18</v>
      </c>
      <c r="Q1012" s="68" t="s">
        <v>15</v>
      </c>
      <c r="R1012" s="68" t="s">
        <v>15</v>
      </c>
      <c r="S1012" s="68" t="s">
        <v>16</v>
      </c>
      <c r="T1012" s="68" t="s">
        <v>329</v>
      </c>
      <c r="U1012" s="68" t="s">
        <v>249</v>
      </c>
      <c r="V1012" s="68" t="s">
        <v>282</v>
      </c>
      <c r="W1012" s="69" t="s">
        <v>282</v>
      </c>
      <c r="X1012" s="69" t="s">
        <v>282</v>
      </c>
      <c r="Y1012" s="70" t="s">
        <v>282</v>
      </c>
    </row>
    <row r="1013" spans="1:25">
      <c r="A1013" s="64">
        <v>19</v>
      </c>
      <c r="B1013" s="65" t="str">
        <f>VLOOKUP(Tabel10[[#This Row],[Code]],Ruimtegroepen[[Code]:[Ruimte omschrijving]],2,FALSE)</f>
        <v>Kleedruimtes</v>
      </c>
      <c r="C1013" s="66" t="s">
        <v>1127</v>
      </c>
      <c r="D1013" s="65" t="s">
        <v>12</v>
      </c>
      <c r="E1013" s="66" t="s">
        <v>99</v>
      </c>
      <c r="F1013" s="66" t="s">
        <v>1129</v>
      </c>
      <c r="G1013" s="71" t="s">
        <v>282</v>
      </c>
      <c r="H1013" s="67" t="s">
        <v>18</v>
      </c>
      <c r="I1013" s="67" t="s">
        <v>282</v>
      </c>
      <c r="J1013" s="67" t="s">
        <v>282</v>
      </c>
      <c r="K1013" s="67" t="s">
        <v>282</v>
      </c>
      <c r="L1013" s="67" t="s">
        <v>282</v>
      </c>
      <c r="M1013" s="67" t="s">
        <v>282</v>
      </c>
      <c r="N1013" s="67" t="s">
        <v>282</v>
      </c>
      <c r="O1013" s="68" t="s">
        <v>18</v>
      </c>
      <c r="P1013" s="68" t="s">
        <v>18</v>
      </c>
      <c r="Q1013" s="68" t="s">
        <v>15</v>
      </c>
      <c r="R1013" s="68" t="s">
        <v>15</v>
      </c>
      <c r="S1013" s="68" t="s">
        <v>16</v>
      </c>
      <c r="T1013" s="68" t="s">
        <v>329</v>
      </c>
      <c r="U1013" s="68" t="s">
        <v>249</v>
      </c>
      <c r="V1013" s="68" t="s">
        <v>282</v>
      </c>
      <c r="W1013" s="69" t="s">
        <v>282</v>
      </c>
      <c r="X1013" s="69" t="s">
        <v>282</v>
      </c>
      <c r="Y1013" s="70" t="s">
        <v>282</v>
      </c>
    </row>
    <row r="1014" spans="1:25">
      <c r="A1014" s="64">
        <v>19</v>
      </c>
      <c r="B1014" s="65" t="str">
        <f>VLOOKUP(Tabel10[[#This Row],[Code]],Ruimtegroepen[[Code]:[Ruimte omschrijving]],2,FALSE)</f>
        <v>Kleedruimtes</v>
      </c>
      <c r="C1014" s="66" t="s">
        <v>1127</v>
      </c>
      <c r="D1014" s="65" t="s">
        <v>12</v>
      </c>
      <c r="E1014" s="66" t="s">
        <v>101</v>
      </c>
      <c r="F1014" s="66" t="s">
        <v>1130</v>
      </c>
      <c r="G1014" s="71" t="s">
        <v>282</v>
      </c>
      <c r="H1014" s="67" t="s">
        <v>282</v>
      </c>
      <c r="I1014" s="67" t="s">
        <v>18</v>
      </c>
      <c r="J1014" s="67" t="s">
        <v>282</v>
      </c>
      <c r="K1014" s="67" t="s">
        <v>18</v>
      </c>
      <c r="L1014" s="67" t="s">
        <v>282</v>
      </c>
      <c r="M1014" s="67" t="s">
        <v>282</v>
      </c>
      <c r="N1014" s="67" t="s">
        <v>282</v>
      </c>
      <c r="O1014" s="68" t="s">
        <v>18</v>
      </c>
      <c r="P1014" s="68" t="s">
        <v>18</v>
      </c>
      <c r="Q1014" s="68" t="s">
        <v>15</v>
      </c>
      <c r="R1014" s="68" t="s">
        <v>15</v>
      </c>
      <c r="S1014" s="68" t="s">
        <v>16</v>
      </c>
      <c r="T1014" s="68" t="s">
        <v>329</v>
      </c>
      <c r="U1014" s="68" t="s">
        <v>249</v>
      </c>
      <c r="V1014" s="68" t="s">
        <v>282</v>
      </c>
      <c r="W1014" s="69" t="s">
        <v>282</v>
      </c>
      <c r="X1014" s="69" t="s">
        <v>282</v>
      </c>
      <c r="Y1014" s="70" t="s">
        <v>282</v>
      </c>
    </row>
    <row r="1015" spans="1:25">
      <c r="A1015" s="64">
        <v>19</v>
      </c>
      <c r="B1015" s="65" t="str">
        <f>VLOOKUP(Tabel10[[#This Row],[Code]],Ruimtegroepen[[Code]:[Ruimte omschrijving]],2,FALSE)</f>
        <v>Kleedruimtes</v>
      </c>
      <c r="C1015" s="66" t="s">
        <v>1127</v>
      </c>
      <c r="D1015" s="65" t="s">
        <v>12</v>
      </c>
      <c r="E1015" s="66" t="s">
        <v>102</v>
      </c>
      <c r="F1015" s="66" t="s">
        <v>1131</v>
      </c>
      <c r="G1015" s="71" t="s">
        <v>282</v>
      </c>
      <c r="H1015" s="67" t="s">
        <v>282</v>
      </c>
      <c r="I1015" s="67" t="s">
        <v>18</v>
      </c>
      <c r="J1015" s="67" t="s">
        <v>282</v>
      </c>
      <c r="K1015" s="67" t="s">
        <v>18</v>
      </c>
      <c r="L1015" s="67" t="s">
        <v>282</v>
      </c>
      <c r="M1015" s="67" t="s">
        <v>282</v>
      </c>
      <c r="N1015" s="67" t="s">
        <v>282</v>
      </c>
      <c r="O1015" s="68" t="s">
        <v>18</v>
      </c>
      <c r="P1015" s="68" t="s">
        <v>18</v>
      </c>
      <c r="Q1015" s="68" t="s">
        <v>15</v>
      </c>
      <c r="R1015" s="68" t="s">
        <v>15</v>
      </c>
      <c r="S1015" s="68" t="s">
        <v>16</v>
      </c>
      <c r="T1015" s="68" t="s">
        <v>329</v>
      </c>
      <c r="U1015" s="68" t="s">
        <v>249</v>
      </c>
      <c r="V1015" s="68" t="s">
        <v>282</v>
      </c>
      <c r="W1015" s="69" t="s">
        <v>282</v>
      </c>
      <c r="X1015" s="69" t="s">
        <v>282</v>
      </c>
      <c r="Y1015" s="70" t="s">
        <v>282</v>
      </c>
    </row>
    <row r="1016" spans="1:25">
      <c r="A1016" s="64">
        <v>19</v>
      </c>
      <c r="B1016" s="65" t="str">
        <f>VLOOKUP(Tabel10[[#This Row],[Code]],Ruimtegroepen[[Code]:[Ruimte omschrijving]],2,FALSE)</f>
        <v>Kleedruimtes</v>
      </c>
      <c r="C1016" s="66" t="s">
        <v>1127</v>
      </c>
      <c r="D1016" s="65" t="s">
        <v>12</v>
      </c>
      <c r="E1016" s="66" t="s">
        <v>99</v>
      </c>
      <c r="F1016" s="66" t="s">
        <v>1129</v>
      </c>
      <c r="G1016" s="71" t="s">
        <v>282</v>
      </c>
      <c r="H1016" s="67" t="s">
        <v>18</v>
      </c>
      <c r="I1016" s="67" t="s">
        <v>282</v>
      </c>
      <c r="J1016" s="67" t="s">
        <v>282</v>
      </c>
      <c r="K1016" s="67" t="s">
        <v>282</v>
      </c>
      <c r="L1016" s="67" t="s">
        <v>282</v>
      </c>
      <c r="M1016" s="67" t="s">
        <v>282</v>
      </c>
      <c r="N1016" s="67" t="s">
        <v>282</v>
      </c>
      <c r="O1016" s="68" t="s">
        <v>18</v>
      </c>
      <c r="P1016" s="68" t="s">
        <v>18</v>
      </c>
      <c r="Q1016" s="68" t="s">
        <v>15</v>
      </c>
      <c r="R1016" s="68" t="s">
        <v>15</v>
      </c>
      <c r="S1016" s="68" t="s">
        <v>16</v>
      </c>
      <c r="T1016" s="68" t="s">
        <v>329</v>
      </c>
      <c r="U1016" s="68" t="s">
        <v>249</v>
      </c>
      <c r="V1016" s="68" t="s">
        <v>282</v>
      </c>
      <c r="W1016" s="69" t="s">
        <v>282</v>
      </c>
      <c r="X1016" s="69" t="s">
        <v>282</v>
      </c>
      <c r="Y1016" s="70" t="s">
        <v>282</v>
      </c>
    </row>
    <row r="1017" spans="1:25">
      <c r="A1017" s="64">
        <v>19</v>
      </c>
      <c r="B1017" s="65" t="str">
        <f>VLOOKUP(Tabel10[[#This Row],[Code]],Ruimtegroepen[[Code]:[Ruimte omschrijving]],2,FALSE)</f>
        <v>Kleedruimtes</v>
      </c>
      <c r="C1017" s="66" t="s">
        <v>1127</v>
      </c>
      <c r="D1017" s="65" t="s">
        <v>12</v>
      </c>
      <c r="E1017" s="66" t="s">
        <v>1309</v>
      </c>
      <c r="F1017" s="66" t="s">
        <v>1441</v>
      </c>
      <c r="G1017" s="71" t="s">
        <v>282</v>
      </c>
      <c r="H1017" s="67" t="s">
        <v>282</v>
      </c>
      <c r="I1017" s="67" t="s">
        <v>18</v>
      </c>
      <c r="J1017" s="67" t="s">
        <v>282</v>
      </c>
      <c r="K1017" s="67" t="s">
        <v>18</v>
      </c>
      <c r="L1017" s="67" t="s">
        <v>282</v>
      </c>
      <c r="M1017" s="67" t="s">
        <v>282</v>
      </c>
      <c r="N1017" s="67" t="s">
        <v>282</v>
      </c>
      <c r="O1017" s="68" t="s">
        <v>18</v>
      </c>
      <c r="P1017" s="68" t="s">
        <v>18</v>
      </c>
      <c r="Q1017" s="68" t="s">
        <v>15</v>
      </c>
      <c r="R1017" s="68" t="s">
        <v>15</v>
      </c>
      <c r="S1017" s="68" t="s">
        <v>16</v>
      </c>
      <c r="T1017" s="68" t="s">
        <v>329</v>
      </c>
      <c r="U1017" s="68" t="s">
        <v>249</v>
      </c>
      <c r="V1017" s="68" t="s">
        <v>282</v>
      </c>
      <c r="W1017" s="69" t="s">
        <v>282</v>
      </c>
      <c r="X1017" s="69" t="s">
        <v>282</v>
      </c>
      <c r="Y1017" s="70" t="s">
        <v>282</v>
      </c>
    </row>
    <row r="1018" spans="1:25">
      <c r="A1018" s="64">
        <v>19</v>
      </c>
      <c r="B1018" s="65" t="str">
        <f>VLOOKUP(Tabel10[[#This Row],[Code]],Ruimtegroepen[[Code]:[Ruimte omschrijving]],2,FALSE)</f>
        <v>Kleedruimtes</v>
      </c>
      <c r="C1018" s="66" t="s">
        <v>1132</v>
      </c>
      <c r="D1018" s="65" t="s">
        <v>14</v>
      </c>
      <c r="E1018" s="66" t="s">
        <v>100</v>
      </c>
      <c r="F1018" s="66" t="s">
        <v>1133</v>
      </c>
      <c r="G1018" s="71" t="s">
        <v>282</v>
      </c>
      <c r="H1018" s="67" t="s">
        <v>282</v>
      </c>
      <c r="I1018" s="67" t="s">
        <v>17</v>
      </c>
      <c r="J1018" s="67" t="s">
        <v>282</v>
      </c>
      <c r="K1018" s="67" t="s">
        <v>17</v>
      </c>
      <c r="L1018" s="67" t="s">
        <v>282</v>
      </c>
      <c r="M1018" s="67" t="s">
        <v>282</v>
      </c>
      <c r="N1018" s="67" t="s">
        <v>282</v>
      </c>
      <c r="O1018" s="68" t="s">
        <v>17</v>
      </c>
      <c r="P1018" s="68" t="s">
        <v>17</v>
      </c>
      <c r="Q1018" s="68" t="s">
        <v>15</v>
      </c>
      <c r="R1018" s="68" t="s">
        <v>15</v>
      </c>
      <c r="S1018" s="68" t="s">
        <v>16</v>
      </c>
      <c r="T1018" s="68" t="s">
        <v>329</v>
      </c>
      <c r="U1018" s="68" t="s">
        <v>249</v>
      </c>
      <c r="V1018" s="68" t="s">
        <v>282</v>
      </c>
      <c r="W1018" s="69" t="s">
        <v>282</v>
      </c>
      <c r="X1018" s="69" t="s">
        <v>282</v>
      </c>
      <c r="Y1018" s="70" t="s">
        <v>282</v>
      </c>
    </row>
    <row r="1019" spans="1:25">
      <c r="A1019" s="64">
        <v>19</v>
      </c>
      <c r="B1019" s="65" t="str">
        <f>VLOOKUP(Tabel10[[#This Row],[Code]],Ruimtegroepen[[Code]:[Ruimte omschrijving]],2,FALSE)</f>
        <v>Kleedruimtes</v>
      </c>
      <c r="C1019" s="66" t="s">
        <v>1132</v>
      </c>
      <c r="D1019" s="65" t="s">
        <v>14</v>
      </c>
      <c r="E1019" s="66" t="s">
        <v>99</v>
      </c>
      <c r="F1019" s="66" t="s">
        <v>1134</v>
      </c>
      <c r="G1019" s="71" t="s">
        <v>282</v>
      </c>
      <c r="H1019" s="67" t="s">
        <v>17</v>
      </c>
      <c r="I1019" s="67" t="s">
        <v>282</v>
      </c>
      <c r="J1019" s="67" t="s">
        <v>282</v>
      </c>
      <c r="K1019" s="67" t="s">
        <v>282</v>
      </c>
      <c r="L1019" s="67" t="s">
        <v>282</v>
      </c>
      <c r="M1019" s="67" t="s">
        <v>282</v>
      </c>
      <c r="N1019" s="67" t="s">
        <v>282</v>
      </c>
      <c r="O1019" s="68" t="s">
        <v>17</v>
      </c>
      <c r="P1019" s="68" t="s">
        <v>17</v>
      </c>
      <c r="Q1019" s="68" t="s">
        <v>15</v>
      </c>
      <c r="R1019" s="68" t="s">
        <v>15</v>
      </c>
      <c r="S1019" s="68" t="s">
        <v>16</v>
      </c>
      <c r="T1019" s="68" t="s">
        <v>329</v>
      </c>
      <c r="U1019" s="68" t="s">
        <v>249</v>
      </c>
      <c r="V1019" s="68" t="s">
        <v>282</v>
      </c>
      <c r="W1019" s="69" t="s">
        <v>282</v>
      </c>
      <c r="X1019" s="69" t="s">
        <v>282</v>
      </c>
      <c r="Y1019" s="70" t="s">
        <v>282</v>
      </c>
    </row>
    <row r="1020" spans="1:25">
      <c r="A1020" s="64">
        <v>19</v>
      </c>
      <c r="B1020" s="65" t="str">
        <f>VLOOKUP(Tabel10[[#This Row],[Code]],Ruimtegroepen[[Code]:[Ruimte omschrijving]],2,FALSE)</f>
        <v>Kleedruimtes</v>
      </c>
      <c r="C1020" s="66" t="s">
        <v>1132</v>
      </c>
      <c r="D1020" s="65" t="s">
        <v>14</v>
      </c>
      <c r="E1020" s="66" t="s">
        <v>101</v>
      </c>
      <c r="F1020" s="66" t="s">
        <v>1135</v>
      </c>
      <c r="G1020" s="71" t="s">
        <v>282</v>
      </c>
      <c r="H1020" s="67" t="s">
        <v>282</v>
      </c>
      <c r="I1020" s="67" t="s">
        <v>17</v>
      </c>
      <c r="J1020" s="67" t="s">
        <v>282</v>
      </c>
      <c r="K1020" s="67" t="s">
        <v>17</v>
      </c>
      <c r="L1020" s="67" t="s">
        <v>282</v>
      </c>
      <c r="M1020" s="67" t="s">
        <v>282</v>
      </c>
      <c r="N1020" s="67" t="s">
        <v>282</v>
      </c>
      <c r="O1020" s="68" t="s">
        <v>17</v>
      </c>
      <c r="P1020" s="68" t="s">
        <v>17</v>
      </c>
      <c r="Q1020" s="68" t="s">
        <v>15</v>
      </c>
      <c r="R1020" s="68" t="s">
        <v>15</v>
      </c>
      <c r="S1020" s="68" t="s">
        <v>16</v>
      </c>
      <c r="T1020" s="68" t="s">
        <v>329</v>
      </c>
      <c r="U1020" s="68" t="s">
        <v>249</v>
      </c>
      <c r="V1020" s="68" t="s">
        <v>282</v>
      </c>
      <c r="W1020" s="69" t="s">
        <v>282</v>
      </c>
      <c r="X1020" s="69" t="s">
        <v>282</v>
      </c>
      <c r="Y1020" s="70" t="s">
        <v>282</v>
      </c>
    </row>
    <row r="1021" spans="1:25">
      <c r="A1021" s="64">
        <v>19</v>
      </c>
      <c r="B1021" s="65" t="str">
        <f>VLOOKUP(Tabel10[[#This Row],[Code]],Ruimtegroepen[[Code]:[Ruimte omschrijving]],2,FALSE)</f>
        <v>Kleedruimtes</v>
      </c>
      <c r="C1021" s="66" t="s">
        <v>1132</v>
      </c>
      <c r="D1021" s="65" t="s">
        <v>14</v>
      </c>
      <c r="E1021" s="66" t="s">
        <v>102</v>
      </c>
      <c r="F1021" s="66" t="s">
        <v>1136</v>
      </c>
      <c r="G1021" s="71" t="s">
        <v>282</v>
      </c>
      <c r="H1021" s="67" t="s">
        <v>282</v>
      </c>
      <c r="I1021" s="67" t="s">
        <v>17</v>
      </c>
      <c r="J1021" s="67" t="s">
        <v>282</v>
      </c>
      <c r="K1021" s="67" t="s">
        <v>17</v>
      </c>
      <c r="L1021" s="67" t="s">
        <v>282</v>
      </c>
      <c r="M1021" s="67" t="s">
        <v>282</v>
      </c>
      <c r="N1021" s="67" t="s">
        <v>282</v>
      </c>
      <c r="O1021" s="68" t="s">
        <v>17</v>
      </c>
      <c r="P1021" s="68" t="s">
        <v>17</v>
      </c>
      <c r="Q1021" s="68" t="s">
        <v>15</v>
      </c>
      <c r="R1021" s="68" t="s">
        <v>15</v>
      </c>
      <c r="S1021" s="68" t="s">
        <v>16</v>
      </c>
      <c r="T1021" s="68" t="s">
        <v>329</v>
      </c>
      <c r="U1021" s="68" t="s">
        <v>249</v>
      </c>
      <c r="V1021" s="68" t="s">
        <v>282</v>
      </c>
      <c r="W1021" s="69" t="s">
        <v>282</v>
      </c>
      <c r="X1021" s="69" t="s">
        <v>282</v>
      </c>
      <c r="Y1021" s="70" t="s">
        <v>282</v>
      </c>
    </row>
    <row r="1022" spans="1:25">
      <c r="A1022" s="64">
        <v>19</v>
      </c>
      <c r="B1022" s="65" t="str">
        <f>VLOOKUP(Tabel10[[#This Row],[Code]],Ruimtegroepen[[Code]:[Ruimte omschrijving]],2,FALSE)</f>
        <v>Kleedruimtes</v>
      </c>
      <c r="C1022" s="66" t="s">
        <v>1132</v>
      </c>
      <c r="D1022" s="65" t="s">
        <v>14</v>
      </c>
      <c r="E1022" s="66" t="s">
        <v>99</v>
      </c>
      <c r="F1022" s="66" t="s">
        <v>1134</v>
      </c>
      <c r="G1022" s="71" t="s">
        <v>282</v>
      </c>
      <c r="H1022" s="67" t="s">
        <v>17</v>
      </c>
      <c r="I1022" s="67" t="s">
        <v>282</v>
      </c>
      <c r="J1022" s="67" t="s">
        <v>282</v>
      </c>
      <c r="K1022" s="67" t="s">
        <v>282</v>
      </c>
      <c r="L1022" s="67" t="s">
        <v>282</v>
      </c>
      <c r="M1022" s="67" t="s">
        <v>282</v>
      </c>
      <c r="N1022" s="67" t="s">
        <v>282</v>
      </c>
      <c r="O1022" s="68" t="s">
        <v>17</v>
      </c>
      <c r="P1022" s="68" t="s">
        <v>17</v>
      </c>
      <c r="Q1022" s="68" t="s">
        <v>15</v>
      </c>
      <c r="R1022" s="68" t="s">
        <v>15</v>
      </c>
      <c r="S1022" s="68" t="s">
        <v>16</v>
      </c>
      <c r="T1022" s="68" t="s">
        <v>329</v>
      </c>
      <c r="U1022" s="68" t="s">
        <v>249</v>
      </c>
      <c r="V1022" s="68" t="s">
        <v>282</v>
      </c>
      <c r="W1022" s="69" t="s">
        <v>282</v>
      </c>
      <c r="X1022" s="69" t="s">
        <v>282</v>
      </c>
      <c r="Y1022" s="70" t="s">
        <v>282</v>
      </c>
    </row>
    <row r="1023" spans="1:25">
      <c r="A1023" s="64">
        <v>19</v>
      </c>
      <c r="B1023" s="65" t="str">
        <f>VLOOKUP(Tabel10[[#This Row],[Code]],Ruimtegroepen[[Code]:[Ruimte omschrijving]],2,FALSE)</f>
        <v>Kleedruimtes</v>
      </c>
      <c r="C1023" s="66" t="s">
        <v>1132</v>
      </c>
      <c r="D1023" s="65" t="s">
        <v>14</v>
      </c>
      <c r="E1023" s="66" t="s">
        <v>1309</v>
      </c>
      <c r="F1023" s="66" t="s">
        <v>1408</v>
      </c>
      <c r="G1023" s="71" t="s">
        <v>282</v>
      </c>
      <c r="H1023" s="67" t="s">
        <v>282</v>
      </c>
      <c r="I1023" s="67" t="s">
        <v>17</v>
      </c>
      <c r="J1023" s="67" t="s">
        <v>282</v>
      </c>
      <c r="K1023" s="67" t="s">
        <v>17</v>
      </c>
      <c r="L1023" s="67" t="s">
        <v>282</v>
      </c>
      <c r="M1023" s="67" t="s">
        <v>282</v>
      </c>
      <c r="N1023" s="67" t="s">
        <v>282</v>
      </c>
      <c r="O1023" s="68" t="s">
        <v>17</v>
      </c>
      <c r="P1023" s="68" t="s">
        <v>17</v>
      </c>
      <c r="Q1023" s="68" t="s">
        <v>15</v>
      </c>
      <c r="R1023" s="68" t="s">
        <v>15</v>
      </c>
      <c r="S1023" s="68" t="s">
        <v>16</v>
      </c>
      <c r="T1023" s="68" t="s">
        <v>329</v>
      </c>
      <c r="U1023" s="68" t="s">
        <v>249</v>
      </c>
      <c r="V1023" s="68" t="s">
        <v>282</v>
      </c>
      <c r="W1023" s="69" t="s">
        <v>282</v>
      </c>
      <c r="X1023" s="69" t="s">
        <v>282</v>
      </c>
      <c r="Y1023" s="70" t="s">
        <v>282</v>
      </c>
    </row>
    <row r="1024" spans="1:25">
      <c r="A1024" s="64">
        <v>19</v>
      </c>
      <c r="B1024" s="65" t="str">
        <f>VLOOKUP(Tabel10[[#This Row],[Code]],Ruimtegroepen[[Code]:[Ruimte omschrijving]],2,FALSE)</f>
        <v>Kleedruimtes</v>
      </c>
      <c r="C1024" s="66" t="s">
        <v>1137</v>
      </c>
      <c r="D1024" s="65" t="s">
        <v>13</v>
      </c>
      <c r="E1024" s="66" t="s">
        <v>100</v>
      </c>
      <c r="F1024" s="66" t="s">
        <v>1138</v>
      </c>
      <c r="G1024" s="71" t="s">
        <v>282</v>
      </c>
      <c r="H1024" s="67" t="s">
        <v>282</v>
      </c>
      <c r="I1024" s="67" t="s">
        <v>15</v>
      </c>
      <c r="J1024" s="67" t="s">
        <v>282</v>
      </c>
      <c r="K1024" s="67" t="s">
        <v>15</v>
      </c>
      <c r="L1024" s="67" t="s">
        <v>282</v>
      </c>
      <c r="M1024" s="67" t="s">
        <v>282</v>
      </c>
      <c r="N1024" s="67" t="s">
        <v>282</v>
      </c>
      <c r="O1024" s="68" t="s">
        <v>15</v>
      </c>
      <c r="P1024" s="68" t="s">
        <v>15</v>
      </c>
      <c r="Q1024" s="68" t="s">
        <v>15</v>
      </c>
      <c r="R1024" s="68" t="s">
        <v>15</v>
      </c>
      <c r="S1024" s="68" t="s">
        <v>16</v>
      </c>
      <c r="T1024" s="68" t="s">
        <v>329</v>
      </c>
      <c r="U1024" s="68" t="s">
        <v>249</v>
      </c>
      <c r="V1024" s="68" t="s">
        <v>282</v>
      </c>
      <c r="W1024" s="69" t="s">
        <v>282</v>
      </c>
      <c r="X1024" s="69" t="s">
        <v>282</v>
      </c>
      <c r="Y1024" s="70" t="s">
        <v>282</v>
      </c>
    </row>
    <row r="1025" spans="1:25">
      <c r="A1025" s="64">
        <v>19</v>
      </c>
      <c r="B1025" s="65" t="str">
        <f>VLOOKUP(Tabel10[[#This Row],[Code]],Ruimtegroepen[[Code]:[Ruimte omschrijving]],2,FALSE)</f>
        <v>Kleedruimtes</v>
      </c>
      <c r="C1025" s="66" t="s">
        <v>1137</v>
      </c>
      <c r="D1025" s="65" t="s">
        <v>13</v>
      </c>
      <c r="E1025" s="66" t="s">
        <v>99</v>
      </c>
      <c r="F1025" s="66" t="s">
        <v>1139</v>
      </c>
      <c r="G1025" s="71" t="s">
        <v>282</v>
      </c>
      <c r="H1025" s="67" t="s">
        <v>15</v>
      </c>
      <c r="I1025" s="67" t="s">
        <v>282</v>
      </c>
      <c r="J1025" s="67" t="s">
        <v>282</v>
      </c>
      <c r="K1025" s="67" t="s">
        <v>282</v>
      </c>
      <c r="L1025" s="67" t="s">
        <v>282</v>
      </c>
      <c r="M1025" s="67" t="s">
        <v>282</v>
      </c>
      <c r="N1025" s="67" t="s">
        <v>282</v>
      </c>
      <c r="O1025" s="68" t="s">
        <v>15</v>
      </c>
      <c r="P1025" s="68" t="s">
        <v>15</v>
      </c>
      <c r="Q1025" s="68" t="s">
        <v>15</v>
      </c>
      <c r="R1025" s="68" t="s">
        <v>15</v>
      </c>
      <c r="S1025" s="68" t="s">
        <v>16</v>
      </c>
      <c r="T1025" s="68" t="s">
        <v>329</v>
      </c>
      <c r="U1025" s="68" t="s">
        <v>249</v>
      </c>
      <c r="V1025" s="68" t="s">
        <v>282</v>
      </c>
      <c r="W1025" s="69" t="s">
        <v>282</v>
      </c>
      <c r="X1025" s="69" t="s">
        <v>282</v>
      </c>
      <c r="Y1025" s="70" t="s">
        <v>282</v>
      </c>
    </row>
    <row r="1026" spans="1:25">
      <c r="A1026" s="64">
        <v>19</v>
      </c>
      <c r="B1026" s="65" t="str">
        <f>VLOOKUP(Tabel10[[#This Row],[Code]],Ruimtegroepen[[Code]:[Ruimte omschrijving]],2,FALSE)</f>
        <v>Kleedruimtes</v>
      </c>
      <c r="C1026" s="66" t="s">
        <v>1137</v>
      </c>
      <c r="D1026" s="65" t="s">
        <v>13</v>
      </c>
      <c r="E1026" s="66" t="s">
        <v>101</v>
      </c>
      <c r="F1026" s="66" t="s">
        <v>1140</v>
      </c>
      <c r="G1026" s="71" t="s">
        <v>282</v>
      </c>
      <c r="H1026" s="67" t="s">
        <v>282</v>
      </c>
      <c r="I1026" s="67" t="s">
        <v>15</v>
      </c>
      <c r="J1026" s="67" t="s">
        <v>282</v>
      </c>
      <c r="K1026" s="67" t="s">
        <v>15</v>
      </c>
      <c r="L1026" s="67" t="s">
        <v>282</v>
      </c>
      <c r="M1026" s="67" t="s">
        <v>282</v>
      </c>
      <c r="N1026" s="67" t="s">
        <v>282</v>
      </c>
      <c r="O1026" s="68" t="s">
        <v>15</v>
      </c>
      <c r="P1026" s="68" t="s">
        <v>15</v>
      </c>
      <c r="Q1026" s="68" t="s">
        <v>15</v>
      </c>
      <c r="R1026" s="68" t="s">
        <v>15</v>
      </c>
      <c r="S1026" s="68" t="s">
        <v>16</v>
      </c>
      <c r="T1026" s="68" t="s">
        <v>329</v>
      </c>
      <c r="U1026" s="68" t="s">
        <v>249</v>
      </c>
      <c r="V1026" s="68" t="s">
        <v>282</v>
      </c>
      <c r="W1026" s="69" t="s">
        <v>282</v>
      </c>
      <c r="X1026" s="69" t="s">
        <v>282</v>
      </c>
      <c r="Y1026" s="70" t="s">
        <v>282</v>
      </c>
    </row>
    <row r="1027" spans="1:25">
      <c r="A1027" s="64">
        <v>19</v>
      </c>
      <c r="B1027" s="65" t="str">
        <f>VLOOKUP(Tabel10[[#This Row],[Code]],Ruimtegroepen[[Code]:[Ruimte omschrijving]],2,FALSE)</f>
        <v>Kleedruimtes</v>
      </c>
      <c r="C1027" s="66" t="s">
        <v>1137</v>
      </c>
      <c r="D1027" s="65" t="s">
        <v>13</v>
      </c>
      <c r="E1027" s="66" t="s">
        <v>102</v>
      </c>
      <c r="F1027" s="66" t="s">
        <v>1141</v>
      </c>
      <c r="G1027" s="71" t="s">
        <v>282</v>
      </c>
      <c r="H1027" s="67" t="s">
        <v>282</v>
      </c>
      <c r="I1027" s="67" t="s">
        <v>15</v>
      </c>
      <c r="J1027" s="67" t="s">
        <v>282</v>
      </c>
      <c r="K1027" s="67" t="s">
        <v>15</v>
      </c>
      <c r="L1027" s="67" t="s">
        <v>282</v>
      </c>
      <c r="M1027" s="67" t="s">
        <v>282</v>
      </c>
      <c r="N1027" s="67" t="s">
        <v>282</v>
      </c>
      <c r="O1027" s="68" t="s">
        <v>15</v>
      </c>
      <c r="P1027" s="68" t="s">
        <v>15</v>
      </c>
      <c r="Q1027" s="68" t="s">
        <v>15</v>
      </c>
      <c r="R1027" s="68" t="s">
        <v>15</v>
      </c>
      <c r="S1027" s="68" t="s">
        <v>16</v>
      </c>
      <c r="T1027" s="68" t="s">
        <v>329</v>
      </c>
      <c r="U1027" s="68" t="s">
        <v>249</v>
      </c>
      <c r="V1027" s="68" t="s">
        <v>282</v>
      </c>
      <c r="W1027" s="69" t="s">
        <v>282</v>
      </c>
      <c r="X1027" s="69" t="s">
        <v>282</v>
      </c>
      <c r="Y1027" s="70" t="s">
        <v>282</v>
      </c>
    </row>
    <row r="1028" spans="1:25">
      <c r="A1028" s="64">
        <v>19</v>
      </c>
      <c r="B1028" s="65" t="str">
        <f>VLOOKUP(Tabel10[[#This Row],[Code]],Ruimtegroepen[[Code]:[Ruimte omschrijving]],2,FALSE)</f>
        <v>Kleedruimtes</v>
      </c>
      <c r="C1028" s="66" t="s">
        <v>1137</v>
      </c>
      <c r="D1028" s="65" t="s">
        <v>13</v>
      </c>
      <c r="E1028" s="66" t="s">
        <v>99</v>
      </c>
      <c r="F1028" s="66" t="s">
        <v>1139</v>
      </c>
      <c r="G1028" s="71" t="s">
        <v>282</v>
      </c>
      <c r="H1028" s="67" t="s">
        <v>15</v>
      </c>
      <c r="I1028" s="67" t="s">
        <v>282</v>
      </c>
      <c r="J1028" s="67" t="s">
        <v>282</v>
      </c>
      <c r="K1028" s="67" t="s">
        <v>282</v>
      </c>
      <c r="L1028" s="67" t="s">
        <v>282</v>
      </c>
      <c r="M1028" s="67" t="s">
        <v>282</v>
      </c>
      <c r="N1028" s="67" t="s">
        <v>282</v>
      </c>
      <c r="O1028" s="68" t="s">
        <v>15</v>
      </c>
      <c r="P1028" s="68" t="s">
        <v>15</v>
      </c>
      <c r="Q1028" s="68" t="s">
        <v>15</v>
      </c>
      <c r="R1028" s="68" t="s">
        <v>15</v>
      </c>
      <c r="S1028" s="68" t="s">
        <v>16</v>
      </c>
      <c r="T1028" s="68" t="s">
        <v>329</v>
      </c>
      <c r="U1028" s="68" t="s">
        <v>249</v>
      </c>
      <c r="V1028" s="68" t="s">
        <v>282</v>
      </c>
      <c r="W1028" s="69" t="s">
        <v>282</v>
      </c>
      <c r="X1028" s="69" t="s">
        <v>282</v>
      </c>
      <c r="Y1028" s="70" t="s">
        <v>282</v>
      </c>
    </row>
    <row r="1029" spans="1:25">
      <c r="A1029" s="64">
        <v>19</v>
      </c>
      <c r="B1029" s="65" t="str">
        <f>VLOOKUP(Tabel10[[#This Row],[Code]],Ruimtegroepen[[Code]:[Ruimte omschrijving]],2,FALSE)</f>
        <v>Kleedruimtes</v>
      </c>
      <c r="C1029" s="66" t="s">
        <v>1137</v>
      </c>
      <c r="D1029" s="65" t="s">
        <v>13</v>
      </c>
      <c r="E1029" s="66" t="s">
        <v>1309</v>
      </c>
      <c r="F1029" s="66" t="s">
        <v>1375</v>
      </c>
      <c r="G1029" s="71" t="s">
        <v>282</v>
      </c>
      <c r="H1029" s="67" t="s">
        <v>282</v>
      </c>
      <c r="I1029" s="67" t="s">
        <v>15</v>
      </c>
      <c r="J1029" s="67" t="s">
        <v>282</v>
      </c>
      <c r="K1029" s="67" t="s">
        <v>15</v>
      </c>
      <c r="L1029" s="67" t="s">
        <v>282</v>
      </c>
      <c r="M1029" s="67" t="s">
        <v>282</v>
      </c>
      <c r="N1029" s="67" t="s">
        <v>282</v>
      </c>
      <c r="O1029" s="68" t="s">
        <v>15</v>
      </c>
      <c r="P1029" s="68" t="s">
        <v>15</v>
      </c>
      <c r="Q1029" s="68" t="s">
        <v>15</v>
      </c>
      <c r="R1029" s="68" t="s">
        <v>15</v>
      </c>
      <c r="S1029" s="68" t="s">
        <v>16</v>
      </c>
      <c r="T1029" s="68" t="s">
        <v>329</v>
      </c>
      <c r="U1029" s="68" t="s">
        <v>249</v>
      </c>
      <c r="V1029" s="68" t="s">
        <v>282</v>
      </c>
      <c r="W1029" s="69" t="s">
        <v>282</v>
      </c>
      <c r="X1029" s="69" t="s">
        <v>282</v>
      </c>
      <c r="Y1029" s="70" t="s">
        <v>282</v>
      </c>
    </row>
    <row r="1030" spans="1:25">
      <c r="A1030" s="64">
        <v>19</v>
      </c>
      <c r="B1030" s="65" t="str">
        <f>VLOOKUP(Tabel10[[#This Row],[Code]],Ruimtegroepen[[Code]:[Ruimte omschrijving]],2,FALSE)</f>
        <v>Kleedruimtes</v>
      </c>
      <c r="C1030" s="66" t="s">
        <v>1142</v>
      </c>
      <c r="D1030" s="65" t="s">
        <v>0</v>
      </c>
      <c r="E1030" s="66" t="s">
        <v>100</v>
      </c>
      <c r="F1030" s="66" t="s">
        <v>1143</v>
      </c>
      <c r="G1030" s="71" t="s">
        <v>282</v>
      </c>
      <c r="H1030" s="67" t="s">
        <v>282</v>
      </c>
      <c r="I1030" s="67" t="s">
        <v>16</v>
      </c>
      <c r="J1030" s="67" t="s">
        <v>282</v>
      </c>
      <c r="K1030" s="67" t="s">
        <v>16</v>
      </c>
      <c r="L1030" s="67" t="s">
        <v>282</v>
      </c>
      <c r="M1030" s="67" t="s">
        <v>282</v>
      </c>
      <c r="N1030" s="67" t="s">
        <v>282</v>
      </c>
      <c r="O1030" s="68" t="s">
        <v>16</v>
      </c>
      <c r="P1030" s="68" t="s">
        <v>16</v>
      </c>
      <c r="Q1030" s="68" t="s">
        <v>16</v>
      </c>
      <c r="R1030" s="68" t="s">
        <v>16</v>
      </c>
      <c r="S1030" s="68" t="s">
        <v>16</v>
      </c>
      <c r="T1030" s="68" t="s">
        <v>329</v>
      </c>
      <c r="U1030" s="68" t="s">
        <v>249</v>
      </c>
      <c r="V1030" s="68" t="s">
        <v>282</v>
      </c>
      <c r="W1030" s="69" t="s">
        <v>282</v>
      </c>
      <c r="X1030" s="69" t="s">
        <v>282</v>
      </c>
      <c r="Y1030" s="70" t="s">
        <v>282</v>
      </c>
    </row>
    <row r="1031" spans="1:25">
      <c r="A1031" s="64">
        <v>19</v>
      </c>
      <c r="B1031" s="65" t="str">
        <f>VLOOKUP(Tabel10[[#This Row],[Code]],Ruimtegroepen[[Code]:[Ruimte omschrijving]],2,FALSE)</f>
        <v>Kleedruimtes</v>
      </c>
      <c r="C1031" s="66" t="s">
        <v>1142</v>
      </c>
      <c r="D1031" s="65" t="s">
        <v>0</v>
      </c>
      <c r="E1031" s="66" t="s">
        <v>99</v>
      </c>
      <c r="F1031" s="66" t="s">
        <v>1144</v>
      </c>
      <c r="G1031" s="71" t="s">
        <v>282</v>
      </c>
      <c r="H1031" s="67" t="s">
        <v>16</v>
      </c>
      <c r="I1031" s="67" t="s">
        <v>282</v>
      </c>
      <c r="J1031" s="67" t="s">
        <v>282</v>
      </c>
      <c r="K1031" s="67" t="s">
        <v>282</v>
      </c>
      <c r="L1031" s="67" t="s">
        <v>282</v>
      </c>
      <c r="M1031" s="67" t="s">
        <v>282</v>
      </c>
      <c r="N1031" s="67" t="s">
        <v>282</v>
      </c>
      <c r="O1031" s="68" t="s">
        <v>16</v>
      </c>
      <c r="P1031" s="68" t="s">
        <v>16</v>
      </c>
      <c r="Q1031" s="68" t="s">
        <v>16</v>
      </c>
      <c r="R1031" s="68" t="s">
        <v>16</v>
      </c>
      <c r="S1031" s="68" t="s">
        <v>16</v>
      </c>
      <c r="T1031" s="68" t="s">
        <v>329</v>
      </c>
      <c r="U1031" s="68" t="s">
        <v>249</v>
      </c>
      <c r="V1031" s="68" t="s">
        <v>282</v>
      </c>
      <c r="W1031" s="69" t="s">
        <v>282</v>
      </c>
      <c r="X1031" s="69" t="s">
        <v>282</v>
      </c>
      <c r="Y1031" s="70" t="s">
        <v>282</v>
      </c>
    </row>
    <row r="1032" spans="1:25">
      <c r="A1032" s="64">
        <v>19</v>
      </c>
      <c r="B1032" s="65" t="str">
        <f>VLOOKUP(Tabel10[[#This Row],[Code]],Ruimtegroepen[[Code]:[Ruimte omschrijving]],2,FALSE)</f>
        <v>Kleedruimtes</v>
      </c>
      <c r="C1032" s="66" t="s">
        <v>1142</v>
      </c>
      <c r="D1032" s="65" t="s">
        <v>0</v>
      </c>
      <c r="E1032" s="66" t="s">
        <v>101</v>
      </c>
      <c r="F1032" s="66" t="s">
        <v>1145</v>
      </c>
      <c r="G1032" s="71" t="s">
        <v>282</v>
      </c>
      <c r="H1032" s="67" t="s">
        <v>282</v>
      </c>
      <c r="I1032" s="67" t="s">
        <v>16</v>
      </c>
      <c r="J1032" s="67" t="s">
        <v>361</v>
      </c>
      <c r="K1032" s="67" t="s">
        <v>16</v>
      </c>
      <c r="L1032" s="67" t="s">
        <v>282</v>
      </c>
      <c r="M1032" s="67" t="s">
        <v>282</v>
      </c>
      <c r="N1032" s="67" t="s">
        <v>282</v>
      </c>
      <c r="O1032" s="68" t="s">
        <v>16</v>
      </c>
      <c r="P1032" s="68" t="s">
        <v>16</v>
      </c>
      <c r="Q1032" s="68" t="s">
        <v>16</v>
      </c>
      <c r="R1032" s="68" t="s">
        <v>16</v>
      </c>
      <c r="S1032" s="68" t="s">
        <v>16</v>
      </c>
      <c r="T1032" s="68" t="s">
        <v>329</v>
      </c>
      <c r="U1032" s="68" t="s">
        <v>249</v>
      </c>
      <c r="V1032" s="68" t="s">
        <v>282</v>
      </c>
      <c r="W1032" s="69" t="s">
        <v>282</v>
      </c>
      <c r="X1032" s="69" t="s">
        <v>282</v>
      </c>
      <c r="Y1032" s="70" t="s">
        <v>282</v>
      </c>
    </row>
    <row r="1033" spans="1:25">
      <c r="A1033" s="64">
        <v>19</v>
      </c>
      <c r="B1033" s="65" t="str">
        <f>VLOOKUP(Tabel10[[#This Row],[Code]],Ruimtegroepen[[Code]:[Ruimte omschrijving]],2,FALSE)</f>
        <v>Kleedruimtes</v>
      </c>
      <c r="C1033" s="66" t="s">
        <v>1142</v>
      </c>
      <c r="D1033" s="65" t="s">
        <v>0</v>
      </c>
      <c r="E1033" s="66" t="s">
        <v>102</v>
      </c>
      <c r="F1033" s="66" t="s">
        <v>1146</v>
      </c>
      <c r="G1033" s="71" t="s">
        <v>282</v>
      </c>
      <c r="H1033" s="67" t="s">
        <v>282</v>
      </c>
      <c r="I1033" s="67" t="s">
        <v>16</v>
      </c>
      <c r="J1033" s="67" t="s">
        <v>282</v>
      </c>
      <c r="K1033" s="67" t="s">
        <v>16</v>
      </c>
      <c r="L1033" s="67" t="s">
        <v>282</v>
      </c>
      <c r="M1033" s="67" t="s">
        <v>282</v>
      </c>
      <c r="N1033" s="67" t="s">
        <v>282</v>
      </c>
      <c r="O1033" s="68" t="s">
        <v>16</v>
      </c>
      <c r="P1033" s="68" t="s">
        <v>16</v>
      </c>
      <c r="Q1033" s="68" t="s">
        <v>16</v>
      </c>
      <c r="R1033" s="68" t="s">
        <v>16</v>
      </c>
      <c r="S1033" s="68" t="s">
        <v>16</v>
      </c>
      <c r="T1033" s="68" t="s">
        <v>329</v>
      </c>
      <c r="U1033" s="68" t="s">
        <v>249</v>
      </c>
      <c r="V1033" s="68" t="s">
        <v>282</v>
      </c>
      <c r="W1033" s="69" t="s">
        <v>282</v>
      </c>
      <c r="X1033" s="69" t="s">
        <v>282</v>
      </c>
      <c r="Y1033" s="70" t="s">
        <v>282</v>
      </c>
    </row>
    <row r="1034" spans="1:25">
      <c r="A1034" s="64">
        <v>19</v>
      </c>
      <c r="B1034" s="65" t="str">
        <f>VLOOKUP(Tabel10[[#This Row],[Code]],Ruimtegroepen[[Code]:[Ruimte omschrijving]],2,FALSE)</f>
        <v>Kleedruimtes</v>
      </c>
      <c r="C1034" s="66" t="s">
        <v>1142</v>
      </c>
      <c r="D1034" s="65" t="s">
        <v>0</v>
      </c>
      <c r="E1034" s="66" t="s">
        <v>99</v>
      </c>
      <c r="F1034" s="66" t="s">
        <v>1144</v>
      </c>
      <c r="G1034" s="71" t="s">
        <v>282</v>
      </c>
      <c r="H1034" s="67" t="s">
        <v>16</v>
      </c>
      <c r="I1034" s="67" t="s">
        <v>282</v>
      </c>
      <c r="J1034" s="67" t="s">
        <v>282</v>
      </c>
      <c r="K1034" s="67" t="s">
        <v>282</v>
      </c>
      <c r="L1034" s="67" t="s">
        <v>282</v>
      </c>
      <c r="M1034" s="67" t="s">
        <v>282</v>
      </c>
      <c r="N1034" s="67" t="s">
        <v>282</v>
      </c>
      <c r="O1034" s="68" t="s">
        <v>16</v>
      </c>
      <c r="P1034" s="68" t="s">
        <v>16</v>
      </c>
      <c r="Q1034" s="68" t="s">
        <v>16</v>
      </c>
      <c r="R1034" s="68" t="s">
        <v>16</v>
      </c>
      <c r="S1034" s="68" t="s">
        <v>16</v>
      </c>
      <c r="T1034" s="68" t="s">
        <v>329</v>
      </c>
      <c r="U1034" s="68" t="s">
        <v>249</v>
      </c>
      <c r="V1034" s="68" t="s">
        <v>282</v>
      </c>
      <c r="W1034" s="69" t="s">
        <v>282</v>
      </c>
      <c r="X1034" s="69" t="s">
        <v>282</v>
      </c>
      <c r="Y1034" s="70" t="s">
        <v>282</v>
      </c>
    </row>
    <row r="1035" spans="1:25">
      <c r="A1035" s="64">
        <v>19</v>
      </c>
      <c r="B1035" s="65" t="str">
        <f>VLOOKUP(Tabel10[[#This Row],[Code]],Ruimtegroepen[[Code]:[Ruimte omschrijving]],2,FALSE)</f>
        <v>Kleedruimtes</v>
      </c>
      <c r="C1035" s="66" t="s">
        <v>1142</v>
      </c>
      <c r="D1035" s="65" t="s">
        <v>0</v>
      </c>
      <c r="E1035" s="66" t="s">
        <v>1309</v>
      </c>
      <c r="F1035" s="66" t="s">
        <v>1359</v>
      </c>
      <c r="G1035" s="71" t="s">
        <v>282</v>
      </c>
      <c r="H1035" s="67" t="s">
        <v>282</v>
      </c>
      <c r="I1035" s="67" t="s">
        <v>16</v>
      </c>
      <c r="J1035" s="67" t="s">
        <v>282</v>
      </c>
      <c r="K1035" s="67" t="s">
        <v>16</v>
      </c>
      <c r="L1035" s="67" t="s">
        <v>282</v>
      </c>
      <c r="M1035" s="67" t="s">
        <v>282</v>
      </c>
      <c r="N1035" s="67" t="s">
        <v>282</v>
      </c>
      <c r="O1035" s="68" t="s">
        <v>16</v>
      </c>
      <c r="P1035" s="68" t="s">
        <v>16</v>
      </c>
      <c r="Q1035" s="68" t="s">
        <v>16</v>
      </c>
      <c r="R1035" s="68" t="s">
        <v>16</v>
      </c>
      <c r="S1035" s="68" t="s">
        <v>16</v>
      </c>
      <c r="T1035" s="68" t="s">
        <v>329</v>
      </c>
      <c r="U1035" s="68" t="s">
        <v>249</v>
      </c>
      <c r="V1035" s="68" t="s">
        <v>282</v>
      </c>
      <c r="W1035" s="69" t="s">
        <v>282</v>
      </c>
      <c r="X1035" s="69" t="s">
        <v>282</v>
      </c>
      <c r="Y1035" s="70" t="s">
        <v>282</v>
      </c>
    </row>
    <row r="1036" spans="1:25">
      <c r="A1036" s="64">
        <v>19</v>
      </c>
      <c r="B1036" s="65" t="str">
        <f>VLOOKUP(Tabel10[[#This Row],[Code]],Ruimtegroepen[[Code]:[Ruimte omschrijving]],2,FALSE)</f>
        <v>Kleedruimtes</v>
      </c>
      <c r="C1036" s="66" t="s">
        <v>1147</v>
      </c>
      <c r="D1036" s="65" t="s">
        <v>27</v>
      </c>
      <c r="E1036" s="66" t="s">
        <v>100</v>
      </c>
      <c r="F1036" s="66" t="s">
        <v>1148</v>
      </c>
      <c r="G1036" s="71" t="s">
        <v>282</v>
      </c>
      <c r="H1036" s="67" t="s">
        <v>282</v>
      </c>
      <c r="I1036" s="67" t="s">
        <v>15</v>
      </c>
      <c r="J1036" s="67" t="s">
        <v>282</v>
      </c>
      <c r="K1036" s="67" t="s">
        <v>282</v>
      </c>
      <c r="L1036" s="67" t="s">
        <v>282</v>
      </c>
      <c r="M1036" s="67" t="s">
        <v>282</v>
      </c>
      <c r="N1036" s="67" t="s">
        <v>282</v>
      </c>
      <c r="O1036" s="68" t="s">
        <v>15</v>
      </c>
      <c r="P1036" s="68" t="s">
        <v>15</v>
      </c>
      <c r="Q1036" s="68" t="s">
        <v>15</v>
      </c>
      <c r="R1036" s="68" t="s">
        <v>282</v>
      </c>
      <c r="S1036" s="68" t="s">
        <v>282</v>
      </c>
      <c r="T1036" s="68" t="s">
        <v>282</v>
      </c>
      <c r="U1036" s="68" t="s">
        <v>282</v>
      </c>
      <c r="V1036" s="68" t="s">
        <v>282</v>
      </c>
      <c r="W1036" s="69" t="s">
        <v>282</v>
      </c>
      <c r="X1036" s="69" t="s">
        <v>282</v>
      </c>
      <c r="Y1036" s="70" t="s">
        <v>282</v>
      </c>
    </row>
    <row r="1037" spans="1:25">
      <c r="A1037" s="64">
        <v>19</v>
      </c>
      <c r="B1037" s="65" t="str">
        <f>VLOOKUP(Tabel10[[#This Row],[Code]],Ruimtegroepen[[Code]:[Ruimte omschrijving]],2,FALSE)</f>
        <v>Kleedruimtes</v>
      </c>
      <c r="C1037" s="66" t="s">
        <v>1147</v>
      </c>
      <c r="D1037" s="65" t="s">
        <v>27</v>
      </c>
      <c r="E1037" s="66" t="s">
        <v>99</v>
      </c>
      <c r="F1037" s="66" t="s">
        <v>1149</v>
      </c>
      <c r="G1037" s="71" t="s">
        <v>282</v>
      </c>
      <c r="H1037" s="67" t="s">
        <v>15</v>
      </c>
      <c r="I1037" s="67" t="s">
        <v>282</v>
      </c>
      <c r="J1037" s="67" t="s">
        <v>282</v>
      </c>
      <c r="K1037" s="67" t="s">
        <v>282</v>
      </c>
      <c r="L1037" s="67" t="s">
        <v>282</v>
      </c>
      <c r="M1037" s="67" t="s">
        <v>282</v>
      </c>
      <c r="N1037" s="67" t="s">
        <v>282</v>
      </c>
      <c r="O1037" s="68" t="s">
        <v>15</v>
      </c>
      <c r="P1037" s="68" t="s">
        <v>15</v>
      </c>
      <c r="Q1037" s="68" t="s">
        <v>15</v>
      </c>
      <c r="R1037" s="68" t="s">
        <v>282</v>
      </c>
      <c r="S1037" s="68" t="s">
        <v>282</v>
      </c>
      <c r="T1037" s="68" t="s">
        <v>282</v>
      </c>
      <c r="U1037" s="68" t="s">
        <v>282</v>
      </c>
      <c r="V1037" s="68" t="s">
        <v>282</v>
      </c>
      <c r="W1037" s="69" t="s">
        <v>282</v>
      </c>
      <c r="X1037" s="69" t="s">
        <v>282</v>
      </c>
      <c r="Y1037" s="70" t="s">
        <v>282</v>
      </c>
    </row>
    <row r="1038" spans="1:25">
      <c r="A1038" s="64">
        <v>19</v>
      </c>
      <c r="B1038" s="65" t="str">
        <f>VLOOKUP(Tabel10[[#This Row],[Code]],Ruimtegroepen[[Code]:[Ruimte omschrijving]],2,FALSE)</f>
        <v>Kleedruimtes</v>
      </c>
      <c r="C1038" s="66" t="s">
        <v>1147</v>
      </c>
      <c r="D1038" s="65" t="s">
        <v>27</v>
      </c>
      <c r="E1038" s="66" t="s">
        <v>101</v>
      </c>
      <c r="F1038" s="66" t="s">
        <v>1150</v>
      </c>
      <c r="G1038" s="71" t="s">
        <v>282</v>
      </c>
      <c r="H1038" s="67" t="s">
        <v>282</v>
      </c>
      <c r="I1038" s="67" t="s">
        <v>15</v>
      </c>
      <c r="J1038" s="67" t="s">
        <v>282</v>
      </c>
      <c r="K1038" s="67" t="s">
        <v>282</v>
      </c>
      <c r="L1038" s="67" t="s">
        <v>282</v>
      </c>
      <c r="M1038" s="67" t="s">
        <v>282</v>
      </c>
      <c r="N1038" s="67" t="s">
        <v>282</v>
      </c>
      <c r="O1038" s="68" t="s">
        <v>15</v>
      </c>
      <c r="P1038" s="68" t="s">
        <v>15</v>
      </c>
      <c r="Q1038" s="68" t="s">
        <v>15</v>
      </c>
      <c r="R1038" s="68" t="s">
        <v>282</v>
      </c>
      <c r="S1038" s="68" t="s">
        <v>282</v>
      </c>
      <c r="T1038" s="68" t="s">
        <v>282</v>
      </c>
      <c r="U1038" s="68" t="s">
        <v>282</v>
      </c>
      <c r="V1038" s="68" t="s">
        <v>282</v>
      </c>
      <c r="W1038" s="69" t="s">
        <v>282</v>
      </c>
      <c r="X1038" s="69" t="s">
        <v>282</v>
      </c>
      <c r="Y1038" s="70" t="s">
        <v>282</v>
      </c>
    </row>
    <row r="1039" spans="1:25">
      <c r="A1039" s="64">
        <v>19</v>
      </c>
      <c r="B1039" s="65" t="str">
        <f>VLOOKUP(Tabel10[[#This Row],[Code]],Ruimtegroepen[[Code]:[Ruimte omschrijving]],2,FALSE)</f>
        <v>Kleedruimtes</v>
      </c>
      <c r="C1039" s="66" t="s">
        <v>1147</v>
      </c>
      <c r="D1039" s="65" t="s">
        <v>27</v>
      </c>
      <c r="E1039" s="66" t="s">
        <v>102</v>
      </c>
      <c r="F1039" s="66" t="s">
        <v>1151</v>
      </c>
      <c r="G1039" s="71" t="s">
        <v>282</v>
      </c>
      <c r="H1039" s="67" t="s">
        <v>282</v>
      </c>
      <c r="I1039" s="67" t="s">
        <v>15</v>
      </c>
      <c r="J1039" s="67" t="s">
        <v>282</v>
      </c>
      <c r="K1039" s="67" t="s">
        <v>282</v>
      </c>
      <c r="L1039" s="67" t="s">
        <v>282</v>
      </c>
      <c r="M1039" s="67" t="s">
        <v>282</v>
      </c>
      <c r="N1039" s="67" t="s">
        <v>282</v>
      </c>
      <c r="O1039" s="68" t="s">
        <v>15</v>
      </c>
      <c r="P1039" s="68" t="s">
        <v>15</v>
      </c>
      <c r="Q1039" s="68" t="s">
        <v>15</v>
      </c>
      <c r="R1039" s="68" t="s">
        <v>282</v>
      </c>
      <c r="S1039" s="68" t="s">
        <v>282</v>
      </c>
      <c r="T1039" s="68" t="s">
        <v>282</v>
      </c>
      <c r="U1039" s="68" t="s">
        <v>282</v>
      </c>
      <c r="V1039" s="68" t="s">
        <v>282</v>
      </c>
      <c r="W1039" s="69" t="s">
        <v>282</v>
      </c>
      <c r="X1039" s="69" t="s">
        <v>282</v>
      </c>
      <c r="Y1039" s="70" t="s">
        <v>282</v>
      </c>
    </row>
    <row r="1040" spans="1:25">
      <c r="A1040" s="64">
        <v>19</v>
      </c>
      <c r="B1040" s="65" t="str">
        <f>VLOOKUP(Tabel10[[#This Row],[Code]],Ruimtegroepen[[Code]:[Ruimte omschrijving]],2,FALSE)</f>
        <v>Kleedruimtes</v>
      </c>
      <c r="C1040" s="66" t="s">
        <v>1147</v>
      </c>
      <c r="D1040" s="65" t="s">
        <v>27</v>
      </c>
      <c r="E1040" s="66" t="s">
        <v>99</v>
      </c>
      <c r="F1040" s="66" t="s">
        <v>1149</v>
      </c>
      <c r="G1040" s="71" t="s">
        <v>282</v>
      </c>
      <c r="H1040" s="67" t="s">
        <v>15</v>
      </c>
      <c r="I1040" s="67" t="s">
        <v>282</v>
      </c>
      <c r="J1040" s="67" t="s">
        <v>282</v>
      </c>
      <c r="K1040" s="67" t="s">
        <v>282</v>
      </c>
      <c r="L1040" s="67" t="s">
        <v>282</v>
      </c>
      <c r="M1040" s="67" t="s">
        <v>282</v>
      </c>
      <c r="N1040" s="67" t="s">
        <v>282</v>
      </c>
      <c r="O1040" s="68" t="s">
        <v>15</v>
      </c>
      <c r="P1040" s="68" t="s">
        <v>15</v>
      </c>
      <c r="Q1040" s="68" t="s">
        <v>15</v>
      </c>
      <c r="R1040" s="68" t="s">
        <v>282</v>
      </c>
      <c r="S1040" s="68" t="s">
        <v>282</v>
      </c>
      <c r="T1040" s="68" t="s">
        <v>282</v>
      </c>
      <c r="U1040" s="68" t="s">
        <v>282</v>
      </c>
      <c r="V1040" s="68" t="s">
        <v>282</v>
      </c>
      <c r="W1040" s="69" t="s">
        <v>282</v>
      </c>
      <c r="X1040" s="69" t="s">
        <v>282</v>
      </c>
      <c r="Y1040" s="70" t="s">
        <v>282</v>
      </c>
    </row>
    <row r="1041" spans="1:25">
      <c r="A1041" s="64">
        <v>19</v>
      </c>
      <c r="B1041" s="65" t="str">
        <f>VLOOKUP(Tabel10[[#This Row],[Code]],Ruimtegroepen[[Code]:[Ruimte omschrijving]],2,FALSE)</f>
        <v>Kleedruimtes</v>
      </c>
      <c r="C1041" s="66" t="s">
        <v>1147</v>
      </c>
      <c r="D1041" s="65" t="s">
        <v>27</v>
      </c>
      <c r="E1041" s="66" t="s">
        <v>1309</v>
      </c>
      <c r="F1041" s="66" t="s">
        <v>1392</v>
      </c>
      <c r="G1041" s="71" t="s">
        <v>282</v>
      </c>
      <c r="H1041" s="67" t="s">
        <v>282</v>
      </c>
      <c r="I1041" s="67" t="s">
        <v>15</v>
      </c>
      <c r="J1041" s="67" t="s">
        <v>282</v>
      </c>
      <c r="K1041" s="67" t="s">
        <v>282</v>
      </c>
      <c r="L1041" s="67" t="s">
        <v>282</v>
      </c>
      <c r="M1041" s="67" t="s">
        <v>282</v>
      </c>
      <c r="N1041" s="67" t="s">
        <v>282</v>
      </c>
      <c r="O1041" s="68" t="s">
        <v>15</v>
      </c>
      <c r="P1041" s="68" t="s">
        <v>15</v>
      </c>
      <c r="Q1041" s="68" t="s">
        <v>15</v>
      </c>
      <c r="R1041" s="68" t="s">
        <v>282</v>
      </c>
      <c r="S1041" s="68" t="s">
        <v>282</v>
      </c>
      <c r="T1041" s="68" t="s">
        <v>282</v>
      </c>
      <c r="U1041" s="68" t="s">
        <v>282</v>
      </c>
      <c r="V1041" s="68" t="s">
        <v>282</v>
      </c>
      <c r="W1041" s="69" t="s">
        <v>282</v>
      </c>
      <c r="X1041" s="69" t="s">
        <v>282</v>
      </c>
      <c r="Y1041" s="70" t="s">
        <v>282</v>
      </c>
    </row>
    <row r="1042" spans="1:25">
      <c r="A1042" s="64">
        <v>19</v>
      </c>
      <c r="B1042" s="65" t="str">
        <f>VLOOKUP(Tabel10[[#This Row],[Code]],Ruimtegroepen[[Code]:[Ruimte omschrijving]],2,FALSE)</f>
        <v>Kleedruimtes</v>
      </c>
      <c r="C1042" s="66" t="s">
        <v>1152</v>
      </c>
      <c r="D1042" s="65" t="s">
        <v>28</v>
      </c>
      <c r="E1042" s="66" t="s">
        <v>100</v>
      </c>
      <c r="F1042" s="66" t="s">
        <v>1153</v>
      </c>
      <c r="G1042" s="71" t="s">
        <v>282</v>
      </c>
      <c r="H1042" s="67" t="s">
        <v>282</v>
      </c>
      <c r="I1042" s="67" t="s">
        <v>17</v>
      </c>
      <c r="J1042" s="67" t="s">
        <v>282</v>
      </c>
      <c r="K1042" s="67" t="s">
        <v>282</v>
      </c>
      <c r="L1042" s="67" t="s">
        <v>282</v>
      </c>
      <c r="M1042" s="67" t="s">
        <v>282</v>
      </c>
      <c r="N1042" s="67" t="s">
        <v>282</v>
      </c>
      <c r="O1042" s="68" t="s">
        <v>17</v>
      </c>
      <c r="P1042" s="68" t="s">
        <v>17</v>
      </c>
      <c r="Q1042" s="68" t="s">
        <v>15</v>
      </c>
      <c r="R1042" s="68" t="s">
        <v>282</v>
      </c>
      <c r="S1042" s="68" t="s">
        <v>282</v>
      </c>
      <c r="T1042" s="68" t="s">
        <v>282</v>
      </c>
      <c r="U1042" s="68" t="s">
        <v>282</v>
      </c>
      <c r="V1042" s="68" t="s">
        <v>282</v>
      </c>
      <c r="W1042" s="69" t="s">
        <v>282</v>
      </c>
      <c r="X1042" s="69" t="s">
        <v>282</v>
      </c>
      <c r="Y1042" s="70" t="s">
        <v>282</v>
      </c>
    </row>
    <row r="1043" spans="1:25">
      <c r="A1043" s="64">
        <v>19</v>
      </c>
      <c r="B1043" s="65" t="str">
        <f>VLOOKUP(Tabel10[[#This Row],[Code]],Ruimtegroepen[[Code]:[Ruimte omschrijving]],2,FALSE)</f>
        <v>Kleedruimtes</v>
      </c>
      <c r="C1043" s="66" t="s">
        <v>1152</v>
      </c>
      <c r="D1043" s="65" t="s">
        <v>28</v>
      </c>
      <c r="E1043" s="66" t="s">
        <v>99</v>
      </c>
      <c r="F1043" s="66" t="s">
        <v>1154</v>
      </c>
      <c r="G1043" s="71" t="s">
        <v>282</v>
      </c>
      <c r="H1043" s="67" t="s">
        <v>17</v>
      </c>
      <c r="I1043" s="67" t="s">
        <v>282</v>
      </c>
      <c r="J1043" s="67" t="s">
        <v>282</v>
      </c>
      <c r="K1043" s="67" t="s">
        <v>282</v>
      </c>
      <c r="L1043" s="67" t="s">
        <v>282</v>
      </c>
      <c r="M1043" s="67" t="s">
        <v>282</v>
      </c>
      <c r="N1043" s="67" t="s">
        <v>282</v>
      </c>
      <c r="O1043" s="68" t="s">
        <v>17</v>
      </c>
      <c r="P1043" s="68" t="s">
        <v>17</v>
      </c>
      <c r="Q1043" s="68" t="s">
        <v>15</v>
      </c>
      <c r="R1043" s="68" t="s">
        <v>282</v>
      </c>
      <c r="S1043" s="68" t="s">
        <v>282</v>
      </c>
      <c r="T1043" s="68" t="s">
        <v>282</v>
      </c>
      <c r="U1043" s="68" t="s">
        <v>282</v>
      </c>
      <c r="V1043" s="68" t="s">
        <v>282</v>
      </c>
      <c r="W1043" s="69" t="s">
        <v>282</v>
      </c>
      <c r="X1043" s="69" t="s">
        <v>282</v>
      </c>
      <c r="Y1043" s="70" t="s">
        <v>282</v>
      </c>
    </row>
    <row r="1044" spans="1:25">
      <c r="A1044" s="64">
        <v>19</v>
      </c>
      <c r="B1044" s="65" t="str">
        <f>VLOOKUP(Tabel10[[#This Row],[Code]],Ruimtegroepen[[Code]:[Ruimte omschrijving]],2,FALSE)</f>
        <v>Kleedruimtes</v>
      </c>
      <c r="C1044" s="66" t="s">
        <v>1152</v>
      </c>
      <c r="D1044" s="65" t="s">
        <v>28</v>
      </c>
      <c r="E1044" s="66" t="s">
        <v>101</v>
      </c>
      <c r="F1044" s="66" t="s">
        <v>1155</v>
      </c>
      <c r="G1044" s="71" t="s">
        <v>282</v>
      </c>
      <c r="H1044" s="67" t="s">
        <v>282</v>
      </c>
      <c r="I1044" s="67" t="s">
        <v>17</v>
      </c>
      <c r="J1044" s="67" t="s">
        <v>282</v>
      </c>
      <c r="K1044" s="67" t="s">
        <v>282</v>
      </c>
      <c r="L1044" s="67" t="s">
        <v>282</v>
      </c>
      <c r="M1044" s="67" t="s">
        <v>282</v>
      </c>
      <c r="N1044" s="67" t="s">
        <v>282</v>
      </c>
      <c r="O1044" s="68" t="s">
        <v>17</v>
      </c>
      <c r="P1044" s="68" t="s">
        <v>17</v>
      </c>
      <c r="Q1044" s="68" t="s">
        <v>15</v>
      </c>
      <c r="R1044" s="68" t="s">
        <v>282</v>
      </c>
      <c r="S1044" s="68" t="s">
        <v>282</v>
      </c>
      <c r="T1044" s="68" t="s">
        <v>282</v>
      </c>
      <c r="U1044" s="68" t="s">
        <v>282</v>
      </c>
      <c r="V1044" s="68" t="s">
        <v>282</v>
      </c>
      <c r="W1044" s="69" t="s">
        <v>282</v>
      </c>
      <c r="X1044" s="69" t="s">
        <v>282</v>
      </c>
      <c r="Y1044" s="70" t="s">
        <v>282</v>
      </c>
    </row>
    <row r="1045" spans="1:25">
      <c r="A1045" s="64">
        <v>19</v>
      </c>
      <c r="B1045" s="65" t="str">
        <f>VLOOKUP(Tabel10[[#This Row],[Code]],Ruimtegroepen[[Code]:[Ruimte omschrijving]],2,FALSE)</f>
        <v>Kleedruimtes</v>
      </c>
      <c r="C1045" s="66" t="s">
        <v>1152</v>
      </c>
      <c r="D1045" s="65" t="s">
        <v>28</v>
      </c>
      <c r="E1045" s="66" t="s">
        <v>102</v>
      </c>
      <c r="F1045" s="66" t="s">
        <v>1156</v>
      </c>
      <c r="G1045" s="71" t="s">
        <v>282</v>
      </c>
      <c r="H1045" s="67" t="s">
        <v>282</v>
      </c>
      <c r="I1045" s="67" t="s">
        <v>17</v>
      </c>
      <c r="J1045" s="67" t="s">
        <v>282</v>
      </c>
      <c r="K1045" s="67" t="s">
        <v>282</v>
      </c>
      <c r="L1045" s="67" t="s">
        <v>282</v>
      </c>
      <c r="M1045" s="67" t="s">
        <v>282</v>
      </c>
      <c r="N1045" s="67" t="s">
        <v>282</v>
      </c>
      <c r="O1045" s="68" t="s">
        <v>17</v>
      </c>
      <c r="P1045" s="68" t="s">
        <v>17</v>
      </c>
      <c r="Q1045" s="68" t="s">
        <v>15</v>
      </c>
      <c r="R1045" s="68" t="s">
        <v>282</v>
      </c>
      <c r="S1045" s="68" t="s">
        <v>282</v>
      </c>
      <c r="T1045" s="68" t="s">
        <v>282</v>
      </c>
      <c r="U1045" s="68" t="s">
        <v>282</v>
      </c>
      <c r="V1045" s="68" t="s">
        <v>282</v>
      </c>
      <c r="W1045" s="69" t="s">
        <v>282</v>
      </c>
      <c r="X1045" s="69" t="s">
        <v>282</v>
      </c>
      <c r="Y1045" s="70" t="s">
        <v>282</v>
      </c>
    </row>
    <row r="1046" spans="1:25">
      <c r="A1046" s="64">
        <v>19</v>
      </c>
      <c r="B1046" s="65" t="str">
        <f>VLOOKUP(Tabel10[[#This Row],[Code]],Ruimtegroepen[[Code]:[Ruimte omschrijving]],2,FALSE)</f>
        <v>Kleedruimtes</v>
      </c>
      <c r="C1046" s="66" t="s">
        <v>1152</v>
      </c>
      <c r="D1046" s="65" t="s">
        <v>28</v>
      </c>
      <c r="E1046" s="66" t="s">
        <v>99</v>
      </c>
      <c r="F1046" s="66" t="s">
        <v>1154</v>
      </c>
      <c r="G1046" s="71" t="s">
        <v>282</v>
      </c>
      <c r="H1046" s="67" t="s">
        <v>17</v>
      </c>
      <c r="I1046" s="67" t="s">
        <v>282</v>
      </c>
      <c r="J1046" s="67" t="s">
        <v>282</v>
      </c>
      <c r="K1046" s="67" t="s">
        <v>282</v>
      </c>
      <c r="L1046" s="67" t="s">
        <v>282</v>
      </c>
      <c r="M1046" s="67" t="s">
        <v>282</v>
      </c>
      <c r="N1046" s="67" t="s">
        <v>282</v>
      </c>
      <c r="O1046" s="68" t="s">
        <v>17</v>
      </c>
      <c r="P1046" s="68" t="s">
        <v>17</v>
      </c>
      <c r="Q1046" s="68" t="s">
        <v>15</v>
      </c>
      <c r="R1046" s="68" t="s">
        <v>282</v>
      </c>
      <c r="S1046" s="68" t="s">
        <v>282</v>
      </c>
      <c r="T1046" s="68" t="s">
        <v>282</v>
      </c>
      <c r="U1046" s="68" t="s">
        <v>282</v>
      </c>
      <c r="V1046" s="68" t="s">
        <v>282</v>
      </c>
      <c r="W1046" s="69" t="s">
        <v>282</v>
      </c>
      <c r="X1046" s="69" t="s">
        <v>282</v>
      </c>
      <c r="Y1046" s="70" t="s">
        <v>282</v>
      </c>
    </row>
    <row r="1047" spans="1:25">
      <c r="A1047" s="64">
        <v>19</v>
      </c>
      <c r="B1047" s="65" t="str">
        <f>VLOOKUP(Tabel10[[#This Row],[Code]],Ruimtegroepen[[Code]:[Ruimte omschrijving]],2,FALSE)</f>
        <v>Kleedruimtes</v>
      </c>
      <c r="C1047" s="66" t="s">
        <v>1152</v>
      </c>
      <c r="D1047" s="65" t="s">
        <v>28</v>
      </c>
      <c r="E1047" s="66" t="s">
        <v>1309</v>
      </c>
      <c r="F1047" s="66" t="s">
        <v>1425</v>
      </c>
      <c r="G1047" s="71" t="s">
        <v>282</v>
      </c>
      <c r="H1047" s="67" t="s">
        <v>282</v>
      </c>
      <c r="I1047" s="67" t="s">
        <v>17</v>
      </c>
      <c r="J1047" s="67" t="s">
        <v>282</v>
      </c>
      <c r="K1047" s="67" t="s">
        <v>282</v>
      </c>
      <c r="L1047" s="67" t="s">
        <v>282</v>
      </c>
      <c r="M1047" s="67" t="s">
        <v>282</v>
      </c>
      <c r="N1047" s="67" t="s">
        <v>282</v>
      </c>
      <c r="O1047" s="68" t="s">
        <v>17</v>
      </c>
      <c r="P1047" s="68" t="s">
        <v>17</v>
      </c>
      <c r="Q1047" s="68" t="s">
        <v>15</v>
      </c>
      <c r="R1047" s="68" t="s">
        <v>282</v>
      </c>
      <c r="S1047" s="68" t="s">
        <v>282</v>
      </c>
      <c r="T1047" s="68" t="s">
        <v>282</v>
      </c>
      <c r="U1047" s="68" t="s">
        <v>282</v>
      </c>
      <c r="V1047" s="68" t="s">
        <v>282</v>
      </c>
      <c r="W1047" s="69" t="s">
        <v>282</v>
      </c>
      <c r="X1047" s="69" t="s">
        <v>282</v>
      </c>
      <c r="Y1047" s="70" t="s">
        <v>282</v>
      </c>
    </row>
    <row r="1048" spans="1:25">
      <c r="A1048" s="64">
        <v>20</v>
      </c>
      <c r="B1048" s="65" t="str">
        <f>VLOOKUP(Tabel10[[#This Row],[Code]],Ruimtegroepen[[Code]:[Ruimte omschrijving]],2,FALSE)</f>
        <v>Niet in Onderhoud</v>
      </c>
      <c r="C1048" s="66" t="s">
        <v>1157</v>
      </c>
      <c r="D1048" s="65" t="s">
        <v>29</v>
      </c>
      <c r="E1048" s="66" t="s">
        <v>100</v>
      </c>
      <c r="F1048" s="66" t="s">
        <v>1158</v>
      </c>
      <c r="G1048" s="71" t="s">
        <v>282</v>
      </c>
      <c r="H1048" s="67" t="s">
        <v>282</v>
      </c>
      <c r="I1048" s="67" t="s">
        <v>282</v>
      </c>
      <c r="J1048" s="67" t="s">
        <v>282</v>
      </c>
      <c r="K1048" s="67" t="s">
        <v>282</v>
      </c>
      <c r="L1048" s="67" t="s">
        <v>282</v>
      </c>
      <c r="M1048" s="67" t="s">
        <v>282</v>
      </c>
      <c r="N1048" s="67" t="s">
        <v>282</v>
      </c>
      <c r="O1048" s="68" t="s">
        <v>282</v>
      </c>
      <c r="P1048" s="68" t="s">
        <v>282</v>
      </c>
      <c r="Q1048" s="68" t="s">
        <v>282</v>
      </c>
      <c r="R1048" s="68" t="s">
        <v>282</v>
      </c>
      <c r="S1048" s="68" t="s">
        <v>282</v>
      </c>
      <c r="T1048" s="68" t="s">
        <v>282</v>
      </c>
      <c r="U1048" s="68" t="s">
        <v>282</v>
      </c>
      <c r="V1048" s="68" t="s">
        <v>282</v>
      </c>
      <c r="W1048" s="69" t="s">
        <v>282</v>
      </c>
      <c r="X1048" s="69" t="s">
        <v>282</v>
      </c>
      <c r="Y1048" s="70" t="s">
        <v>282</v>
      </c>
    </row>
    <row r="1049" spans="1:25">
      <c r="A1049" s="64">
        <v>20</v>
      </c>
      <c r="B1049" s="65" t="str">
        <f>VLOOKUP(Tabel10[[#This Row],[Code]],Ruimtegroepen[[Code]:[Ruimte omschrijving]],2,FALSE)</f>
        <v>Niet in Onderhoud</v>
      </c>
      <c r="C1049" s="66" t="s">
        <v>1157</v>
      </c>
      <c r="D1049" s="65" t="s">
        <v>29</v>
      </c>
      <c r="E1049" s="66" t="s">
        <v>99</v>
      </c>
      <c r="F1049" s="66" t="s">
        <v>1159</v>
      </c>
      <c r="G1049" s="71" t="s">
        <v>282</v>
      </c>
      <c r="H1049" s="67" t="s">
        <v>282</v>
      </c>
      <c r="I1049" s="67" t="s">
        <v>282</v>
      </c>
      <c r="J1049" s="67" t="s">
        <v>282</v>
      </c>
      <c r="K1049" s="67" t="s">
        <v>282</v>
      </c>
      <c r="L1049" s="67" t="s">
        <v>282</v>
      </c>
      <c r="M1049" s="67" t="s">
        <v>282</v>
      </c>
      <c r="N1049" s="67" t="s">
        <v>282</v>
      </c>
      <c r="O1049" s="68" t="s">
        <v>282</v>
      </c>
      <c r="P1049" s="68" t="s">
        <v>282</v>
      </c>
      <c r="Q1049" s="68" t="s">
        <v>282</v>
      </c>
      <c r="R1049" s="68" t="s">
        <v>282</v>
      </c>
      <c r="S1049" s="68" t="s">
        <v>282</v>
      </c>
      <c r="T1049" s="68" t="s">
        <v>282</v>
      </c>
      <c r="U1049" s="68" t="s">
        <v>282</v>
      </c>
      <c r="V1049" s="68" t="s">
        <v>282</v>
      </c>
      <c r="W1049" s="69" t="s">
        <v>282</v>
      </c>
      <c r="X1049" s="69" t="s">
        <v>282</v>
      </c>
      <c r="Y1049" s="70" t="s">
        <v>282</v>
      </c>
    </row>
    <row r="1050" spans="1:25">
      <c r="A1050" s="64">
        <v>20</v>
      </c>
      <c r="B1050" s="65" t="str">
        <f>VLOOKUP(Tabel10[[#This Row],[Code]],Ruimtegroepen[[Code]:[Ruimte omschrijving]],2,FALSE)</f>
        <v>Niet in Onderhoud</v>
      </c>
      <c r="C1050" s="66" t="s">
        <v>1157</v>
      </c>
      <c r="D1050" s="65" t="s">
        <v>29</v>
      </c>
      <c r="E1050" s="66" t="s">
        <v>101</v>
      </c>
      <c r="F1050" s="66" t="s">
        <v>1160</v>
      </c>
      <c r="G1050" s="71" t="s">
        <v>282</v>
      </c>
      <c r="H1050" s="67" t="s">
        <v>282</v>
      </c>
      <c r="I1050" s="67" t="s">
        <v>282</v>
      </c>
      <c r="J1050" s="67" t="s">
        <v>282</v>
      </c>
      <c r="K1050" s="67" t="s">
        <v>282</v>
      </c>
      <c r="L1050" s="67" t="s">
        <v>282</v>
      </c>
      <c r="M1050" s="67" t="s">
        <v>282</v>
      </c>
      <c r="N1050" s="67" t="s">
        <v>282</v>
      </c>
      <c r="O1050" s="68" t="s">
        <v>282</v>
      </c>
      <c r="P1050" s="68" t="s">
        <v>282</v>
      </c>
      <c r="Q1050" s="68" t="s">
        <v>282</v>
      </c>
      <c r="R1050" s="68" t="s">
        <v>282</v>
      </c>
      <c r="S1050" s="68" t="s">
        <v>282</v>
      </c>
      <c r="T1050" s="68" t="s">
        <v>282</v>
      </c>
      <c r="U1050" s="68" t="s">
        <v>282</v>
      </c>
      <c r="V1050" s="68" t="s">
        <v>282</v>
      </c>
      <c r="W1050" s="69" t="s">
        <v>282</v>
      </c>
      <c r="X1050" s="69" t="s">
        <v>282</v>
      </c>
      <c r="Y1050" s="70" t="s">
        <v>282</v>
      </c>
    </row>
    <row r="1051" spans="1:25">
      <c r="A1051" s="64">
        <v>20</v>
      </c>
      <c r="B1051" s="65" t="str">
        <f>VLOOKUP(Tabel10[[#This Row],[Code]],Ruimtegroepen[[Code]:[Ruimte omschrijving]],2,FALSE)</f>
        <v>Niet in Onderhoud</v>
      </c>
      <c r="C1051" s="66" t="s">
        <v>1157</v>
      </c>
      <c r="D1051" s="65" t="s">
        <v>29</v>
      </c>
      <c r="E1051" s="66" t="s">
        <v>102</v>
      </c>
      <c r="F1051" s="66" t="s">
        <v>1161</v>
      </c>
      <c r="G1051" s="71" t="s">
        <v>282</v>
      </c>
      <c r="H1051" s="67" t="s">
        <v>282</v>
      </c>
      <c r="I1051" s="67" t="s">
        <v>282</v>
      </c>
      <c r="J1051" s="67" t="s">
        <v>282</v>
      </c>
      <c r="K1051" s="67" t="s">
        <v>282</v>
      </c>
      <c r="L1051" s="67" t="s">
        <v>282</v>
      </c>
      <c r="M1051" s="67" t="s">
        <v>282</v>
      </c>
      <c r="N1051" s="67" t="s">
        <v>282</v>
      </c>
      <c r="O1051" s="68" t="s">
        <v>282</v>
      </c>
      <c r="P1051" s="68" t="s">
        <v>282</v>
      </c>
      <c r="Q1051" s="68" t="s">
        <v>282</v>
      </c>
      <c r="R1051" s="68" t="s">
        <v>282</v>
      </c>
      <c r="S1051" s="68" t="s">
        <v>282</v>
      </c>
      <c r="T1051" s="68" t="s">
        <v>282</v>
      </c>
      <c r="U1051" s="68" t="s">
        <v>282</v>
      </c>
      <c r="V1051" s="68" t="s">
        <v>282</v>
      </c>
      <c r="W1051" s="69" t="s">
        <v>282</v>
      </c>
      <c r="X1051" s="69" t="s">
        <v>282</v>
      </c>
      <c r="Y1051" s="70" t="s">
        <v>282</v>
      </c>
    </row>
    <row r="1052" spans="1:25">
      <c r="A1052" s="64">
        <v>20</v>
      </c>
      <c r="B1052" s="65" t="str">
        <f>VLOOKUP(Tabel10[[#This Row],[Code]],Ruimtegroepen[[Code]:[Ruimte omschrijving]],2,FALSE)</f>
        <v>Niet in Onderhoud</v>
      </c>
      <c r="C1052" s="66" t="s">
        <v>1157</v>
      </c>
      <c r="D1052" s="65" t="s">
        <v>29</v>
      </c>
      <c r="E1052" s="66" t="s">
        <v>99</v>
      </c>
      <c r="F1052" s="66" t="s">
        <v>1159</v>
      </c>
      <c r="G1052" s="71" t="s">
        <v>282</v>
      </c>
      <c r="H1052" s="67" t="s">
        <v>282</v>
      </c>
      <c r="I1052" s="67" t="s">
        <v>282</v>
      </c>
      <c r="J1052" s="67" t="s">
        <v>282</v>
      </c>
      <c r="K1052" s="67" t="s">
        <v>282</v>
      </c>
      <c r="L1052" s="67" t="s">
        <v>282</v>
      </c>
      <c r="M1052" s="67" t="s">
        <v>282</v>
      </c>
      <c r="N1052" s="67" t="s">
        <v>282</v>
      </c>
      <c r="O1052" s="68" t="s">
        <v>282</v>
      </c>
      <c r="P1052" s="68" t="s">
        <v>282</v>
      </c>
      <c r="Q1052" s="68" t="s">
        <v>282</v>
      </c>
      <c r="R1052" s="68" t="s">
        <v>282</v>
      </c>
      <c r="S1052" s="68" t="s">
        <v>282</v>
      </c>
      <c r="T1052" s="68" t="s">
        <v>282</v>
      </c>
      <c r="U1052" s="68" t="s">
        <v>282</v>
      </c>
      <c r="V1052" s="68" t="s">
        <v>282</v>
      </c>
      <c r="W1052" s="69" t="s">
        <v>282</v>
      </c>
      <c r="X1052" s="69" t="s">
        <v>282</v>
      </c>
      <c r="Y1052" s="70" t="s">
        <v>282</v>
      </c>
    </row>
    <row r="1053" spans="1:25">
      <c r="A1053" s="64">
        <v>20</v>
      </c>
      <c r="B1053" s="65" t="str">
        <f>VLOOKUP(Tabel10[[#This Row],[Code]],Ruimtegroepen[[Code]:[Ruimte omschrijving]],2,FALSE)</f>
        <v>Niet in Onderhoud</v>
      </c>
      <c r="C1053" s="66" t="s">
        <v>1157</v>
      </c>
      <c r="D1053" s="65" t="s">
        <v>29</v>
      </c>
      <c r="E1053" s="66" t="s">
        <v>1309</v>
      </c>
      <c r="F1053" s="66" t="s">
        <v>1327</v>
      </c>
      <c r="G1053" s="71" t="s">
        <v>282</v>
      </c>
      <c r="H1053" s="67" t="s">
        <v>282</v>
      </c>
      <c r="I1053" s="67" t="s">
        <v>282</v>
      </c>
      <c r="J1053" s="67" t="s">
        <v>282</v>
      </c>
      <c r="K1053" s="67" t="s">
        <v>282</v>
      </c>
      <c r="L1053" s="67" t="s">
        <v>282</v>
      </c>
      <c r="M1053" s="67" t="s">
        <v>282</v>
      </c>
      <c r="N1053" s="67" t="s">
        <v>282</v>
      </c>
      <c r="O1053" s="68" t="s">
        <v>282</v>
      </c>
      <c r="P1053" s="68" t="s">
        <v>282</v>
      </c>
      <c r="Q1053" s="68" t="s">
        <v>282</v>
      </c>
      <c r="R1053" s="68" t="s">
        <v>282</v>
      </c>
      <c r="S1053" s="68" t="s">
        <v>282</v>
      </c>
      <c r="T1053" s="68" t="s">
        <v>282</v>
      </c>
      <c r="U1053" s="68" t="s">
        <v>282</v>
      </c>
      <c r="V1053" s="68" t="s">
        <v>282</v>
      </c>
      <c r="W1053" s="69" t="s">
        <v>282</v>
      </c>
      <c r="X1053" s="69" t="s">
        <v>282</v>
      </c>
      <c r="Y1053" s="70" t="s">
        <v>282</v>
      </c>
    </row>
    <row r="1054" spans="1:25">
      <c r="A1054" s="64">
        <v>20</v>
      </c>
      <c r="B1054" s="65" t="str">
        <f>VLOOKUP(Tabel10[[#This Row],[Code]],Ruimtegroepen[[Code]:[Ruimte omschrijving]],2,FALSE)</f>
        <v>Niet in Onderhoud</v>
      </c>
      <c r="C1054" s="66" t="s">
        <v>1162</v>
      </c>
      <c r="D1054" s="65" t="s">
        <v>1</v>
      </c>
      <c r="E1054" s="66" t="s">
        <v>100</v>
      </c>
      <c r="F1054" s="66" t="s">
        <v>1163</v>
      </c>
      <c r="G1054" s="71" t="s">
        <v>282</v>
      </c>
      <c r="H1054" s="67" t="s">
        <v>282</v>
      </c>
      <c r="I1054" s="67" t="s">
        <v>282</v>
      </c>
      <c r="J1054" s="67" t="s">
        <v>282</v>
      </c>
      <c r="K1054" s="67" t="s">
        <v>282</v>
      </c>
      <c r="L1054" s="67" t="s">
        <v>282</v>
      </c>
      <c r="M1054" s="67" t="s">
        <v>282</v>
      </c>
      <c r="N1054" s="67" t="s">
        <v>282</v>
      </c>
      <c r="O1054" s="68" t="s">
        <v>282</v>
      </c>
      <c r="P1054" s="68" t="s">
        <v>282</v>
      </c>
      <c r="Q1054" s="68" t="s">
        <v>282</v>
      </c>
      <c r="R1054" s="68" t="s">
        <v>282</v>
      </c>
      <c r="S1054" s="68" t="s">
        <v>282</v>
      </c>
      <c r="T1054" s="68" t="s">
        <v>282</v>
      </c>
      <c r="U1054" s="68" t="s">
        <v>282</v>
      </c>
      <c r="V1054" s="68" t="s">
        <v>282</v>
      </c>
      <c r="W1054" s="69" t="s">
        <v>282</v>
      </c>
      <c r="X1054" s="69" t="s">
        <v>282</v>
      </c>
      <c r="Y1054" s="70" t="s">
        <v>282</v>
      </c>
    </row>
    <row r="1055" spans="1:25">
      <c r="A1055" s="64">
        <v>20</v>
      </c>
      <c r="B1055" s="65" t="str">
        <f>VLOOKUP(Tabel10[[#This Row],[Code]],Ruimtegroepen[[Code]:[Ruimte omschrijving]],2,FALSE)</f>
        <v>Niet in Onderhoud</v>
      </c>
      <c r="C1055" s="66" t="s">
        <v>1162</v>
      </c>
      <c r="D1055" s="65" t="s">
        <v>1</v>
      </c>
      <c r="E1055" s="66" t="s">
        <v>99</v>
      </c>
      <c r="F1055" s="66" t="s">
        <v>1164</v>
      </c>
      <c r="G1055" s="71" t="s">
        <v>282</v>
      </c>
      <c r="H1055" s="67" t="s">
        <v>282</v>
      </c>
      <c r="I1055" s="67" t="s">
        <v>282</v>
      </c>
      <c r="J1055" s="67" t="s">
        <v>282</v>
      </c>
      <c r="K1055" s="67" t="s">
        <v>282</v>
      </c>
      <c r="L1055" s="67" t="s">
        <v>282</v>
      </c>
      <c r="M1055" s="67" t="s">
        <v>282</v>
      </c>
      <c r="N1055" s="67" t="s">
        <v>282</v>
      </c>
      <c r="O1055" s="68" t="s">
        <v>282</v>
      </c>
      <c r="P1055" s="68" t="s">
        <v>282</v>
      </c>
      <c r="Q1055" s="68" t="s">
        <v>282</v>
      </c>
      <c r="R1055" s="68" t="s">
        <v>282</v>
      </c>
      <c r="S1055" s="68" t="s">
        <v>282</v>
      </c>
      <c r="T1055" s="68" t="s">
        <v>282</v>
      </c>
      <c r="U1055" s="68" t="s">
        <v>282</v>
      </c>
      <c r="V1055" s="68" t="s">
        <v>282</v>
      </c>
      <c r="W1055" s="69" t="s">
        <v>282</v>
      </c>
      <c r="X1055" s="69" t="s">
        <v>282</v>
      </c>
      <c r="Y1055" s="70" t="s">
        <v>282</v>
      </c>
    </row>
    <row r="1056" spans="1:25">
      <c r="A1056" s="64">
        <v>20</v>
      </c>
      <c r="B1056" s="65" t="str">
        <f>VLOOKUP(Tabel10[[#This Row],[Code]],Ruimtegroepen[[Code]:[Ruimte omschrijving]],2,FALSE)</f>
        <v>Niet in Onderhoud</v>
      </c>
      <c r="C1056" s="66" t="s">
        <v>1162</v>
      </c>
      <c r="D1056" s="65" t="s">
        <v>1</v>
      </c>
      <c r="E1056" s="66" t="s">
        <v>101</v>
      </c>
      <c r="F1056" s="66" t="s">
        <v>1165</v>
      </c>
      <c r="G1056" s="71" t="s">
        <v>282</v>
      </c>
      <c r="H1056" s="67" t="s">
        <v>282</v>
      </c>
      <c r="I1056" s="67" t="s">
        <v>282</v>
      </c>
      <c r="J1056" s="67" t="s">
        <v>282</v>
      </c>
      <c r="K1056" s="67" t="s">
        <v>282</v>
      </c>
      <c r="L1056" s="67" t="s">
        <v>282</v>
      </c>
      <c r="M1056" s="67" t="s">
        <v>282</v>
      </c>
      <c r="N1056" s="67" t="s">
        <v>282</v>
      </c>
      <c r="O1056" s="68" t="s">
        <v>282</v>
      </c>
      <c r="P1056" s="68" t="s">
        <v>282</v>
      </c>
      <c r="Q1056" s="68" t="s">
        <v>282</v>
      </c>
      <c r="R1056" s="68" t="s">
        <v>282</v>
      </c>
      <c r="S1056" s="68" t="s">
        <v>282</v>
      </c>
      <c r="T1056" s="68" t="s">
        <v>282</v>
      </c>
      <c r="U1056" s="68" t="s">
        <v>282</v>
      </c>
      <c r="V1056" s="68" t="s">
        <v>282</v>
      </c>
      <c r="W1056" s="69" t="s">
        <v>282</v>
      </c>
      <c r="X1056" s="69" t="s">
        <v>282</v>
      </c>
      <c r="Y1056" s="70" t="s">
        <v>282</v>
      </c>
    </row>
    <row r="1057" spans="1:25">
      <c r="A1057" s="64">
        <v>20</v>
      </c>
      <c r="B1057" s="65" t="str">
        <f>VLOOKUP(Tabel10[[#This Row],[Code]],Ruimtegroepen[[Code]:[Ruimte omschrijving]],2,FALSE)</f>
        <v>Niet in Onderhoud</v>
      </c>
      <c r="C1057" s="66" t="s">
        <v>1162</v>
      </c>
      <c r="D1057" s="65" t="s">
        <v>1</v>
      </c>
      <c r="E1057" s="66" t="s">
        <v>102</v>
      </c>
      <c r="F1057" s="66" t="s">
        <v>1166</v>
      </c>
      <c r="G1057" s="71" t="s">
        <v>282</v>
      </c>
      <c r="H1057" s="67" t="s">
        <v>282</v>
      </c>
      <c r="I1057" s="67" t="s">
        <v>282</v>
      </c>
      <c r="J1057" s="67" t="s">
        <v>282</v>
      </c>
      <c r="K1057" s="67" t="s">
        <v>282</v>
      </c>
      <c r="L1057" s="67" t="s">
        <v>282</v>
      </c>
      <c r="M1057" s="67" t="s">
        <v>282</v>
      </c>
      <c r="N1057" s="67" t="s">
        <v>282</v>
      </c>
      <c r="O1057" s="68" t="s">
        <v>282</v>
      </c>
      <c r="P1057" s="68" t="s">
        <v>282</v>
      </c>
      <c r="Q1057" s="68" t="s">
        <v>282</v>
      </c>
      <c r="R1057" s="68" t="s">
        <v>282</v>
      </c>
      <c r="S1057" s="68" t="s">
        <v>282</v>
      </c>
      <c r="T1057" s="68" t="s">
        <v>282</v>
      </c>
      <c r="U1057" s="68" t="s">
        <v>282</v>
      </c>
      <c r="V1057" s="68" t="s">
        <v>282</v>
      </c>
      <c r="W1057" s="69" t="s">
        <v>282</v>
      </c>
      <c r="X1057" s="69" t="s">
        <v>282</v>
      </c>
      <c r="Y1057" s="70" t="s">
        <v>282</v>
      </c>
    </row>
    <row r="1058" spans="1:25">
      <c r="A1058" s="64">
        <v>20</v>
      </c>
      <c r="B1058" s="65" t="str">
        <f>VLOOKUP(Tabel10[[#This Row],[Code]],Ruimtegroepen[[Code]:[Ruimte omschrijving]],2,FALSE)</f>
        <v>Niet in Onderhoud</v>
      </c>
      <c r="C1058" s="66" t="s">
        <v>1162</v>
      </c>
      <c r="D1058" s="65" t="s">
        <v>1</v>
      </c>
      <c r="E1058" s="66" t="s">
        <v>99</v>
      </c>
      <c r="F1058" s="66" t="s">
        <v>1164</v>
      </c>
      <c r="G1058" s="71" t="s">
        <v>282</v>
      </c>
      <c r="H1058" s="67" t="s">
        <v>282</v>
      </c>
      <c r="I1058" s="67" t="s">
        <v>282</v>
      </c>
      <c r="J1058" s="67" t="s">
        <v>282</v>
      </c>
      <c r="K1058" s="67" t="s">
        <v>282</v>
      </c>
      <c r="L1058" s="67" t="s">
        <v>282</v>
      </c>
      <c r="M1058" s="67" t="s">
        <v>282</v>
      </c>
      <c r="N1058" s="67" t="s">
        <v>282</v>
      </c>
      <c r="O1058" s="68" t="s">
        <v>282</v>
      </c>
      <c r="P1058" s="68" t="s">
        <v>282</v>
      </c>
      <c r="Q1058" s="68" t="s">
        <v>282</v>
      </c>
      <c r="R1058" s="68" t="s">
        <v>282</v>
      </c>
      <c r="S1058" s="68" t="s">
        <v>282</v>
      </c>
      <c r="T1058" s="68" t="s">
        <v>282</v>
      </c>
      <c r="U1058" s="68" t="s">
        <v>282</v>
      </c>
      <c r="V1058" s="68" t="s">
        <v>282</v>
      </c>
      <c r="W1058" s="69" t="s">
        <v>282</v>
      </c>
      <c r="X1058" s="69" t="s">
        <v>282</v>
      </c>
      <c r="Y1058" s="70" t="s">
        <v>282</v>
      </c>
    </row>
    <row r="1059" spans="1:25">
      <c r="A1059" s="64">
        <v>20</v>
      </c>
      <c r="B1059" s="65" t="str">
        <f>VLOOKUP(Tabel10[[#This Row],[Code]],Ruimtegroepen[[Code]:[Ruimte omschrijving]],2,FALSE)</f>
        <v>Niet in Onderhoud</v>
      </c>
      <c r="C1059" s="66" t="s">
        <v>1162</v>
      </c>
      <c r="D1059" s="65" t="s">
        <v>1</v>
      </c>
      <c r="E1059" s="66" t="s">
        <v>1309</v>
      </c>
      <c r="F1059" s="66" t="s">
        <v>1326</v>
      </c>
      <c r="G1059" s="71" t="s">
        <v>282</v>
      </c>
      <c r="H1059" s="67" t="s">
        <v>282</v>
      </c>
      <c r="I1059" s="67" t="s">
        <v>282</v>
      </c>
      <c r="J1059" s="67" t="s">
        <v>282</v>
      </c>
      <c r="K1059" s="67" t="s">
        <v>282</v>
      </c>
      <c r="L1059" s="67" t="s">
        <v>282</v>
      </c>
      <c r="M1059" s="67" t="s">
        <v>282</v>
      </c>
      <c r="N1059" s="67" t="s">
        <v>282</v>
      </c>
      <c r="O1059" s="68" t="s">
        <v>282</v>
      </c>
      <c r="P1059" s="68" t="s">
        <v>282</v>
      </c>
      <c r="Q1059" s="68" t="s">
        <v>282</v>
      </c>
      <c r="R1059" s="68" t="s">
        <v>282</v>
      </c>
      <c r="S1059" s="68" t="s">
        <v>282</v>
      </c>
      <c r="T1059" s="68" t="s">
        <v>282</v>
      </c>
      <c r="U1059" s="68" t="s">
        <v>282</v>
      </c>
      <c r="V1059" s="68" t="s">
        <v>282</v>
      </c>
      <c r="W1059" s="69" t="s">
        <v>282</v>
      </c>
      <c r="X1059" s="69" t="s">
        <v>282</v>
      </c>
      <c r="Y1059" s="70" t="s">
        <v>282</v>
      </c>
    </row>
    <row r="1060" spans="1:25">
      <c r="A1060" s="64">
        <v>20</v>
      </c>
      <c r="B1060" s="65" t="str">
        <f>VLOOKUP(Tabel10[[#This Row],[Code]],Ruimtegroepen[[Code]:[Ruimte omschrijving]],2,FALSE)</f>
        <v>Niet in Onderhoud</v>
      </c>
      <c r="C1060" s="66" t="s">
        <v>1167</v>
      </c>
      <c r="D1060" s="65" t="s">
        <v>21</v>
      </c>
      <c r="E1060" s="66" t="s">
        <v>100</v>
      </c>
      <c r="F1060" s="66" t="s">
        <v>1168</v>
      </c>
      <c r="G1060" s="71" t="s">
        <v>282</v>
      </c>
      <c r="H1060" s="67" t="s">
        <v>282</v>
      </c>
      <c r="I1060" s="67" t="s">
        <v>282</v>
      </c>
      <c r="J1060" s="67" t="s">
        <v>282</v>
      </c>
      <c r="K1060" s="67" t="s">
        <v>282</v>
      </c>
      <c r="L1060" s="67" t="s">
        <v>282</v>
      </c>
      <c r="M1060" s="67" t="s">
        <v>282</v>
      </c>
      <c r="N1060" s="67" t="s">
        <v>282</v>
      </c>
      <c r="O1060" s="68" t="s">
        <v>282</v>
      </c>
      <c r="P1060" s="68" t="s">
        <v>282</v>
      </c>
      <c r="Q1060" s="68" t="s">
        <v>282</v>
      </c>
      <c r="R1060" s="68" t="s">
        <v>282</v>
      </c>
      <c r="S1060" s="68" t="s">
        <v>282</v>
      </c>
      <c r="T1060" s="68" t="s">
        <v>282</v>
      </c>
      <c r="U1060" s="68" t="s">
        <v>282</v>
      </c>
      <c r="V1060" s="68" t="s">
        <v>282</v>
      </c>
      <c r="W1060" s="69" t="s">
        <v>282</v>
      </c>
      <c r="X1060" s="69" t="s">
        <v>282</v>
      </c>
      <c r="Y1060" s="70" t="s">
        <v>282</v>
      </c>
    </row>
    <row r="1061" spans="1:25">
      <c r="A1061" s="64">
        <v>20</v>
      </c>
      <c r="B1061" s="65" t="str">
        <f>VLOOKUP(Tabel10[[#This Row],[Code]],Ruimtegroepen[[Code]:[Ruimte omschrijving]],2,FALSE)</f>
        <v>Niet in Onderhoud</v>
      </c>
      <c r="C1061" s="66" t="s">
        <v>1167</v>
      </c>
      <c r="D1061" s="65" t="s">
        <v>21</v>
      </c>
      <c r="E1061" s="66" t="s">
        <v>99</v>
      </c>
      <c r="F1061" s="66" t="s">
        <v>1169</v>
      </c>
      <c r="G1061" s="71" t="s">
        <v>282</v>
      </c>
      <c r="H1061" s="67" t="s">
        <v>282</v>
      </c>
      <c r="I1061" s="67" t="s">
        <v>282</v>
      </c>
      <c r="J1061" s="67" t="s">
        <v>282</v>
      </c>
      <c r="K1061" s="67" t="s">
        <v>282</v>
      </c>
      <c r="L1061" s="67" t="s">
        <v>282</v>
      </c>
      <c r="M1061" s="67" t="s">
        <v>282</v>
      </c>
      <c r="N1061" s="67" t="s">
        <v>282</v>
      </c>
      <c r="O1061" s="68" t="s">
        <v>282</v>
      </c>
      <c r="P1061" s="68" t="s">
        <v>282</v>
      </c>
      <c r="Q1061" s="68" t="s">
        <v>282</v>
      </c>
      <c r="R1061" s="68" t="s">
        <v>282</v>
      </c>
      <c r="S1061" s="68" t="s">
        <v>282</v>
      </c>
      <c r="T1061" s="68" t="s">
        <v>282</v>
      </c>
      <c r="U1061" s="68" t="s">
        <v>282</v>
      </c>
      <c r="V1061" s="68" t="s">
        <v>282</v>
      </c>
      <c r="W1061" s="69" t="s">
        <v>282</v>
      </c>
      <c r="X1061" s="69" t="s">
        <v>282</v>
      </c>
      <c r="Y1061" s="70" t="s">
        <v>282</v>
      </c>
    </row>
    <row r="1062" spans="1:25">
      <c r="A1062" s="64">
        <v>20</v>
      </c>
      <c r="B1062" s="65" t="str">
        <f>VLOOKUP(Tabel10[[#This Row],[Code]],Ruimtegroepen[[Code]:[Ruimte omschrijving]],2,FALSE)</f>
        <v>Niet in Onderhoud</v>
      </c>
      <c r="C1062" s="66" t="s">
        <v>1167</v>
      </c>
      <c r="D1062" s="65" t="s">
        <v>21</v>
      </c>
      <c r="E1062" s="66" t="s">
        <v>101</v>
      </c>
      <c r="F1062" s="66" t="s">
        <v>1170</v>
      </c>
      <c r="G1062" s="71" t="s">
        <v>282</v>
      </c>
      <c r="H1062" s="67" t="s">
        <v>282</v>
      </c>
      <c r="I1062" s="67" t="s">
        <v>282</v>
      </c>
      <c r="J1062" s="67" t="s">
        <v>282</v>
      </c>
      <c r="K1062" s="67" t="s">
        <v>282</v>
      </c>
      <c r="L1062" s="67" t="s">
        <v>282</v>
      </c>
      <c r="M1062" s="67" t="s">
        <v>282</v>
      </c>
      <c r="N1062" s="67" t="s">
        <v>282</v>
      </c>
      <c r="O1062" s="68" t="s">
        <v>282</v>
      </c>
      <c r="P1062" s="68" t="s">
        <v>282</v>
      </c>
      <c r="Q1062" s="68" t="s">
        <v>282</v>
      </c>
      <c r="R1062" s="68" t="s">
        <v>282</v>
      </c>
      <c r="S1062" s="68" t="s">
        <v>282</v>
      </c>
      <c r="T1062" s="68" t="s">
        <v>282</v>
      </c>
      <c r="U1062" s="68" t="s">
        <v>282</v>
      </c>
      <c r="V1062" s="68" t="s">
        <v>282</v>
      </c>
      <c r="W1062" s="69" t="s">
        <v>282</v>
      </c>
      <c r="X1062" s="69" t="s">
        <v>282</v>
      </c>
      <c r="Y1062" s="70" t="s">
        <v>282</v>
      </c>
    </row>
    <row r="1063" spans="1:25">
      <c r="A1063" s="64">
        <v>20</v>
      </c>
      <c r="B1063" s="65" t="str">
        <f>VLOOKUP(Tabel10[[#This Row],[Code]],Ruimtegroepen[[Code]:[Ruimte omschrijving]],2,FALSE)</f>
        <v>Niet in Onderhoud</v>
      </c>
      <c r="C1063" s="66" t="s">
        <v>1167</v>
      </c>
      <c r="D1063" s="65" t="s">
        <v>21</v>
      </c>
      <c r="E1063" s="66" t="s">
        <v>102</v>
      </c>
      <c r="F1063" s="66" t="s">
        <v>1171</v>
      </c>
      <c r="G1063" s="71" t="s">
        <v>282</v>
      </c>
      <c r="H1063" s="67" t="s">
        <v>282</v>
      </c>
      <c r="I1063" s="67" t="s">
        <v>282</v>
      </c>
      <c r="J1063" s="67" t="s">
        <v>282</v>
      </c>
      <c r="K1063" s="67" t="s">
        <v>282</v>
      </c>
      <c r="L1063" s="67" t="s">
        <v>282</v>
      </c>
      <c r="M1063" s="67" t="s">
        <v>282</v>
      </c>
      <c r="N1063" s="67" t="s">
        <v>282</v>
      </c>
      <c r="O1063" s="68" t="s">
        <v>282</v>
      </c>
      <c r="P1063" s="68" t="s">
        <v>282</v>
      </c>
      <c r="Q1063" s="68" t="s">
        <v>282</v>
      </c>
      <c r="R1063" s="68" t="s">
        <v>282</v>
      </c>
      <c r="S1063" s="68" t="s">
        <v>282</v>
      </c>
      <c r="T1063" s="68" t="s">
        <v>282</v>
      </c>
      <c r="U1063" s="68" t="s">
        <v>282</v>
      </c>
      <c r="V1063" s="68" t="s">
        <v>282</v>
      </c>
      <c r="W1063" s="69" t="s">
        <v>282</v>
      </c>
      <c r="X1063" s="69" t="s">
        <v>282</v>
      </c>
      <c r="Y1063" s="70" t="s">
        <v>282</v>
      </c>
    </row>
    <row r="1064" spans="1:25">
      <c r="A1064" s="64">
        <v>20</v>
      </c>
      <c r="B1064" s="65" t="str">
        <f>VLOOKUP(Tabel10[[#This Row],[Code]],Ruimtegroepen[[Code]:[Ruimte omschrijving]],2,FALSE)</f>
        <v>Niet in Onderhoud</v>
      </c>
      <c r="C1064" s="66" t="s">
        <v>1167</v>
      </c>
      <c r="D1064" s="65" t="s">
        <v>21</v>
      </c>
      <c r="E1064" s="66" t="s">
        <v>99</v>
      </c>
      <c r="F1064" s="66" t="s">
        <v>1169</v>
      </c>
      <c r="G1064" s="71" t="s">
        <v>282</v>
      </c>
      <c r="H1064" s="67" t="s">
        <v>282</v>
      </c>
      <c r="I1064" s="67" t="s">
        <v>282</v>
      </c>
      <c r="J1064" s="67" t="s">
        <v>282</v>
      </c>
      <c r="K1064" s="67" t="s">
        <v>282</v>
      </c>
      <c r="L1064" s="67" t="s">
        <v>282</v>
      </c>
      <c r="M1064" s="67" t="s">
        <v>282</v>
      </c>
      <c r="N1064" s="67" t="s">
        <v>282</v>
      </c>
      <c r="O1064" s="68" t="s">
        <v>282</v>
      </c>
      <c r="P1064" s="68" t="s">
        <v>282</v>
      </c>
      <c r="Q1064" s="68" t="s">
        <v>282</v>
      </c>
      <c r="R1064" s="68" t="s">
        <v>282</v>
      </c>
      <c r="S1064" s="68" t="s">
        <v>282</v>
      </c>
      <c r="T1064" s="68" t="s">
        <v>282</v>
      </c>
      <c r="U1064" s="68" t="s">
        <v>282</v>
      </c>
      <c r="V1064" s="68" t="s">
        <v>282</v>
      </c>
      <c r="W1064" s="69" t="s">
        <v>282</v>
      </c>
      <c r="X1064" s="69" t="s">
        <v>282</v>
      </c>
      <c r="Y1064" s="70" t="s">
        <v>282</v>
      </c>
    </row>
    <row r="1065" spans="1:25">
      <c r="A1065" s="64">
        <v>20</v>
      </c>
      <c r="B1065" s="65" t="str">
        <f>VLOOKUP(Tabel10[[#This Row],[Code]],Ruimtegroepen[[Code]:[Ruimte omschrijving]],2,FALSE)</f>
        <v>Niet in Onderhoud</v>
      </c>
      <c r="C1065" s="66" t="s">
        <v>1167</v>
      </c>
      <c r="D1065" s="65" t="s">
        <v>21</v>
      </c>
      <c r="E1065" s="66" t="s">
        <v>1309</v>
      </c>
      <c r="F1065" s="66" t="s">
        <v>1325</v>
      </c>
      <c r="G1065" s="71" t="s">
        <v>282</v>
      </c>
      <c r="H1065" s="67" t="s">
        <v>282</v>
      </c>
      <c r="I1065" s="67" t="s">
        <v>282</v>
      </c>
      <c r="J1065" s="67" t="s">
        <v>282</v>
      </c>
      <c r="K1065" s="67" t="s">
        <v>282</v>
      </c>
      <c r="L1065" s="67" t="s">
        <v>282</v>
      </c>
      <c r="M1065" s="67" t="s">
        <v>282</v>
      </c>
      <c r="N1065" s="67" t="s">
        <v>282</v>
      </c>
      <c r="O1065" s="68" t="s">
        <v>282</v>
      </c>
      <c r="P1065" s="68" t="s">
        <v>282</v>
      </c>
      <c r="Q1065" s="68" t="s">
        <v>282</v>
      </c>
      <c r="R1065" s="68" t="s">
        <v>282</v>
      </c>
      <c r="S1065" s="68" t="s">
        <v>282</v>
      </c>
      <c r="T1065" s="68" t="s">
        <v>282</v>
      </c>
      <c r="U1065" s="68" t="s">
        <v>282</v>
      </c>
      <c r="V1065" s="68" t="s">
        <v>282</v>
      </c>
      <c r="W1065" s="69" t="s">
        <v>282</v>
      </c>
      <c r="X1065" s="69" t="s">
        <v>282</v>
      </c>
      <c r="Y1065" s="70" t="s">
        <v>282</v>
      </c>
    </row>
    <row r="1066" spans="1:25">
      <c r="A1066" s="64">
        <v>20</v>
      </c>
      <c r="B1066" s="65" t="str">
        <f>VLOOKUP(Tabel10[[#This Row],[Code]],Ruimtegroepen[[Code]:[Ruimte omschrijving]],2,FALSE)</f>
        <v>Niet in Onderhoud</v>
      </c>
      <c r="C1066" s="66" t="s">
        <v>1172</v>
      </c>
      <c r="D1066" s="65" t="s">
        <v>12</v>
      </c>
      <c r="E1066" s="66" t="s">
        <v>100</v>
      </c>
      <c r="F1066" s="66" t="s">
        <v>1173</v>
      </c>
      <c r="G1066" s="71" t="s">
        <v>282</v>
      </c>
      <c r="H1066" s="67" t="s">
        <v>282</v>
      </c>
      <c r="I1066" s="67" t="s">
        <v>282</v>
      </c>
      <c r="J1066" s="67" t="s">
        <v>282</v>
      </c>
      <c r="K1066" s="67" t="s">
        <v>282</v>
      </c>
      <c r="L1066" s="67" t="s">
        <v>282</v>
      </c>
      <c r="M1066" s="67" t="s">
        <v>282</v>
      </c>
      <c r="N1066" s="67" t="s">
        <v>282</v>
      </c>
      <c r="O1066" s="68" t="s">
        <v>282</v>
      </c>
      <c r="P1066" s="68" t="s">
        <v>282</v>
      </c>
      <c r="Q1066" s="68" t="s">
        <v>282</v>
      </c>
      <c r="R1066" s="68" t="s">
        <v>282</v>
      </c>
      <c r="S1066" s="68" t="s">
        <v>282</v>
      </c>
      <c r="T1066" s="68" t="s">
        <v>282</v>
      </c>
      <c r="U1066" s="68" t="s">
        <v>282</v>
      </c>
      <c r="V1066" s="68" t="s">
        <v>282</v>
      </c>
      <c r="W1066" s="69" t="s">
        <v>282</v>
      </c>
      <c r="X1066" s="69" t="s">
        <v>282</v>
      </c>
      <c r="Y1066" s="70" t="s">
        <v>282</v>
      </c>
    </row>
    <row r="1067" spans="1:25">
      <c r="A1067" s="64">
        <v>20</v>
      </c>
      <c r="B1067" s="65" t="str">
        <f>VLOOKUP(Tabel10[[#This Row],[Code]],Ruimtegroepen[[Code]:[Ruimte omschrijving]],2,FALSE)</f>
        <v>Niet in Onderhoud</v>
      </c>
      <c r="C1067" s="66" t="s">
        <v>1172</v>
      </c>
      <c r="D1067" s="65" t="s">
        <v>12</v>
      </c>
      <c r="E1067" s="66" t="s">
        <v>99</v>
      </c>
      <c r="F1067" s="66" t="s">
        <v>1174</v>
      </c>
      <c r="G1067" s="71" t="s">
        <v>282</v>
      </c>
      <c r="H1067" s="67" t="s">
        <v>282</v>
      </c>
      <c r="I1067" s="67" t="s">
        <v>282</v>
      </c>
      <c r="J1067" s="67" t="s">
        <v>282</v>
      </c>
      <c r="K1067" s="67" t="s">
        <v>282</v>
      </c>
      <c r="L1067" s="67" t="s">
        <v>282</v>
      </c>
      <c r="M1067" s="67" t="s">
        <v>282</v>
      </c>
      <c r="N1067" s="67" t="s">
        <v>282</v>
      </c>
      <c r="O1067" s="68" t="s">
        <v>282</v>
      </c>
      <c r="P1067" s="68" t="s">
        <v>282</v>
      </c>
      <c r="Q1067" s="68" t="s">
        <v>282</v>
      </c>
      <c r="R1067" s="68" t="s">
        <v>282</v>
      </c>
      <c r="S1067" s="68" t="s">
        <v>282</v>
      </c>
      <c r="T1067" s="68" t="s">
        <v>282</v>
      </c>
      <c r="U1067" s="68" t="s">
        <v>282</v>
      </c>
      <c r="V1067" s="68" t="s">
        <v>282</v>
      </c>
      <c r="W1067" s="69" t="s">
        <v>282</v>
      </c>
      <c r="X1067" s="69" t="s">
        <v>282</v>
      </c>
      <c r="Y1067" s="70" t="s">
        <v>282</v>
      </c>
    </row>
    <row r="1068" spans="1:25">
      <c r="A1068" s="64">
        <v>20</v>
      </c>
      <c r="B1068" s="65" t="str">
        <f>VLOOKUP(Tabel10[[#This Row],[Code]],Ruimtegroepen[[Code]:[Ruimte omschrijving]],2,FALSE)</f>
        <v>Niet in Onderhoud</v>
      </c>
      <c r="C1068" s="66" t="s">
        <v>1172</v>
      </c>
      <c r="D1068" s="65" t="s">
        <v>12</v>
      </c>
      <c r="E1068" s="66" t="s">
        <v>101</v>
      </c>
      <c r="F1068" s="66" t="s">
        <v>1175</v>
      </c>
      <c r="G1068" s="71" t="s">
        <v>282</v>
      </c>
      <c r="H1068" s="67" t="s">
        <v>282</v>
      </c>
      <c r="I1068" s="67" t="s">
        <v>282</v>
      </c>
      <c r="J1068" s="67" t="s">
        <v>282</v>
      </c>
      <c r="K1068" s="67" t="s">
        <v>282</v>
      </c>
      <c r="L1068" s="67" t="s">
        <v>282</v>
      </c>
      <c r="M1068" s="67" t="s">
        <v>282</v>
      </c>
      <c r="N1068" s="67" t="s">
        <v>282</v>
      </c>
      <c r="O1068" s="68" t="s">
        <v>282</v>
      </c>
      <c r="P1068" s="68" t="s">
        <v>282</v>
      </c>
      <c r="Q1068" s="68" t="s">
        <v>282</v>
      </c>
      <c r="R1068" s="68" t="s">
        <v>282</v>
      </c>
      <c r="S1068" s="68" t="s">
        <v>282</v>
      </c>
      <c r="T1068" s="68" t="s">
        <v>282</v>
      </c>
      <c r="U1068" s="68" t="s">
        <v>282</v>
      </c>
      <c r="V1068" s="68" t="s">
        <v>282</v>
      </c>
      <c r="W1068" s="69" t="s">
        <v>282</v>
      </c>
      <c r="X1068" s="69" t="s">
        <v>282</v>
      </c>
      <c r="Y1068" s="70" t="s">
        <v>282</v>
      </c>
    </row>
    <row r="1069" spans="1:25">
      <c r="A1069" s="64">
        <v>20</v>
      </c>
      <c r="B1069" s="65" t="str">
        <f>VLOOKUP(Tabel10[[#This Row],[Code]],Ruimtegroepen[[Code]:[Ruimte omschrijving]],2,FALSE)</f>
        <v>Niet in Onderhoud</v>
      </c>
      <c r="C1069" s="66" t="s">
        <v>1172</v>
      </c>
      <c r="D1069" s="65" t="s">
        <v>12</v>
      </c>
      <c r="E1069" s="66" t="s">
        <v>102</v>
      </c>
      <c r="F1069" s="66" t="s">
        <v>1176</v>
      </c>
      <c r="G1069" s="71" t="s">
        <v>282</v>
      </c>
      <c r="H1069" s="67" t="s">
        <v>282</v>
      </c>
      <c r="I1069" s="67" t="s">
        <v>282</v>
      </c>
      <c r="J1069" s="67" t="s">
        <v>282</v>
      </c>
      <c r="K1069" s="67" t="s">
        <v>282</v>
      </c>
      <c r="L1069" s="67" t="s">
        <v>282</v>
      </c>
      <c r="M1069" s="67" t="s">
        <v>282</v>
      </c>
      <c r="N1069" s="67" t="s">
        <v>282</v>
      </c>
      <c r="O1069" s="68" t="s">
        <v>282</v>
      </c>
      <c r="P1069" s="68" t="s">
        <v>282</v>
      </c>
      <c r="Q1069" s="68" t="s">
        <v>282</v>
      </c>
      <c r="R1069" s="68" t="s">
        <v>282</v>
      </c>
      <c r="S1069" s="68" t="s">
        <v>282</v>
      </c>
      <c r="T1069" s="68" t="s">
        <v>282</v>
      </c>
      <c r="U1069" s="68" t="s">
        <v>282</v>
      </c>
      <c r="V1069" s="68" t="s">
        <v>282</v>
      </c>
      <c r="W1069" s="69" t="s">
        <v>282</v>
      </c>
      <c r="X1069" s="69" t="s">
        <v>282</v>
      </c>
      <c r="Y1069" s="70" t="s">
        <v>282</v>
      </c>
    </row>
    <row r="1070" spans="1:25">
      <c r="A1070" s="64">
        <v>20</v>
      </c>
      <c r="B1070" s="65" t="str">
        <f>VLOOKUP(Tabel10[[#This Row],[Code]],Ruimtegroepen[[Code]:[Ruimte omschrijving]],2,FALSE)</f>
        <v>Niet in Onderhoud</v>
      </c>
      <c r="C1070" s="66" t="s">
        <v>1172</v>
      </c>
      <c r="D1070" s="65" t="s">
        <v>12</v>
      </c>
      <c r="E1070" s="66" t="s">
        <v>99</v>
      </c>
      <c r="F1070" s="66" t="s">
        <v>1174</v>
      </c>
      <c r="G1070" s="71" t="s">
        <v>282</v>
      </c>
      <c r="H1070" s="67" t="s">
        <v>282</v>
      </c>
      <c r="I1070" s="67" t="s">
        <v>282</v>
      </c>
      <c r="J1070" s="67" t="s">
        <v>282</v>
      </c>
      <c r="K1070" s="67" t="s">
        <v>282</v>
      </c>
      <c r="L1070" s="67" t="s">
        <v>282</v>
      </c>
      <c r="M1070" s="67" t="s">
        <v>282</v>
      </c>
      <c r="N1070" s="67" t="s">
        <v>282</v>
      </c>
      <c r="O1070" s="68" t="s">
        <v>282</v>
      </c>
      <c r="P1070" s="68" t="s">
        <v>282</v>
      </c>
      <c r="Q1070" s="68" t="s">
        <v>282</v>
      </c>
      <c r="R1070" s="68" t="s">
        <v>282</v>
      </c>
      <c r="S1070" s="68" t="s">
        <v>282</v>
      </c>
      <c r="T1070" s="68" t="s">
        <v>282</v>
      </c>
      <c r="U1070" s="68" t="s">
        <v>282</v>
      </c>
      <c r="V1070" s="68" t="s">
        <v>282</v>
      </c>
      <c r="W1070" s="69" t="s">
        <v>282</v>
      </c>
      <c r="X1070" s="69" t="s">
        <v>282</v>
      </c>
      <c r="Y1070" s="70" t="s">
        <v>282</v>
      </c>
    </row>
    <row r="1071" spans="1:25">
      <c r="A1071" s="64">
        <v>20</v>
      </c>
      <c r="B1071" s="65" t="str">
        <f>VLOOKUP(Tabel10[[#This Row],[Code]],Ruimtegroepen[[Code]:[Ruimte omschrijving]],2,FALSE)</f>
        <v>Niet in Onderhoud</v>
      </c>
      <c r="C1071" s="66" t="s">
        <v>1172</v>
      </c>
      <c r="D1071" s="65" t="s">
        <v>12</v>
      </c>
      <c r="E1071" s="66" t="s">
        <v>1309</v>
      </c>
      <c r="F1071" s="66" t="s">
        <v>1324</v>
      </c>
      <c r="G1071" s="71" t="s">
        <v>282</v>
      </c>
      <c r="H1071" s="67" t="s">
        <v>282</v>
      </c>
      <c r="I1071" s="67" t="s">
        <v>282</v>
      </c>
      <c r="J1071" s="67" t="s">
        <v>282</v>
      </c>
      <c r="K1071" s="67" t="s">
        <v>282</v>
      </c>
      <c r="L1071" s="67" t="s">
        <v>282</v>
      </c>
      <c r="M1071" s="67" t="s">
        <v>282</v>
      </c>
      <c r="N1071" s="67" t="s">
        <v>282</v>
      </c>
      <c r="O1071" s="68" t="s">
        <v>282</v>
      </c>
      <c r="P1071" s="68" t="s">
        <v>282</v>
      </c>
      <c r="Q1071" s="68" t="s">
        <v>282</v>
      </c>
      <c r="R1071" s="68" t="s">
        <v>282</v>
      </c>
      <c r="S1071" s="68" t="s">
        <v>282</v>
      </c>
      <c r="T1071" s="68" t="s">
        <v>282</v>
      </c>
      <c r="U1071" s="68" t="s">
        <v>282</v>
      </c>
      <c r="V1071" s="68" t="s">
        <v>282</v>
      </c>
      <c r="W1071" s="69" t="s">
        <v>282</v>
      </c>
      <c r="X1071" s="69" t="s">
        <v>282</v>
      </c>
      <c r="Y1071" s="70" t="s">
        <v>282</v>
      </c>
    </row>
    <row r="1072" spans="1:25">
      <c r="A1072" s="64">
        <v>20</v>
      </c>
      <c r="B1072" s="65" t="str">
        <f>VLOOKUP(Tabel10[[#This Row],[Code]],Ruimtegroepen[[Code]:[Ruimte omschrijving]],2,FALSE)</f>
        <v>Niet in Onderhoud</v>
      </c>
      <c r="C1072" s="66" t="s">
        <v>1177</v>
      </c>
      <c r="D1072" s="65" t="s">
        <v>14</v>
      </c>
      <c r="E1072" s="66" t="s">
        <v>100</v>
      </c>
      <c r="F1072" s="66" t="s">
        <v>1178</v>
      </c>
      <c r="G1072" s="71" t="s">
        <v>282</v>
      </c>
      <c r="H1072" s="67" t="s">
        <v>282</v>
      </c>
      <c r="I1072" s="67" t="s">
        <v>282</v>
      </c>
      <c r="J1072" s="67" t="s">
        <v>282</v>
      </c>
      <c r="K1072" s="67" t="s">
        <v>282</v>
      </c>
      <c r="L1072" s="67" t="s">
        <v>282</v>
      </c>
      <c r="M1072" s="67" t="s">
        <v>282</v>
      </c>
      <c r="N1072" s="67" t="s">
        <v>282</v>
      </c>
      <c r="O1072" s="68" t="s">
        <v>282</v>
      </c>
      <c r="P1072" s="68" t="s">
        <v>282</v>
      </c>
      <c r="Q1072" s="68" t="s">
        <v>282</v>
      </c>
      <c r="R1072" s="68" t="s">
        <v>282</v>
      </c>
      <c r="S1072" s="68" t="s">
        <v>282</v>
      </c>
      <c r="T1072" s="68" t="s">
        <v>282</v>
      </c>
      <c r="U1072" s="68" t="s">
        <v>282</v>
      </c>
      <c r="V1072" s="68" t="s">
        <v>282</v>
      </c>
      <c r="W1072" s="69" t="s">
        <v>282</v>
      </c>
      <c r="X1072" s="69" t="s">
        <v>282</v>
      </c>
      <c r="Y1072" s="70" t="s">
        <v>282</v>
      </c>
    </row>
    <row r="1073" spans="1:25">
      <c r="A1073" s="64">
        <v>20</v>
      </c>
      <c r="B1073" s="65" t="str">
        <f>VLOOKUP(Tabel10[[#This Row],[Code]],Ruimtegroepen[[Code]:[Ruimte omschrijving]],2,FALSE)</f>
        <v>Niet in Onderhoud</v>
      </c>
      <c r="C1073" s="66" t="s">
        <v>1177</v>
      </c>
      <c r="D1073" s="65" t="s">
        <v>14</v>
      </c>
      <c r="E1073" s="66" t="s">
        <v>99</v>
      </c>
      <c r="F1073" s="66" t="s">
        <v>1179</v>
      </c>
      <c r="G1073" s="71" t="s">
        <v>282</v>
      </c>
      <c r="H1073" s="67" t="s">
        <v>282</v>
      </c>
      <c r="I1073" s="67" t="s">
        <v>282</v>
      </c>
      <c r="J1073" s="67" t="s">
        <v>282</v>
      </c>
      <c r="K1073" s="67" t="s">
        <v>282</v>
      </c>
      <c r="L1073" s="67" t="s">
        <v>282</v>
      </c>
      <c r="M1073" s="67" t="s">
        <v>282</v>
      </c>
      <c r="N1073" s="67" t="s">
        <v>282</v>
      </c>
      <c r="O1073" s="68" t="s">
        <v>282</v>
      </c>
      <c r="P1073" s="68" t="s">
        <v>282</v>
      </c>
      <c r="Q1073" s="68" t="s">
        <v>282</v>
      </c>
      <c r="R1073" s="68" t="s">
        <v>282</v>
      </c>
      <c r="S1073" s="68" t="s">
        <v>282</v>
      </c>
      <c r="T1073" s="68" t="s">
        <v>282</v>
      </c>
      <c r="U1073" s="68" t="s">
        <v>282</v>
      </c>
      <c r="V1073" s="68" t="s">
        <v>282</v>
      </c>
      <c r="W1073" s="69" t="s">
        <v>282</v>
      </c>
      <c r="X1073" s="69" t="s">
        <v>282</v>
      </c>
      <c r="Y1073" s="70" t="s">
        <v>282</v>
      </c>
    </row>
    <row r="1074" spans="1:25">
      <c r="A1074" s="64">
        <v>20</v>
      </c>
      <c r="B1074" s="65" t="str">
        <f>VLOOKUP(Tabel10[[#This Row],[Code]],Ruimtegroepen[[Code]:[Ruimte omschrijving]],2,FALSE)</f>
        <v>Niet in Onderhoud</v>
      </c>
      <c r="C1074" s="66" t="s">
        <v>1177</v>
      </c>
      <c r="D1074" s="65" t="s">
        <v>14</v>
      </c>
      <c r="E1074" s="66" t="s">
        <v>101</v>
      </c>
      <c r="F1074" s="66" t="s">
        <v>1180</v>
      </c>
      <c r="G1074" s="71" t="s">
        <v>282</v>
      </c>
      <c r="H1074" s="67" t="s">
        <v>282</v>
      </c>
      <c r="I1074" s="67" t="s">
        <v>282</v>
      </c>
      <c r="J1074" s="67" t="s">
        <v>282</v>
      </c>
      <c r="K1074" s="67" t="s">
        <v>282</v>
      </c>
      <c r="L1074" s="67" t="s">
        <v>282</v>
      </c>
      <c r="M1074" s="67" t="s">
        <v>282</v>
      </c>
      <c r="N1074" s="67" t="s">
        <v>282</v>
      </c>
      <c r="O1074" s="68" t="s">
        <v>282</v>
      </c>
      <c r="P1074" s="68" t="s">
        <v>282</v>
      </c>
      <c r="Q1074" s="68" t="s">
        <v>282</v>
      </c>
      <c r="R1074" s="68" t="s">
        <v>282</v>
      </c>
      <c r="S1074" s="68" t="s">
        <v>282</v>
      </c>
      <c r="T1074" s="68" t="s">
        <v>282</v>
      </c>
      <c r="U1074" s="68" t="s">
        <v>282</v>
      </c>
      <c r="V1074" s="68" t="s">
        <v>282</v>
      </c>
      <c r="W1074" s="69" t="s">
        <v>282</v>
      </c>
      <c r="X1074" s="69" t="s">
        <v>282</v>
      </c>
      <c r="Y1074" s="70" t="s">
        <v>282</v>
      </c>
    </row>
    <row r="1075" spans="1:25">
      <c r="A1075" s="64">
        <v>20</v>
      </c>
      <c r="B1075" s="65" t="str">
        <f>VLOOKUP(Tabel10[[#This Row],[Code]],Ruimtegroepen[[Code]:[Ruimte omschrijving]],2,FALSE)</f>
        <v>Niet in Onderhoud</v>
      </c>
      <c r="C1075" s="66" t="s">
        <v>1177</v>
      </c>
      <c r="D1075" s="65" t="s">
        <v>14</v>
      </c>
      <c r="E1075" s="66" t="s">
        <v>102</v>
      </c>
      <c r="F1075" s="66" t="s">
        <v>1181</v>
      </c>
      <c r="G1075" s="71" t="s">
        <v>282</v>
      </c>
      <c r="H1075" s="67" t="s">
        <v>282</v>
      </c>
      <c r="I1075" s="67" t="s">
        <v>282</v>
      </c>
      <c r="J1075" s="67" t="s">
        <v>282</v>
      </c>
      <c r="K1075" s="67" t="s">
        <v>282</v>
      </c>
      <c r="L1075" s="67" t="s">
        <v>282</v>
      </c>
      <c r="M1075" s="67" t="s">
        <v>282</v>
      </c>
      <c r="N1075" s="67" t="s">
        <v>282</v>
      </c>
      <c r="O1075" s="68" t="s">
        <v>282</v>
      </c>
      <c r="P1075" s="68" t="s">
        <v>282</v>
      </c>
      <c r="Q1075" s="68" t="s">
        <v>282</v>
      </c>
      <c r="R1075" s="68" t="s">
        <v>282</v>
      </c>
      <c r="S1075" s="68" t="s">
        <v>282</v>
      </c>
      <c r="T1075" s="68" t="s">
        <v>282</v>
      </c>
      <c r="U1075" s="68" t="s">
        <v>282</v>
      </c>
      <c r="V1075" s="68" t="s">
        <v>282</v>
      </c>
      <c r="W1075" s="69" t="s">
        <v>282</v>
      </c>
      <c r="X1075" s="69" t="s">
        <v>282</v>
      </c>
      <c r="Y1075" s="70" t="s">
        <v>282</v>
      </c>
    </row>
    <row r="1076" spans="1:25">
      <c r="A1076" s="64">
        <v>20</v>
      </c>
      <c r="B1076" s="65" t="str">
        <f>VLOOKUP(Tabel10[[#This Row],[Code]],Ruimtegroepen[[Code]:[Ruimte omschrijving]],2,FALSE)</f>
        <v>Niet in Onderhoud</v>
      </c>
      <c r="C1076" s="66" t="s">
        <v>1177</v>
      </c>
      <c r="D1076" s="65" t="s">
        <v>14</v>
      </c>
      <c r="E1076" s="66" t="s">
        <v>99</v>
      </c>
      <c r="F1076" s="66" t="s">
        <v>1179</v>
      </c>
      <c r="G1076" s="71" t="s">
        <v>282</v>
      </c>
      <c r="H1076" s="67" t="s">
        <v>282</v>
      </c>
      <c r="I1076" s="67" t="s">
        <v>282</v>
      </c>
      <c r="J1076" s="67" t="s">
        <v>282</v>
      </c>
      <c r="K1076" s="67" t="s">
        <v>282</v>
      </c>
      <c r="L1076" s="67" t="s">
        <v>282</v>
      </c>
      <c r="M1076" s="67" t="s">
        <v>282</v>
      </c>
      <c r="N1076" s="67" t="s">
        <v>282</v>
      </c>
      <c r="O1076" s="68" t="s">
        <v>282</v>
      </c>
      <c r="P1076" s="68" t="s">
        <v>282</v>
      </c>
      <c r="Q1076" s="68" t="s">
        <v>282</v>
      </c>
      <c r="R1076" s="68" t="s">
        <v>282</v>
      </c>
      <c r="S1076" s="68" t="s">
        <v>282</v>
      </c>
      <c r="T1076" s="68" t="s">
        <v>282</v>
      </c>
      <c r="U1076" s="68" t="s">
        <v>282</v>
      </c>
      <c r="V1076" s="68" t="s">
        <v>282</v>
      </c>
      <c r="W1076" s="69" t="s">
        <v>282</v>
      </c>
      <c r="X1076" s="69" t="s">
        <v>282</v>
      </c>
      <c r="Y1076" s="70" t="s">
        <v>282</v>
      </c>
    </row>
    <row r="1077" spans="1:25">
      <c r="A1077" s="64">
        <v>20</v>
      </c>
      <c r="B1077" s="65" t="str">
        <f>VLOOKUP(Tabel10[[#This Row],[Code]],Ruimtegroepen[[Code]:[Ruimte omschrijving]],2,FALSE)</f>
        <v>Niet in Onderhoud</v>
      </c>
      <c r="C1077" s="66" t="s">
        <v>1177</v>
      </c>
      <c r="D1077" s="65" t="s">
        <v>14</v>
      </c>
      <c r="E1077" s="66" t="s">
        <v>1309</v>
      </c>
      <c r="F1077" s="66" t="s">
        <v>1323</v>
      </c>
      <c r="G1077" s="71" t="s">
        <v>282</v>
      </c>
      <c r="H1077" s="67" t="s">
        <v>282</v>
      </c>
      <c r="I1077" s="67" t="s">
        <v>282</v>
      </c>
      <c r="J1077" s="67" t="s">
        <v>282</v>
      </c>
      <c r="K1077" s="67" t="s">
        <v>282</v>
      </c>
      <c r="L1077" s="67" t="s">
        <v>282</v>
      </c>
      <c r="M1077" s="67" t="s">
        <v>282</v>
      </c>
      <c r="N1077" s="67" t="s">
        <v>282</v>
      </c>
      <c r="O1077" s="68" t="s">
        <v>282</v>
      </c>
      <c r="P1077" s="68" t="s">
        <v>282</v>
      </c>
      <c r="Q1077" s="68" t="s">
        <v>282</v>
      </c>
      <c r="R1077" s="68" t="s">
        <v>282</v>
      </c>
      <c r="S1077" s="68" t="s">
        <v>282</v>
      </c>
      <c r="T1077" s="68" t="s">
        <v>282</v>
      </c>
      <c r="U1077" s="68" t="s">
        <v>282</v>
      </c>
      <c r="V1077" s="68" t="s">
        <v>282</v>
      </c>
      <c r="W1077" s="69" t="s">
        <v>282</v>
      </c>
      <c r="X1077" s="69" t="s">
        <v>282</v>
      </c>
      <c r="Y1077" s="70" t="s">
        <v>282</v>
      </c>
    </row>
    <row r="1078" spans="1:25">
      <c r="A1078" s="64">
        <v>20</v>
      </c>
      <c r="B1078" s="65" t="str">
        <f>VLOOKUP(Tabel10[[#This Row],[Code]],Ruimtegroepen[[Code]:[Ruimte omschrijving]],2,FALSE)</f>
        <v>Niet in Onderhoud</v>
      </c>
      <c r="C1078" s="66" t="s">
        <v>1182</v>
      </c>
      <c r="D1078" s="65" t="s">
        <v>13</v>
      </c>
      <c r="E1078" s="66" t="s">
        <v>100</v>
      </c>
      <c r="F1078" s="66" t="s">
        <v>1183</v>
      </c>
      <c r="G1078" s="71" t="s">
        <v>282</v>
      </c>
      <c r="H1078" s="67" t="s">
        <v>282</v>
      </c>
      <c r="I1078" s="67" t="s">
        <v>282</v>
      </c>
      <c r="J1078" s="67" t="s">
        <v>282</v>
      </c>
      <c r="K1078" s="67" t="s">
        <v>282</v>
      </c>
      <c r="L1078" s="67" t="s">
        <v>282</v>
      </c>
      <c r="M1078" s="67" t="s">
        <v>282</v>
      </c>
      <c r="N1078" s="67" t="s">
        <v>282</v>
      </c>
      <c r="O1078" s="68" t="s">
        <v>282</v>
      </c>
      <c r="P1078" s="68" t="s">
        <v>282</v>
      </c>
      <c r="Q1078" s="68" t="s">
        <v>282</v>
      </c>
      <c r="R1078" s="68" t="s">
        <v>282</v>
      </c>
      <c r="S1078" s="68" t="s">
        <v>282</v>
      </c>
      <c r="T1078" s="68" t="s">
        <v>282</v>
      </c>
      <c r="U1078" s="68" t="s">
        <v>282</v>
      </c>
      <c r="V1078" s="68" t="s">
        <v>282</v>
      </c>
      <c r="W1078" s="69" t="s">
        <v>282</v>
      </c>
      <c r="X1078" s="69" t="s">
        <v>282</v>
      </c>
      <c r="Y1078" s="70" t="s">
        <v>282</v>
      </c>
    </row>
    <row r="1079" spans="1:25">
      <c r="A1079" s="64">
        <v>20</v>
      </c>
      <c r="B1079" s="65" t="str">
        <f>VLOOKUP(Tabel10[[#This Row],[Code]],Ruimtegroepen[[Code]:[Ruimte omschrijving]],2,FALSE)</f>
        <v>Niet in Onderhoud</v>
      </c>
      <c r="C1079" s="66" t="s">
        <v>1182</v>
      </c>
      <c r="D1079" s="65" t="s">
        <v>13</v>
      </c>
      <c r="E1079" s="66" t="s">
        <v>99</v>
      </c>
      <c r="F1079" s="66" t="s">
        <v>1184</v>
      </c>
      <c r="G1079" s="71" t="s">
        <v>282</v>
      </c>
      <c r="H1079" s="67" t="s">
        <v>282</v>
      </c>
      <c r="I1079" s="67" t="s">
        <v>282</v>
      </c>
      <c r="J1079" s="67" t="s">
        <v>282</v>
      </c>
      <c r="K1079" s="67" t="s">
        <v>282</v>
      </c>
      <c r="L1079" s="67" t="s">
        <v>282</v>
      </c>
      <c r="M1079" s="67" t="s">
        <v>282</v>
      </c>
      <c r="N1079" s="67" t="s">
        <v>282</v>
      </c>
      <c r="O1079" s="68" t="s">
        <v>282</v>
      </c>
      <c r="P1079" s="68" t="s">
        <v>282</v>
      </c>
      <c r="Q1079" s="68" t="s">
        <v>282</v>
      </c>
      <c r="R1079" s="68" t="s">
        <v>282</v>
      </c>
      <c r="S1079" s="68" t="s">
        <v>282</v>
      </c>
      <c r="T1079" s="68" t="s">
        <v>282</v>
      </c>
      <c r="U1079" s="68" t="s">
        <v>282</v>
      </c>
      <c r="V1079" s="68" t="s">
        <v>282</v>
      </c>
      <c r="W1079" s="69" t="s">
        <v>282</v>
      </c>
      <c r="X1079" s="69" t="s">
        <v>282</v>
      </c>
      <c r="Y1079" s="70" t="s">
        <v>282</v>
      </c>
    </row>
    <row r="1080" spans="1:25">
      <c r="A1080" s="64">
        <v>20</v>
      </c>
      <c r="B1080" s="65" t="str">
        <f>VLOOKUP(Tabel10[[#This Row],[Code]],Ruimtegroepen[[Code]:[Ruimte omschrijving]],2,FALSE)</f>
        <v>Niet in Onderhoud</v>
      </c>
      <c r="C1080" s="66" t="s">
        <v>1182</v>
      </c>
      <c r="D1080" s="65" t="s">
        <v>13</v>
      </c>
      <c r="E1080" s="66" t="s">
        <v>101</v>
      </c>
      <c r="F1080" s="66" t="s">
        <v>1185</v>
      </c>
      <c r="G1080" s="71" t="s">
        <v>282</v>
      </c>
      <c r="H1080" s="67" t="s">
        <v>282</v>
      </c>
      <c r="I1080" s="67" t="s">
        <v>282</v>
      </c>
      <c r="J1080" s="67" t="s">
        <v>282</v>
      </c>
      <c r="K1080" s="67" t="s">
        <v>282</v>
      </c>
      <c r="L1080" s="67" t="s">
        <v>282</v>
      </c>
      <c r="M1080" s="67" t="s">
        <v>282</v>
      </c>
      <c r="N1080" s="67" t="s">
        <v>282</v>
      </c>
      <c r="O1080" s="68" t="s">
        <v>282</v>
      </c>
      <c r="P1080" s="68" t="s">
        <v>282</v>
      </c>
      <c r="Q1080" s="68" t="s">
        <v>282</v>
      </c>
      <c r="R1080" s="68" t="s">
        <v>282</v>
      </c>
      <c r="S1080" s="68" t="s">
        <v>282</v>
      </c>
      <c r="T1080" s="68" t="s">
        <v>282</v>
      </c>
      <c r="U1080" s="68" t="s">
        <v>282</v>
      </c>
      <c r="V1080" s="68" t="s">
        <v>282</v>
      </c>
      <c r="W1080" s="69" t="s">
        <v>282</v>
      </c>
      <c r="X1080" s="69" t="s">
        <v>282</v>
      </c>
      <c r="Y1080" s="70" t="s">
        <v>282</v>
      </c>
    </row>
    <row r="1081" spans="1:25">
      <c r="A1081" s="64">
        <v>20</v>
      </c>
      <c r="B1081" s="65" t="str">
        <f>VLOOKUP(Tabel10[[#This Row],[Code]],Ruimtegroepen[[Code]:[Ruimte omschrijving]],2,FALSE)</f>
        <v>Niet in Onderhoud</v>
      </c>
      <c r="C1081" s="66" t="s">
        <v>1182</v>
      </c>
      <c r="D1081" s="65" t="s">
        <v>13</v>
      </c>
      <c r="E1081" s="66" t="s">
        <v>102</v>
      </c>
      <c r="F1081" s="66" t="s">
        <v>1186</v>
      </c>
      <c r="G1081" s="71" t="s">
        <v>282</v>
      </c>
      <c r="H1081" s="67" t="s">
        <v>282</v>
      </c>
      <c r="I1081" s="67" t="s">
        <v>282</v>
      </c>
      <c r="J1081" s="67" t="s">
        <v>282</v>
      </c>
      <c r="K1081" s="67" t="s">
        <v>282</v>
      </c>
      <c r="L1081" s="67" t="s">
        <v>282</v>
      </c>
      <c r="M1081" s="67" t="s">
        <v>282</v>
      </c>
      <c r="N1081" s="67" t="s">
        <v>282</v>
      </c>
      <c r="O1081" s="68" t="s">
        <v>282</v>
      </c>
      <c r="P1081" s="68" t="s">
        <v>282</v>
      </c>
      <c r="Q1081" s="68" t="s">
        <v>282</v>
      </c>
      <c r="R1081" s="68" t="s">
        <v>282</v>
      </c>
      <c r="S1081" s="68" t="s">
        <v>282</v>
      </c>
      <c r="T1081" s="68" t="s">
        <v>282</v>
      </c>
      <c r="U1081" s="68" t="s">
        <v>282</v>
      </c>
      <c r="V1081" s="68" t="s">
        <v>282</v>
      </c>
      <c r="W1081" s="69" t="s">
        <v>282</v>
      </c>
      <c r="X1081" s="69" t="s">
        <v>282</v>
      </c>
      <c r="Y1081" s="70" t="s">
        <v>282</v>
      </c>
    </row>
    <row r="1082" spans="1:25">
      <c r="A1082" s="64">
        <v>20</v>
      </c>
      <c r="B1082" s="65" t="str">
        <f>VLOOKUP(Tabel10[[#This Row],[Code]],Ruimtegroepen[[Code]:[Ruimte omschrijving]],2,FALSE)</f>
        <v>Niet in Onderhoud</v>
      </c>
      <c r="C1082" s="66" t="s">
        <v>1182</v>
      </c>
      <c r="D1082" s="65" t="s">
        <v>13</v>
      </c>
      <c r="E1082" s="66" t="s">
        <v>99</v>
      </c>
      <c r="F1082" s="66" t="s">
        <v>1184</v>
      </c>
      <c r="G1082" s="71" t="s">
        <v>282</v>
      </c>
      <c r="H1082" s="67" t="s">
        <v>282</v>
      </c>
      <c r="I1082" s="67" t="s">
        <v>282</v>
      </c>
      <c r="J1082" s="67" t="s">
        <v>282</v>
      </c>
      <c r="K1082" s="67" t="s">
        <v>282</v>
      </c>
      <c r="L1082" s="67" t="s">
        <v>282</v>
      </c>
      <c r="M1082" s="67" t="s">
        <v>282</v>
      </c>
      <c r="N1082" s="67" t="s">
        <v>282</v>
      </c>
      <c r="O1082" s="68" t="s">
        <v>282</v>
      </c>
      <c r="P1082" s="68" t="s">
        <v>282</v>
      </c>
      <c r="Q1082" s="68" t="s">
        <v>282</v>
      </c>
      <c r="R1082" s="68" t="s">
        <v>282</v>
      </c>
      <c r="S1082" s="68" t="s">
        <v>282</v>
      </c>
      <c r="T1082" s="68" t="s">
        <v>282</v>
      </c>
      <c r="U1082" s="68" t="s">
        <v>282</v>
      </c>
      <c r="V1082" s="68" t="s">
        <v>282</v>
      </c>
      <c r="W1082" s="69" t="s">
        <v>282</v>
      </c>
      <c r="X1082" s="69" t="s">
        <v>282</v>
      </c>
      <c r="Y1082" s="70" t="s">
        <v>282</v>
      </c>
    </row>
    <row r="1083" spans="1:25">
      <c r="A1083" s="64">
        <v>20</v>
      </c>
      <c r="B1083" s="65" t="str">
        <f>VLOOKUP(Tabel10[[#This Row],[Code]],Ruimtegroepen[[Code]:[Ruimte omschrijving]],2,FALSE)</f>
        <v>Niet in Onderhoud</v>
      </c>
      <c r="C1083" s="66" t="s">
        <v>1182</v>
      </c>
      <c r="D1083" s="65" t="s">
        <v>13</v>
      </c>
      <c r="E1083" s="66" t="s">
        <v>1309</v>
      </c>
      <c r="F1083" s="66" t="s">
        <v>1322</v>
      </c>
      <c r="G1083" s="71" t="s">
        <v>282</v>
      </c>
      <c r="H1083" s="67" t="s">
        <v>282</v>
      </c>
      <c r="I1083" s="67" t="s">
        <v>282</v>
      </c>
      <c r="J1083" s="67" t="s">
        <v>282</v>
      </c>
      <c r="K1083" s="67" t="s">
        <v>282</v>
      </c>
      <c r="L1083" s="67" t="s">
        <v>282</v>
      </c>
      <c r="M1083" s="67" t="s">
        <v>282</v>
      </c>
      <c r="N1083" s="67" t="s">
        <v>282</v>
      </c>
      <c r="O1083" s="68" t="s">
        <v>282</v>
      </c>
      <c r="P1083" s="68" t="s">
        <v>282</v>
      </c>
      <c r="Q1083" s="68" t="s">
        <v>282</v>
      </c>
      <c r="R1083" s="68" t="s">
        <v>282</v>
      </c>
      <c r="S1083" s="68" t="s">
        <v>282</v>
      </c>
      <c r="T1083" s="68" t="s">
        <v>282</v>
      </c>
      <c r="U1083" s="68" t="s">
        <v>282</v>
      </c>
      <c r="V1083" s="68" t="s">
        <v>282</v>
      </c>
      <c r="W1083" s="69" t="s">
        <v>282</v>
      </c>
      <c r="X1083" s="69" t="s">
        <v>282</v>
      </c>
      <c r="Y1083" s="70" t="s">
        <v>282</v>
      </c>
    </row>
    <row r="1084" spans="1:25">
      <c r="A1084" s="64">
        <v>20</v>
      </c>
      <c r="B1084" s="65" t="str">
        <f>VLOOKUP(Tabel10[[#This Row],[Code]],Ruimtegroepen[[Code]:[Ruimte omschrijving]],2,FALSE)</f>
        <v>Niet in Onderhoud</v>
      </c>
      <c r="C1084" s="66" t="s">
        <v>1187</v>
      </c>
      <c r="D1084" s="65" t="s">
        <v>0</v>
      </c>
      <c r="E1084" s="66" t="s">
        <v>100</v>
      </c>
      <c r="F1084" s="66" t="s">
        <v>1188</v>
      </c>
      <c r="G1084" s="71" t="s">
        <v>282</v>
      </c>
      <c r="H1084" s="67" t="s">
        <v>282</v>
      </c>
      <c r="I1084" s="67" t="s">
        <v>282</v>
      </c>
      <c r="J1084" s="67" t="s">
        <v>282</v>
      </c>
      <c r="K1084" s="67" t="s">
        <v>282</v>
      </c>
      <c r="L1084" s="67" t="s">
        <v>282</v>
      </c>
      <c r="M1084" s="67" t="s">
        <v>282</v>
      </c>
      <c r="N1084" s="67" t="s">
        <v>282</v>
      </c>
      <c r="O1084" s="68" t="s">
        <v>282</v>
      </c>
      <c r="P1084" s="68" t="s">
        <v>282</v>
      </c>
      <c r="Q1084" s="68" t="s">
        <v>282</v>
      </c>
      <c r="R1084" s="68" t="s">
        <v>282</v>
      </c>
      <c r="S1084" s="68" t="s">
        <v>282</v>
      </c>
      <c r="T1084" s="68" t="s">
        <v>282</v>
      </c>
      <c r="U1084" s="68" t="s">
        <v>282</v>
      </c>
      <c r="V1084" s="68" t="s">
        <v>282</v>
      </c>
      <c r="W1084" s="69" t="s">
        <v>282</v>
      </c>
      <c r="X1084" s="69" t="s">
        <v>282</v>
      </c>
      <c r="Y1084" s="70" t="s">
        <v>282</v>
      </c>
    </row>
    <row r="1085" spans="1:25">
      <c r="A1085" s="64">
        <v>20</v>
      </c>
      <c r="B1085" s="65" t="str">
        <f>VLOOKUP(Tabel10[[#This Row],[Code]],Ruimtegroepen[[Code]:[Ruimte omschrijving]],2,FALSE)</f>
        <v>Niet in Onderhoud</v>
      </c>
      <c r="C1085" s="66" t="s">
        <v>1187</v>
      </c>
      <c r="D1085" s="65" t="s">
        <v>0</v>
      </c>
      <c r="E1085" s="66" t="s">
        <v>99</v>
      </c>
      <c r="F1085" s="66" t="s">
        <v>1189</v>
      </c>
      <c r="G1085" s="71" t="s">
        <v>282</v>
      </c>
      <c r="H1085" s="67" t="s">
        <v>282</v>
      </c>
      <c r="I1085" s="67" t="s">
        <v>282</v>
      </c>
      <c r="J1085" s="67" t="s">
        <v>282</v>
      </c>
      <c r="K1085" s="67" t="s">
        <v>282</v>
      </c>
      <c r="L1085" s="67" t="s">
        <v>282</v>
      </c>
      <c r="M1085" s="67" t="s">
        <v>282</v>
      </c>
      <c r="N1085" s="67" t="s">
        <v>282</v>
      </c>
      <c r="O1085" s="68" t="s">
        <v>282</v>
      </c>
      <c r="P1085" s="68" t="s">
        <v>282</v>
      </c>
      <c r="Q1085" s="68" t="s">
        <v>282</v>
      </c>
      <c r="R1085" s="68" t="s">
        <v>282</v>
      </c>
      <c r="S1085" s="68" t="s">
        <v>282</v>
      </c>
      <c r="T1085" s="68" t="s">
        <v>282</v>
      </c>
      <c r="U1085" s="68" t="s">
        <v>282</v>
      </c>
      <c r="V1085" s="68" t="s">
        <v>282</v>
      </c>
      <c r="W1085" s="69" t="s">
        <v>282</v>
      </c>
      <c r="X1085" s="69" t="s">
        <v>282</v>
      </c>
      <c r="Y1085" s="70" t="s">
        <v>282</v>
      </c>
    </row>
    <row r="1086" spans="1:25">
      <c r="A1086" s="64">
        <v>20</v>
      </c>
      <c r="B1086" s="65" t="str">
        <f>VLOOKUP(Tabel10[[#This Row],[Code]],Ruimtegroepen[[Code]:[Ruimte omschrijving]],2,FALSE)</f>
        <v>Niet in Onderhoud</v>
      </c>
      <c r="C1086" s="66" t="s">
        <v>1187</v>
      </c>
      <c r="D1086" s="65" t="s">
        <v>0</v>
      </c>
      <c r="E1086" s="66" t="s">
        <v>101</v>
      </c>
      <c r="F1086" s="66" t="s">
        <v>1190</v>
      </c>
      <c r="G1086" s="71" t="s">
        <v>282</v>
      </c>
      <c r="H1086" s="67" t="s">
        <v>282</v>
      </c>
      <c r="I1086" s="67" t="s">
        <v>282</v>
      </c>
      <c r="J1086" s="67" t="s">
        <v>282</v>
      </c>
      <c r="K1086" s="67" t="s">
        <v>282</v>
      </c>
      <c r="L1086" s="67" t="s">
        <v>282</v>
      </c>
      <c r="M1086" s="67" t="s">
        <v>282</v>
      </c>
      <c r="N1086" s="67" t="s">
        <v>282</v>
      </c>
      <c r="O1086" s="68" t="s">
        <v>282</v>
      </c>
      <c r="P1086" s="68" t="s">
        <v>282</v>
      </c>
      <c r="Q1086" s="68" t="s">
        <v>282</v>
      </c>
      <c r="R1086" s="68" t="s">
        <v>282</v>
      </c>
      <c r="S1086" s="68" t="s">
        <v>282</v>
      </c>
      <c r="T1086" s="68" t="s">
        <v>282</v>
      </c>
      <c r="U1086" s="68" t="s">
        <v>282</v>
      </c>
      <c r="V1086" s="68" t="s">
        <v>282</v>
      </c>
      <c r="W1086" s="69" t="s">
        <v>282</v>
      </c>
      <c r="X1086" s="69" t="s">
        <v>282</v>
      </c>
      <c r="Y1086" s="70" t="s">
        <v>282</v>
      </c>
    </row>
    <row r="1087" spans="1:25">
      <c r="A1087" s="64">
        <v>20</v>
      </c>
      <c r="B1087" s="65" t="str">
        <f>VLOOKUP(Tabel10[[#This Row],[Code]],Ruimtegroepen[[Code]:[Ruimte omschrijving]],2,FALSE)</f>
        <v>Niet in Onderhoud</v>
      </c>
      <c r="C1087" s="66" t="s">
        <v>1187</v>
      </c>
      <c r="D1087" s="65" t="s">
        <v>0</v>
      </c>
      <c r="E1087" s="66" t="s">
        <v>102</v>
      </c>
      <c r="F1087" s="66" t="s">
        <v>1191</v>
      </c>
      <c r="G1087" s="71" t="s">
        <v>282</v>
      </c>
      <c r="H1087" s="67" t="s">
        <v>282</v>
      </c>
      <c r="I1087" s="67" t="s">
        <v>282</v>
      </c>
      <c r="J1087" s="67" t="s">
        <v>282</v>
      </c>
      <c r="K1087" s="67" t="s">
        <v>282</v>
      </c>
      <c r="L1087" s="67" t="s">
        <v>282</v>
      </c>
      <c r="M1087" s="67" t="s">
        <v>282</v>
      </c>
      <c r="N1087" s="67" t="s">
        <v>282</v>
      </c>
      <c r="O1087" s="68" t="s">
        <v>282</v>
      </c>
      <c r="P1087" s="68" t="s">
        <v>282</v>
      </c>
      <c r="Q1087" s="68" t="s">
        <v>282</v>
      </c>
      <c r="R1087" s="68" t="s">
        <v>282</v>
      </c>
      <c r="S1087" s="68" t="s">
        <v>282</v>
      </c>
      <c r="T1087" s="68" t="s">
        <v>282</v>
      </c>
      <c r="U1087" s="68" t="s">
        <v>282</v>
      </c>
      <c r="V1087" s="68" t="s">
        <v>282</v>
      </c>
      <c r="W1087" s="69" t="s">
        <v>282</v>
      </c>
      <c r="X1087" s="69" t="s">
        <v>282</v>
      </c>
      <c r="Y1087" s="70" t="s">
        <v>282</v>
      </c>
    </row>
    <row r="1088" spans="1:25">
      <c r="A1088" s="64">
        <v>20</v>
      </c>
      <c r="B1088" s="65" t="str">
        <f>VLOOKUP(Tabel10[[#This Row],[Code]],Ruimtegroepen[[Code]:[Ruimte omschrijving]],2,FALSE)</f>
        <v>Niet in Onderhoud</v>
      </c>
      <c r="C1088" s="66" t="s">
        <v>1187</v>
      </c>
      <c r="D1088" s="65" t="s">
        <v>0</v>
      </c>
      <c r="E1088" s="66" t="s">
        <v>99</v>
      </c>
      <c r="F1088" s="66" t="s">
        <v>1189</v>
      </c>
      <c r="G1088" s="71" t="s">
        <v>282</v>
      </c>
      <c r="H1088" s="67" t="s">
        <v>282</v>
      </c>
      <c r="I1088" s="67" t="s">
        <v>282</v>
      </c>
      <c r="J1088" s="67" t="s">
        <v>282</v>
      </c>
      <c r="K1088" s="67" t="s">
        <v>282</v>
      </c>
      <c r="L1088" s="67" t="s">
        <v>282</v>
      </c>
      <c r="M1088" s="67" t="s">
        <v>282</v>
      </c>
      <c r="N1088" s="67" t="s">
        <v>282</v>
      </c>
      <c r="O1088" s="68" t="s">
        <v>282</v>
      </c>
      <c r="P1088" s="68" t="s">
        <v>282</v>
      </c>
      <c r="Q1088" s="68" t="s">
        <v>282</v>
      </c>
      <c r="R1088" s="68" t="s">
        <v>282</v>
      </c>
      <c r="S1088" s="68" t="s">
        <v>282</v>
      </c>
      <c r="T1088" s="68" t="s">
        <v>282</v>
      </c>
      <c r="U1088" s="68" t="s">
        <v>282</v>
      </c>
      <c r="V1088" s="68" t="s">
        <v>282</v>
      </c>
      <c r="W1088" s="69" t="s">
        <v>282</v>
      </c>
      <c r="X1088" s="69" t="s">
        <v>282</v>
      </c>
      <c r="Y1088" s="70" t="s">
        <v>282</v>
      </c>
    </row>
    <row r="1089" spans="1:25">
      <c r="A1089" s="64">
        <v>20</v>
      </c>
      <c r="B1089" s="65" t="str">
        <f>VLOOKUP(Tabel10[[#This Row],[Code]],Ruimtegroepen[[Code]:[Ruimte omschrijving]],2,FALSE)</f>
        <v>Niet in Onderhoud</v>
      </c>
      <c r="C1089" s="66" t="s">
        <v>1187</v>
      </c>
      <c r="D1089" s="65" t="s">
        <v>0</v>
      </c>
      <c r="E1089" s="66" t="s">
        <v>1309</v>
      </c>
      <c r="F1089" s="66" t="s">
        <v>1321</v>
      </c>
      <c r="G1089" s="71" t="s">
        <v>282</v>
      </c>
      <c r="H1089" s="67" t="s">
        <v>282</v>
      </c>
      <c r="I1089" s="67" t="s">
        <v>282</v>
      </c>
      <c r="J1089" s="67" t="s">
        <v>282</v>
      </c>
      <c r="K1089" s="67" t="s">
        <v>282</v>
      </c>
      <c r="L1089" s="67" t="s">
        <v>282</v>
      </c>
      <c r="M1089" s="67" t="s">
        <v>282</v>
      </c>
      <c r="N1089" s="67" t="s">
        <v>282</v>
      </c>
      <c r="O1089" s="68" t="s">
        <v>282</v>
      </c>
      <c r="P1089" s="68" t="s">
        <v>282</v>
      </c>
      <c r="Q1089" s="68" t="s">
        <v>282</v>
      </c>
      <c r="R1089" s="68" t="s">
        <v>282</v>
      </c>
      <c r="S1089" s="68" t="s">
        <v>282</v>
      </c>
      <c r="T1089" s="68" t="s">
        <v>282</v>
      </c>
      <c r="U1089" s="68" t="s">
        <v>282</v>
      </c>
      <c r="V1089" s="68" t="s">
        <v>282</v>
      </c>
      <c r="W1089" s="69" t="s">
        <v>282</v>
      </c>
      <c r="X1089" s="69" t="s">
        <v>282</v>
      </c>
      <c r="Y1089" s="70" t="s">
        <v>282</v>
      </c>
    </row>
    <row r="1090" spans="1:25">
      <c r="A1090" s="64">
        <v>20</v>
      </c>
      <c r="B1090" s="65" t="str">
        <f>VLOOKUP(Tabel10[[#This Row],[Code]],Ruimtegroepen[[Code]:[Ruimte omschrijving]],2,FALSE)</f>
        <v>Niet in Onderhoud</v>
      </c>
      <c r="C1090" s="66" t="s">
        <v>1192</v>
      </c>
      <c r="D1090" s="65" t="s">
        <v>27</v>
      </c>
      <c r="E1090" s="66" t="s">
        <v>100</v>
      </c>
      <c r="F1090" s="66" t="s">
        <v>1193</v>
      </c>
      <c r="G1090" s="71" t="s">
        <v>282</v>
      </c>
      <c r="H1090" s="67" t="s">
        <v>282</v>
      </c>
      <c r="I1090" s="67" t="s">
        <v>282</v>
      </c>
      <c r="J1090" s="67" t="s">
        <v>282</v>
      </c>
      <c r="K1090" s="67" t="s">
        <v>282</v>
      </c>
      <c r="L1090" s="67" t="s">
        <v>282</v>
      </c>
      <c r="M1090" s="67" t="s">
        <v>282</v>
      </c>
      <c r="N1090" s="67" t="s">
        <v>282</v>
      </c>
      <c r="O1090" s="68" t="s">
        <v>282</v>
      </c>
      <c r="P1090" s="68" t="s">
        <v>282</v>
      </c>
      <c r="Q1090" s="68" t="s">
        <v>282</v>
      </c>
      <c r="R1090" s="68" t="s">
        <v>282</v>
      </c>
      <c r="S1090" s="68" t="s">
        <v>282</v>
      </c>
      <c r="T1090" s="68" t="s">
        <v>282</v>
      </c>
      <c r="U1090" s="68" t="s">
        <v>282</v>
      </c>
      <c r="V1090" s="68" t="s">
        <v>282</v>
      </c>
      <c r="W1090" s="69" t="s">
        <v>282</v>
      </c>
      <c r="X1090" s="69" t="s">
        <v>282</v>
      </c>
      <c r="Y1090" s="70" t="s">
        <v>282</v>
      </c>
    </row>
    <row r="1091" spans="1:25">
      <c r="A1091" s="64">
        <v>20</v>
      </c>
      <c r="B1091" s="65" t="str">
        <f>VLOOKUP(Tabel10[[#This Row],[Code]],Ruimtegroepen[[Code]:[Ruimte omschrijving]],2,FALSE)</f>
        <v>Niet in Onderhoud</v>
      </c>
      <c r="C1091" s="66" t="s">
        <v>1192</v>
      </c>
      <c r="D1091" s="65" t="s">
        <v>27</v>
      </c>
      <c r="E1091" s="66" t="s">
        <v>99</v>
      </c>
      <c r="F1091" s="66" t="s">
        <v>1194</v>
      </c>
      <c r="G1091" s="71" t="s">
        <v>282</v>
      </c>
      <c r="H1091" s="67" t="s">
        <v>282</v>
      </c>
      <c r="I1091" s="67" t="s">
        <v>282</v>
      </c>
      <c r="J1091" s="67" t="s">
        <v>282</v>
      </c>
      <c r="K1091" s="67" t="s">
        <v>282</v>
      </c>
      <c r="L1091" s="67" t="s">
        <v>282</v>
      </c>
      <c r="M1091" s="67" t="s">
        <v>282</v>
      </c>
      <c r="N1091" s="67" t="s">
        <v>282</v>
      </c>
      <c r="O1091" s="68" t="s">
        <v>282</v>
      </c>
      <c r="P1091" s="68" t="s">
        <v>282</v>
      </c>
      <c r="Q1091" s="68" t="s">
        <v>282</v>
      </c>
      <c r="R1091" s="68" t="s">
        <v>282</v>
      </c>
      <c r="S1091" s="68" t="s">
        <v>282</v>
      </c>
      <c r="T1091" s="68" t="s">
        <v>282</v>
      </c>
      <c r="U1091" s="68" t="s">
        <v>282</v>
      </c>
      <c r="V1091" s="68" t="s">
        <v>282</v>
      </c>
      <c r="W1091" s="69" t="s">
        <v>282</v>
      </c>
      <c r="X1091" s="69" t="s">
        <v>282</v>
      </c>
      <c r="Y1091" s="70" t="s">
        <v>282</v>
      </c>
    </row>
    <row r="1092" spans="1:25">
      <c r="A1092" s="64">
        <v>20</v>
      </c>
      <c r="B1092" s="65" t="str">
        <f>VLOOKUP(Tabel10[[#This Row],[Code]],Ruimtegroepen[[Code]:[Ruimte omschrijving]],2,FALSE)</f>
        <v>Niet in Onderhoud</v>
      </c>
      <c r="C1092" s="66" t="s">
        <v>1192</v>
      </c>
      <c r="D1092" s="65" t="s">
        <v>27</v>
      </c>
      <c r="E1092" s="66" t="s">
        <v>101</v>
      </c>
      <c r="F1092" s="66" t="s">
        <v>1195</v>
      </c>
      <c r="G1092" s="71" t="s">
        <v>282</v>
      </c>
      <c r="H1092" s="67" t="s">
        <v>282</v>
      </c>
      <c r="I1092" s="67" t="s">
        <v>282</v>
      </c>
      <c r="J1092" s="67" t="s">
        <v>282</v>
      </c>
      <c r="K1092" s="67" t="s">
        <v>282</v>
      </c>
      <c r="L1092" s="67" t="s">
        <v>282</v>
      </c>
      <c r="M1092" s="67" t="s">
        <v>282</v>
      </c>
      <c r="N1092" s="67" t="s">
        <v>282</v>
      </c>
      <c r="O1092" s="68" t="s">
        <v>282</v>
      </c>
      <c r="P1092" s="68" t="s">
        <v>282</v>
      </c>
      <c r="Q1092" s="68" t="s">
        <v>282</v>
      </c>
      <c r="R1092" s="68" t="s">
        <v>282</v>
      </c>
      <c r="S1092" s="68" t="s">
        <v>282</v>
      </c>
      <c r="T1092" s="68" t="s">
        <v>282</v>
      </c>
      <c r="U1092" s="68" t="s">
        <v>282</v>
      </c>
      <c r="V1092" s="68" t="s">
        <v>282</v>
      </c>
      <c r="W1092" s="69" t="s">
        <v>282</v>
      </c>
      <c r="X1092" s="69" t="s">
        <v>282</v>
      </c>
      <c r="Y1092" s="70" t="s">
        <v>282</v>
      </c>
    </row>
    <row r="1093" spans="1:25">
      <c r="A1093" s="64">
        <v>20</v>
      </c>
      <c r="B1093" s="65" t="str">
        <f>VLOOKUP(Tabel10[[#This Row],[Code]],Ruimtegroepen[[Code]:[Ruimte omschrijving]],2,FALSE)</f>
        <v>Niet in Onderhoud</v>
      </c>
      <c r="C1093" s="66" t="s">
        <v>1192</v>
      </c>
      <c r="D1093" s="65" t="s">
        <v>27</v>
      </c>
      <c r="E1093" s="66" t="s">
        <v>102</v>
      </c>
      <c r="F1093" s="66" t="s">
        <v>1196</v>
      </c>
      <c r="G1093" s="71" t="s">
        <v>282</v>
      </c>
      <c r="H1093" s="67" t="s">
        <v>282</v>
      </c>
      <c r="I1093" s="67" t="s">
        <v>282</v>
      </c>
      <c r="J1093" s="67" t="s">
        <v>282</v>
      </c>
      <c r="K1093" s="67" t="s">
        <v>282</v>
      </c>
      <c r="L1093" s="67" t="s">
        <v>282</v>
      </c>
      <c r="M1093" s="67" t="s">
        <v>282</v>
      </c>
      <c r="N1093" s="67" t="s">
        <v>282</v>
      </c>
      <c r="O1093" s="68" t="s">
        <v>282</v>
      </c>
      <c r="P1093" s="68" t="s">
        <v>282</v>
      </c>
      <c r="Q1093" s="68" t="s">
        <v>282</v>
      </c>
      <c r="R1093" s="68" t="s">
        <v>282</v>
      </c>
      <c r="S1093" s="68" t="s">
        <v>282</v>
      </c>
      <c r="T1093" s="68" t="s">
        <v>282</v>
      </c>
      <c r="U1093" s="68" t="s">
        <v>282</v>
      </c>
      <c r="V1093" s="68" t="s">
        <v>282</v>
      </c>
      <c r="W1093" s="69" t="s">
        <v>282</v>
      </c>
      <c r="X1093" s="69" t="s">
        <v>282</v>
      </c>
      <c r="Y1093" s="70" t="s">
        <v>282</v>
      </c>
    </row>
    <row r="1094" spans="1:25">
      <c r="A1094" s="64">
        <v>20</v>
      </c>
      <c r="B1094" s="65" t="str">
        <f>VLOOKUP(Tabel10[[#This Row],[Code]],Ruimtegroepen[[Code]:[Ruimte omschrijving]],2,FALSE)</f>
        <v>Niet in Onderhoud</v>
      </c>
      <c r="C1094" s="66" t="s">
        <v>1192</v>
      </c>
      <c r="D1094" s="65" t="s">
        <v>27</v>
      </c>
      <c r="E1094" s="66" t="s">
        <v>99</v>
      </c>
      <c r="F1094" s="66" t="s">
        <v>1194</v>
      </c>
      <c r="G1094" s="71" t="s">
        <v>282</v>
      </c>
      <c r="H1094" s="67" t="s">
        <v>282</v>
      </c>
      <c r="I1094" s="67" t="s">
        <v>282</v>
      </c>
      <c r="J1094" s="67" t="s">
        <v>282</v>
      </c>
      <c r="K1094" s="67" t="s">
        <v>282</v>
      </c>
      <c r="L1094" s="67" t="s">
        <v>282</v>
      </c>
      <c r="M1094" s="67" t="s">
        <v>282</v>
      </c>
      <c r="N1094" s="67" t="s">
        <v>282</v>
      </c>
      <c r="O1094" s="68" t="s">
        <v>282</v>
      </c>
      <c r="P1094" s="68" t="s">
        <v>282</v>
      </c>
      <c r="Q1094" s="68" t="s">
        <v>282</v>
      </c>
      <c r="R1094" s="68" t="s">
        <v>282</v>
      </c>
      <c r="S1094" s="68" t="s">
        <v>282</v>
      </c>
      <c r="T1094" s="68" t="s">
        <v>282</v>
      </c>
      <c r="U1094" s="68" t="s">
        <v>282</v>
      </c>
      <c r="V1094" s="68" t="s">
        <v>282</v>
      </c>
      <c r="W1094" s="69" t="s">
        <v>282</v>
      </c>
      <c r="X1094" s="69" t="s">
        <v>282</v>
      </c>
      <c r="Y1094" s="70" t="s">
        <v>282</v>
      </c>
    </row>
    <row r="1095" spans="1:25">
      <c r="A1095" s="64">
        <v>20</v>
      </c>
      <c r="B1095" s="65" t="str">
        <f>VLOOKUP(Tabel10[[#This Row],[Code]],Ruimtegroepen[[Code]:[Ruimte omschrijving]],2,FALSE)</f>
        <v>Niet in Onderhoud</v>
      </c>
      <c r="C1095" s="66" t="s">
        <v>1192</v>
      </c>
      <c r="D1095" s="65" t="s">
        <v>27</v>
      </c>
      <c r="E1095" s="66" t="s">
        <v>1309</v>
      </c>
      <c r="F1095" s="66" t="s">
        <v>1320</v>
      </c>
      <c r="G1095" s="71" t="s">
        <v>282</v>
      </c>
      <c r="H1095" s="67" t="s">
        <v>282</v>
      </c>
      <c r="I1095" s="67" t="s">
        <v>282</v>
      </c>
      <c r="J1095" s="67" t="s">
        <v>282</v>
      </c>
      <c r="K1095" s="67" t="s">
        <v>282</v>
      </c>
      <c r="L1095" s="67" t="s">
        <v>282</v>
      </c>
      <c r="M1095" s="67" t="s">
        <v>282</v>
      </c>
      <c r="N1095" s="67" t="s">
        <v>282</v>
      </c>
      <c r="O1095" s="68" t="s">
        <v>282</v>
      </c>
      <c r="P1095" s="68" t="s">
        <v>282</v>
      </c>
      <c r="Q1095" s="68" t="s">
        <v>282</v>
      </c>
      <c r="R1095" s="68" t="s">
        <v>282</v>
      </c>
      <c r="S1095" s="68" t="s">
        <v>282</v>
      </c>
      <c r="T1095" s="68" t="s">
        <v>282</v>
      </c>
      <c r="U1095" s="68" t="s">
        <v>282</v>
      </c>
      <c r="V1095" s="68" t="s">
        <v>282</v>
      </c>
      <c r="W1095" s="69" t="s">
        <v>282</v>
      </c>
      <c r="X1095" s="69" t="s">
        <v>282</v>
      </c>
      <c r="Y1095" s="70" t="s">
        <v>282</v>
      </c>
    </row>
    <row r="1096" spans="1:25">
      <c r="A1096" s="64">
        <v>20</v>
      </c>
      <c r="B1096" s="65" t="str">
        <f>VLOOKUP(Tabel10[[#This Row],[Code]],Ruimtegroepen[[Code]:[Ruimte omschrijving]],2,FALSE)</f>
        <v>Niet in Onderhoud</v>
      </c>
      <c r="C1096" s="66" t="s">
        <v>1197</v>
      </c>
      <c r="D1096" s="65" t="s">
        <v>28</v>
      </c>
      <c r="E1096" s="66" t="s">
        <v>100</v>
      </c>
      <c r="F1096" s="66" t="s">
        <v>1198</v>
      </c>
      <c r="G1096" s="71" t="s">
        <v>282</v>
      </c>
      <c r="H1096" s="67" t="s">
        <v>282</v>
      </c>
      <c r="I1096" s="67" t="s">
        <v>282</v>
      </c>
      <c r="J1096" s="67" t="s">
        <v>282</v>
      </c>
      <c r="K1096" s="67" t="s">
        <v>282</v>
      </c>
      <c r="L1096" s="67" t="s">
        <v>282</v>
      </c>
      <c r="M1096" s="67" t="s">
        <v>282</v>
      </c>
      <c r="N1096" s="67" t="s">
        <v>282</v>
      </c>
      <c r="O1096" s="68" t="s">
        <v>282</v>
      </c>
      <c r="P1096" s="68" t="s">
        <v>282</v>
      </c>
      <c r="Q1096" s="68" t="s">
        <v>282</v>
      </c>
      <c r="R1096" s="68" t="s">
        <v>282</v>
      </c>
      <c r="S1096" s="68" t="s">
        <v>282</v>
      </c>
      <c r="T1096" s="68" t="s">
        <v>282</v>
      </c>
      <c r="U1096" s="68" t="s">
        <v>282</v>
      </c>
      <c r="V1096" s="68" t="s">
        <v>282</v>
      </c>
      <c r="W1096" s="69" t="s">
        <v>282</v>
      </c>
      <c r="X1096" s="69" t="s">
        <v>282</v>
      </c>
      <c r="Y1096" s="70" t="s">
        <v>282</v>
      </c>
    </row>
    <row r="1097" spans="1:25">
      <c r="A1097" s="64">
        <v>20</v>
      </c>
      <c r="B1097" s="65" t="str">
        <f>VLOOKUP(Tabel10[[#This Row],[Code]],Ruimtegroepen[[Code]:[Ruimte omschrijving]],2,FALSE)</f>
        <v>Niet in Onderhoud</v>
      </c>
      <c r="C1097" s="66" t="s">
        <v>1197</v>
      </c>
      <c r="D1097" s="65" t="s">
        <v>28</v>
      </c>
      <c r="E1097" s="66" t="s">
        <v>99</v>
      </c>
      <c r="F1097" s="66" t="s">
        <v>1199</v>
      </c>
      <c r="G1097" s="71" t="s">
        <v>282</v>
      </c>
      <c r="H1097" s="67" t="s">
        <v>282</v>
      </c>
      <c r="I1097" s="67" t="s">
        <v>282</v>
      </c>
      <c r="J1097" s="67" t="s">
        <v>282</v>
      </c>
      <c r="K1097" s="67" t="s">
        <v>282</v>
      </c>
      <c r="L1097" s="67" t="s">
        <v>282</v>
      </c>
      <c r="M1097" s="67" t="s">
        <v>282</v>
      </c>
      <c r="N1097" s="67" t="s">
        <v>282</v>
      </c>
      <c r="O1097" s="68" t="s">
        <v>282</v>
      </c>
      <c r="P1097" s="68" t="s">
        <v>282</v>
      </c>
      <c r="Q1097" s="68" t="s">
        <v>282</v>
      </c>
      <c r="R1097" s="68" t="s">
        <v>282</v>
      </c>
      <c r="S1097" s="68" t="s">
        <v>282</v>
      </c>
      <c r="T1097" s="68" t="s">
        <v>282</v>
      </c>
      <c r="U1097" s="68" t="s">
        <v>282</v>
      </c>
      <c r="V1097" s="68" t="s">
        <v>282</v>
      </c>
      <c r="W1097" s="69" t="s">
        <v>282</v>
      </c>
      <c r="X1097" s="69" t="s">
        <v>282</v>
      </c>
      <c r="Y1097" s="70" t="s">
        <v>282</v>
      </c>
    </row>
    <row r="1098" spans="1:25">
      <c r="A1098" s="64">
        <v>20</v>
      </c>
      <c r="B1098" s="65" t="str">
        <f>VLOOKUP(Tabel10[[#This Row],[Code]],Ruimtegroepen[[Code]:[Ruimte omschrijving]],2,FALSE)</f>
        <v>Niet in Onderhoud</v>
      </c>
      <c r="C1098" s="66" t="s">
        <v>1197</v>
      </c>
      <c r="D1098" s="65" t="s">
        <v>28</v>
      </c>
      <c r="E1098" s="66" t="s">
        <v>101</v>
      </c>
      <c r="F1098" s="66" t="s">
        <v>1200</v>
      </c>
      <c r="G1098" s="71" t="s">
        <v>282</v>
      </c>
      <c r="H1098" s="67" t="s">
        <v>282</v>
      </c>
      <c r="I1098" s="67" t="s">
        <v>282</v>
      </c>
      <c r="J1098" s="67" t="s">
        <v>282</v>
      </c>
      <c r="K1098" s="67" t="s">
        <v>282</v>
      </c>
      <c r="L1098" s="67" t="s">
        <v>282</v>
      </c>
      <c r="M1098" s="67" t="s">
        <v>282</v>
      </c>
      <c r="N1098" s="67" t="s">
        <v>282</v>
      </c>
      <c r="O1098" s="68" t="s">
        <v>282</v>
      </c>
      <c r="P1098" s="68" t="s">
        <v>282</v>
      </c>
      <c r="Q1098" s="68" t="s">
        <v>282</v>
      </c>
      <c r="R1098" s="68" t="s">
        <v>282</v>
      </c>
      <c r="S1098" s="68" t="s">
        <v>282</v>
      </c>
      <c r="T1098" s="68" t="s">
        <v>282</v>
      </c>
      <c r="U1098" s="68" t="s">
        <v>282</v>
      </c>
      <c r="V1098" s="68" t="s">
        <v>282</v>
      </c>
      <c r="W1098" s="69" t="s">
        <v>282</v>
      </c>
      <c r="X1098" s="69" t="s">
        <v>282</v>
      </c>
      <c r="Y1098" s="70" t="s">
        <v>282</v>
      </c>
    </row>
    <row r="1099" spans="1:25">
      <c r="A1099" s="64">
        <v>20</v>
      </c>
      <c r="B1099" s="65" t="str">
        <f>VLOOKUP(Tabel10[[#This Row],[Code]],Ruimtegroepen[[Code]:[Ruimte omschrijving]],2,FALSE)</f>
        <v>Niet in Onderhoud</v>
      </c>
      <c r="C1099" s="66" t="s">
        <v>1197</v>
      </c>
      <c r="D1099" s="65" t="s">
        <v>28</v>
      </c>
      <c r="E1099" s="66" t="s">
        <v>102</v>
      </c>
      <c r="F1099" s="66" t="s">
        <v>1201</v>
      </c>
      <c r="G1099" s="71" t="s">
        <v>282</v>
      </c>
      <c r="H1099" s="67" t="s">
        <v>282</v>
      </c>
      <c r="I1099" s="67" t="s">
        <v>282</v>
      </c>
      <c r="J1099" s="67" t="s">
        <v>282</v>
      </c>
      <c r="K1099" s="67" t="s">
        <v>282</v>
      </c>
      <c r="L1099" s="67" t="s">
        <v>282</v>
      </c>
      <c r="M1099" s="67" t="s">
        <v>282</v>
      </c>
      <c r="N1099" s="67" t="s">
        <v>282</v>
      </c>
      <c r="O1099" s="68" t="s">
        <v>282</v>
      </c>
      <c r="P1099" s="68" t="s">
        <v>282</v>
      </c>
      <c r="Q1099" s="68" t="s">
        <v>282</v>
      </c>
      <c r="R1099" s="68" t="s">
        <v>282</v>
      </c>
      <c r="S1099" s="68" t="s">
        <v>282</v>
      </c>
      <c r="T1099" s="68" t="s">
        <v>282</v>
      </c>
      <c r="U1099" s="68" t="s">
        <v>282</v>
      </c>
      <c r="V1099" s="68" t="s">
        <v>282</v>
      </c>
      <c r="W1099" s="69" t="s">
        <v>282</v>
      </c>
      <c r="X1099" s="69" t="s">
        <v>282</v>
      </c>
      <c r="Y1099" s="70" t="s">
        <v>282</v>
      </c>
    </row>
    <row r="1100" spans="1:25">
      <c r="A1100" s="64">
        <v>20</v>
      </c>
      <c r="B1100" s="65" t="str">
        <f>VLOOKUP(Tabel10[[#This Row],[Code]],Ruimtegroepen[[Code]:[Ruimte omschrijving]],2,FALSE)</f>
        <v>Niet in Onderhoud</v>
      </c>
      <c r="C1100" s="66" t="s">
        <v>1197</v>
      </c>
      <c r="D1100" s="65" t="s">
        <v>28</v>
      </c>
      <c r="E1100" s="66" t="s">
        <v>99</v>
      </c>
      <c r="F1100" s="66" t="s">
        <v>1199</v>
      </c>
      <c r="G1100" s="71" t="s">
        <v>282</v>
      </c>
      <c r="H1100" s="67" t="s">
        <v>282</v>
      </c>
      <c r="I1100" s="67" t="s">
        <v>282</v>
      </c>
      <c r="J1100" s="67" t="s">
        <v>282</v>
      </c>
      <c r="K1100" s="67" t="s">
        <v>282</v>
      </c>
      <c r="L1100" s="67" t="s">
        <v>282</v>
      </c>
      <c r="M1100" s="67" t="s">
        <v>282</v>
      </c>
      <c r="N1100" s="67" t="s">
        <v>282</v>
      </c>
      <c r="O1100" s="68" t="s">
        <v>282</v>
      </c>
      <c r="P1100" s="68" t="s">
        <v>282</v>
      </c>
      <c r="Q1100" s="68" t="s">
        <v>282</v>
      </c>
      <c r="R1100" s="68" t="s">
        <v>282</v>
      </c>
      <c r="S1100" s="68" t="s">
        <v>282</v>
      </c>
      <c r="T1100" s="68" t="s">
        <v>282</v>
      </c>
      <c r="U1100" s="68" t="s">
        <v>282</v>
      </c>
      <c r="V1100" s="68" t="s">
        <v>282</v>
      </c>
      <c r="W1100" s="69" t="s">
        <v>282</v>
      </c>
      <c r="X1100" s="69" t="s">
        <v>282</v>
      </c>
      <c r="Y1100" s="70" t="s">
        <v>282</v>
      </c>
    </row>
    <row r="1101" spans="1:25">
      <c r="A1101" s="64">
        <v>20</v>
      </c>
      <c r="B1101" s="65" t="str">
        <f>VLOOKUP(Tabel10[[#This Row],[Code]],Ruimtegroepen[[Code]:[Ruimte omschrijving]],2,FALSE)</f>
        <v>Niet in Onderhoud</v>
      </c>
      <c r="C1101" s="66" t="s">
        <v>1197</v>
      </c>
      <c r="D1101" s="65" t="s">
        <v>28</v>
      </c>
      <c r="E1101" s="66" t="s">
        <v>1309</v>
      </c>
      <c r="F1101" s="66" t="s">
        <v>1319</v>
      </c>
      <c r="G1101" s="71" t="s">
        <v>282</v>
      </c>
      <c r="H1101" s="67" t="s">
        <v>282</v>
      </c>
      <c r="I1101" s="67" t="s">
        <v>282</v>
      </c>
      <c r="J1101" s="67" t="s">
        <v>282</v>
      </c>
      <c r="K1101" s="67" t="s">
        <v>282</v>
      </c>
      <c r="L1101" s="67" t="s">
        <v>282</v>
      </c>
      <c r="M1101" s="67" t="s">
        <v>282</v>
      </c>
      <c r="N1101" s="67" t="s">
        <v>282</v>
      </c>
      <c r="O1101" s="68" t="s">
        <v>282</v>
      </c>
      <c r="P1101" s="68" t="s">
        <v>282</v>
      </c>
      <c r="Q1101" s="68" t="s">
        <v>282</v>
      </c>
      <c r="R1101" s="68" t="s">
        <v>282</v>
      </c>
      <c r="S1101" s="68" t="s">
        <v>282</v>
      </c>
      <c r="T1101" s="68" t="s">
        <v>282</v>
      </c>
      <c r="U1101" s="68" t="s">
        <v>282</v>
      </c>
      <c r="V1101" s="68" t="s">
        <v>282</v>
      </c>
      <c r="W1101" s="69" t="s">
        <v>282</v>
      </c>
      <c r="X1101" s="69" t="s">
        <v>282</v>
      </c>
      <c r="Y1101" s="70" t="s">
        <v>282</v>
      </c>
    </row>
  </sheetData>
  <sheetProtection algorithmName="SHA-512" hashValue="ZUCd8W7ageibSw8EVJmBl4ptrR/GjG5r+9YdcvS71nFKttMQk3syO0a+hPlSZQgj2lCLv7q0ckephLSC2FG1ZA==" saltValue="Jz58TvZnZdO9ZAGiEeeeMg==" spinCount="100000" sheet="1" objects="1" scenarios="1" selectLockedCells="1"/>
  <mergeCells count="3">
    <mergeCell ref="G2:N2"/>
    <mergeCell ref="O2:V2"/>
    <mergeCell ref="W2:Y2"/>
  </mergeCells>
  <phoneticPr fontId="2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S56"/>
  <sheetViews>
    <sheetView showGridLines="0" view="pageBreakPreview" topLeftCell="A2" zoomScaleNormal="100" zoomScaleSheetLayoutView="100" workbookViewId="0">
      <selection activeCell="A2" sqref="A2:E2"/>
    </sheetView>
  </sheetViews>
  <sheetFormatPr defaultColWidth="7.85546875" defaultRowHeight="15" customHeight="1"/>
  <cols>
    <col min="1" max="1" width="15.140625" style="78" bestFit="1" customWidth="1"/>
    <col min="2" max="2" width="26" style="78" customWidth="1"/>
    <col min="3" max="3" width="18.28515625" style="78" customWidth="1"/>
    <col min="4" max="4" width="17.7109375" style="78" bestFit="1" customWidth="1"/>
    <col min="5" max="5" width="18.28515625" style="88" customWidth="1"/>
    <col min="6" max="6" width="2.85546875" style="78" customWidth="1"/>
    <col min="7" max="7" width="14.85546875" style="78" customWidth="1"/>
    <col min="8" max="8" width="12" style="78" bestFit="1" customWidth="1"/>
    <col min="9" max="9" width="17.7109375" style="78" bestFit="1" customWidth="1"/>
    <col min="10" max="10" width="12" style="78" bestFit="1" customWidth="1"/>
    <col min="11" max="11" width="17.7109375" style="78" bestFit="1" customWidth="1"/>
    <col min="12" max="12" width="12" style="78" bestFit="1" customWidth="1"/>
    <col min="13" max="13" width="17.7109375" style="78" bestFit="1" customWidth="1"/>
    <col min="14" max="14" width="12" style="78" bestFit="1" customWidth="1"/>
    <col min="15" max="15" width="17.7109375" style="78" bestFit="1" customWidth="1"/>
    <col min="16" max="16" width="12" style="78" bestFit="1" customWidth="1"/>
    <col min="17" max="17" width="18.28515625" style="78" bestFit="1" customWidth="1"/>
    <col min="18" max="16384" width="7.85546875" style="78"/>
  </cols>
  <sheetData>
    <row r="1" spans="1:19" s="55" customFormat="1" ht="26.25" customHeight="1">
      <c r="A1" s="363" t="s">
        <v>34</v>
      </c>
      <c r="B1" s="363"/>
      <c r="C1" s="363"/>
      <c r="D1" s="363"/>
      <c r="E1" s="363"/>
    </row>
    <row r="2" spans="1:19" s="55" customFormat="1" ht="15" customHeight="1">
      <c r="A2" s="411" t="s">
        <v>1586</v>
      </c>
      <c r="B2" s="411"/>
      <c r="C2" s="411"/>
      <c r="D2" s="411"/>
      <c r="E2" s="411"/>
      <c r="G2" s="372" t="s">
        <v>243</v>
      </c>
      <c r="H2" s="372"/>
      <c r="I2" s="372"/>
      <c r="J2" s="372"/>
      <c r="K2" s="372"/>
      <c r="L2" s="372"/>
      <c r="M2" s="372"/>
      <c r="N2" s="372"/>
      <c r="O2" s="372"/>
      <c r="P2" s="372"/>
      <c r="Q2" s="372"/>
    </row>
    <row r="3" spans="1:19">
      <c r="A3" s="282"/>
      <c r="B3" s="282"/>
      <c r="C3" s="282"/>
      <c r="D3" s="282"/>
      <c r="E3" s="282"/>
      <c r="G3" s="281"/>
      <c r="H3" s="373">
        <v>2027</v>
      </c>
      <c r="I3" s="374"/>
      <c r="J3" s="373">
        <v>2028</v>
      </c>
      <c r="K3" s="374"/>
      <c r="L3" s="373">
        <v>2029</v>
      </c>
      <c r="M3" s="374"/>
      <c r="N3" s="373">
        <v>2030</v>
      </c>
      <c r="O3" s="374"/>
      <c r="P3" s="373">
        <v>2031</v>
      </c>
      <c r="Q3" s="374"/>
    </row>
    <row r="4" spans="1:19" s="79" customFormat="1" ht="26.25" customHeight="1">
      <c r="A4" s="359" t="s">
        <v>72</v>
      </c>
      <c r="B4" s="360"/>
      <c r="C4" s="283" t="s">
        <v>196</v>
      </c>
      <c r="D4" s="283" t="s">
        <v>207</v>
      </c>
      <c r="E4" s="283" t="s">
        <v>79</v>
      </c>
      <c r="G4" s="281" t="s">
        <v>1288</v>
      </c>
      <c r="H4" s="281" t="s">
        <v>1289</v>
      </c>
      <c r="I4" s="281" t="s">
        <v>1290</v>
      </c>
      <c r="J4" s="281" t="s">
        <v>1289</v>
      </c>
      <c r="K4" s="281" t="s">
        <v>1290</v>
      </c>
      <c r="L4" s="281" t="s">
        <v>1289</v>
      </c>
      <c r="M4" s="281" t="s">
        <v>1290</v>
      </c>
      <c r="N4" s="281" t="s">
        <v>1289</v>
      </c>
      <c r="O4" s="281" t="s">
        <v>1290</v>
      </c>
      <c r="P4" s="281" t="s">
        <v>1289</v>
      </c>
      <c r="Q4" s="281" t="s">
        <v>1290</v>
      </c>
    </row>
    <row r="5" spans="1:19" ht="15" customHeight="1">
      <c r="A5" s="365" t="s">
        <v>93</v>
      </c>
      <c r="B5" s="366"/>
      <c r="C5" s="412">
        <v>0</v>
      </c>
      <c r="D5" s="413">
        <v>0</v>
      </c>
      <c r="E5" s="80">
        <f>C5*D5</f>
        <v>0</v>
      </c>
      <c r="G5" s="81"/>
      <c r="H5" s="81"/>
      <c r="I5" s="81"/>
      <c r="J5" s="81"/>
      <c r="K5" s="81"/>
      <c r="L5" s="81"/>
      <c r="M5" s="81"/>
      <c r="N5" s="81"/>
      <c r="O5" s="81"/>
      <c r="P5" s="81"/>
      <c r="Q5" s="81"/>
    </row>
    <row r="6" spans="1:19" ht="15" customHeight="1">
      <c r="A6" s="365" t="s">
        <v>64</v>
      </c>
      <c r="B6" s="366"/>
      <c r="C6" s="412">
        <v>0</v>
      </c>
      <c r="D6" s="413">
        <v>0</v>
      </c>
      <c r="E6" s="80">
        <f>C6*D6</f>
        <v>0</v>
      </c>
      <c r="G6" s="81"/>
      <c r="H6" s="81"/>
      <c r="I6" s="81"/>
      <c r="J6" s="81"/>
      <c r="K6" s="81"/>
      <c r="L6" s="81"/>
      <c r="M6" s="81"/>
      <c r="N6" s="81"/>
      <c r="O6" s="81"/>
      <c r="P6" s="81"/>
      <c r="Q6" s="81"/>
    </row>
    <row r="7" spans="1:19" ht="15" customHeight="1">
      <c r="A7" s="414"/>
      <c r="B7" s="415"/>
      <c r="C7" s="412">
        <v>0</v>
      </c>
      <c r="D7" s="413">
        <v>0</v>
      </c>
      <c r="E7" s="80">
        <f>C7*D7</f>
        <v>0</v>
      </c>
      <c r="G7" s="81"/>
      <c r="H7" s="81"/>
      <c r="I7" s="81"/>
      <c r="J7" s="81"/>
      <c r="K7" s="81"/>
      <c r="L7" s="81"/>
      <c r="M7" s="81"/>
      <c r="N7" s="81"/>
      <c r="O7" s="81"/>
      <c r="P7" s="81"/>
      <c r="Q7" s="81"/>
    </row>
    <row r="8" spans="1:19" ht="15" customHeight="1">
      <c r="A8" s="370" t="s">
        <v>65</v>
      </c>
      <c r="B8" s="371"/>
      <c r="C8" s="412">
        <v>0</v>
      </c>
      <c r="D8" s="413">
        <v>0</v>
      </c>
      <c r="E8" s="80">
        <f>C8*D8</f>
        <v>0</v>
      </c>
      <c r="G8" s="81"/>
      <c r="H8" s="81"/>
      <c r="I8" s="81"/>
      <c r="J8" s="81"/>
      <c r="K8" s="81"/>
      <c r="L8" s="81"/>
      <c r="M8" s="81"/>
      <c r="N8" s="81"/>
      <c r="O8" s="81"/>
      <c r="P8" s="81"/>
      <c r="Q8" s="81"/>
    </row>
    <row r="9" spans="1:19" ht="15" customHeight="1">
      <c r="A9" s="367" t="s">
        <v>94</v>
      </c>
      <c r="B9" s="368"/>
      <c r="C9" s="369"/>
      <c r="D9" s="82">
        <f>SUM(D5:D8)</f>
        <v>0</v>
      </c>
      <c r="E9" s="80" t="str">
        <f>IF(SUM($D$5:$D$8)=100%,SUM(E5:E8),"    GEEN 100%")</f>
        <v xml:space="preserve">    GEEN 100%</v>
      </c>
      <c r="G9" s="81"/>
      <c r="H9" s="83"/>
      <c r="I9" s="81"/>
      <c r="J9" s="81"/>
      <c r="K9" s="81"/>
      <c r="L9" s="81"/>
      <c r="M9" s="81"/>
      <c r="N9" s="81"/>
      <c r="O9" s="81"/>
      <c r="P9" s="81"/>
      <c r="Q9" s="81"/>
    </row>
    <row r="10" spans="1:19" ht="15" customHeight="1">
      <c r="A10" s="364" t="s">
        <v>66</v>
      </c>
      <c r="B10" s="364"/>
      <c r="C10" s="364"/>
      <c r="D10" s="84" t="s">
        <v>3</v>
      </c>
      <c r="E10" s="85">
        <f>SUM(E9:E9)</f>
        <v>0</v>
      </c>
      <c r="G10" s="81" t="s">
        <v>1291</v>
      </c>
      <c r="H10" s="278">
        <v>0</v>
      </c>
      <c r="I10" s="85">
        <f>(E10*H10)+E10</f>
        <v>0</v>
      </c>
      <c r="J10" s="278">
        <v>0</v>
      </c>
      <c r="K10" s="85">
        <f>(I10*J10)+I10</f>
        <v>0</v>
      </c>
      <c r="L10" s="278">
        <v>0</v>
      </c>
      <c r="M10" s="85">
        <f>(K10*L10)+K10</f>
        <v>0</v>
      </c>
      <c r="N10" s="278">
        <v>0</v>
      </c>
      <c r="O10" s="85">
        <f>(M10*N10)+M10</f>
        <v>0</v>
      </c>
      <c r="P10" s="278">
        <v>0</v>
      </c>
      <c r="Q10" s="85">
        <f>(O10*P10)+O10</f>
        <v>0</v>
      </c>
    </row>
    <row r="11" spans="1:19" ht="15" customHeight="1">
      <c r="A11" s="86"/>
      <c r="B11" s="87"/>
      <c r="C11" s="87"/>
      <c r="D11" s="87"/>
      <c r="G11" s="81"/>
      <c r="H11" s="81"/>
      <c r="I11" s="81"/>
      <c r="J11" s="81"/>
      <c r="K11" s="81"/>
      <c r="L11" s="81"/>
      <c r="M11" s="81"/>
      <c r="N11" s="81"/>
      <c r="O11" s="81"/>
      <c r="P11" s="81"/>
      <c r="Q11" s="81"/>
    </row>
    <row r="12" spans="1:19" s="79" customFormat="1" ht="26.25" customHeight="1">
      <c r="A12" s="359" t="s">
        <v>67</v>
      </c>
      <c r="B12" s="360"/>
      <c r="C12" s="283"/>
      <c r="D12" s="283" t="s">
        <v>76</v>
      </c>
      <c r="E12" s="283" t="s">
        <v>79</v>
      </c>
      <c r="G12" s="359"/>
      <c r="H12" s="360"/>
      <c r="I12" s="283"/>
      <c r="J12" s="283"/>
      <c r="K12" s="283"/>
      <c r="L12" s="359"/>
      <c r="M12" s="360"/>
      <c r="N12" s="283"/>
      <c r="O12" s="283"/>
      <c r="P12" s="283"/>
      <c r="Q12" s="284"/>
    </row>
    <row r="13" spans="1:19" ht="15" customHeight="1">
      <c r="A13" s="361" t="s">
        <v>4</v>
      </c>
      <c r="B13" s="362"/>
      <c r="C13" s="362"/>
      <c r="D13" s="416">
        <v>0</v>
      </c>
      <c r="E13" s="90">
        <f>SUM($E$10*D13)</f>
        <v>0</v>
      </c>
      <c r="G13" s="81" t="s">
        <v>1582</v>
      </c>
      <c r="H13" s="278"/>
      <c r="I13" s="91">
        <f>(E13*H13)+E13</f>
        <v>0</v>
      </c>
      <c r="J13" s="279"/>
      <c r="K13" s="91">
        <f>(I13*J13)+I13</f>
        <v>0</v>
      </c>
      <c r="L13" s="279"/>
      <c r="M13" s="91">
        <f>(K13*L13)+K13</f>
        <v>0</v>
      </c>
      <c r="N13" s="279"/>
      <c r="O13" s="91">
        <f>(M13*N13)+M13</f>
        <v>0</v>
      </c>
      <c r="P13" s="279"/>
      <c r="Q13" s="91">
        <f>(O13*P13)+O13</f>
        <v>0</v>
      </c>
    </row>
    <row r="14" spans="1:19" ht="15" customHeight="1">
      <c r="A14" s="362" t="s">
        <v>81</v>
      </c>
      <c r="B14" s="362"/>
      <c r="C14" s="362"/>
      <c r="D14" s="416">
        <v>0</v>
      </c>
      <c r="E14" s="90">
        <f>SUM($E$10*D14)</f>
        <v>0</v>
      </c>
      <c r="G14" s="81" t="s">
        <v>1582</v>
      </c>
      <c r="H14" s="278"/>
      <c r="I14" s="91">
        <f>(E14*H14)+E14</f>
        <v>0</v>
      </c>
      <c r="J14" s="279"/>
      <c r="K14" s="91">
        <f>(I14*J14)+I14</f>
        <v>0</v>
      </c>
      <c r="L14" s="279"/>
      <c r="M14" s="91">
        <f>(K14*L14)+K14</f>
        <v>0</v>
      </c>
      <c r="N14" s="279"/>
      <c r="O14" s="91">
        <f>(M14*N14)+M14</f>
        <v>0</v>
      </c>
      <c r="P14" s="279"/>
      <c r="Q14" s="91">
        <f>(O14*P14)+O14</f>
        <v>0</v>
      </c>
    </row>
    <row r="15" spans="1:19" ht="15" customHeight="1">
      <c r="A15" s="362" t="s">
        <v>5</v>
      </c>
      <c r="B15" s="362"/>
      <c r="C15" s="362"/>
      <c r="D15" s="416">
        <v>0</v>
      </c>
      <c r="E15" s="90">
        <f>SUM($E$10*D15)</f>
        <v>0</v>
      </c>
      <c r="G15" s="81" t="s">
        <v>1582</v>
      </c>
      <c r="H15" s="278"/>
      <c r="I15" s="91">
        <f>(E15*H15)+E15</f>
        <v>0</v>
      </c>
      <c r="J15" s="279"/>
      <c r="K15" s="91">
        <f>(I15*J15)+I15</f>
        <v>0</v>
      </c>
      <c r="L15" s="279"/>
      <c r="M15" s="91">
        <f>(K15*L15)+K15</f>
        <v>0</v>
      </c>
      <c r="N15" s="279"/>
      <c r="O15" s="359">
        <f>(M15*N15)+M15</f>
        <v>0</v>
      </c>
      <c r="P15" s="360"/>
      <c r="Q15" s="283">
        <f>(O15*P15)+O15</f>
        <v>0</v>
      </c>
      <c r="R15" s="283"/>
      <c r="S15" s="283"/>
    </row>
    <row r="16" spans="1:19" ht="15" customHeight="1">
      <c r="A16" s="362" t="s">
        <v>6</v>
      </c>
      <c r="B16" s="362"/>
      <c r="C16" s="362"/>
      <c r="D16" s="416">
        <v>0</v>
      </c>
      <c r="E16" s="90">
        <f>SUM($E$10*D16)</f>
        <v>0</v>
      </c>
      <c r="G16" s="81" t="s">
        <v>1582</v>
      </c>
      <c r="H16" s="278"/>
      <c r="I16" s="91">
        <f>(E16*H16)+E16</f>
        <v>0</v>
      </c>
      <c r="J16" s="279"/>
      <c r="K16" s="91">
        <f>(I16*J16)+I16</f>
        <v>0</v>
      </c>
      <c r="L16" s="279"/>
      <c r="M16" s="91">
        <f>(K16*L16)+K16</f>
        <v>0</v>
      </c>
      <c r="N16" s="279"/>
      <c r="O16" s="91">
        <f>(M16*N16)+M16</f>
        <v>0</v>
      </c>
      <c r="P16" s="279"/>
      <c r="Q16" s="91">
        <f>(O16*P16)+O16</f>
        <v>0</v>
      </c>
    </row>
    <row r="17" spans="1:17" ht="15" customHeight="1">
      <c r="A17" s="414" t="s">
        <v>84</v>
      </c>
      <c r="B17" s="417"/>
      <c r="C17" s="415"/>
      <c r="D17" s="416">
        <v>0</v>
      </c>
      <c r="E17" s="90">
        <f>SUM($E$10*D17)</f>
        <v>0</v>
      </c>
      <c r="G17" s="81" t="s">
        <v>1582</v>
      </c>
      <c r="H17" s="278"/>
      <c r="I17" s="91">
        <f>(E17*H17)+E17</f>
        <v>0</v>
      </c>
      <c r="J17" s="279"/>
      <c r="K17" s="91">
        <f>(I17*J17)+I17</f>
        <v>0</v>
      </c>
      <c r="L17" s="279"/>
      <c r="M17" s="91">
        <f>(K17*L17)+K17</f>
        <v>0</v>
      </c>
      <c r="N17" s="279"/>
      <c r="O17" s="91">
        <f>(M17*N17)+M17</f>
        <v>0</v>
      </c>
      <c r="P17" s="279"/>
      <c r="Q17" s="91">
        <f>(O17*P17)+O17</f>
        <v>0</v>
      </c>
    </row>
    <row r="18" spans="1:17" ht="15" customHeight="1">
      <c r="A18" s="364" t="s">
        <v>73</v>
      </c>
      <c r="B18" s="364"/>
      <c r="C18" s="364"/>
      <c r="D18" s="92"/>
      <c r="E18" s="93">
        <f>SUM(E13:E17)</f>
        <v>0</v>
      </c>
      <c r="G18" s="81"/>
      <c r="H18" s="278"/>
      <c r="I18" s="93">
        <f>SUM(I13:I17)</f>
        <v>0</v>
      </c>
      <c r="J18" s="278"/>
      <c r="K18" s="93">
        <f>SUM(K13:K17)</f>
        <v>0</v>
      </c>
      <c r="L18" s="278"/>
      <c r="M18" s="93">
        <f>SUM(M13:M17)</f>
        <v>0</v>
      </c>
      <c r="N18" s="278"/>
      <c r="O18" s="93">
        <f>SUM(O13:O17)</f>
        <v>0</v>
      </c>
      <c r="P18" s="278"/>
      <c r="Q18" s="93">
        <f>SUM(Q13:Q17)</f>
        <v>0</v>
      </c>
    </row>
    <row r="19" spans="1:17" ht="15" customHeight="1">
      <c r="D19" s="94"/>
      <c r="E19" s="95"/>
      <c r="G19" s="81"/>
      <c r="H19" s="81"/>
      <c r="I19" s="81"/>
      <c r="J19" s="81"/>
      <c r="K19" s="81"/>
      <c r="L19" s="81"/>
      <c r="M19" s="81"/>
      <c r="N19" s="81"/>
      <c r="O19" s="81"/>
      <c r="P19" s="81"/>
      <c r="Q19" s="81"/>
    </row>
    <row r="20" spans="1:17" s="79" customFormat="1" ht="26.25" customHeight="1">
      <c r="A20" s="359" t="s">
        <v>68</v>
      </c>
      <c r="B20" s="360"/>
      <c r="C20" s="283"/>
      <c r="D20" s="283" t="s">
        <v>77</v>
      </c>
      <c r="E20" s="283" t="s">
        <v>79</v>
      </c>
      <c r="G20" s="359"/>
      <c r="H20" s="360"/>
      <c r="I20" s="283"/>
      <c r="J20" s="283"/>
      <c r="K20" s="283"/>
      <c r="L20" s="359"/>
      <c r="M20" s="360"/>
      <c r="N20" s="283"/>
      <c r="O20" s="283"/>
      <c r="P20" s="283"/>
      <c r="Q20" s="284"/>
    </row>
    <row r="21" spans="1:17" ht="15" customHeight="1">
      <c r="A21" s="362" t="s">
        <v>7</v>
      </c>
      <c r="B21" s="362"/>
      <c r="C21" s="362"/>
      <c r="D21" s="96" t="e">
        <f>E21/$E$35</f>
        <v>#DIV/0!</v>
      </c>
      <c r="E21" s="418">
        <v>0</v>
      </c>
      <c r="G21" s="81" t="s">
        <v>1582</v>
      </c>
      <c r="H21" s="278"/>
      <c r="I21" s="91">
        <f>(E21*H21)+E21</f>
        <v>0</v>
      </c>
      <c r="J21" s="279"/>
      <c r="K21" s="91">
        <f>(I21*J21)+I21</f>
        <v>0</v>
      </c>
      <c r="L21" s="279"/>
      <c r="M21" s="91">
        <f>(K21*L21)+K21</f>
        <v>0</v>
      </c>
      <c r="N21" s="279"/>
      <c r="O21" s="91">
        <f>(M21*N21)+M21</f>
        <v>0</v>
      </c>
      <c r="P21" s="279"/>
      <c r="Q21" s="91">
        <f>(O21*P21)+O21</f>
        <v>0</v>
      </c>
    </row>
    <row r="22" spans="1:17" ht="15" customHeight="1">
      <c r="A22" s="361" t="s">
        <v>8</v>
      </c>
      <c r="B22" s="362"/>
      <c r="C22" s="362"/>
      <c r="D22" s="96" t="e">
        <f>E22/$E$35</f>
        <v>#DIV/0!</v>
      </c>
      <c r="E22" s="418">
        <v>0</v>
      </c>
      <c r="G22" s="81" t="s">
        <v>1582</v>
      </c>
      <c r="H22" s="278"/>
      <c r="I22" s="91">
        <f>(E22*H22)+E22</f>
        <v>0</v>
      </c>
      <c r="J22" s="279"/>
      <c r="K22" s="91">
        <f>(I22*J22)+I22</f>
        <v>0</v>
      </c>
      <c r="L22" s="279"/>
      <c r="M22" s="91">
        <f>(K22*L22)+K22</f>
        <v>0</v>
      </c>
      <c r="N22" s="279"/>
      <c r="O22" s="91">
        <f>(M22*N22)+M22</f>
        <v>0</v>
      </c>
      <c r="P22" s="279"/>
      <c r="Q22" s="91">
        <f>(O22*P22)+O22</f>
        <v>0</v>
      </c>
    </row>
    <row r="23" spans="1:17" ht="15" customHeight="1">
      <c r="A23" s="362" t="s">
        <v>9</v>
      </c>
      <c r="B23" s="362"/>
      <c r="C23" s="362"/>
      <c r="D23" s="96" t="e">
        <f>E23/$E$35</f>
        <v>#DIV/0!</v>
      </c>
      <c r="E23" s="418">
        <v>0</v>
      </c>
      <c r="G23" s="81" t="s">
        <v>1582</v>
      </c>
      <c r="H23" s="278"/>
      <c r="I23" s="97">
        <f>(E23*H23)+E23</f>
        <v>0</v>
      </c>
      <c r="J23" s="279"/>
      <c r="K23" s="91">
        <f>(I23*J23)+I23</f>
        <v>0</v>
      </c>
      <c r="L23" s="279"/>
      <c r="M23" s="91">
        <f>(K23*L23)+K23</f>
        <v>0</v>
      </c>
      <c r="N23" s="279"/>
      <c r="O23" s="91">
        <f>(M23*N23)+M23</f>
        <v>0</v>
      </c>
      <c r="P23" s="279"/>
      <c r="Q23" s="91">
        <f>(O23*P23)+O23</f>
        <v>0</v>
      </c>
    </row>
    <row r="24" spans="1:17" ht="15" customHeight="1">
      <c r="A24" s="370" t="s">
        <v>10</v>
      </c>
      <c r="B24" s="378"/>
      <c r="C24" s="371"/>
      <c r="D24" s="416">
        <v>0</v>
      </c>
      <c r="E24" s="98">
        <f>D24*$E$10</f>
        <v>0</v>
      </c>
      <c r="G24" s="81" t="s">
        <v>1291</v>
      </c>
      <c r="H24" s="278"/>
      <c r="I24" s="91">
        <f>(E24*H24)+E24</f>
        <v>0</v>
      </c>
      <c r="J24" s="279"/>
      <c r="K24" s="91">
        <f>(I24*J24)+I24</f>
        <v>0</v>
      </c>
      <c r="L24" s="279"/>
      <c r="M24" s="91">
        <f>(K24*L24)+K24</f>
        <v>0</v>
      </c>
      <c r="N24" s="279"/>
      <c r="O24" s="91">
        <f>(M24*N24)+M24</f>
        <v>0</v>
      </c>
      <c r="P24" s="279"/>
      <c r="Q24" s="91">
        <f>(O24*P24)+O24</f>
        <v>0</v>
      </c>
    </row>
    <row r="25" spans="1:17" ht="15" customHeight="1">
      <c r="A25" s="414" t="s">
        <v>82</v>
      </c>
      <c r="B25" s="417"/>
      <c r="C25" s="415"/>
      <c r="D25" s="96" t="e">
        <f>E25/$E$35</f>
        <v>#DIV/0!</v>
      </c>
      <c r="E25" s="418">
        <v>0</v>
      </c>
      <c r="G25" s="81" t="s">
        <v>1582</v>
      </c>
      <c r="H25" s="278"/>
      <c r="I25" s="97">
        <f>(E25*H25)+E25</f>
        <v>0</v>
      </c>
      <c r="J25" s="279"/>
      <c r="K25" s="91">
        <f>(I25*J25)+I25</f>
        <v>0</v>
      </c>
      <c r="L25" s="279"/>
      <c r="M25" s="91">
        <f>(K25*L25)+K25</f>
        <v>0</v>
      </c>
      <c r="N25" s="279"/>
      <c r="O25" s="91">
        <f>(M25*N25)+M25</f>
        <v>0</v>
      </c>
      <c r="P25" s="279"/>
      <c r="Q25" s="91">
        <f>(O25*P25)+O25</f>
        <v>0</v>
      </c>
    </row>
    <row r="26" spans="1:17" ht="15" customHeight="1">
      <c r="A26" s="364" t="s">
        <v>74</v>
      </c>
      <c r="B26" s="364"/>
      <c r="C26" s="364"/>
      <c r="D26" s="84" t="s">
        <v>3</v>
      </c>
      <c r="E26" s="85">
        <f>SUM(E21:E25)</f>
        <v>0</v>
      </c>
      <c r="G26" s="81"/>
      <c r="H26" s="81"/>
      <c r="I26" s="85">
        <f>SUM(I21:I25)</f>
        <v>0</v>
      </c>
      <c r="J26" s="278"/>
      <c r="K26" s="85">
        <f>SUM(K21:K25)</f>
        <v>0</v>
      </c>
      <c r="L26" s="278"/>
      <c r="M26" s="85">
        <f>SUM(M21:M25)</f>
        <v>0</v>
      </c>
      <c r="N26" s="278"/>
      <c r="O26" s="85">
        <f>SUM(O21:O25)</f>
        <v>0</v>
      </c>
      <c r="P26" s="278"/>
      <c r="Q26" s="85">
        <f>SUM(Q21:Q25)</f>
        <v>0</v>
      </c>
    </row>
    <row r="27" spans="1:17" ht="15" customHeight="1">
      <c r="A27" s="99"/>
      <c r="B27" s="99"/>
      <c r="C27" s="99"/>
      <c r="D27" s="100"/>
      <c r="E27" s="101"/>
      <c r="G27" s="81"/>
      <c r="H27" s="81"/>
      <c r="I27" s="81"/>
      <c r="J27" s="81"/>
      <c r="K27" s="81"/>
      <c r="L27" s="81"/>
      <c r="M27" s="81"/>
      <c r="N27" s="81"/>
      <c r="O27" s="81"/>
      <c r="P27" s="81"/>
      <c r="Q27" s="81"/>
    </row>
    <row r="28" spans="1:17" s="79" customFormat="1" ht="26.25" customHeight="1">
      <c r="A28" s="359" t="s">
        <v>69</v>
      </c>
      <c r="B28" s="360"/>
      <c r="C28" s="283"/>
      <c r="D28" s="283" t="s">
        <v>77</v>
      </c>
      <c r="E28" s="283" t="s">
        <v>79</v>
      </c>
      <c r="G28" s="359"/>
      <c r="H28" s="360"/>
      <c r="I28" s="283"/>
      <c r="J28" s="283"/>
      <c r="K28" s="283"/>
      <c r="L28" s="359"/>
      <c r="M28" s="360"/>
      <c r="N28" s="283"/>
      <c r="O28" s="283"/>
      <c r="P28" s="283"/>
      <c r="Q28" s="284"/>
    </row>
    <row r="29" spans="1:17" ht="15" customHeight="1">
      <c r="A29" s="361" t="s">
        <v>11</v>
      </c>
      <c r="B29" s="362"/>
      <c r="C29" s="362"/>
      <c r="D29" s="416">
        <v>0</v>
      </c>
      <c r="E29" s="98">
        <f>D29*($E$18+$E$10)</f>
        <v>0</v>
      </c>
      <c r="G29" s="81" t="s">
        <v>1582</v>
      </c>
      <c r="H29" s="278"/>
      <c r="I29" s="91">
        <f>(E29*H29)+E29</f>
        <v>0</v>
      </c>
      <c r="J29" s="279"/>
      <c r="K29" s="91">
        <f>(I29*J29)+I29</f>
        <v>0</v>
      </c>
      <c r="L29" s="279"/>
      <c r="M29" s="91">
        <f>(K29*L29)+K29</f>
        <v>0</v>
      </c>
      <c r="N29" s="279"/>
      <c r="O29" s="91">
        <f>(M29*N29)+M29</f>
        <v>0</v>
      </c>
      <c r="P29" s="279"/>
      <c r="Q29" s="91">
        <f>(O29*P29)+O29</f>
        <v>0</v>
      </c>
    </row>
    <row r="30" spans="1:17" ht="15" customHeight="1">
      <c r="A30" s="361" t="s">
        <v>70</v>
      </c>
      <c r="B30" s="362"/>
      <c r="C30" s="362"/>
      <c r="D30" s="102" t="e">
        <f>E30/$E$35</f>
        <v>#DIV/0!</v>
      </c>
      <c r="E30" s="418">
        <v>0</v>
      </c>
      <c r="G30" s="81" t="s">
        <v>1582</v>
      </c>
      <c r="H30" s="278"/>
      <c r="I30" s="97">
        <f>(E30*H30)+E30</f>
        <v>0</v>
      </c>
      <c r="J30" s="279"/>
      <c r="K30" s="91">
        <f>(I30*J30)+I30</f>
        <v>0</v>
      </c>
      <c r="L30" s="279"/>
      <c r="M30" s="91">
        <f>(K30*L30)+K30</f>
        <v>0</v>
      </c>
      <c r="N30" s="279"/>
      <c r="O30" s="91">
        <f>(M30*N30)+M30</f>
        <v>0</v>
      </c>
      <c r="P30" s="279"/>
      <c r="Q30" s="91">
        <f>(O30*P30)+O30</f>
        <v>0</v>
      </c>
    </row>
    <row r="31" spans="1:17" ht="15" customHeight="1">
      <c r="A31" s="414" t="s">
        <v>83</v>
      </c>
      <c r="B31" s="417"/>
      <c r="C31" s="415"/>
      <c r="D31" s="96" t="e">
        <f>E31/$E$35</f>
        <v>#DIV/0!</v>
      </c>
      <c r="E31" s="418">
        <v>0</v>
      </c>
      <c r="G31" s="81" t="s">
        <v>1582</v>
      </c>
      <c r="H31" s="278"/>
      <c r="I31" s="97">
        <f>(E31*H31)+E31</f>
        <v>0</v>
      </c>
      <c r="J31" s="279"/>
      <c r="K31" s="91">
        <f>(I31*J31)+I31</f>
        <v>0</v>
      </c>
      <c r="L31" s="279"/>
      <c r="M31" s="91">
        <f>(K31*L31)+K31</f>
        <v>0</v>
      </c>
      <c r="N31" s="279"/>
      <c r="O31" s="91">
        <f>(M31*N31)+M31</f>
        <v>0</v>
      </c>
      <c r="P31" s="279"/>
      <c r="Q31" s="91">
        <f>(O31*P31)+O31</f>
        <v>0</v>
      </c>
    </row>
    <row r="32" spans="1:17" ht="15" customHeight="1">
      <c r="A32" s="362" t="s">
        <v>71</v>
      </c>
      <c r="B32" s="362"/>
      <c r="C32" s="362"/>
      <c r="D32" s="102" t="e">
        <f>E32/$E$35</f>
        <v>#DIV/0!</v>
      </c>
      <c r="E32" s="418">
        <v>0</v>
      </c>
      <c r="G32" s="81" t="s">
        <v>1582</v>
      </c>
      <c r="H32" s="278"/>
      <c r="I32" s="97">
        <f>(E32*H32)+E32</f>
        <v>0</v>
      </c>
      <c r="J32" s="279"/>
      <c r="K32" s="91">
        <f>(I32*J32)+I32</f>
        <v>0</v>
      </c>
      <c r="L32" s="279"/>
      <c r="M32" s="91">
        <f>(K32*L32)+K32</f>
        <v>0</v>
      </c>
      <c r="N32" s="279"/>
      <c r="O32" s="91">
        <f>(M32*N32)+M32</f>
        <v>0</v>
      </c>
      <c r="P32" s="279"/>
      <c r="Q32" s="91">
        <f>(O32*P32)+O32</f>
        <v>0</v>
      </c>
    </row>
    <row r="33" spans="1:17" ht="15" customHeight="1">
      <c r="A33" s="364" t="s">
        <v>75</v>
      </c>
      <c r="B33" s="364"/>
      <c r="C33" s="364"/>
      <c r="D33" s="84"/>
      <c r="E33" s="103">
        <f>SUM(E29:E32)</f>
        <v>0</v>
      </c>
      <c r="G33" s="81"/>
      <c r="H33" s="278"/>
      <c r="I33" s="103">
        <f>SUM(I29:I32)</f>
        <v>0</v>
      </c>
      <c r="J33" s="278"/>
      <c r="K33" s="103">
        <f>SUM(K29:K32)</f>
        <v>0</v>
      </c>
      <c r="L33" s="278"/>
      <c r="M33" s="103">
        <f>SUM(M29:M32)</f>
        <v>0</v>
      </c>
      <c r="N33" s="278"/>
      <c r="O33" s="103">
        <f>SUM(O29:O32)</f>
        <v>0</v>
      </c>
      <c r="P33" s="278"/>
      <c r="Q33" s="103">
        <f>SUM(Q29:Q32)</f>
        <v>0</v>
      </c>
    </row>
    <row r="34" spans="1:17" ht="15" customHeight="1">
      <c r="A34" s="99"/>
      <c r="B34" s="99"/>
      <c r="C34" s="99"/>
      <c r="D34" s="100"/>
      <c r="E34" s="104"/>
      <c r="H34" s="81"/>
      <c r="I34" s="81"/>
      <c r="J34" s="81"/>
      <c r="K34" s="81"/>
      <c r="L34" s="81"/>
      <c r="M34" s="81"/>
      <c r="N34" s="81"/>
      <c r="O34" s="81"/>
      <c r="P34" s="81"/>
      <c r="Q34" s="81"/>
    </row>
    <row r="35" spans="1:17" ht="26.25" customHeight="1">
      <c r="A35" s="375" t="s">
        <v>92</v>
      </c>
      <c r="B35" s="376"/>
      <c r="C35" s="376"/>
      <c r="D35" s="377"/>
      <c r="E35" s="105">
        <f>E33+E26+E18+E10</f>
        <v>0</v>
      </c>
      <c r="G35" s="106"/>
      <c r="H35" s="81"/>
      <c r="I35" s="105">
        <f>I33+I26+I18+I10</f>
        <v>0</v>
      </c>
      <c r="J35" s="81"/>
      <c r="K35" s="105">
        <f>K33+K26+K18+K10</f>
        <v>0</v>
      </c>
      <c r="L35" s="81"/>
      <c r="M35" s="105">
        <f>M33+M26+M18+M10</f>
        <v>0</v>
      </c>
      <c r="N35" s="81"/>
      <c r="O35" s="105">
        <f>O33+O26+O18+O10</f>
        <v>0</v>
      </c>
      <c r="P35" s="81"/>
      <c r="Q35" s="105">
        <f>Q33+Q26+Q18+Q10</f>
        <v>0</v>
      </c>
    </row>
    <row r="36" spans="1:17" ht="15" customHeight="1">
      <c r="D36" s="94"/>
      <c r="E36" s="95"/>
    </row>
    <row r="37" spans="1:17" ht="26.25" customHeight="1">
      <c r="A37" s="359" t="s">
        <v>78</v>
      </c>
      <c r="B37" s="360"/>
      <c r="C37" s="283" t="s">
        <v>91</v>
      </c>
      <c r="D37" s="283" t="s">
        <v>1292</v>
      </c>
      <c r="E37" s="283" t="s">
        <v>1293</v>
      </c>
      <c r="H37" s="359" t="s">
        <v>1575</v>
      </c>
      <c r="I37" s="360" t="e">
        <f>(I35/E35)-100%</f>
        <v>#DIV/0!</v>
      </c>
      <c r="J37" s="283"/>
      <c r="K37" s="283" t="e">
        <f>(K35/I35)-100%</f>
        <v>#DIV/0!</v>
      </c>
      <c r="L37" s="283"/>
      <c r="M37" s="359" t="e">
        <f>(M35/K35)-100%</f>
        <v>#DIV/0!</v>
      </c>
      <c r="N37" s="360"/>
      <c r="O37" s="283" t="e">
        <f>(O35/M35)-100%</f>
        <v>#DIV/0!</v>
      </c>
      <c r="P37" s="283"/>
      <c r="Q37" s="283" t="e">
        <f>(Q35/O35)-100%</f>
        <v>#DIV/0!</v>
      </c>
    </row>
    <row r="38" spans="1:17" ht="15" customHeight="1">
      <c r="A38" s="81" t="s">
        <v>80</v>
      </c>
      <c r="B38" s="81" t="s">
        <v>86</v>
      </c>
      <c r="C38" s="107">
        <v>0</v>
      </c>
      <c r="D38" s="108">
        <f>+E35</f>
        <v>0</v>
      </c>
      <c r="E38" s="109">
        <f>D38*121%</f>
        <v>0</v>
      </c>
      <c r="F38" s="106"/>
      <c r="H38" s="81"/>
      <c r="I38" s="80" t="e">
        <f>(D38*$I$37)+D38</f>
        <v>#DIV/0!</v>
      </c>
      <c r="J38" s="81"/>
      <c r="K38" s="80" t="e">
        <f>(I38*$K$37)+I38</f>
        <v>#DIV/0!</v>
      </c>
      <c r="L38" s="81"/>
      <c r="M38" s="80" t="e">
        <f>(K38*$M$37)+K38</f>
        <v>#DIV/0!</v>
      </c>
      <c r="N38" s="81"/>
      <c r="O38" s="80" t="e">
        <f>(M38*$O$37)+M38</f>
        <v>#DIV/0!</v>
      </c>
      <c r="P38" s="81"/>
      <c r="Q38" s="80" t="e">
        <f>(O38*$Q$37)+O38</f>
        <v>#DIV/0!</v>
      </c>
    </row>
    <row r="39" spans="1:17" ht="15" customHeight="1">
      <c r="A39" s="81" t="s">
        <v>85</v>
      </c>
      <c r="B39" s="81" t="s">
        <v>87</v>
      </c>
      <c r="C39" s="107">
        <v>0.3</v>
      </c>
      <c r="D39" s="108">
        <f>SUM($E$10,$E$18,$E$26,$E$33)+(C39*($E$18+$E$10))</f>
        <v>0</v>
      </c>
      <c r="E39" s="109">
        <f>D39*121%</f>
        <v>0</v>
      </c>
      <c r="F39" s="106"/>
      <c r="H39" s="80"/>
      <c r="I39" s="80" t="e">
        <f t="shared" ref="I39:I41" si="0">(D39*$I$37)+D39</f>
        <v>#DIV/0!</v>
      </c>
      <c r="J39" s="81"/>
      <c r="K39" s="80" t="e">
        <f>(I39*$K$37)+I39</f>
        <v>#DIV/0!</v>
      </c>
      <c r="L39" s="81"/>
      <c r="M39" s="80" t="e">
        <f t="shared" ref="M39:M41" si="1">(K39*$M$37)+K39</f>
        <v>#DIV/0!</v>
      </c>
      <c r="N39" s="81"/>
      <c r="O39" s="80" t="e">
        <f t="shared" ref="O39:O41" si="2">(M39*$O$37)+M39</f>
        <v>#DIV/0!</v>
      </c>
      <c r="P39" s="81"/>
      <c r="Q39" s="80" t="e">
        <f t="shared" ref="Q39:Q41" si="3">(O39*$Q$37)+O39</f>
        <v>#DIV/0!</v>
      </c>
    </row>
    <row r="40" spans="1:17" ht="15" customHeight="1">
      <c r="A40" s="81" t="s">
        <v>24</v>
      </c>
      <c r="B40" s="81" t="s">
        <v>88</v>
      </c>
      <c r="C40" s="107">
        <v>0.5</v>
      </c>
      <c r="D40" s="108">
        <f>SUM($E$10,$E$18,$E$26,$E$33)+(C40*($E$18+$E$10))</f>
        <v>0</v>
      </c>
      <c r="E40" s="109">
        <f>D40*121%</f>
        <v>0</v>
      </c>
      <c r="F40" s="106"/>
      <c r="H40" s="81"/>
      <c r="I40" s="80" t="e">
        <f t="shared" si="0"/>
        <v>#DIV/0!</v>
      </c>
      <c r="J40" s="81"/>
      <c r="K40" s="80" t="e">
        <f>(I40*$K$37)+I40</f>
        <v>#DIV/0!</v>
      </c>
      <c r="L40" s="81"/>
      <c r="M40" s="80" t="e">
        <f t="shared" si="1"/>
        <v>#DIV/0!</v>
      </c>
      <c r="N40" s="81"/>
      <c r="O40" s="80" t="e">
        <f t="shared" si="2"/>
        <v>#DIV/0!</v>
      </c>
      <c r="P40" s="81"/>
      <c r="Q40" s="80" t="e">
        <f t="shared" si="3"/>
        <v>#DIV/0!</v>
      </c>
    </row>
    <row r="41" spans="1:17" ht="15" customHeight="1">
      <c r="A41" s="81" t="s">
        <v>89</v>
      </c>
      <c r="B41" s="89" t="s">
        <v>90</v>
      </c>
      <c r="C41" s="107">
        <v>1.5</v>
      </c>
      <c r="D41" s="108">
        <f>SUM($E$10,$E$18,$E$26,$E$33)+(C41*($E$18+$E$10))</f>
        <v>0</v>
      </c>
      <c r="E41" s="109">
        <f>D41*121%</f>
        <v>0</v>
      </c>
      <c r="F41" s="106"/>
      <c r="H41" s="81"/>
      <c r="I41" s="80" t="e">
        <f t="shared" si="0"/>
        <v>#DIV/0!</v>
      </c>
      <c r="J41" s="81"/>
      <c r="K41" s="80" t="e">
        <f>(I41*$K$37)+I41</f>
        <v>#DIV/0!</v>
      </c>
      <c r="L41" s="81"/>
      <c r="M41" s="80" t="e">
        <f t="shared" si="1"/>
        <v>#DIV/0!</v>
      </c>
      <c r="N41" s="81"/>
      <c r="O41" s="80" t="e">
        <f t="shared" si="2"/>
        <v>#DIV/0!</v>
      </c>
      <c r="P41" s="81"/>
      <c r="Q41" s="80" t="e">
        <f t="shared" si="3"/>
        <v>#DIV/0!</v>
      </c>
    </row>
    <row r="42" spans="1:17" ht="15" customHeight="1">
      <c r="E42" s="78"/>
    </row>
    <row r="43" spans="1:17" ht="15" customHeight="1">
      <c r="E43" s="78"/>
    </row>
    <row r="44" spans="1:17" ht="15" customHeight="1">
      <c r="E44" s="78"/>
    </row>
    <row r="45" spans="1:17" ht="15" customHeight="1">
      <c r="E45" s="78"/>
    </row>
    <row r="46" spans="1:17" ht="15" customHeight="1">
      <c r="E46" s="78"/>
    </row>
    <row r="47" spans="1:17" ht="15" customHeight="1">
      <c r="E47" s="78"/>
    </row>
    <row r="48" spans="1:17" ht="15" customHeight="1">
      <c r="E48" s="78"/>
    </row>
    <row r="49" s="78" customFormat="1" ht="15" customHeight="1"/>
    <row r="50" s="78" customFormat="1" ht="15" customHeight="1"/>
    <row r="51" s="78" customFormat="1" ht="15" customHeight="1"/>
    <row r="52" s="78" customFormat="1" ht="15" customHeight="1"/>
    <row r="53" s="78" customFormat="1" ht="15" customHeight="1"/>
    <row r="54" s="78" customFormat="1" ht="15" customHeight="1"/>
    <row r="55" s="78" customFormat="1" ht="15" customHeight="1"/>
    <row r="56" s="78" customFormat="1" ht="15" customHeight="1"/>
  </sheetData>
  <sheetProtection algorithmName="SHA-512" hashValue="ZldD9Fn0WMnOs/O1eDJ6pQaLp5YuKWDfoJhr1DgHtblEYQR8+N9BMt/AzVhmBUD0i4p/LOn02ZiiW5KU+1Ls9Q==" saltValue="bp4NlFAfkL9nLlWmja1drg==" spinCount="100000" sheet="1" objects="1" scenarios="1" selectLockedCells="1"/>
  <mergeCells count="46">
    <mergeCell ref="O15:P15"/>
    <mergeCell ref="A35:D35"/>
    <mergeCell ref="A14:C14"/>
    <mergeCell ref="A24:C24"/>
    <mergeCell ref="A31:C31"/>
    <mergeCell ref="A25:C25"/>
    <mergeCell ref="A33:C33"/>
    <mergeCell ref="A26:C26"/>
    <mergeCell ref="A29:C29"/>
    <mergeCell ref="A30:C30"/>
    <mergeCell ref="A15:C15"/>
    <mergeCell ref="A16:C16"/>
    <mergeCell ref="A17:C17"/>
    <mergeCell ref="A32:C32"/>
    <mergeCell ref="A21:C21"/>
    <mergeCell ref="A23:C23"/>
    <mergeCell ref="G2:Q2"/>
    <mergeCell ref="H3:I3"/>
    <mergeCell ref="J3:K3"/>
    <mergeCell ref="L3:M3"/>
    <mergeCell ref="N3:O3"/>
    <mergeCell ref="P3:Q3"/>
    <mergeCell ref="A1:E1"/>
    <mergeCell ref="A18:C18"/>
    <mergeCell ref="A2:E2"/>
    <mergeCell ref="A4:B4"/>
    <mergeCell ref="A13:C13"/>
    <mergeCell ref="A5:B5"/>
    <mergeCell ref="A9:C9"/>
    <mergeCell ref="A8:B8"/>
    <mergeCell ref="A6:B6"/>
    <mergeCell ref="A12:B12"/>
    <mergeCell ref="A7:B7"/>
    <mergeCell ref="A10:C10"/>
    <mergeCell ref="A37:B37"/>
    <mergeCell ref="H37:I37"/>
    <mergeCell ref="M37:N37"/>
    <mergeCell ref="A28:B28"/>
    <mergeCell ref="G12:H12"/>
    <mergeCell ref="L12:M12"/>
    <mergeCell ref="G20:H20"/>
    <mergeCell ref="L20:M20"/>
    <mergeCell ref="G28:H28"/>
    <mergeCell ref="L28:M28"/>
    <mergeCell ref="A22:C22"/>
    <mergeCell ref="A20:B20"/>
  </mergeCells>
  <phoneticPr fontId="9" type="noConversion"/>
  <conditionalFormatting sqref="E9">
    <cfRule type="containsText" dxfId="9"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74"/>
  <sheetViews>
    <sheetView showGridLines="0" view="pageBreakPreview" topLeftCell="A2" zoomScaleNormal="100" zoomScaleSheetLayoutView="100" workbookViewId="0">
      <selection activeCell="A2" sqref="A2:F2"/>
    </sheetView>
  </sheetViews>
  <sheetFormatPr defaultColWidth="14.140625" defaultRowHeight="15" customHeight="1"/>
  <cols>
    <col min="1" max="1" width="14.140625" style="160"/>
    <col min="2" max="2" width="44.85546875" style="157" customWidth="1"/>
    <col min="3" max="3" width="14.140625" style="157"/>
    <col min="4" max="4" width="32.5703125" style="161" customWidth="1"/>
    <col min="5" max="5" width="16.28515625" style="157" customWidth="1"/>
    <col min="6" max="6" width="17.85546875" style="157" customWidth="1"/>
    <col min="7" max="7" width="16" style="162" bestFit="1" customWidth="1"/>
    <col min="8" max="8" width="16" style="157" bestFit="1" customWidth="1"/>
    <col min="9" max="9" width="14.140625" style="157"/>
    <col min="10" max="10" width="16" style="160" bestFit="1" customWidth="1"/>
    <col min="11" max="15" width="14.140625" style="163"/>
    <col min="16" max="16384" width="14.140625" style="157"/>
  </cols>
  <sheetData>
    <row r="1" spans="1:16" s="55" customFormat="1" ht="26.25" customHeight="1">
      <c r="A1" s="379" t="s">
        <v>110</v>
      </c>
      <c r="B1" s="379"/>
      <c r="C1" s="379"/>
      <c r="D1" s="379"/>
      <c r="E1" s="379"/>
      <c r="F1" s="379"/>
      <c r="G1" s="110"/>
      <c r="H1" s="110"/>
      <c r="I1" s="110"/>
      <c r="J1" s="110"/>
      <c r="K1" s="110"/>
      <c r="L1" s="110"/>
      <c r="M1" s="110"/>
    </row>
    <row r="2" spans="1:16" s="55" customFormat="1" ht="15" customHeight="1">
      <c r="A2" s="419" t="s">
        <v>1587</v>
      </c>
      <c r="B2" s="420"/>
      <c r="C2" s="420"/>
      <c r="D2" s="420"/>
      <c r="E2" s="420"/>
      <c r="F2" s="420"/>
      <c r="G2" s="111"/>
      <c r="H2" s="111"/>
      <c r="I2" s="111"/>
      <c r="J2" s="111"/>
      <c r="K2" s="111"/>
      <c r="L2" s="111"/>
      <c r="M2" s="111"/>
      <c r="N2" s="111"/>
    </row>
    <row r="3" spans="1:16" s="114" customFormat="1" ht="26.25" customHeight="1">
      <c r="A3" s="112" t="s">
        <v>215</v>
      </c>
      <c r="B3" s="112"/>
      <c r="C3" s="112"/>
      <c r="D3" s="112"/>
      <c r="E3" s="113"/>
      <c r="F3" s="113"/>
      <c r="H3" s="115"/>
      <c r="I3" s="115"/>
      <c r="K3" s="116"/>
      <c r="L3" s="117"/>
      <c r="M3" s="117"/>
      <c r="N3" s="117"/>
      <c r="O3" s="117"/>
      <c r="P3" s="117"/>
    </row>
    <row r="4" spans="1:16" s="114" customFormat="1" ht="26.25" customHeight="1">
      <c r="A4" s="283" t="s">
        <v>33</v>
      </c>
      <c r="B4" s="283" t="s">
        <v>135</v>
      </c>
      <c r="C4" s="283" t="s">
        <v>98</v>
      </c>
      <c r="D4" s="283" t="s">
        <v>1280</v>
      </c>
      <c r="E4" s="283" t="s">
        <v>1281</v>
      </c>
      <c r="F4" s="283" t="s">
        <v>1283</v>
      </c>
      <c r="G4" s="115"/>
      <c r="H4" s="115"/>
      <c r="J4" s="116"/>
      <c r="K4" s="117"/>
      <c r="L4" s="117"/>
      <c r="M4" s="117"/>
      <c r="N4" s="117"/>
      <c r="O4" s="117"/>
    </row>
    <row r="5" spans="1:16" s="114" customFormat="1" ht="15" customHeight="1">
      <c r="A5" s="119">
        <v>1</v>
      </c>
      <c r="B5" s="303" t="s">
        <v>1595</v>
      </c>
      <c r="C5" s="421">
        <v>1</v>
      </c>
      <c r="D5" s="120" t="s">
        <v>1606</v>
      </c>
      <c r="E5" s="121" t="s">
        <v>1627</v>
      </c>
      <c r="F5" s="122" t="s">
        <v>1607</v>
      </c>
      <c r="G5" s="115"/>
      <c r="H5" s="115"/>
      <c r="J5" s="116"/>
      <c r="K5" s="117"/>
      <c r="L5" s="117"/>
      <c r="M5" s="117"/>
      <c r="N5" s="117"/>
      <c r="O5" s="117"/>
    </row>
    <row r="6" spans="1:16" s="114" customFormat="1" ht="15" customHeight="1">
      <c r="A6" s="119">
        <v>2</v>
      </c>
      <c r="B6" s="303" t="s">
        <v>1625</v>
      </c>
      <c r="C6" s="421">
        <v>1</v>
      </c>
      <c r="D6" s="120" t="s">
        <v>1608</v>
      </c>
      <c r="E6" s="121" t="s">
        <v>1628</v>
      </c>
      <c r="F6" s="122" t="s">
        <v>1592</v>
      </c>
      <c r="G6" s="115"/>
      <c r="H6" s="115"/>
      <c r="J6" s="116"/>
      <c r="K6" s="117"/>
      <c r="L6" s="117"/>
      <c r="M6" s="117"/>
      <c r="N6" s="117"/>
      <c r="O6" s="117"/>
    </row>
    <row r="7" spans="1:16" s="114" customFormat="1" ht="15" customHeight="1">
      <c r="A7" s="119">
        <v>3</v>
      </c>
      <c r="B7" s="303" t="s">
        <v>1596</v>
      </c>
      <c r="C7" s="421">
        <v>1</v>
      </c>
      <c r="D7" s="120" t="s">
        <v>1609</v>
      </c>
      <c r="E7" s="121" t="s">
        <v>1629</v>
      </c>
      <c r="F7" s="122" t="s">
        <v>1592</v>
      </c>
      <c r="G7" s="115"/>
      <c r="H7" s="115"/>
      <c r="J7" s="116"/>
      <c r="K7" s="117"/>
      <c r="L7" s="117"/>
      <c r="M7" s="117"/>
      <c r="N7" s="117"/>
      <c r="O7" s="117"/>
    </row>
    <row r="8" spans="1:16" s="114" customFormat="1" ht="15" customHeight="1">
      <c r="A8" s="119">
        <v>4</v>
      </c>
      <c r="B8" s="303" t="s">
        <v>1597</v>
      </c>
      <c r="C8" s="421">
        <v>1</v>
      </c>
      <c r="D8" s="120" t="s">
        <v>1610</v>
      </c>
      <c r="E8" s="121" t="s">
        <v>1630</v>
      </c>
      <c r="F8" s="122" t="s">
        <v>1592</v>
      </c>
      <c r="G8" s="115"/>
      <c r="H8" s="115"/>
      <c r="J8" s="116"/>
      <c r="K8" s="117"/>
      <c r="L8" s="117"/>
      <c r="M8" s="117"/>
      <c r="N8" s="117"/>
      <c r="O8" s="117"/>
    </row>
    <row r="9" spans="1:16" s="114" customFormat="1" ht="15" customHeight="1">
      <c r="A9" s="119">
        <v>5</v>
      </c>
      <c r="B9" s="303" t="s">
        <v>1598</v>
      </c>
      <c r="C9" s="421">
        <v>1</v>
      </c>
      <c r="D9" s="120" t="s">
        <v>1594</v>
      </c>
      <c r="E9" s="121" t="s">
        <v>1634</v>
      </c>
      <c r="F9" s="122" t="s">
        <v>1592</v>
      </c>
      <c r="G9" s="115"/>
      <c r="H9" s="115"/>
      <c r="J9" s="116"/>
      <c r="K9" s="117"/>
      <c r="L9" s="117"/>
      <c r="M9" s="117"/>
      <c r="N9" s="117"/>
      <c r="O9" s="117"/>
    </row>
    <row r="10" spans="1:16" s="114" customFormat="1" ht="15" customHeight="1">
      <c r="A10" s="119">
        <v>6</v>
      </c>
      <c r="B10" s="303" t="s">
        <v>1632</v>
      </c>
      <c r="C10" s="421">
        <v>1</v>
      </c>
      <c r="D10" s="120" t="s">
        <v>1611</v>
      </c>
      <c r="E10" s="121" t="s">
        <v>1633</v>
      </c>
      <c r="F10" s="122" t="s">
        <v>1592</v>
      </c>
      <c r="G10" s="115"/>
      <c r="H10" s="115"/>
      <c r="J10" s="116"/>
      <c r="K10" s="117"/>
      <c r="L10" s="117"/>
      <c r="M10" s="117"/>
      <c r="N10" s="117"/>
      <c r="O10" s="117"/>
    </row>
    <row r="11" spans="1:16" s="114" customFormat="1" ht="15" customHeight="1">
      <c r="A11" s="119">
        <v>7</v>
      </c>
      <c r="B11" s="303" t="s">
        <v>1595</v>
      </c>
      <c r="C11" s="421">
        <v>1</v>
      </c>
      <c r="D11" s="120" t="s">
        <v>1612</v>
      </c>
      <c r="E11" s="121" t="s">
        <v>1631</v>
      </c>
      <c r="F11" s="122" t="s">
        <v>1592</v>
      </c>
      <c r="G11" s="115"/>
      <c r="H11" s="115"/>
      <c r="J11" s="116"/>
      <c r="K11" s="117"/>
      <c r="L11" s="117"/>
      <c r="M11" s="117"/>
      <c r="N11" s="117"/>
      <c r="O11" s="117"/>
    </row>
    <row r="12" spans="1:16" s="114" customFormat="1" ht="15" customHeight="1">
      <c r="A12" s="119">
        <v>8</v>
      </c>
      <c r="B12" s="303" t="s">
        <v>1599</v>
      </c>
      <c r="C12" s="421">
        <v>1</v>
      </c>
      <c r="D12" s="120" t="s">
        <v>1613</v>
      </c>
      <c r="E12" s="121" t="s">
        <v>1635</v>
      </c>
      <c r="F12" s="122" t="s">
        <v>1592</v>
      </c>
      <c r="G12" s="115"/>
      <c r="H12" s="115"/>
      <c r="J12" s="116"/>
      <c r="K12" s="117"/>
      <c r="L12" s="117"/>
      <c r="M12" s="117"/>
      <c r="N12" s="117"/>
      <c r="O12" s="117"/>
    </row>
    <row r="13" spans="1:16" s="114" customFormat="1" ht="15" customHeight="1">
      <c r="A13" s="119">
        <v>9</v>
      </c>
      <c r="B13" s="303" t="s">
        <v>1600</v>
      </c>
      <c r="C13" s="421">
        <v>1</v>
      </c>
      <c r="D13" s="120" t="s">
        <v>1593</v>
      </c>
      <c r="E13" s="121" t="s">
        <v>1636</v>
      </c>
      <c r="F13" s="122" t="s">
        <v>1592</v>
      </c>
      <c r="G13" s="115"/>
      <c r="H13" s="115"/>
      <c r="J13" s="116"/>
      <c r="K13" s="117"/>
      <c r="L13" s="117"/>
      <c r="M13" s="117"/>
      <c r="N13" s="117"/>
      <c r="O13" s="117"/>
    </row>
    <row r="14" spans="1:16" s="114" customFormat="1" ht="15" customHeight="1">
      <c r="A14" s="119">
        <v>10</v>
      </c>
      <c r="B14" s="303" t="s">
        <v>1601</v>
      </c>
      <c r="C14" s="421">
        <v>1</v>
      </c>
      <c r="D14" s="120" t="s">
        <v>1614</v>
      </c>
      <c r="E14" s="121" t="s">
        <v>1637</v>
      </c>
      <c r="F14" s="122" t="s">
        <v>1592</v>
      </c>
      <c r="G14" s="115"/>
      <c r="H14" s="115"/>
      <c r="J14" s="116"/>
      <c r="K14" s="117"/>
      <c r="L14" s="117"/>
      <c r="M14" s="117"/>
      <c r="N14" s="117"/>
      <c r="O14" s="117"/>
    </row>
    <row r="15" spans="1:16" s="114" customFormat="1" ht="15" customHeight="1">
      <c r="A15" s="119">
        <v>11</v>
      </c>
      <c r="B15" s="303" t="s">
        <v>1602</v>
      </c>
      <c r="C15" s="421">
        <v>1</v>
      </c>
      <c r="D15" s="120" t="s">
        <v>1615</v>
      </c>
      <c r="E15" s="121" t="s">
        <v>1638</v>
      </c>
      <c r="F15" s="122" t="s">
        <v>1592</v>
      </c>
      <c r="G15" s="115"/>
      <c r="H15" s="115"/>
      <c r="J15" s="116"/>
      <c r="K15" s="117"/>
      <c r="L15" s="117"/>
      <c r="M15" s="117"/>
      <c r="N15" s="117"/>
      <c r="O15" s="117"/>
    </row>
    <row r="16" spans="1:16" s="114" customFormat="1" ht="15" customHeight="1">
      <c r="A16" s="119">
        <v>12</v>
      </c>
      <c r="B16" s="303" t="s">
        <v>1847</v>
      </c>
      <c r="C16" s="421">
        <v>1</v>
      </c>
      <c r="D16" s="120" t="s">
        <v>1616</v>
      </c>
      <c r="E16" s="121" t="s">
        <v>1639</v>
      </c>
      <c r="F16" s="122" t="s">
        <v>1592</v>
      </c>
      <c r="G16" s="115"/>
      <c r="H16" s="115"/>
      <c r="J16" s="116"/>
      <c r="K16" s="117"/>
      <c r="L16" s="117"/>
      <c r="M16" s="117"/>
      <c r="N16" s="117"/>
      <c r="O16" s="117"/>
    </row>
    <row r="17" spans="1:18" s="114" customFormat="1" ht="15" customHeight="1">
      <c r="A17" s="119">
        <v>13</v>
      </c>
      <c r="B17" s="303" t="s">
        <v>1848</v>
      </c>
      <c r="C17" s="421">
        <v>1</v>
      </c>
      <c r="D17" s="120" t="s">
        <v>1617</v>
      </c>
      <c r="E17" s="121" t="s">
        <v>1640</v>
      </c>
      <c r="F17" s="122" t="s">
        <v>1592</v>
      </c>
      <c r="G17" s="115"/>
      <c r="H17" s="115"/>
      <c r="J17" s="116"/>
      <c r="K17" s="117"/>
      <c r="L17" s="117"/>
      <c r="M17" s="117"/>
      <c r="N17" s="117"/>
      <c r="O17" s="117"/>
    </row>
    <row r="18" spans="1:18" s="114" customFormat="1" ht="15" customHeight="1">
      <c r="A18" s="119">
        <v>14</v>
      </c>
      <c r="B18" s="303" t="s">
        <v>1603</v>
      </c>
      <c r="C18" s="421">
        <v>1</v>
      </c>
      <c r="D18" s="120" t="s">
        <v>1618</v>
      </c>
      <c r="E18" s="121" t="s">
        <v>1641</v>
      </c>
      <c r="F18" s="122" t="s">
        <v>1592</v>
      </c>
      <c r="G18" s="115"/>
      <c r="H18" s="115"/>
      <c r="J18" s="116"/>
      <c r="K18" s="117"/>
      <c r="L18" s="117"/>
      <c r="M18" s="117"/>
      <c r="N18" s="117"/>
      <c r="O18" s="117"/>
    </row>
    <row r="19" spans="1:18" s="114" customFormat="1" ht="15" customHeight="1">
      <c r="A19" s="119">
        <v>15</v>
      </c>
      <c r="B19" s="303" t="s">
        <v>1604</v>
      </c>
      <c r="C19" s="421">
        <v>1</v>
      </c>
      <c r="D19" s="120" t="s">
        <v>1619</v>
      </c>
      <c r="E19" s="121" t="s">
        <v>1642</v>
      </c>
      <c r="F19" s="122" t="s">
        <v>1592</v>
      </c>
      <c r="G19" s="115"/>
      <c r="H19" s="115"/>
      <c r="J19" s="116"/>
      <c r="K19" s="117"/>
      <c r="L19" s="117"/>
      <c r="M19" s="117"/>
      <c r="N19" s="117"/>
      <c r="O19" s="117"/>
    </row>
    <row r="20" spans="1:18" s="114" customFormat="1" ht="15" customHeight="1">
      <c r="A20" s="119">
        <v>16</v>
      </c>
      <c r="B20" s="303" t="s">
        <v>1846</v>
      </c>
      <c r="C20" s="421">
        <v>1</v>
      </c>
      <c r="D20" s="120" t="s">
        <v>1620</v>
      </c>
      <c r="E20" s="121" t="s">
        <v>1643</v>
      </c>
      <c r="F20" s="122" t="s">
        <v>1592</v>
      </c>
      <c r="G20" s="115"/>
      <c r="H20" s="115"/>
      <c r="J20" s="116"/>
      <c r="K20" s="117"/>
      <c r="L20" s="117"/>
      <c r="M20" s="117"/>
      <c r="N20" s="117"/>
      <c r="O20" s="117"/>
    </row>
    <row r="21" spans="1:18" s="114" customFormat="1" ht="15" customHeight="1">
      <c r="A21" s="119">
        <v>17</v>
      </c>
      <c r="B21" s="303" t="s">
        <v>1845</v>
      </c>
      <c r="C21" s="421">
        <v>1</v>
      </c>
      <c r="D21" s="120" t="s">
        <v>1621</v>
      </c>
      <c r="E21" s="121" t="s">
        <v>1644</v>
      </c>
      <c r="F21" s="122" t="s">
        <v>1623</v>
      </c>
      <c r="G21" s="115"/>
      <c r="H21" s="115"/>
      <c r="J21" s="116"/>
      <c r="K21" s="117"/>
      <c r="L21" s="117"/>
      <c r="M21" s="117"/>
      <c r="N21" s="117"/>
      <c r="O21" s="117"/>
    </row>
    <row r="22" spans="1:18" s="114" customFormat="1" ht="15" customHeight="1">
      <c r="A22" s="119">
        <v>18</v>
      </c>
      <c r="B22" s="303" t="s">
        <v>1605</v>
      </c>
      <c r="C22" s="421">
        <v>1</v>
      </c>
      <c r="D22" s="120" t="s">
        <v>1622</v>
      </c>
      <c r="E22" s="121" t="s">
        <v>1645</v>
      </c>
      <c r="F22" s="122" t="s">
        <v>1624</v>
      </c>
      <c r="G22" s="115"/>
      <c r="H22" s="115"/>
      <c r="J22" s="116"/>
      <c r="K22" s="117"/>
      <c r="L22" s="117"/>
      <c r="M22" s="117"/>
      <c r="N22" s="117"/>
      <c r="O22" s="117"/>
    </row>
    <row r="23" spans="1:18" s="114" customFormat="1" ht="15" customHeight="1">
      <c r="A23" s="99"/>
      <c r="B23" s="78"/>
      <c r="C23" s="78"/>
      <c r="D23" s="78"/>
      <c r="E23" s="78"/>
      <c r="F23" s="78"/>
      <c r="H23" s="115"/>
      <c r="I23" s="115"/>
      <c r="K23" s="116"/>
      <c r="L23" s="117"/>
      <c r="M23" s="117"/>
      <c r="N23" s="117"/>
      <c r="O23" s="117"/>
      <c r="P23" s="117"/>
    </row>
    <row r="24" spans="1:18" s="114" customFormat="1" ht="15" customHeight="1">
      <c r="A24" s="123" t="s">
        <v>216</v>
      </c>
      <c r="B24" s="113"/>
      <c r="C24" s="113"/>
      <c r="D24" s="113"/>
      <c r="E24" s="124"/>
      <c r="F24" s="124"/>
      <c r="H24" s="115"/>
      <c r="I24" s="115"/>
      <c r="K24" s="116"/>
      <c r="L24" s="117"/>
      <c r="M24" s="117"/>
      <c r="N24" s="117"/>
      <c r="O24" s="117"/>
      <c r="P24" s="117"/>
    </row>
    <row r="25" spans="1:18" s="114" customFormat="1" ht="15" customHeight="1">
      <c r="A25" s="283" t="s">
        <v>33</v>
      </c>
      <c r="B25" s="283" t="s">
        <v>96</v>
      </c>
      <c r="C25" s="283" t="s">
        <v>95</v>
      </c>
      <c r="D25" s="283" t="s">
        <v>195</v>
      </c>
      <c r="E25" s="124"/>
      <c r="H25" s="115"/>
      <c r="J25" s="116"/>
      <c r="K25" s="117"/>
      <c r="L25" s="117"/>
      <c r="M25" s="117"/>
      <c r="N25" s="117"/>
      <c r="O25" s="117"/>
    </row>
    <row r="26" spans="1:18" s="114" customFormat="1" ht="15" customHeight="1">
      <c r="A26" s="125">
        <v>1</v>
      </c>
      <c r="B26" s="55" t="s">
        <v>57</v>
      </c>
      <c r="C26" s="422"/>
      <c r="D26" s="126" t="s">
        <v>1275</v>
      </c>
      <c r="E26" s="127"/>
      <c r="F26" s="128"/>
      <c r="G26" s="128"/>
      <c r="H26" s="115"/>
      <c r="I26" s="128"/>
      <c r="J26" s="116"/>
      <c r="K26" s="117"/>
      <c r="L26" s="117"/>
      <c r="M26" s="117"/>
      <c r="N26" s="117"/>
      <c r="O26" s="117"/>
    </row>
    <row r="27" spans="1:18" s="114" customFormat="1" ht="15" customHeight="1">
      <c r="A27" s="125">
        <v>2</v>
      </c>
      <c r="B27" s="55" t="s">
        <v>58</v>
      </c>
      <c r="C27" s="422"/>
      <c r="D27" s="126" t="s">
        <v>1276</v>
      </c>
      <c r="E27" s="129"/>
      <c r="F27" s="128"/>
      <c r="G27" s="128"/>
      <c r="H27" s="115"/>
      <c r="J27" s="116"/>
      <c r="K27" s="117"/>
      <c r="L27" s="117"/>
      <c r="M27" s="117"/>
      <c r="N27" s="117"/>
      <c r="O27" s="117"/>
    </row>
    <row r="28" spans="1:18" s="114" customFormat="1" ht="12">
      <c r="A28" s="125">
        <v>3</v>
      </c>
      <c r="B28" s="55" t="s">
        <v>59</v>
      </c>
      <c r="C28" s="422"/>
      <c r="D28" s="126" t="s">
        <v>1275</v>
      </c>
      <c r="E28" s="130"/>
      <c r="H28" s="115"/>
      <c r="J28" s="116"/>
      <c r="K28" s="117"/>
      <c r="L28" s="117"/>
      <c r="M28" s="117"/>
      <c r="N28" s="117"/>
      <c r="O28" s="117"/>
    </row>
    <row r="29" spans="1:18" s="114" customFormat="1" ht="14.25" customHeight="1">
      <c r="A29" s="125">
        <v>4</v>
      </c>
      <c r="B29" s="55" t="s">
        <v>242</v>
      </c>
      <c r="C29" s="422"/>
      <c r="D29" s="126" t="s">
        <v>1276</v>
      </c>
      <c r="E29" s="129"/>
      <c r="H29" s="115"/>
      <c r="J29" s="116"/>
      <c r="K29" s="117"/>
      <c r="L29" s="117"/>
      <c r="M29" s="117"/>
      <c r="N29" s="117"/>
      <c r="O29" s="117"/>
    </row>
    <row r="30" spans="1:18" s="114" customFormat="1" ht="15" customHeight="1">
      <c r="A30" s="125">
        <v>5</v>
      </c>
      <c r="B30" s="55" t="s">
        <v>22</v>
      </c>
      <c r="C30" s="422"/>
      <c r="D30" s="126" t="s">
        <v>1277</v>
      </c>
      <c r="E30" s="129"/>
      <c r="F30" s="128"/>
      <c r="G30" s="128"/>
      <c r="H30" s="115"/>
      <c r="I30" s="128"/>
      <c r="J30" s="116"/>
      <c r="K30" s="131"/>
      <c r="L30" s="131"/>
      <c r="M30" s="131"/>
      <c r="N30" s="117"/>
      <c r="O30" s="117"/>
      <c r="P30" s="132"/>
      <c r="Q30" s="132"/>
      <c r="R30" s="132"/>
    </row>
    <row r="31" spans="1:18" s="113" customFormat="1" ht="15" customHeight="1">
      <c r="A31" s="125">
        <v>6</v>
      </c>
      <c r="B31" s="55" t="s">
        <v>60</v>
      </c>
      <c r="C31" s="422"/>
      <c r="D31" s="126" t="s">
        <v>1275</v>
      </c>
      <c r="E31" s="129"/>
      <c r="H31" s="115"/>
      <c r="I31" s="133"/>
      <c r="N31" s="134"/>
      <c r="O31" s="134"/>
      <c r="P31" s="135"/>
      <c r="Q31" s="136"/>
      <c r="R31" s="136"/>
    </row>
    <row r="32" spans="1:18" s="142" customFormat="1" ht="15" customHeight="1">
      <c r="A32" s="125">
        <v>7</v>
      </c>
      <c r="B32" s="55" t="s">
        <v>38</v>
      </c>
      <c r="C32" s="422"/>
      <c r="D32" s="126" t="s">
        <v>1275</v>
      </c>
      <c r="E32" s="129"/>
      <c r="F32" s="137"/>
      <c r="G32" s="137"/>
      <c r="H32" s="115"/>
      <c r="I32" s="138"/>
      <c r="J32" s="137"/>
      <c r="K32" s="137"/>
      <c r="L32" s="137"/>
      <c r="M32" s="137"/>
      <c r="N32" s="139"/>
      <c r="O32" s="139"/>
      <c r="P32" s="140"/>
      <c r="Q32" s="140"/>
      <c r="R32" s="141"/>
    </row>
    <row r="33" spans="1:18" s="142" customFormat="1" ht="15" customHeight="1">
      <c r="A33" s="125">
        <v>8</v>
      </c>
      <c r="B33" s="55" t="s">
        <v>1279</v>
      </c>
      <c r="C33" s="422"/>
      <c r="D33" s="126" t="s">
        <v>1274</v>
      </c>
      <c r="E33" s="129"/>
      <c r="F33" s="137"/>
      <c r="G33" s="137"/>
      <c r="H33" s="115"/>
      <c r="I33" s="138"/>
      <c r="J33" s="137"/>
      <c r="K33" s="137"/>
      <c r="L33" s="137"/>
      <c r="M33" s="137"/>
      <c r="N33" s="139"/>
      <c r="O33" s="139"/>
      <c r="P33" s="140"/>
      <c r="Q33" s="140"/>
      <c r="R33" s="141"/>
    </row>
    <row r="34" spans="1:18" s="142" customFormat="1" ht="15" customHeight="1">
      <c r="A34" s="125">
        <v>9</v>
      </c>
      <c r="B34" s="55" t="s">
        <v>1266</v>
      </c>
      <c r="C34" s="422"/>
      <c r="D34" s="126" t="s">
        <v>1274</v>
      </c>
      <c r="E34" s="129"/>
      <c r="F34" s="143"/>
      <c r="G34" s="143"/>
      <c r="H34" s="115"/>
      <c r="I34" s="144"/>
      <c r="J34" s="137"/>
      <c r="K34" s="131"/>
      <c r="L34" s="131"/>
      <c r="M34" s="143"/>
      <c r="N34" s="139"/>
      <c r="O34" s="139"/>
      <c r="P34" s="140"/>
      <c r="Q34" s="140"/>
      <c r="R34" s="141"/>
    </row>
    <row r="35" spans="1:18" s="142" customFormat="1" ht="15" customHeight="1">
      <c r="A35" s="125">
        <v>10</v>
      </c>
      <c r="B35" s="55" t="s">
        <v>61</v>
      </c>
      <c r="C35" s="422"/>
      <c r="D35" s="126" t="s">
        <v>1275</v>
      </c>
      <c r="E35" s="129"/>
      <c r="F35" s="137"/>
      <c r="G35" s="137"/>
      <c r="H35" s="137"/>
      <c r="I35" s="138"/>
      <c r="J35" s="137"/>
      <c r="K35" s="137"/>
      <c r="L35" s="137"/>
      <c r="M35" s="137"/>
      <c r="N35" s="139"/>
      <c r="O35" s="139"/>
      <c r="P35" s="140"/>
      <c r="Q35" s="140"/>
      <c r="R35" s="141"/>
    </row>
    <row r="36" spans="1:18" s="142" customFormat="1" ht="15" customHeight="1">
      <c r="A36" s="125">
        <v>11</v>
      </c>
      <c r="B36" s="55" t="s">
        <v>1267</v>
      </c>
      <c r="C36" s="422"/>
      <c r="D36" s="126" t="s">
        <v>1275</v>
      </c>
      <c r="E36" s="129"/>
      <c r="F36" s="143"/>
      <c r="G36" s="137"/>
      <c r="H36" s="137"/>
      <c r="I36" s="144"/>
      <c r="J36" s="137"/>
      <c r="K36" s="137"/>
      <c r="L36" s="143"/>
      <c r="M36" s="137"/>
      <c r="N36" s="139"/>
      <c r="O36" s="139"/>
      <c r="P36" s="140"/>
      <c r="Q36" s="140"/>
      <c r="R36" s="141"/>
    </row>
    <row r="37" spans="1:18" s="142" customFormat="1" ht="15" customHeight="1">
      <c r="A37" s="125">
        <v>12</v>
      </c>
      <c r="B37" s="55" t="s">
        <v>1268</v>
      </c>
      <c r="C37" s="422"/>
      <c r="D37" s="126" t="s">
        <v>1275</v>
      </c>
      <c r="E37" s="129"/>
      <c r="F37" s="137"/>
      <c r="G37" s="137"/>
      <c r="H37" s="137"/>
      <c r="I37" s="138"/>
      <c r="J37" s="137"/>
      <c r="K37" s="137"/>
      <c r="L37" s="137"/>
      <c r="M37" s="137"/>
      <c r="N37" s="139"/>
      <c r="O37" s="139"/>
      <c r="P37" s="140"/>
      <c r="Q37" s="140"/>
      <c r="R37" s="141"/>
    </row>
    <row r="38" spans="1:18" s="142" customFormat="1" ht="15" customHeight="1">
      <c r="A38" s="125">
        <v>13</v>
      </c>
      <c r="B38" s="55" t="s">
        <v>1585</v>
      </c>
      <c r="C38" s="422"/>
      <c r="D38" s="126" t="s">
        <v>1275</v>
      </c>
      <c r="E38" s="129"/>
      <c r="F38" s="137"/>
      <c r="G38" s="137"/>
      <c r="H38" s="137"/>
      <c r="I38" s="138"/>
      <c r="J38" s="137"/>
      <c r="K38" s="143"/>
      <c r="L38" s="137"/>
      <c r="M38" s="143"/>
      <c r="N38" s="139"/>
      <c r="O38" s="139"/>
      <c r="P38" s="140"/>
      <c r="Q38" s="140"/>
      <c r="R38" s="141"/>
    </row>
    <row r="39" spans="1:18" s="142" customFormat="1" ht="15" customHeight="1">
      <c r="A39" s="125">
        <v>14</v>
      </c>
      <c r="B39" s="55" t="s">
        <v>1269</v>
      </c>
      <c r="C39" s="422"/>
      <c r="D39" s="126" t="s">
        <v>1274</v>
      </c>
      <c r="E39" s="129"/>
      <c r="F39" s="137"/>
      <c r="G39" s="137"/>
      <c r="H39" s="137"/>
      <c r="I39" s="138"/>
      <c r="J39" s="137"/>
      <c r="K39" s="137"/>
      <c r="L39" s="137"/>
      <c r="M39" s="137"/>
      <c r="N39" s="139"/>
      <c r="O39" s="139"/>
      <c r="P39" s="139"/>
      <c r="Q39" s="139"/>
    </row>
    <row r="40" spans="1:18" s="78" customFormat="1" ht="15" customHeight="1">
      <c r="A40" s="125">
        <v>15</v>
      </c>
      <c r="B40" s="55" t="s">
        <v>62</v>
      </c>
      <c r="C40" s="422"/>
      <c r="D40" s="126" t="s">
        <v>1275</v>
      </c>
      <c r="E40" s="129"/>
      <c r="F40" s="113"/>
      <c r="G40" s="113"/>
      <c r="H40" s="113"/>
      <c r="I40" s="133"/>
      <c r="J40" s="113"/>
      <c r="K40" s="113"/>
      <c r="L40" s="113"/>
      <c r="M40" s="113"/>
      <c r="N40" s="134"/>
      <c r="O40" s="134"/>
      <c r="P40" s="134"/>
      <c r="Q40" s="134"/>
    </row>
    <row r="41" spans="1:18" s="78" customFormat="1" ht="15" customHeight="1">
      <c r="A41" s="125">
        <v>16</v>
      </c>
      <c r="B41" s="55" t="s">
        <v>1270</v>
      </c>
      <c r="C41" s="422"/>
      <c r="D41" s="126" t="s">
        <v>1274</v>
      </c>
      <c r="E41" s="129"/>
      <c r="F41" s="113"/>
      <c r="G41" s="113"/>
      <c r="H41" s="113"/>
      <c r="I41" s="133"/>
      <c r="J41" s="113"/>
      <c r="K41" s="113"/>
      <c r="L41" s="113"/>
      <c r="M41" s="113"/>
      <c r="N41" s="134"/>
      <c r="O41" s="134"/>
      <c r="P41" s="134"/>
      <c r="Q41" s="134"/>
    </row>
    <row r="42" spans="1:18" s="78" customFormat="1" ht="15" customHeight="1">
      <c r="A42" s="125">
        <v>17</v>
      </c>
      <c r="B42" s="55" t="s">
        <v>1271</v>
      </c>
      <c r="C42" s="422"/>
      <c r="D42" s="126" t="s">
        <v>1275</v>
      </c>
      <c r="E42" s="129"/>
      <c r="F42" s="113"/>
      <c r="G42" s="113"/>
      <c r="H42" s="113"/>
      <c r="I42" s="133"/>
      <c r="J42" s="113"/>
      <c r="K42" s="113"/>
      <c r="L42" s="113"/>
      <c r="M42" s="113"/>
      <c r="N42" s="134"/>
      <c r="O42" s="134"/>
      <c r="P42" s="134"/>
      <c r="Q42" s="134"/>
    </row>
    <row r="43" spans="1:18" s="78" customFormat="1" ht="15" customHeight="1">
      <c r="A43" s="125">
        <v>18</v>
      </c>
      <c r="B43" s="55" t="s">
        <v>1272</v>
      </c>
      <c r="C43" s="422"/>
      <c r="D43" s="126" t="s">
        <v>1278</v>
      </c>
      <c r="E43" s="129"/>
      <c r="F43" s="113"/>
      <c r="G43" s="113"/>
      <c r="H43" s="113"/>
      <c r="I43" s="133"/>
      <c r="J43" s="113"/>
      <c r="K43" s="113"/>
      <c r="L43" s="113"/>
      <c r="M43" s="113"/>
      <c r="N43" s="134"/>
      <c r="O43" s="134"/>
      <c r="P43" s="134"/>
      <c r="Q43" s="134"/>
    </row>
    <row r="44" spans="1:18" s="78" customFormat="1" ht="15" customHeight="1">
      <c r="A44" s="125">
        <v>19</v>
      </c>
      <c r="B44" s="55" t="s">
        <v>1801</v>
      </c>
      <c r="C44" s="422"/>
      <c r="D44" s="126" t="s">
        <v>1275</v>
      </c>
      <c r="E44" s="129"/>
      <c r="F44" s="145"/>
      <c r="G44" s="113"/>
      <c r="H44" s="113"/>
      <c r="I44" s="133"/>
      <c r="J44" s="113"/>
      <c r="K44" s="146"/>
      <c r="L44" s="113"/>
      <c r="M44" s="113"/>
      <c r="N44" s="134"/>
      <c r="O44" s="134"/>
      <c r="P44" s="134"/>
      <c r="Q44" s="134"/>
    </row>
    <row r="45" spans="1:18" s="78" customFormat="1" ht="15" customHeight="1">
      <c r="A45" s="125">
        <v>20</v>
      </c>
      <c r="B45" s="55" t="s">
        <v>1273</v>
      </c>
      <c r="C45" s="422"/>
      <c r="D45" s="126"/>
      <c r="E45" s="129"/>
      <c r="F45" s="113"/>
      <c r="G45" s="113"/>
      <c r="H45" s="113"/>
      <c r="I45" s="133"/>
      <c r="J45" s="113"/>
      <c r="K45" s="113"/>
      <c r="L45" s="113"/>
      <c r="M45" s="113"/>
      <c r="N45" s="134"/>
      <c r="O45" s="134"/>
      <c r="P45" s="134"/>
      <c r="Q45" s="134"/>
    </row>
    <row r="46" spans="1:18" s="78" customFormat="1" ht="15" customHeight="1">
      <c r="A46" s="113"/>
      <c r="B46" s="113"/>
      <c r="C46" s="113"/>
      <c r="D46" s="113"/>
      <c r="E46" s="147"/>
      <c r="F46" s="113"/>
      <c r="G46" s="113"/>
      <c r="H46" s="147"/>
      <c r="I46" s="113"/>
      <c r="J46" s="113"/>
      <c r="K46" s="113"/>
      <c r="L46" s="134"/>
      <c r="M46" s="134"/>
      <c r="N46" s="134"/>
      <c r="O46" s="134"/>
      <c r="P46" s="134"/>
      <c r="Q46" s="113"/>
      <c r="R46" s="113"/>
    </row>
    <row r="47" spans="1:18" s="78" customFormat="1" ht="15" customHeight="1">
      <c r="A47" s="112" t="s">
        <v>217</v>
      </c>
      <c r="B47" s="112"/>
      <c r="C47" s="113"/>
      <c r="D47" s="113"/>
      <c r="E47" s="147"/>
      <c r="F47" s="113"/>
      <c r="G47" s="113"/>
      <c r="H47" s="113"/>
      <c r="I47" s="113"/>
      <c r="J47" s="113"/>
      <c r="K47" s="113"/>
      <c r="L47" s="134"/>
      <c r="M47" s="134"/>
      <c r="N47" s="134"/>
      <c r="O47" s="134"/>
      <c r="P47" s="134"/>
      <c r="Q47" s="113"/>
      <c r="R47" s="113"/>
    </row>
    <row r="48" spans="1:18" s="78" customFormat="1" ht="22.9" customHeight="1">
      <c r="A48" s="283" t="s">
        <v>33</v>
      </c>
      <c r="B48" s="283" t="s">
        <v>122</v>
      </c>
      <c r="C48" s="283" t="s">
        <v>98</v>
      </c>
      <c r="D48" s="283" t="s">
        <v>97</v>
      </c>
      <c r="E48" s="113"/>
      <c r="F48" s="113"/>
      <c r="G48" s="113"/>
      <c r="H48" s="113"/>
      <c r="I48" s="113"/>
      <c r="J48" s="134"/>
      <c r="K48" s="134"/>
      <c r="L48" s="134"/>
      <c r="M48" s="134"/>
      <c r="N48" s="134"/>
      <c r="O48" s="113"/>
      <c r="P48" s="113"/>
    </row>
    <row r="49" spans="1:20" s="78" customFormat="1" ht="15" customHeight="1">
      <c r="A49" s="150" t="s">
        <v>100</v>
      </c>
      <c r="B49" s="125" t="s">
        <v>123</v>
      </c>
      <c r="C49" s="423">
        <v>1</v>
      </c>
      <c r="D49" s="55" t="s">
        <v>103</v>
      </c>
      <c r="E49" s="113"/>
      <c r="F49" s="113"/>
      <c r="G49" s="113"/>
      <c r="H49" s="113"/>
      <c r="I49" s="113"/>
      <c r="J49" s="134"/>
      <c r="K49" s="134"/>
      <c r="L49" s="134"/>
      <c r="M49" s="134"/>
      <c r="N49" s="134"/>
      <c r="O49" s="113"/>
      <c r="P49" s="113"/>
    </row>
    <row r="50" spans="1:20" s="78" customFormat="1" ht="15" customHeight="1">
      <c r="A50" s="150" t="s">
        <v>99</v>
      </c>
      <c r="B50" s="125" t="s">
        <v>36</v>
      </c>
      <c r="C50" s="423">
        <v>1</v>
      </c>
      <c r="D50" s="55" t="s">
        <v>104</v>
      </c>
      <c r="E50" s="113"/>
      <c r="F50" s="113"/>
      <c r="G50" s="113"/>
      <c r="H50" s="113"/>
      <c r="I50" s="113"/>
      <c r="J50" s="134"/>
      <c r="K50" s="134"/>
      <c r="L50" s="134"/>
      <c r="M50" s="134"/>
      <c r="N50" s="134"/>
      <c r="O50" s="113"/>
      <c r="P50" s="113"/>
    </row>
    <row r="51" spans="1:20" s="78" customFormat="1" ht="12">
      <c r="A51" s="150" t="s">
        <v>101</v>
      </c>
      <c r="B51" s="125" t="s">
        <v>119</v>
      </c>
      <c r="C51" s="423">
        <v>1</v>
      </c>
      <c r="D51" s="55" t="s">
        <v>241</v>
      </c>
      <c r="E51" s="113"/>
      <c r="F51" s="113"/>
      <c r="G51" s="113"/>
      <c r="H51" s="113"/>
      <c r="I51" s="113"/>
      <c r="J51" s="134"/>
      <c r="K51" s="134"/>
      <c r="L51" s="134"/>
      <c r="M51" s="134"/>
      <c r="N51" s="134"/>
      <c r="O51" s="113"/>
      <c r="P51" s="113"/>
    </row>
    <row r="52" spans="1:20" s="78" customFormat="1" ht="15" customHeight="1">
      <c r="A52" s="150" t="s">
        <v>102</v>
      </c>
      <c r="B52" s="125" t="s">
        <v>120</v>
      </c>
      <c r="C52" s="423">
        <v>1</v>
      </c>
      <c r="D52" s="55" t="s">
        <v>105</v>
      </c>
      <c r="E52" s="113"/>
      <c r="F52" s="113"/>
      <c r="G52" s="113"/>
      <c r="H52" s="113"/>
      <c r="I52" s="113"/>
      <c r="J52" s="113"/>
      <c r="K52" s="113"/>
      <c r="L52" s="134"/>
      <c r="M52" s="134"/>
      <c r="N52" s="134"/>
      <c r="O52" s="134"/>
      <c r="P52" s="134"/>
      <c r="Q52" s="113"/>
      <c r="R52" s="113"/>
    </row>
    <row r="53" spans="1:20" s="78" customFormat="1" ht="15" customHeight="1">
      <c r="A53" s="150" t="s">
        <v>1309</v>
      </c>
      <c r="B53" s="125" t="s">
        <v>248</v>
      </c>
      <c r="C53" s="423">
        <v>1</v>
      </c>
      <c r="D53" s="55" t="s">
        <v>1493</v>
      </c>
      <c r="E53" s="147"/>
      <c r="F53" s="113"/>
      <c r="G53" s="113"/>
      <c r="H53" s="113"/>
      <c r="I53" s="113"/>
      <c r="J53" s="113"/>
      <c r="K53" s="113"/>
      <c r="L53" s="113"/>
      <c r="M53" s="113"/>
      <c r="N53" s="134"/>
      <c r="O53" s="134"/>
      <c r="P53" s="134"/>
      <c r="Q53" s="134"/>
      <c r="R53" s="134"/>
      <c r="S53" s="113"/>
      <c r="T53" s="113"/>
    </row>
    <row r="54" spans="1:20" s="78" customFormat="1" ht="15" customHeight="1">
      <c r="A54" s="113"/>
      <c r="B54" s="113"/>
      <c r="C54" s="113"/>
      <c r="D54" s="113"/>
      <c r="E54" s="114"/>
      <c r="F54" s="114"/>
      <c r="G54" s="113"/>
      <c r="H54" s="113"/>
      <c r="I54" s="113"/>
      <c r="J54" s="113"/>
      <c r="K54" s="113"/>
      <c r="L54" s="113"/>
      <c r="M54" s="113"/>
      <c r="N54" s="134"/>
      <c r="O54" s="134"/>
      <c r="P54" s="134"/>
      <c r="Q54" s="134"/>
      <c r="R54" s="134"/>
      <c r="S54" s="113"/>
      <c r="T54" s="113"/>
    </row>
    <row r="55" spans="1:20" s="78" customFormat="1" ht="12">
      <c r="A55" s="112" t="s">
        <v>106</v>
      </c>
      <c r="B55" s="113"/>
      <c r="C55" s="113"/>
      <c r="D55" s="134"/>
      <c r="E55" s="114"/>
      <c r="F55" s="147"/>
      <c r="G55" s="113"/>
      <c r="H55" s="113"/>
      <c r="I55" s="113"/>
      <c r="J55" s="113"/>
      <c r="K55" s="113"/>
      <c r="L55" s="113"/>
      <c r="M55" s="134"/>
      <c r="N55" s="134"/>
      <c r="O55" s="134"/>
      <c r="P55" s="134"/>
      <c r="Q55" s="134"/>
      <c r="R55" s="113"/>
      <c r="S55" s="113"/>
    </row>
    <row r="56" spans="1:20" s="78" customFormat="1" ht="24">
      <c r="A56" s="283" t="s">
        <v>33</v>
      </c>
      <c r="B56" s="283" t="s">
        <v>107</v>
      </c>
      <c r="C56" s="283" t="s">
        <v>98</v>
      </c>
      <c r="D56" s="137" t="s">
        <v>166</v>
      </c>
      <c r="E56" s="114"/>
      <c r="F56" s="147"/>
      <c r="G56" s="113"/>
      <c r="H56" s="113"/>
      <c r="I56" s="113"/>
      <c r="J56" s="113"/>
      <c r="K56" s="113"/>
      <c r="L56" s="113"/>
      <c r="M56" s="134"/>
      <c r="N56" s="134"/>
      <c r="O56" s="134"/>
      <c r="P56" s="134"/>
      <c r="Q56" s="134"/>
      <c r="R56" s="113"/>
      <c r="S56" s="113"/>
    </row>
    <row r="57" spans="1:20" s="78" customFormat="1" ht="15" customHeight="1">
      <c r="A57" s="151" t="s">
        <v>252</v>
      </c>
      <c r="B57" s="152" t="s">
        <v>251</v>
      </c>
      <c r="C57" s="424">
        <v>1</v>
      </c>
      <c r="D57" s="113"/>
      <c r="E57" s="114"/>
      <c r="F57" s="147"/>
      <c r="G57" s="113"/>
      <c r="H57" s="113"/>
      <c r="I57" s="113"/>
      <c r="J57" s="113"/>
      <c r="K57" s="113"/>
      <c r="L57" s="113"/>
      <c r="M57" s="134"/>
      <c r="N57" s="134"/>
      <c r="O57" s="134"/>
      <c r="P57" s="134"/>
      <c r="Q57" s="134"/>
      <c r="R57" s="113"/>
      <c r="S57" s="113"/>
    </row>
    <row r="58" spans="1:20" s="78" customFormat="1" ht="15" customHeight="1">
      <c r="A58" s="153" t="s">
        <v>19</v>
      </c>
      <c r="B58" s="154" t="s">
        <v>29</v>
      </c>
      <c r="C58" s="424">
        <v>1</v>
      </c>
      <c r="D58" s="113"/>
      <c r="E58" s="114"/>
      <c r="F58" s="113"/>
      <c r="G58" s="113"/>
      <c r="H58" s="113"/>
      <c r="I58" s="113"/>
      <c r="J58" s="113"/>
      <c r="K58" s="134"/>
      <c r="L58" s="134"/>
      <c r="M58" s="134"/>
      <c r="N58" s="134"/>
      <c r="O58" s="134"/>
      <c r="P58" s="113"/>
      <c r="Q58" s="113"/>
    </row>
    <row r="59" spans="1:20" s="114" customFormat="1" ht="12">
      <c r="A59" s="151" t="s">
        <v>2</v>
      </c>
      <c r="B59" s="152" t="s">
        <v>1</v>
      </c>
      <c r="C59" s="424">
        <v>1</v>
      </c>
      <c r="D59" s="113"/>
      <c r="H59" s="155"/>
      <c r="I59" s="155"/>
      <c r="J59" s="117"/>
      <c r="K59" s="117"/>
      <c r="L59" s="117"/>
      <c r="M59" s="117"/>
      <c r="N59" s="117"/>
    </row>
    <row r="60" spans="1:20" ht="12">
      <c r="A60" s="153" t="s">
        <v>20</v>
      </c>
      <c r="B60" s="154" t="s">
        <v>21</v>
      </c>
      <c r="C60" s="424">
        <v>1</v>
      </c>
      <c r="D60" s="113"/>
      <c r="E60" s="114"/>
      <c r="F60" s="115"/>
      <c r="G60" s="156"/>
      <c r="H60" s="117"/>
      <c r="I60" s="117"/>
      <c r="J60" s="117"/>
      <c r="K60" s="117"/>
      <c r="L60" s="117"/>
      <c r="M60" s="117"/>
      <c r="N60" s="114"/>
      <c r="O60" s="114"/>
      <c r="P60" s="114"/>
    </row>
    <row r="61" spans="1:20" ht="15" customHeight="1">
      <c r="A61" s="151" t="s">
        <v>18</v>
      </c>
      <c r="B61" s="152" t="s">
        <v>12</v>
      </c>
      <c r="C61" s="424">
        <v>1</v>
      </c>
      <c r="D61" s="113"/>
      <c r="E61" s="114"/>
      <c r="F61" s="115"/>
      <c r="G61" s="156"/>
      <c r="H61" s="117"/>
      <c r="I61" s="117"/>
      <c r="J61" s="117"/>
      <c r="K61" s="117"/>
      <c r="L61" s="117"/>
      <c r="M61" s="117"/>
      <c r="N61" s="114"/>
      <c r="O61" s="114"/>
      <c r="P61" s="114"/>
    </row>
    <row r="62" spans="1:20" ht="15" customHeight="1">
      <c r="A62" s="153" t="s">
        <v>108</v>
      </c>
      <c r="B62" s="154" t="s">
        <v>109</v>
      </c>
      <c r="C62" s="424">
        <v>1</v>
      </c>
      <c r="D62" s="113"/>
      <c r="E62" s="114"/>
      <c r="F62" s="115"/>
      <c r="G62" s="156"/>
      <c r="H62" s="117"/>
      <c r="I62" s="117"/>
      <c r="J62" s="117"/>
      <c r="K62" s="117"/>
      <c r="L62" s="117"/>
      <c r="M62" s="117"/>
      <c r="N62" s="114"/>
      <c r="O62" s="114"/>
      <c r="P62" s="114"/>
    </row>
    <row r="63" spans="1:20" ht="15" customHeight="1">
      <c r="A63" s="151" t="s">
        <v>17</v>
      </c>
      <c r="B63" s="152" t="s">
        <v>14</v>
      </c>
      <c r="C63" s="424">
        <v>1</v>
      </c>
      <c r="D63" s="113"/>
      <c r="E63" s="114"/>
      <c r="F63" s="115"/>
      <c r="G63" s="156"/>
      <c r="H63" s="117"/>
      <c r="I63" s="117"/>
      <c r="J63" s="117"/>
      <c r="K63" s="117"/>
      <c r="L63" s="117"/>
      <c r="M63" s="117"/>
      <c r="N63" s="114"/>
      <c r="O63" s="114"/>
      <c r="P63" s="114"/>
    </row>
    <row r="64" spans="1:20" ht="15" customHeight="1">
      <c r="A64" s="153" t="s">
        <v>15</v>
      </c>
      <c r="B64" s="154" t="s">
        <v>13</v>
      </c>
      <c r="C64" s="424">
        <v>1</v>
      </c>
      <c r="D64" s="113"/>
      <c r="E64" s="114"/>
      <c r="F64" s="115"/>
      <c r="G64" s="156"/>
      <c r="H64" s="117"/>
      <c r="I64" s="117"/>
      <c r="J64" s="117"/>
      <c r="K64" s="117"/>
      <c r="L64" s="117"/>
      <c r="M64" s="117"/>
      <c r="N64" s="114"/>
      <c r="O64" s="114"/>
      <c r="P64" s="114"/>
    </row>
    <row r="65" spans="1:18" ht="15" customHeight="1">
      <c r="A65" s="151" t="s">
        <v>25</v>
      </c>
      <c r="B65" s="152" t="s">
        <v>28</v>
      </c>
      <c r="C65" s="424">
        <v>1</v>
      </c>
      <c r="D65" s="113"/>
      <c r="E65" s="114"/>
      <c r="F65" s="115"/>
      <c r="G65" s="156"/>
      <c r="H65" s="117"/>
      <c r="I65" s="117"/>
      <c r="J65" s="117"/>
      <c r="K65" s="117"/>
      <c r="L65" s="117"/>
      <c r="M65" s="117"/>
      <c r="N65" s="114"/>
      <c r="O65" s="114"/>
      <c r="P65" s="114"/>
    </row>
    <row r="66" spans="1:18" ht="15" customHeight="1">
      <c r="A66" s="153" t="s">
        <v>26</v>
      </c>
      <c r="B66" s="154" t="s">
        <v>27</v>
      </c>
      <c r="C66" s="424">
        <v>1</v>
      </c>
      <c r="D66" s="113"/>
      <c r="E66" s="114"/>
      <c r="F66" s="115"/>
      <c r="G66" s="156"/>
      <c r="H66" s="117"/>
      <c r="I66" s="117"/>
      <c r="J66" s="117"/>
      <c r="K66" s="117"/>
      <c r="L66" s="117"/>
      <c r="M66" s="117"/>
      <c r="N66" s="114"/>
      <c r="O66" s="114"/>
      <c r="P66" s="114"/>
    </row>
    <row r="67" spans="1:18" ht="15" customHeight="1">
      <c r="A67" s="151" t="s">
        <v>16</v>
      </c>
      <c r="B67" s="152" t="s">
        <v>0</v>
      </c>
      <c r="C67" s="424">
        <v>1</v>
      </c>
      <c r="D67" s="113"/>
      <c r="E67" s="114"/>
      <c r="F67" s="115"/>
      <c r="G67" s="156"/>
      <c r="H67" s="117"/>
      <c r="I67" s="117"/>
      <c r="J67" s="117"/>
      <c r="K67" s="117"/>
      <c r="L67" s="117"/>
      <c r="M67" s="117"/>
      <c r="N67" s="114"/>
      <c r="O67" s="114"/>
      <c r="P67" s="114"/>
    </row>
    <row r="68" spans="1:18" ht="15" customHeight="1">
      <c r="A68" s="151" t="s">
        <v>249</v>
      </c>
      <c r="B68" s="152" t="s">
        <v>250</v>
      </c>
      <c r="C68" s="424">
        <v>1</v>
      </c>
      <c r="D68" s="113"/>
      <c r="E68" s="114"/>
      <c r="F68" s="115"/>
      <c r="G68" s="114"/>
      <c r="H68" s="156"/>
      <c r="I68" s="156"/>
      <c r="J68" s="117"/>
      <c r="K68" s="117"/>
      <c r="L68" s="117"/>
      <c r="M68" s="117"/>
      <c r="N68" s="117"/>
      <c r="O68" s="114"/>
      <c r="P68" s="114"/>
      <c r="Q68" s="114"/>
    </row>
    <row r="69" spans="1:18" ht="15" customHeight="1">
      <c r="A69" s="158"/>
      <c r="B69" s="134"/>
      <c r="C69" s="134"/>
      <c r="D69" s="134"/>
      <c r="E69" s="114"/>
      <c r="F69" s="114"/>
      <c r="G69" s="114"/>
      <c r="H69" s="156"/>
      <c r="I69" s="156"/>
      <c r="J69" s="117"/>
      <c r="K69" s="117"/>
      <c r="L69" s="117"/>
      <c r="M69" s="117"/>
      <c r="N69" s="117"/>
      <c r="O69" s="114"/>
      <c r="P69" s="114"/>
      <c r="Q69" s="114"/>
    </row>
    <row r="70" spans="1:18" ht="15" customHeight="1">
      <c r="A70" s="156"/>
      <c r="B70" s="114"/>
      <c r="C70" s="114"/>
      <c r="D70" s="124"/>
      <c r="E70" s="114"/>
      <c r="F70" s="114"/>
      <c r="G70" s="114"/>
      <c r="H70" s="156"/>
      <c r="I70" s="156"/>
      <c r="J70" s="117"/>
      <c r="K70" s="117"/>
      <c r="L70" s="117"/>
      <c r="M70" s="117"/>
      <c r="N70" s="117"/>
      <c r="O70" s="114"/>
      <c r="P70" s="114"/>
      <c r="Q70" s="114"/>
    </row>
    <row r="71" spans="1:18" ht="15" customHeight="1">
      <c r="A71" s="156"/>
      <c r="B71" s="114"/>
      <c r="C71" s="159"/>
      <c r="D71" s="124"/>
      <c r="E71" s="114"/>
      <c r="F71" s="114"/>
      <c r="G71" s="114"/>
      <c r="H71" s="156"/>
      <c r="I71" s="156"/>
      <c r="J71" s="117"/>
      <c r="K71" s="117"/>
      <c r="L71" s="117"/>
      <c r="M71" s="117"/>
      <c r="N71" s="117"/>
      <c r="O71" s="114"/>
      <c r="P71" s="114"/>
      <c r="Q71" s="114"/>
    </row>
    <row r="72" spans="1:18" ht="15" customHeight="1">
      <c r="A72" s="156"/>
      <c r="B72" s="114"/>
      <c r="C72" s="114"/>
      <c r="D72" s="124"/>
      <c r="E72" s="114"/>
      <c r="F72" s="114"/>
      <c r="G72" s="115"/>
      <c r="H72" s="114"/>
      <c r="I72" s="114"/>
      <c r="J72" s="156"/>
      <c r="K72" s="117"/>
      <c r="L72" s="117"/>
      <c r="M72" s="117"/>
      <c r="N72" s="117"/>
      <c r="O72" s="117"/>
      <c r="P72" s="114"/>
      <c r="Q72" s="114"/>
      <c r="R72" s="114"/>
    </row>
    <row r="73" spans="1:18" ht="15" customHeight="1">
      <c r="A73" s="156"/>
      <c r="B73" s="114"/>
      <c r="C73" s="114"/>
      <c r="D73" s="124"/>
      <c r="F73" s="114"/>
      <c r="G73" s="115"/>
      <c r="H73" s="114"/>
      <c r="I73" s="114"/>
      <c r="J73" s="156"/>
      <c r="K73" s="117"/>
      <c r="L73" s="117"/>
      <c r="M73" s="117"/>
      <c r="N73" s="117"/>
      <c r="O73" s="117"/>
      <c r="P73" s="114"/>
      <c r="Q73" s="114"/>
      <c r="R73" s="114"/>
    </row>
    <row r="74" spans="1:18" ht="15" customHeight="1">
      <c r="F74" s="114"/>
      <c r="G74" s="115"/>
      <c r="H74" s="114"/>
      <c r="I74" s="114"/>
      <c r="J74" s="156"/>
      <c r="K74" s="117"/>
      <c r="L74" s="117"/>
      <c r="M74" s="117"/>
      <c r="N74" s="117"/>
      <c r="O74" s="117"/>
      <c r="P74" s="114"/>
      <c r="Q74" s="114"/>
      <c r="R74" s="114"/>
    </row>
    <row r="75" spans="1:18" ht="15" customHeight="1">
      <c r="F75" s="114"/>
      <c r="G75" s="115"/>
      <c r="H75" s="114"/>
      <c r="I75" s="114"/>
      <c r="J75" s="156"/>
      <c r="K75" s="117"/>
      <c r="L75" s="117"/>
      <c r="M75" s="117"/>
      <c r="N75" s="117"/>
      <c r="O75" s="117"/>
      <c r="P75" s="114"/>
      <c r="Q75" s="114"/>
      <c r="R75" s="114"/>
    </row>
    <row r="76" spans="1:18" ht="15" customHeight="1">
      <c r="F76" s="114"/>
      <c r="G76" s="115"/>
      <c r="H76" s="114"/>
      <c r="I76" s="114"/>
      <c r="J76" s="156"/>
      <c r="K76" s="117"/>
      <c r="L76" s="117"/>
      <c r="M76" s="117"/>
      <c r="N76" s="117"/>
      <c r="O76" s="117"/>
      <c r="P76" s="114"/>
      <c r="Q76" s="114"/>
      <c r="R76" s="114"/>
    </row>
    <row r="77" spans="1:18" ht="15" customHeight="1">
      <c r="F77" s="114"/>
      <c r="G77" s="115"/>
      <c r="H77" s="114"/>
      <c r="I77" s="114"/>
      <c r="J77" s="156"/>
      <c r="K77" s="117"/>
      <c r="L77" s="117"/>
      <c r="M77" s="117"/>
      <c r="N77" s="117"/>
      <c r="O77" s="117"/>
      <c r="P77" s="114"/>
      <c r="Q77" s="114"/>
      <c r="R77" s="114"/>
    </row>
    <row r="78" spans="1:18" ht="15" customHeight="1">
      <c r="F78" s="114"/>
      <c r="G78" s="115"/>
      <c r="H78" s="114"/>
      <c r="I78" s="114"/>
      <c r="J78" s="156"/>
      <c r="K78" s="117"/>
      <c r="L78" s="117"/>
      <c r="M78" s="117"/>
      <c r="N78" s="117"/>
      <c r="O78" s="117"/>
      <c r="P78" s="114"/>
      <c r="Q78" s="114"/>
      <c r="R78" s="114"/>
    </row>
    <row r="79" spans="1:18" ht="15" customHeight="1">
      <c r="F79" s="114"/>
      <c r="G79" s="115"/>
      <c r="H79" s="114"/>
      <c r="I79" s="114"/>
      <c r="J79" s="156"/>
      <c r="K79" s="117"/>
      <c r="L79" s="117"/>
      <c r="M79" s="117"/>
      <c r="N79" s="117"/>
      <c r="O79" s="117"/>
      <c r="P79" s="114"/>
      <c r="Q79" s="114"/>
      <c r="R79" s="114"/>
    </row>
    <row r="80" spans="1:18" ht="15" customHeight="1">
      <c r="F80" s="114"/>
      <c r="G80" s="115"/>
      <c r="H80" s="114"/>
      <c r="I80" s="114"/>
      <c r="J80" s="156"/>
      <c r="K80" s="117"/>
      <c r="L80" s="117"/>
      <c r="M80" s="117"/>
      <c r="N80" s="117"/>
      <c r="O80" s="117"/>
      <c r="P80" s="114"/>
      <c r="Q80" s="114"/>
      <c r="R80" s="114"/>
    </row>
    <row r="81" spans="6:18" ht="15" customHeight="1">
      <c r="F81" s="114"/>
      <c r="G81" s="115"/>
      <c r="H81" s="114"/>
      <c r="I81" s="114"/>
      <c r="J81" s="156"/>
      <c r="K81" s="117"/>
      <c r="L81" s="117"/>
      <c r="M81" s="117"/>
      <c r="N81" s="117"/>
      <c r="O81" s="117"/>
      <c r="P81" s="114"/>
      <c r="Q81" s="114"/>
      <c r="R81" s="114"/>
    </row>
    <row r="82" spans="6:18" ht="15" customHeight="1">
      <c r="F82" s="114"/>
      <c r="G82" s="115"/>
      <c r="H82" s="114"/>
      <c r="I82" s="114"/>
      <c r="J82" s="156"/>
      <c r="K82" s="117"/>
      <c r="L82" s="117"/>
      <c r="M82" s="117"/>
      <c r="N82" s="117"/>
      <c r="O82" s="117"/>
      <c r="P82" s="114"/>
      <c r="Q82" s="114"/>
      <c r="R82" s="114"/>
    </row>
    <row r="83" spans="6:18" ht="15" customHeight="1">
      <c r="F83" s="114"/>
      <c r="G83" s="115"/>
      <c r="H83" s="114"/>
      <c r="I83" s="114"/>
      <c r="J83" s="156"/>
      <c r="K83" s="117"/>
      <c r="L83" s="117"/>
      <c r="M83" s="117"/>
      <c r="N83" s="117"/>
      <c r="O83" s="117"/>
      <c r="P83" s="114"/>
      <c r="Q83" s="114"/>
      <c r="R83" s="114"/>
    </row>
    <row r="84" spans="6:18" ht="15" customHeight="1">
      <c r="F84" s="114"/>
      <c r="G84" s="115"/>
      <c r="H84" s="114"/>
      <c r="I84" s="114"/>
      <c r="J84" s="156"/>
      <c r="K84" s="117"/>
      <c r="L84" s="117"/>
      <c r="M84" s="117"/>
      <c r="N84" s="117"/>
      <c r="O84" s="117"/>
      <c r="P84" s="114"/>
      <c r="Q84" s="114"/>
      <c r="R84" s="114"/>
    </row>
    <row r="85" spans="6:18" ht="15" customHeight="1">
      <c r="F85" s="114"/>
      <c r="G85" s="115"/>
      <c r="H85" s="114"/>
      <c r="I85" s="114"/>
      <c r="J85" s="156"/>
      <c r="K85" s="117"/>
      <c r="L85" s="117"/>
      <c r="M85" s="117"/>
      <c r="N85" s="117"/>
      <c r="O85" s="117"/>
      <c r="P85" s="114"/>
      <c r="Q85" s="114"/>
      <c r="R85" s="114"/>
    </row>
    <row r="86" spans="6:18" ht="15" customHeight="1">
      <c r="F86" s="114"/>
      <c r="G86" s="115"/>
      <c r="H86" s="114"/>
      <c r="I86" s="114"/>
      <c r="J86" s="156"/>
      <c r="K86" s="117"/>
      <c r="L86" s="117"/>
      <c r="M86" s="117"/>
      <c r="N86" s="117"/>
      <c r="O86" s="117"/>
      <c r="P86" s="114"/>
      <c r="Q86" s="114"/>
      <c r="R86" s="114"/>
    </row>
    <row r="87" spans="6:18" ht="15" customHeight="1">
      <c r="F87" s="114"/>
      <c r="G87" s="115"/>
      <c r="H87" s="114"/>
      <c r="I87" s="114"/>
      <c r="J87" s="156"/>
      <c r="K87" s="117"/>
      <c r="L87" s="117"/>
      <c r="M87" s="117"/>
      <c r="N87" s="117"/>
      <c r="O87" s="117"/>
      <c r="P87" s="114"/>
      <c r="Q87" s="114"/>
      <c r="R87" s="114"/>
    </row>
    <row r="88" spans="6:18" ht="15" customHeight="1">
      <c r="F88" s="114"/>
      <c r="G88" s="115"/>
      <c r="H88" s="114"/>
      <c r="I88" s="114"/>
      <c r="J88" s="156"/>
      <c r="K88" s="117"/>
      <c r="L88" s="117"/>
      <c r="M88" s="117"/>
      <c r="N88" s="117"/>
      <c r="O88" s="117"/>
      <c r="P88" s="114"/>
      <c r="Q88" s="114"/>
      <c r="R88" s="114"/>
    </row>
    <row r="89" spans="6:18" ht="15" customHeight="1">
      <c r="F89" s="114"/>
      <c r="G89" s="115"/>
      <c r="H89" s="114"/>
      <c r="I89" s="114"/>
      <c r="J89" s="156"/>
      <c r="K89" s="117"/>
      <c r="L89" s="117"/>
      <c r="M89" s="117"/>
      <c r="N89" s="117"/>
      <c r="O89" s="117"/>
      <c r="P89" s="114"/>
      <c r="Q89" s="114"/>
      <c r="R89" s="114"/>
    </row>
    <row r="90" spans="6:18" ht="15" customHeight="1">
      <c r="F90" s="114"/>
      <c r="G90" s="115"/>
      <c r="H90" s="114"/>
      <c r="I90" s="114"/>
      <c r="J90" s="156"/>
      <c r="K90" s="117"/>
      <c r="L90" s="117"/>
      <c r="M90" s="117"/>
      <c r="N90" s="117"/>
      <c r="O90" s="117"/>
      <c r="P90" s="114"/>
      <c r="Q90" s="114"/>
      <c r="R90" s="114"/>
    </row>
    <row r="91" spans="6:18" ht="15" customHeight="1">
      <c r="F91" s="114"/>
      <c r="G91" s="115"/>
      <c r="H91" s="114"/>
      <c r="I91" s="114"/>
      <c r="J91" s="156"/>
      <c r="K91" s="117"/>
      <c r="L91" s="117"/>
      <c r="M91" s="117"/>
      <c r="N91" s="117"/>
      <c r="O91" s="117"/>
      <c r="P91" s="114"/>
      <c r="Q91" s="114"/>
      <c r="R91" s="114"/>
    </row>
    <row r="92" spans="6:18" ht="15" customHeight="1">
      <c r="F92" s="114"/>
      <c r="G92" s="115"/>
      <c r="H92" s="114"/>
      <c r="I92" s="114"/>
      <c r="J92" s="156"/>
      <c r="K92" s="117"/>
      <c r="L92" s="117"/>
      <c r="M92" s="117"/>
      <c r="N92" s="117"/>
      <c r="O92" s="117"/>
      <c r="P92" s="114"/>
      <c r="Q92" s="114"/>
      <c r="R92" s="114"/>
    </row>
    <row r="93" spans="6:18" ht="15" customHeight="1">
      <c r="F93" s="114"/>
      <c r="G93" s="115"/>
      <c r="H93" s="114"/>
      <c r="I93" s="114"/>
      <c r="J93" s="156"/>
      <c r="K93" s="117"/>
      <c r="L93" s="117"/>
      <c r="M93" s="117"/>
      <c r="N93" s="117"/>
      <c r="O93" s="117"/>
      <c r="P93" s="114"/>
      <c r="Q93" s="114"/>
      <c r="R93" s="114"/>
    </row>
    <row r="94" spans="6:18" ht="15" customHeight="1">
      <c r="F94" s="114"/>
      <c r="G94" s="115"/>
      <c r="H94" s="114"/>
      <c r="I94" s="114"/>
      <c r="J94" s="156"/>
      <c r="K94" s="117"/>
      <c r="L94" s="117"/>
      <c r="M94" s="117"/>
      <c r="N94" s="117"/>
      <c r="O94" s="117"/>
      <c r="P94" s="114"/>
      <c r="Q94" s="114"/>
      <c r="R94" s="114"/>
    </row>
    <row r="95" spans="6:18" ht="15" customHeight="1">
      <c r="F95" s="114"/>
      <c r="G95" s="115"/>
      <c r="H95" s="114"/>
      <c r="I95" s="114"/>
      <c r="J95" s="156"/>
      <c r="K95" s="117"/>
      <c r="L95" s="117"/>
      <c r="M95" s="117"/>
      <c r="N95" s="117"/>
      <c r="O95" s="117"/>
      <c r="P95" s="114"/>
      <c r="Q95" s="114"/>
      <c r="R95" s="114"/>
    </row>
    <row r="96" spans="6:18" ht="15" customHeight="1">
      <c r="F96" s="114"/>
      <c r="G96" s="115"/>
      <c r="H96" s="114"/>
      <c r="I96" s="114"/>
      <c r="J96" s="156"/>
      <c r="K96" s="117"/>
      <c r="L96" s="117"/>
      <c r="M96" s="117"/>
      <c r="N96" s="117"/>
      <c r="O96" s="117"/>
      <c r="P96" s="114"/>
      <c r="Q96" s="114"/>
      <c r="R96" s="114"/>
    </row>
    <row r="97" spans="6:18" ht="15" customHeight="1">
      <c r="F97" s="114"/>
      <c r="G97" s="115"/>
      <c r="H97" s="114"/>
      <c r="I97" s="114"/>
      <c r="J97" s="156"/>
      <c r="K97" s="117"/>
      <c r="L97" s="117"/>
      <c r="M97" s="117"/>
      <c r="N97" s="117"/>
      <c r="O97" s="117"/>
      <c r="P97" s="114"/>
      <c r="Q97" s="114"/>
      <c r="R97" s="114"/>
    </row>
    <row r="98" spans="6:18" ht="15" customHeight="1">
      <c r="F98" s="114"/>
      <c r="G98" s="115"/>
      <c r="H98" s="114"/>
      <c r="I98" s="114"/>
      <c r="J98" s="156"/>
      <c r="K98" s="117"/>
      <c r="L98" s="117"/>
      <c r="M98" s="117"/>
      <c r="N98" s="117"/>
      <c r="O98" s="117"/>
      <c r="P98" s="114"/>
      <c r="Q98" s="114"/>
      <c r="R98" s="114"/>
    </row>
    <row r="99" spans="6:18" ht="15" customHeight="1">
      <c r="F99" s="114"/>
      <c r="G99" s="115"/>
      <c r="H99" s="114"/>
      <c r="I99" s="114"/>
      <c r="J99" s="156"/>
      <c r="K99" s="117"/>
      <c r="L99" s="117"/>
      <c r="M99" s="117"/>
      <c r="N99" s="117"/>
      <c r="O99" s="117"/>
      <c r="P99" s="114"/>
      <c r="Q99" s="114"/>
      <c r="R99" s="114"/>
    </row>
    <row r="100" spans="6:18" ht="15" customHeight="1">
      <c r="F100" s="114"/>
      <c r="G100" s="115"/>
      <c r="H100" s="114"/>
      <c r="I100" s="114"/>
      <c r="J100" s="156"/>
      <c r="K100" s="117"/>
      <c r="L100" s="117"/>
      <c r="M100" s="117"/>
      <c r="N100" s="117"/>
      <c r="O100" s="117"/>
      <c r="P100" s="114"/>
      <c r="Q100" s="114"/>
      <c r="R100" s="114"/>
    </row>
    <row r="101" spans="6:18" ht="15" customHeight="1">
      <c r="F101" s="114"/>
      <c r="G101" s="115"/>
      <c r="H101" s="114"/>
      <c r="I101" s="114"/>
      <c r="J101" s="156"/>
      <c r="K101" s="117"/>
      <c r="L101" s="117"/>
      <c r="M101" s="117"/>
      <c r="N101" s="117"/>
      <c r="O101" s="117"/>
      <c r="P101" s="114"/>
      <c r="Q101" s="114"/>
      <c r="R101" s="114"/>
    </row>
    <row r="102" spans="6:18" ht="15" customHeight="1">
      <c r="F102" s="114"/>
      <c r="G102" s="115"/>
      <c r="H102" s="114"/>
      <c r="I102" s="114"/>
      <c r="J102" s="156"/>
      <c r="K102" s="117"/>
      <c r="L102" s="117"/>
      <c r="M102" s="117"/>
      <c r="N102" s="117"/>
      <c r="O102" s="117"/>
      <c r="P102" s="114"/>
      <c r="Q102" s="114"/>
      <c r="R102" s="114"/>
    </row>
    <row r="103" spans="6:18" ht="15" customHeight="1">
      <c r="F103" s="114"/>
      <c r="G103" s="115"/>
      <c r="H103" s="114"/>
      <c r="I103" s="114"/>
      <c r="J103" s="156"/>
      <c r="K103" s="117"/>
      <c r="L103" s="117"/>
      <c r="M103" s="117"/>
      <c r="N103" s="117"/>
      <c r="O103" s="117"/>
      <c r="P103" s="114"/>
      <c r="Q103" s="114"/>
      <c r="R103" s="114"/>
    </row>
    <row r="104" spans="6:18" ht="15" customHeight="1">
      <c r="F104" s="114"/>
      <c r="G104" s="115"/>
      <c r="H104" s="114"/>
      <c r="I104" s="114"/>
      <c r="J104" s="156"/>
      <c r="K104" s="117"/>
      <c r="L104" s="117"/>
      <c r="M104" s="117"/>
      <c r="N104" s="117"/>
      <c r="O104" s="117"/>
      <c r="P104" s="114"/>
      <c r="Q104" s="114"/>
      <c r="R104" s="114"/>
    </row>
    <row r="105" spans="6:18" ht="15" customHeight="1">
      <c r="F105" s="114"/>
      <c r="G105" s="115"/>
      <c r="H105" s="114"/>
      <c r="I105" s="114"/>
      <c r="J105" s="156"/>
      <c r="K105" s="117"/>
      <c r="L105" s="117"/>
      <c r="M105" s="117"/>
      <c r="N105" s="117"/>
      <c r="O105" s="117"/>
      <c r="P105" s="114"/>
      <c r="Q105" s="114"/>
      <c r="R105" s="114"/>
    </row>
    <row r="106" spans="6:18" ht="15" customHeight="1">
      <c r="F106" s="114"/>
      <c r="G106" s="115"/>
      <c r="H106" s="114"/>
      <c r="I106" s="114"/>
      <c r="J106" s="156"/>
      <c r="K106" s="117"/>
      <c r="L106" s="117"/>
      <c r="M106" s="117"/>
      <c r="N106" s="117"/>
      <c r="O106" s="117"/>
      <c r="P106" s="114"/>
      <c r="Q106" s="114"/>
      <c r="R106" s="114"/>
    </row>
    <row r="107" spans="6:18" ht="15" customHeight="1">
      <c r="F107" s="114"/>
      <c r="G107" s="115"/>
      <c r="H107" s="114"/>
      <c r="I107" s="114"/>
      <c r="J107" s="156"/>
      <c r="K107" s="117"/>
      <c r="L107" s="117"/>
      <c r="M107" s="117"/>
      <c r="N107" s="117"/>
      <c r="O107" s="117"/>
      <c r="P107" s="114"/>
      <c r="Q107" s="114"/>
      <c r="R107" s="114"/>
    </row>
    <row r="108" spans="6:18" ht="15" customHeight="1">
      <c r="F108" s="114"/>
      <c r="G108" s="115"/>
      <c r="H108" s="114"/>
      <c r="I108" s="114"/>
      <c r="J108" s="156"/>
      <c r="K108" s="117"/>
      <c r="L108" s="117"/>
      <c r="M108" s="117"/>
      <c r="N108" s="117"/>
      <c r="O108" s="117"/>
      <c r="P108" s="114"/>
      <c r="Q108" s="114"/>
      <c r="R108" s="114"/>
    </row>
    <row r="109" spans="6:18" ht="15" customHeight="1">
      <c r="F109" s="114"/>
      <c r="G109" s="115"/>
      <c r="H109" s="114"/>
      <c r="I109" s="114"/>
      <c r="J109" s="156"/>
      <c r="K109" s="117"/>
      <c r="L109" s="117"/>
      <c r="M109" s="117"/>
      <c r="N109" s="117"/>
      <c r="O109" s="117"/>
      <c r="P109" s="114"/>
      <c r="Q109" s="114"/>
      <c r="R109" s="114"/>
    </row>
    <row r="110" spans="6:18" ht="15" customHeight="1">
      <c r="F110" s="114"/>
      <c r="G110" s="115"/>
      <c r="H110" s="114"/>
      <c r="I110" s="114"/>
      <c r="J110" s="156"/>
      <c r="K110" s="117"/>
      <c r="L110" s="117"/>
      <c r="M110" s="117"/>
      <c r="N110" s="117"/>
      <c r="O110" s="117"/>
      <c r="P110" s="114"/>
      <c r="Q110" s="114"/>
      <c r="R110" s="114"/>
    </row>
    <row r="111" spans="6:18" ht="15" customHeight="1">
      <c r="F111" s="114"/>
      <c r="G111" s="115"/>
      <c r="H111" s="114"/>
      <c r="I111" s="114"/>
      <c r="J111" s="156"/>
      <c r="K111" s="117"/>
      <c r="L111" s="117"/>
      <c r="M111" s="117"/>
      <c r="N111" s="117"/>
      <c r="O111" s="117"/>
      <c r="P111" s="114"/>
      <c r="Q111" s="114"/>
      <c r="R111" s="114"/>
    </row>
    <row r="112" spans="6:18" ht="15" customHeight="1">
      <c r="F112" s="114"/>
      <c r="G112" s="115"/>
      <c r="H112" s="114"/>
      <c r="I112" s="114"/>
      <c r="J112" s="156"/>
      <c r="K112" s="117"/>
      <c r="L112" s="117"/>
      <c r="M112" s="117"/>
      <c r="N112" s="117"/>
      <c r="O112" s="117"/>
      <c r="P112" s="114"/>
      <c r="Q112" s="114"/>
      <c r="R112" s="114"/>
    </row>
    <row r="113" spans="6:18" ht="15" customHeight="1">
      <c r="F113" s="114"/>
      <c r="G113" s="115"/>
      <c r="H113" s="114"/>
      <c r="I113" s="114"/>
      <c r="J113" s="156"/>
      <c r="K113" s="117"/>
      <c r="L113" s="117"/>
      <c r="M113" s="117"/>
      <c r="N113" s="117"/>
      <c r="O113" s="117"/>
      <c r="P113" s="114"/>
      <c r="Q113" s="114"/>
      <c r="R113" s="114"/>
    </row>
    <row r="114" spans="6:18" ht="15" customHeight="1">
      <c r="F114" s="114"/>
      <c r="G114" s="115"/>
      <c r="H114" s="114"/>
      <c r="I114" s="114"/>
      <c r="J114" s="156"/>
      <c r="K114" s="117"/>
      <c r="L114" s="117"/>
      <c r="M114" s="117"/>
      <c r="N114" s="117"/>
      <c r="O114" s="117"/>
      <c r="P114" s="114"/>
      <c r="Q114" s="114"/>
      <c r="R114" s="114"/>
    </row>
    <row r="115" spans="6:18" ht="15" customHeight="1">
      <c r="F115" s="114"/>
      <c r="G115" s="115"/>
      <c r="H115" s="114"/>
      <c r="I115" s="114"/>
      <c r="J115" s="156"/>
      <c r="K115" s="117"/>
      <c r="L115" s="117"/>
      <c r="M115" s="117"/>
      <c r="N115" s="117"/>
      <c r="O115" s="117"/>
      <c r="P115" s="114"/>
      <c r="Q115" s="114"/>
      <c r="R115" s="114"/>
    </row>
    <row r="116" spans="6:18" ht="15" customHeight="1">
      <c r="F116" s="114"/>
      <c r="G116" s="115"/>
      <c r="H116" s="114"/>
      <c r="I116" s="114"/>
      <c r="J116" s="156"/>
      <c r="K116" s="117"/>
      <c r="L116" s="117"/>
      <c r="M116" s="117"/>
      <c r="N116" s="117"/>
      <c r="O116" s="117"/>
      <c r="P116" s="114"/>
      <c r="Q116" s="114"/>
      <c r="R116" s="114"/>
    </row>
    <row r="117" spans="6:18" ht="15" customHeight="1">
      <c r="F117" s="114"/>
      <c r="G117" s="115"/>
      <c r="H117" s="114"/>
      <c r="I117" s="114"/>
      <c r="J117" s="156"/>
      <c r="K117" s="117"/>
      <c r="L117" s="117"/>
      <c r="M117" s="117"/>
      <c r="N117" s="117"/>
      <c r="O117" s="117"/>
      <c r="P117" s="114"/>
      <c r="Q117" s="114"/>
      <c r="R117" s="114"/>
    </row>
    <row r="118" spans="6:18" ht="15" customHeight="1">
      <c r="F118" s="114"/>
      <c r="G118" s="115"/>
      <c r="H118" s="114"/>
      <c r="I118" s="114"/>
      <c r="J118" s="156"/>
      <c r="K118" s="117"/>
      <c r="L118" s="117"/>
      <c r="M118" s="117"/>
      <c r="N118" s="117"/>
      <c r="O118" s="117"/>
      <c r="P118" s="114"/>
      <c r="Q118" s="114"/>
      <c r="R118" s="114"/>
    </row>
    <row r="119" spans="6:18" ht="15" customHeight="1">
      <c r="F119" s="114"/>
      <c r="G119" s="115"/>
      <c r="H119" s="114"/>
      <c r="I119" s="114"/>
      <c r="J119" s="156"/>
      <c r="K119" s="117"/>
      <c r="L119" s="117"/>
      <c r="M119" s="117"/>
      <c r="N119" s="117"/>
      <c r="O119" s="117"/>
      <c r="P119" s="114"/>
      <c r="Q119" s="114"/>
      <c r="R119" s="114"/>
    </row>
    <row r="120" spans="6:18" ht="15" customHeight="1">
      <c r="F120" s="114"/>
      <c r="G120" s="115"/>
      <c r="H120" s="114"/>
      <c r="I120" s="114"/>
      <c r="J120" s="156"/>
      <c r="K120" s="117"/>
      <c r="L120" s="117"/>
      <c r="M120" s="117"/>
      <c r="N120" s="117"/>
      <c r="O120" s="117"/>
      <c r="P120" s="114"/>
      <c r="Q120" s="114"/>
      <c r="R120" s="114"/>
    </row>
    <row r="121" spans="6:18" ht="15" customHeight="1">
      <c r="F121" s="114"/>
      <c r="G121" s="115"/>
      <c r="H121" s="114"/>
      <c r="I121" s="114"/>
      <c r="J121" s="156"/>
      <c r="K121" s="117"/>
      <c r="L121" s="117"/>
      <c r="M121" s="117"/>
      <c r="N121" s="117"/>
      <c r="O121" s="117"/>
      <c r="P121" s="114"/>
      <c r="Q121" s="114"/>
      <c r="R121" s="114"/>
    </row>
    <row r="122" spans="6:18" ht="15" customHeight="1">
      <c r="F122" s="114"/>
      <c r="G122" s="115"/>
      <c r="H122" s="114"/>
      <c r="I122" s="114"/>
      <c r="J122" s="156"/>
      <c r="K122" s="117"/>
      <c r="L122" s="117"/>
      <c r="M122" s="117"/>
      <c r="N122" s="117"/>
      <c r="O122" s="117"/>
      <c r="P122" s="114"/>
      <c r="Q122" s="114"/>
      <c r="R122" s="114"/>
    </row>
    <row r="123" spans="6:18" ht="15" customHeight="1">
      <c r="F123" s="114"/>
      <c r="G123" s="115"/>
      <c r="H123" s="114"/>
      <c r="I123" s="114"/>
      <c r="J123" s="156"/>
      <c r="K123" s="117"/>
      <c r="L123" s="117"/>
      <c r="M123" s="117"/>
      <c r="N123" s="117"/>
      <c r="O123" s="117"/>
      <c r="P123" s="114"/>
      <c r="Q123" s="114"/>
      <c r="R123" s="114"/>
    </row>
    <row r="124" spans="6:18" ht="15" customHeight="1">
      <c r="F124" s="114"/>
      <c r="G124" s="115"/>
      <c r="H124" s="114"/>
      <c r="I124" s="114"/>
      <c r="J124" s="156"/>
      <c r="K124" s="117"/>
      <c r="L124" s="117"/>
      <c r="M124" s="117"/>
      <c r="N124" s="117"/>
      <c r="O124" s="117"/>
      <c r="P124" s="114"/>
      <c r="Q124" s="114"/>
      <c r="R124" s="114"/>
    </row>
    <row r="125" spans="6:18" ht="15" customHeight="1">
      <c r="F125" s="114"/>
      <c r="G125" s="115"/>
      <c r="H125" s="114"/>
      <c r="I125" s="114"/>
      <c r="J125" s="156"/>
      <c r="K125" s="117"/>
      <c r="L125" s="117"/>
      <c r="M125" s="117"/>
      <c r="N125" s="117"/>
      <c r="O125" s="117"/>
      <c r="P125" s="114"/>
      <c r="Q125" s="114"/>
      <c r="R125" s="114"/>
    </row>
    <row r="126" spans="6:18" ht="15" customHeight="1">
      <c r="F126" s="114"/>
      <c r="G126" s="115"/>
      <c r="H126" s="114"/>
      <c r="I126" s="114"/>
      <c r="J126" s="156"/>
      <c r="K126" s="117"/>
      <c r="L126" s="117"/>
      <c r="M126" s="117"/>
      <c r="N126" s="117"/>
      <c r="O126" s="117"/>
      <c r="P126" s="114"/>
      <c r="Q126" s="114"/>
      <c r="R126" s="114"/>
    </row>
    <row r="127" spans="6:18" ht="15" customHeight="1">
      <c r="F127" s="114"/>
      <c r="G127" s="115"/>
      <c r="H127" s="114"/>
      <c r="I127" s="114"/>
      <c r="J127" s="156"/>
      <c r="K127" s="117"/>
      <c r="L127" s="117"/>
      <c r="M127" s="117"/>
      <c r="N127" s="117"/>
      <c r="O127" s="117"/>
      <c r="P127" s="114"/>
      <c r="Q127" s="114"/>
      <c r="R127" s="114"/>
    </row>
    <row r="128" spans="6:18" ht="15" customHeight="1">
      <c r="F128" s="114"/>
      <c r="G128" s="115"/>
      <c r="H128" s="114"/>
      <c r="I128" s="114"/>
      <c r="J128" s="156"/>
      <c r="K128" s="117"/>
      <c r="L128" s="117"/>
      <c r="M128" s="117"/>
      <c r="N128" s="117"/>
      <c r="O128" s="117"/>
      <c r="P128" s="114"/>
      <c r="Q128" s="114"/>
      <c r="R128" s="114"/>
    </row>
    <row r="129" spans="6:18" ht="15" customHeight="1">
      <c r="F129" s="114"/>
      <c r="G129" s="115"/>
      <c r="H129" s="114"/>
      <c r="I129" s="114"/>
      <c r="J129" s="156"/>
      <c r="K129" s="117"/>
      <c r="L129" s="117"/>
      <c r="M129" s="117"/>
      <c r="N129" s="117"/>
      <c r="O129" s="117"/>
      <c r="P129" s="114"/>
      <c r="Q129" s="114"/>
      <c r="R129" s="114"/>
    </row>
    <row r="130" spans="6:18" ht="15" customHeight="1">
      <c r="F130" s="114"/>
      <c r="G130" s="115"/>
      <c r="H130" s="114"/>
      <c r="I130" s="114"/>
      <c r="J130" s="156"/>
      <c r="K130" s="117"/>
      <c r="L130" s="117"/>
      <c r="M130" s="117"/>
      <c r="N130" s="117"/>
      <c r="O130" s="117"/>
      <c r="P130" s="114"/>
      <c r="Q130" s="114"/>
      <c r="R130" s="114"/>
    </row>
    <row r="131" spans="6:18" ht="15" customHeight="1">
      <c r="F131" s="114"/>
      <c r="G131" s="115"/>
      <c r="H131" s="114"/>
      <c r="I131" s="114"/>
      <c r="J131" s="156"/>
      <c r="K131" s="117"/>
      <c r="L131" s="117"/>
      <c r="M131" s="117"/>
      <c r="N131" s="117"/>
      <c r="O131" s="117"/>
      <c r="P131" s="114"/>
      <c r="Q131" s="114"/>
      <c r="R131" s="114"/>
    </row>
    <row r="132" spans="6:18" ht="15" customHeight="1">
      <c r="F132" s="114"/>
      <c r="G132" s="115"/>
      <c r="H132" s="114"/>
      <c r="I132" s="114"/>
      <c r="J132" s="156"/>
      <c r="K132" s="117"/>
      <c r="L132" s="117"/>
      <c r="M132" s="117"/>
      <c r="N132" s="117"/>
      <c r="O132" s="117"/>
      <c r="P132" s="114"/>
      <c r="Q132" s="114"/>
      <c r="R132" s="114"/>
    </row>
    <row r="133" spans="6:18" ht="15" customHeight="1">
      <c r="F133" s="114"/>
      <c r="G133" s="115"/>
      <c r="H133" s="114"/>
      <c r="I133" s="114"/>
      <c r="J133" s="156"/>
      <c r="K133" s="117"/>
      <c r="L133" s="117"/>
      <c r="M133" s="117"/>
      <c r="N133" s="117"/>
      <c r="O133" s="117"/>
      <c r="P133" s="114"/>
      <c r="Q133" s="114"/>
      <c r="R133" s="114"/>
    </row>
    <row r="134" spans="6:18" ht="15" customHeight="1">
      <c r="F134" s="114"/>
      <c r="G134" s="115"/>
      <c r="H134" s="114"/>
      <c r="I134" s="114"/>
      <c r="J134" s="156"/>
      <c r="K134" s="117"/>
      <c r="L134" s="117"/>
      <c r="M134" s="117"/>
      <c r="N134" s="117"/>
      <c r="O134" s="117"/>
      <c r="P134" s="114"/>
      <c r="Q134" s="114"/>
      <c r="R134" s="114"/>
    </row>
    <row r="135" spans="6:18" ht="15" customHeight="1">
      <c r="F135" s="114"/>
      <c r="G135" s="115"/>
      <c r="H135" s="114"/>
      <c r="I135" s="114"/>
      <c r="J135" s="156"/>
      <c r="K135" s="117"/>
      <c r="L135" s="117"/>
      <c r="M135" s="117"/>
      <c r="N135" s="117"/>
      <c r="O135" s="117"/>
      <c r="P135" s="114"/>
      <c r="Q135" s="114"/>
      <c r="R135" s="114"/>
    </row>
    <row r="136" spans="6:18" ht="15" customHeight="1">
      <c r="F136" s="114"/>
      <c r="G136" s="115"/>
      <c r="H136" s="114"/>
      <c r="I136" s="114"/>
      <c r="J136" s="156"/>
      <c r="K136" s="117"/>
      <c r="L136" s="117"/>
      <c r="M136" s="117"/>
      <c r="N136" s="117"/>
      <c r="O136" s="117"/>
      <c r="P136" s="114"/>
      <c r="Q136" s="114"/>
      <c r="R136" s="114"/>
    </row>
    <row r="137" spans="6:18" ht="15" customHeight="1">
      <c r="F137" s="114"/>
      <c r="G137" s="115"/>
      <c r="H137" s="114"/>
      <c r="I137" s="114"/>
      <c r="J137" s="156"/>
      <c r="K137" s="117"/>
      <c r="L137" s="117"/>
      <c r="M137" s="117"/>
      <c r="N137" s="117"/>
      <c r="O137" s="117"/>
      <c r="P137" s="114"/>
      <c r="Q137" s="114"/>
      <c r="R137" s="114"/>
    </row>
    <row r="138" spans="6:18" ht="15" customHeight="1">
      <c r="F138" s="114"/>
      <c r="G138" s="115"/>
      <c r="H138" s="114"/>
      <c r="I138" s="114"/>
      <c r="J138" s="156"/>
      <c r="K138" s="117"/>
      <c r="L138" s="117"/>
      <c r="M138" s="117"/>
      <c r="N138" s="117"/>
      <c r="O138" s="117"/>
      <c r="P138" s="114"/>
      <c r="Q138" s="114"/>
      <c r="R138" s="114"/>
    </row>
    <row r="139" spans="6:18" ht="15" customHeight="1">
      <c r="F139" s="114"/>
      <c r="G139" s="115"/>
      <c r="H139" s="114"/>
      <c r="I139" s="114"/>
      <c r="J139" s="156"/>
      <c r="K139" s="117"/>
      <c r="L139" s="117"/>
      <c r="M139" s="117"/>
      <c r="N139" s="117"/>
      <c r="O139" s="117"/>
      <c r="P139" s="114"/>
      <c r="Q139" s="114"/>
      <c r="R139" s="114"/>
    </row>
    <row r="140" spans="6:18" ht="15" customHeight="1">
      <c r="F140" s="114"/>
      <c r="G140" s="115"/>
      <c r="H140" s="114"/>
      <c r="I140" s="114"/>
      <c r="J140" s="156"/>
      <c r="K140" s="117"/>
      <c r="L140" s="117"/>
      <c r="M140" s="117"/>
      <c r="N140" s="117"/>
      <c r="O140" s="117"/>
      <c r="P140" s="114"/>
      <c r="Q140" s="114"/>
      <c r="R140" s="114"/>
    </row>
    <row r="141" spans="6:18" ht="15" customHeight="1">
      <c r="F141" s="114"/>
      <c r="G141" s="115"/>
      <c r="H141" s="114"/>
      <c r="I141" s="114"/>
      <c r="J141" s="156"/>
      <c r="K141" s="117"/>
      <c r="L141" s="117"/>
      <c r="M141" s="117"/>
      <c r="N141" s="117"/>
      <c r="O141" s="117"/>
      <c r="P141" s="114"/>
      <c r="Q141" s="114"/>
      <c r="R141" s="114"/>
    </row>
    <row r="142" spans="6:18" ht="15" customHeight="1">
      <c r="F142" s="114"/>
      <c r="G142" s="115"/>
      <c r="H142" s="114"/>
      <c r="I142" s="114"/>
      <c r="J142" s="156"/>
      <c r="K142" s="117"/>
      <c r="L142" s="117"/>
      <c r="M142" s="117"/>
      <c r="N142" s="117"/>
      <c r="O142" s="117"/>
      <c r="P142" s="114"/>
      <c r="Q142" s="114"/>
      <c r="R142" s="114"/>
    </row>
    <row r="143" spans="6:18" ht="15" customHeight="1">
      <c r="F143" s="114"/>
      <c r="G143" s="115"/>
      <c r="H143" s="114"/>
      <c r="I143" s="114"/>
      <c r="J143" s="156"/>
      <c r="K143" s="117"/>
      <c r="L143" s="117"/>
      <c r="M143" s="117"/>
      <c r="N143" s="117"/>
      <c r="O143" s="117"/>
      <c r="P143" s="114"/>
      <c r="Q143" s="114"/>
      <c r="R143" s="114"/>
    </row>
    <row r="144" spans="6:18" ht="15" customHeight="1">
      <c r="F144" s="114"/>
      <c r="G144" s="115"/>
      <c r="H144" s="114"/>
      <c r="I144" s="114"/>
      <c r="J144" s="156"/>
      <c r="K144" s="117"/>
      <c r="L144" s="117"/>
      <c r="M144" s="117"/>
      <c r="N144" s="117"/>
      <c r="O144" s="117"/>
      <c r="P144" s="114"/>
      <c r="Q144" s="114"/>
      <c r="R144" s="114"/>
    </row>
    <row r="145" spans="6:18" ht="15" customHeight="1">
      <c r="F145" s="114"/>
      <c r="G145" s="115"/>
      <c r="H145" s="114"/>
      <c r="I145" s="114"/>
      <c r="J145" s="156"/>
      <c r="K145" s="117"/>
      <c r="L145" s="117"/>
      <c r="M145" s="117"/>
      <c r="N145" s="117"/>
      <c r="O145" s="117"/>
      <c r="P145" s="114"/>
      <c r="Q145" s="114"/>
      <c r="R145" s="114"/>
    </row>
    <row r="146" spans="6:18" ht="15" customHeight="1">
      <c r="F146" s="114"/>
      <c r="G146" s="115"/>
      <c r="H146" s="114"/>
      <c r="I146" s="114"/>
      <c r="J146" s="156"/>
      <c r="K146" s="117"/>
      <c r="L146" s="117"/>
      <c r="M146" s="117"/>
      <c r="N146" s="117"/>
      <c r="O146" s="117"/>
      <c r="P146" s="114"/>
      <c r="Q146" s="114"/>
      <c r="R146" s="114"/>
    </row>
    <row r="147" spans="6:18" ht="15" customHeight="1">
      <c r="F147" s="114"/>
      <c r="G147" s="115"/>
      <c r="H147" s="114"/>
      <c r="I147" s="114"/>
      <c r="J147" s="156"/>
      <c r="K147" s="117"/>
      <c r="L147" s="117"/>
      <c r="M147" s="117"/>
      <c r="N147" s="117"/>
      <c r="O147" s="117"/>
      <c r="P147" s="114"/>
      <c r="Q147" s="114"/>
      <c r="R147" s="114"/>
    </row>
    <row r="148" spans="6:18" ht="15" customHeight="1">
      <c r="F148" s="114"/>
      <c r="G148" s="115"/>
      <c r="H148" s="114"/>
      <c r="I148" s="114"/>
      <c r="J148" s="156"/>
      <c r="K148" s="117"/>
      <c r="L148" s="117"/>
      <c r="M148" s="117"/>
      <c r="N148" s="117"/>
      <c r="O148" s="117"/>
      <c r="P148" s="114"/>
      <c r="Q148" s="114"/>
      <c r="R148" s="114"/>
    </row>
    <row r="149" spans="6:18" ht="15" customHeight="1">
      <c r="F149" s="114"/>
      <c r="G149" s="115"/>
      <c r="H149" s="114"/>
      <c r="I149" s="114"/>
      <c r="J149" s="156"/>
      <c r="K149" s="117"/>
      <c r="L149" s="117"/>
      <c r="M149" s="117"/>
      <c r="N149" s="117"/>
      <c r="O149" s="117"/>
      <c r="P149" s="114"/>
      <c r="Q149" s="114"/>
      <c r="R149" s="114"/>
    </row>
    <row r="150" spans="6:18" ht="15" customHeight="1">
      <c r="F150" s="114"/>
      <c r="G150" s="115"/>
      <c r="H150" s="114"/>
      <c r="I150" s="114"/>
      <c r="J150" s="156"/>
      <c r="K150" s="117"/>
      <c r="L150" s="117"/>
      <c r="M150" s="117"/>
      <c r="N150" s="117"/>
      <c r="O150" s="117"/>
      <c r="P150" s="114"/>
      <c r="Q150" s="114"/>
      <c r="R150" s="114"/>
    </row>
    <row r="151" spans="6:18" ht="15" customHeight="1">
      <c r="F151" s="114"/>
      <c r="G151" s="115"/>
      <c r="H151" s="114"/>
      <c r="I151" s="114"/>
      <c r="J151" s="156"/>
      <c r="K151" s="117"/>
      <c r="L151" s="117"/>
      <c r="M151" s="117"/>
      <c r="N151" s="117"/>
      <c r="O151" s="117"/>
      <c r="P151" s="114"/>
      <c r="Q151" s="114"/>
      <c r="R151" s="114"/>
    </row>
    <row r="152" spans="6:18" ht="15" customHeight="1">
      <c r="F152" s="114"/>
      <c r="G152" s="115"/>
      <c r="H152" s="114"/>
      <c r="I152" s="114"/>
      <c r="J152" s="156"/>
      <c r="K152" s="117"/>
      <c r="L152" s="117"/>
      <c r="M152" s="117"/>
      <c r="N152" s="117"/>
      <c r="O152" s="117"/>
      <c r="P152" s="114"/>
      <c r="Q152" s="114"/>
      <c r="R152" s="114"/>
    </row>
    <row r="153" spans="6:18" ht="15" customHeight="1">
      <c r="F153" s="114"/>
      <c r="G153" s="115"/>
      <c r="H153" s="114"/>
      <c r="I153" s="114"/>
      <c r="J153" s="156"/>
      <c r="K153" s="117"/>
      <c r="L153" s="117"/>
      <c r="M153" s="117"/>
      <c r="N153" s="117"/>
      <c r="O153" s="117"/>
      <c r="P153" s="114"/>
      <c r="Q153" s="114"/>
      <c r="R153" s="114"/>
    </row>
    <row r="154" spans="6:18" ht="15" customHeight="1">
      <c r="F154" s="114"/>
      <c r="G154" s="115"/>
      <c r="H154" s="114"/>
      <c r="I154" s="114"/>
      <c r="J154" s="156"/>
      <c r="K154" s="117"/>
      <c r="L154" s="117"/>
      <c r="M154" s="117"/>
      <c r="N154" s="117"/>
      <c r="O154" s="117"/>
      <c r="P154" s="114"/>
      <c r="Q154" s="114"/>
      <c r="R154" s="114"/>
    </row>
    <row r="155" spans="6:18" ht="15" customHeight="1">
      <c r="F155" s="114"/>
      <c r="G155" s="115"/>
      <c r="H155" s="114"/>
      <c r="I155" s="114"/>
      <c r="J155" s="156"/>
      <c r="K155" s="117"/>
      <c r="L155" s="117"/>
      <c r="M155" s="117"/>
      <c r="N155" s="117"/>
      <c r="O155" s="117"/>
      <c r="P155" s="114"/>
      <c r="Q155" s="114"/>
      <c r="R155" s="114"/>
    </row>
    <row r="156" spans="6:18" ht="15" customHeight="1">
      <c r="F156" s="114"/>
      <c r="G156" s="115"/>
      <c r="H156" s="114"/>
      <c r="I156" s="114"/>
      <c r="J156" s="156"/>
      <c r="K156" s="117"/>
      <c r="L156" s="117"/>
      <c r="M156" s="117"/>
      <c r="N156" s="117"/>
      <c r="O156" s="117"/>
      <c r="P156" s="114"/>
      <c r="Q156" s="114"/>
      <c r="R156" s="114"/>
    </row>
    <row r="157" spans="6:18" ht="15" customHeight="1">
      <c r="F157" s="114"/>
      <c r="G157" s="115"/>
      <c r="H157" s="114"/>
      <c r="I157" s="114"/>
      <c r="J157" s="156"/>
      <c r="K157" s="117"/>
      <c r="L157" s="117"/>
      <c r="M157" s="117"/>
      <c r="N157" s="117"/>
      <c r="O157" s="117"/>
      <c r="P157" s="114"/>
      <c r="Q157" s="114"/>
      <c r="R157" s="114"/>
    </row>
    <row r="158" spans="6:18" ht="15" customHeight="1">
      <c r="F158" s="114"/>
      <c r="G158" s="115"/>
      <c r="H158" s="114"/>
      <c r="I158" s="114"/>
      <c r="J158" s="156"/>
      <c r="K158" s="117"/>
      <c r="L158" s="117"/>
      <c r="M158" s="117"/>
      <c r="N158" s="117"/>
      <c r="O158" s="117"/>
      <c r="P158" s="114"/>
      <c r="Q158" s="114"/>
      <c r="R158" s="114"/>
    </row>
    <row r="159" spans="6:18" ht="15" customHeight="1">
      <c r="F159" s="114"/>
      <c r="G159" s="115"/>
      <c r="H159" s="114"/>
      <c r="I159" s="114"/>
      <c r="J159" s="156"/>
      <c r="K159" s="117"/>
      <c r="L159" s="117"/>
      <c r="M159" s="117"/>
      <c r="N159" s="117"/>
      <c r="O159" s="117"/>
      <c r="P159" s="114"/>
      <c r="Q159" s="114"/>
      <c r="R159" s="114"/>
    </row>
    <row r="160" spans="6:18" ht="15" customHeight="1">
      <c r="F160" s="114"/>
      <c r="G160" s="115"/>
      <c r="H160" s="114"/>
      <c r="I160" s="114"/>
      <c r="J160" s="156"/>
      <c r="K160" s="117"/>
      <c r="L160" s="117"/>
      <c r="M160" s="117"/>
      <c r="N160" s="117"/>
      <c r="O160" s="117"/>
      <c r="P160" s="114"/>
      <c r="Q160" s="114"/>
      <c r="R160" s="114"/>
    </row>
    <row r="161" spans="6:18" ht="15" customHeight="1">
      <c r="F161" s="114"/>
      <c r="G161" s="115"/>
      <c r="H161" s="114"/>
      <c r="I161" s="114"/>
      <c r="J161" s="156"/>
      <c r="K161" s="117"/>
      <c r="L161" s="117"/>
      <c r="M161" s="117"/>
      <c r="N161" s="117"/>
      <c r="O161" s="117"/>
      <c r="P161" s="114"/>
      <c r="Q161" s="114"/>
      <c r="R161" s="114"/>
    </row>
    <row r="162" spans="6:18" ht="15" customHeight="1">
      <c r="F162" s="114"/>
      <c r="G162" s="115"/>
      <c r="H162" s="114"/>
      <c r="I162" s="114"/>
      <c r="J162" s="156"/>
      <c r="K162" s="117"/>
      <c r="L162" s="117"/>
      <c r="M162" s="117"/>
      <c r="N162" s="117"/>
      <c r="O162" s="117"/>
      <c r="P162" s="114"/>
      <c r="Q162" s="114"/>
      <c r="R162" s="114"/>
    </row>
    <row r="163" spans="6:18" ht="15" customHeight="1">
      <c r="F163" s="114"/>
      <c r="G163" s="115"/>
      <c r="H163" s="114"/>
      <c r="I163" s="114"/>
      <c r="J163" s="156"/>
      <c r="K163" s="117"/>
      <c r="L163" s="117"/>
      <c r="M163" s="117"/>
      <c r="N163" s="117"/>
      <c r="O163" s="117"/>
      <c r="P163" s="114"/>
      <c r="Q163" s="114"/>
      <c r="R163" s="114"/>
    </row>
    <row r="164" spans="6:18" ht="15" customHeight="1">
      <c r="F164" s="114"/>
      <c r="G164" s="115"/>
      <c r="H164" s="114"/>
      <c r="I164" s="114"/>
      <c r="J164" s="156"/>
      <c r="K164" s="117"/>
      <c r="L164" s="117"/>
      <c r="M164" s="117"/>
      <c r="N164" s="117"/>
      <c r="O164" s="117"/>
      <c r="P164" s="114"/>
      <c r="Q164" s="114"/>
      <c r="R164" s="114"/>
    </row>
    <row r="165" spans="6:18" ht="15" customHeight="1">
      <c r="F165" s="114"/>
      <c r="G165" s="115"/>
      <c r="H165" s="114"/>
      <c r="I165" s="114"/>
      <c r="J165" s="156"/>
      <c r="K165" s="117"/>
      <c r="L165" s="117"/>
      <c r="M165" s="117"/>
      <c r="N165" s="117"/>
      <c r="O165" s="117"/>
      <c r="P165" s="114"/>
      <c r="Q165" s="114"/>
      <c r="R165" s="114"/>
    </row>
    <row r="166" spans="6:18" ht="15" customHeight="1">
      <c r="F166" s="114"/>
      <c r="G166" s="115"/>
      <c r="H166" s="114"/>
      <c r="I166" s="114"/>
      <c r="J166" s="156"/>
      <c r="K166" s="117"/>
      <c r="L166" s="117"/>
      <c r="M166" s="117"/>
      <c r="N166" s="117"/>
      <c r="O166" s="117"/>
      <c r="P166" s="114"/>
      <c r="Q166" s="114"/>
      <c r="R166" s="114"/>
    </row>
    <row r="167" spans="6:18" ht="15" customHeight="1">
      <c r="F167" s="114"/>
      <c r="G167" s="115"/>
      <c r="H167" s="114"/>
      <c r="I167" s="114"/>
      <c r="J167" s="156"/>
      <c r="K167" s="117"/>
      <c r="L167" s="117"/>
      <c r="M167" s="117"/>
      <c r="N167" s="117"/>
      <c r="O167" s="117"/>
      <c r="P167" s="114"/>
      <c r="Q167" s="114"/>
      <c r="R167" s="114"/>
    </row>
    <row r="168" spans="6:18" ht="15" customHeight="1">
      <c r="F168" s="114"/>
      <c r="G168" s="115"/>
      <c r="H168" s="114"/>
      <c r="I168" s="114"/>
      <c r="J168" s="156"/>
      <c r="K168" s="117"/>
      <c r="L168" s="117"/>
      <c r="M168" s="117"/>
      <c r="N168" s="117"/>
      <c r="O168" s="117"/>
      <c r="P168" s="114"/>
      <c r="Q168" s="114"/>
      <c r="R168" s="114"/>
    </row>
    <row r="169" spans="6:18" ht="15" customHeight="1">
      <c r="F169" s="114"/>
      <c r="G169" s="115"/>
      <c r="H169" s="114"/>
      <c r="I169" s="114"/>
      <c r="J169" s="156"/>
      <c r="K169" s="117"/>
      <c r="L169" s="117"/>
      <c r="M169" s="117"/>
      <c r="N169" s="117"/>
      <c r="O169" s="117"/>
      <c r="P169" s="114"/>
      <c r="Q169" s="114"/>
      <c r="R169" s="114"/>
    </row>
    <row r="170" spans="6:18" ht="15" customHeight="1">
      <c r="F170" s="114"/>
      <c r="G170" s="115"/>
      <c r="H170" s="114"/>
      <c r="I170" s="114"/>
      <c r="J170" s="156"/>
      <c r="K170" s="117"/>
      <c r="L170" s="117"/>
      <c r="M170" s="117"/>
      <c r="N170" s="117"/>
      <c r="O170" s="117"/>
      <c r="P170" s="114"/>
      <c r="Q170" s="114"/>
      <c r="R170" s="114"/>
    </row>
    <row r="171" spans="6:18" ht="15" customHeight="1">
      <c r="G171" s="115"/>
      <c r="H171" s="114"/>
      <c r="I171" s="114"/>
      <c r="J171" s="156"/>
      <c r="K171" s="117"/>
      <c r="L171" s="117"/>
      <c r="M171" s="117"/>
      <c r="N171" s="117"/>
      <c r="O171" s="117"/>
      <c r="P171" s="114"/>
      <c r="Q171" s="114"/>
      <c r="R171" s="114"/>
    </row>
    <row r="172" spans="6:18" ht="15" customHeight="1">
      <c r="G172" s="115"/>
      <c r="H172" s="114"/>
      <c r="I172" s="114"/>
      <c r="J172" s="156"/>
      <c r="K172" s="117"/>
      <c r="L172" s="117"/>
      <c r="M172" s="117"/>
      <c r="N172" s="117"/>
      <c r="O172" s="117"/>
      <c r="P172" s="114"/>
      <c r="Q172" s="114"/>
      <c r="R172" s="114"/>
    </row>
    <row r="173" spans="6:18" ht="15" customHeight="1">
      <c r="G173" s="115"/>
      <c r="H173" s="114"/>
      <c r="I173" s="114"/>
      <c r="J173" s="156"/>
      <c r="K173" s="117"/>
      <c r="L173" s="117"/>
      <c r="M173" s="117"/>
      <c r="N173" s="117"/>
      <c r="O173" s="117"/>
      <c r="P173" s="114"/>
      <c r="Q173" s="114"/>
      <c r="R173" s="114"/>
    </row>
    <row r="174" spans="6:18" ht="15" customHeight="1">
      <c r="G174" s="115"/>
      <c r="H174" s="114"/>
      <c r="I174" s="114"/>
      <c r="J174" s="156"/>
      <c r="K174" s="117"/>
      <c r="L174" s="117"/>
      <c r="M174" s="117"/>
      <c r="N174" s="117"/>
      <c r="O174" s="117"/>
      <c r="P174" s="114"/>
      <c r="Q174" s="114"/>
      <c r="R174" s="114"/>
    </row>
  </sheetData>
  <sheetProtection algorithmName="SHA-512" hashValue="7kGIB+vTpfrDpNLcYXQS0UwWz8Ro/Xhd5YGtelVFKfp2OvWR1dw6fpegOXHwGD98pxOyKUi8quHgtO/IhU3E/w==" saltValue="uevihVDUQZATYx6GwlGJ0w==" spinCount="100000" sheet="1" objects="1" scenarios="1" selectLockedCells="1"/>
  <mergeCells count="2">
    <mergeCell ref="A2:F2"/>
    <mergeCell ref="A1:F1"/>
  </mergeCells>
  <phoneticPr fontId="9"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22"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675"/>
  <sheetViews>
    <sheetView showGridLines="0" view="pageBreakPreview" zoomScaleNormal="40" zoomScaleSheetLayoutView="100" workbookViewId="0">
      <pane ySplit="4" topLeftCell="A5" activePane="bottomLeft" state="frozen"/>
      <selection activeCell="T6105" sqref="T6105"/>
      <selection pane="bottomLeft" sqref="A1:XFD1048576"/>
    </sheetView>
  </sheetViews>
  <sheetFormatPr defaultColWidth="10.28515625" defaultRowHeight="15" customHeight="1"/>
  <cols>
    <col min="1" max="1" width="7.85546875" style="99" customWidth="1"/>
    <col min="2" max="2" width="25" style="176" customWidth="1"/>
    <col min="3" max="3" width="20.28515625" style="176" bestFit="1" customWidth="1"/>
    <col min="4" max="4" width="12.7109375" style="176" bestFit="1" customWidth="1"/>
    <col min="5" max="5" width="14.28515625" style="176" customWidth="1"/>
    <col min="6" max="6" width="10.28515625" style="78" customWidth="1"/>
    <col min="7" max="7" width="13.42578125" style="99" bestFit="1" customWidth="1"/>
    <col min="8" max="8" width="11.140625" style="99" customWidth="1"/>
    <col min="9" max="9" width="32.140625" style="183" bestFit="1" customWidth="1"/>
    <col min="10" max="10" width="10" style="99" customWidth="1"/>
    <col min="11" max="11" width="23.140625" style="183" bestFit="1" customWidth="1"/>
    <col min="12" max="12" width="10" style="99" customWidth="1"/>
    <col min="13" max="13" width="19.140625" style="186" customWidth="1"/>
    <col min="14" max="14" width="14.5703125" style="186" bestFit="1" customWidth="1"/>
    <col min="15" max="15" width="13.85546875" style="187" customWidth="1"/>
    <col min="16" max="16" width="18.7109375" style="178" bestFit="1" customWidth="1"/>
    <col min="17" max="17" width="12" style="78" customWidth="1"/>
    <col min="18" max="18" width="12.42578125" style="87" customWidth="1"/>
    <col min="19" max="19" width="16.42578125" style="87" customWidth="1"/>
    <col min="20" max="20" width="16.42578125" style="188" customWidth="1"/>
    <col min="21" max="21" width="16.7109375" style="189" customWidth="1"/>
    <col min="22" max="22" width="17" style="190" bestFit="1" customWidth="1"/>
    <col min="23" max="23" width="16.42578125" style="191" customWidth="1"/>
    <col min="24" max="24" width="16.42578125" style="188" customWidth="1"/>
    <col min="25" max="25" width="16.42578125" style="189" customWidth="1"/>
    <col min="26" max="26" width="16.42578125" style="192" customWidth="1"/>
    <col min="27" max="28" width="16.42578125" style="78" customWidth="1"/>
    <col min="29" max="30" width="16.42578125" style="193" customWidth="1"/>
    <col min="31" max="31" width="16.42578125" style="106" customWidth="1"/>
    <col min="32" max="32" width="16.42578125" style="113" customWidth="1"/>
    <col min="33" max="33" width="2.5703125" style="113" customWidth="1"/>
    <col min="34" max="34" width="22.7109375" style="113" hidden="1" customWidth="1"/>
    <col min="35" max="35" width="4.42578125" style="297" customWidth="1"/>
    <col min="36" max="36" width="4.140625" style="297" customWidth="1"/>
    <col min="37" max="37" width="4.7109375" style="297" customWidth="1"/>
    <col min="38" max="38" width="4.140625" style="297" customWidth="1"/>
    <col min="39" max="39" width="4.28515625" style="297" customWidth="1"/>
    <col min="40" max="40" width="4.42578125" style="297" customWidth="1"/>
    <col min="41" max="41" width="3.5703125" style="297" customWidth="1"/>
    <col min="42" max="42" width="4.140625" style="297" customWidth="1"/>
    <col min="43" max="43" width="3.85546875" style="297" customWidth="1"/>
    <col min="44" max="45" width="4.140625" style="297" customWidth="1"/>
    <col min="46" max="46" width="4" style="297" customWidth="1"/>
    <col min="47" max="48" width="4.42578125" style="297" customWidth="1"/>
    <col min="49" max="49" width="4.140625" style="297" customWidth="1"/>
    <col min="50" max="50" width="3.85546875" style="297" customWidth="1"/>
    <col min="51" max="51" width="4" style="297" customWidth="1"/>
    <col min="52" max="52" width="3.42578125" style="297" customWidth="1"/>
    <col min="53" max="53" width="4" style="297" customWidth="1"/>
    <col min="54" max="54" width="2.28515625" style="298" customWidth="1"/>
    <col min="55" max="55" width="10.85546875" style="113" hidden="1" customWidth="1"/>
    <col min="56" max="56" width="3.7109375" style="297" customWidth="1"/>
    <col min="57" max="57" width="3.28515625" style="297" customWidth="1"/>
    <col min="58" max="58" width="3.42578125" style="297" customWidth="1"/>
    <col min="59" max="59" width="3.85546875" style="297" customWidth="1"/>
    <col min="60" max="60" width="3.42578125" style="297" customWidth="1"/>
    <col min="61" max="61" width="3.28515625" style="297" customWidth="1"/>
    <col min="62" max="62" width="3.140625" style="297" customWidth="1"/>
    <col min="63" max="63" width="4.140625" style="297" customWidth="1"/>
    <col min="64" max="64" width="3.5703125" style="297" customWidth="1"/>
    <col min="65" max="65" width="3.85546875" style="297" customWidth="1"/>
    <col min="66" max="66" width="3.28515625" style="297" customWidth="1"/>
    <col min="67" max="67" width="3.7109375" style="297" customWidth="1"/>
    <col min="68" max="68" width="3.5703125" style="297" customWidth="1"/>
    <col min="69" max="69" width="3.42578125" style="297" customWidth="1"/>
    <col min="70" max="72" width="3.28515625" style="297" customWidth="1"/>
    <col min="73" max="73" width="3.42578125" style="297" customWidth="1"/>
    <col min="74" max="74" width="3.85546875" style="297" customWidth="1"/>
    <col min="75" max="219" width="10.28515625" style="113"/>
    <col min="220" max="16384" width="10.28515625" style="78"/>
  </cols>
  <sheetData>
    <row r="1" spans="1:220" ht="15" customHeight="1">
      <c r="A1" s="380" t="s">
        <v>161</v>
      </c>
      <c r="B1" s="380"/>
      <c r="C1" s="380"/>
      <c r="D1" s="380"/>
      <c r="E1" s="380"/>
      <c r="F1" s="380"/>
      <c r="G1" s="380"/>
      <c r="H1" s="380"/>
      <c r="I1" s="380"/>
      <c r="J1" s="380"/>
      <c r="K1" s="380"/>
      <c r="L1" s="380"/>
      <c r="M1" s="380"/>
      <c r="N1" s="380"/>
      <c r="O1" s="380"/>
      <c r="P1" s="380"/>
      <c r="Q1" s="381"/>
      <c r="R1" s="381"/>
      <c r="S1" s="381"/>
      <c r="T1" s="381"/>
      <c r="U1" s="381"/>
      <c r="V1" s="381"/>
      <c r="W1" s="381"/>
      <c r="X1" s="381"/>
      <c r="Y1" s="381"/>
      <c r="Z1" s="381"/>
      <c r="AA1" s="381"/>
      <c r="AB1" s="381"/>
      <c r="AC1" s="381"/>
      <c r="AD1" s="381"/>
      <c r="AE1" s="381"/>
      <c r="AF1" s="381"/>
      <c r="AG1" s="150"/>
      <c r="AH1" s="150"/>
      <c r="BC1" s="150"/>
    </row>
    <row r="2" spans="1:220" ht="15" customHeight="1">
      <c r="A2" s="134"/>
      <c r="B2" s="164"/>
      <c r="C2" s="164"/>
      <c r="D2" s="164"/>
      <c r="E2" s="164"/>
      <c r="F2" s="113"/>
      <c r="G2" s="134"/>
      <c r="H2" s="134"/>
      <c r="I2" s="165"/>
      <c r="J2" s="134"/>
      <c r="K2" s="134"/>
      <c r="L2" s="134"/>
      <c r="M2" s="166"/>
      <c r="N2" s="166"/>
      <c r="O2" s="167"/>
      <c r="P2" s="168"/>
      <c r="Q2" s="113"/>
      <c r="R2" s="169"/>
      <c r="S2" s="113"/>
      <c r="T2" s="113"/>
      <c r="U2" s="113"/>
      <c r="V2" s="170"/>
      <c r="W2" s="136"/>
      <c r="X2" s="113"/>
      <c r="Y2" s="113"/>
      <c r="Z2" s="113"/>
      <c r="AA2" s="113"/>
      <c r="AB2" s="113"/>
      <c r="AC2" s="113"/>
      <c r="AD2" s="113"/>
      <c r="AE2" s="113"/>
      <c r="AI2" s="391" t="s">
        <v>253</v>
      </c>
      <c r="AJ2" s="391"/>
      <c r="AK2" s="391"/>
      <c r="AL2" s="391"/>
      <c r="AM2" s="391"/>
      <c r="AN2" s="391"/>
      <c r="AO2" s="391"/>
      <c r="AP2" s="391"/>
      <c r="AQ2" s="391"/>
      <c r="AR2" s="391"/>
      <c r="AS2" s="391"/>
      <c r="AT2" s="391"/>
      <c r="AU2" s="391"/>
      <c r="AV2" s="391"/>
      <c r="AW2" s="391"/>
      <c r="AX2" s="391"/>
      <c r="AY2" s="391"/>
      <c r="AZ2" s="391"/>
      <c r="BA2" s="391"/>
      <c r="BD2" s="392" t="s">
        <v>254</v>
      </c>
      <c r="BE2" s="392"/>
      <c r="BF2" s="392"/>
      <c r="BG2" s="392"/>
      <c r="BH2" s="392"/>
      <c r="BI2" s="392"/>
      <c r="BJ2" s="392"/>
      <c r="BK2" s="392"/>
      <c r="BL2" s="392"/>
      <c r="BM2" s="392"/>
      <c r="BN2" s="392"/>
      <c r="BO2" s="392"/>
      <c r="BP2" s="392"/>
      <c r="BQ2" s="392"/>
      <c r="BR2" s="392"/>
      <c r="BS2" s="392"/>
      <c r="BT2" s="392"/>
      <c r="BU2" s="392"/>
      <c r="BV2" s="392"/>
    </row>
    <row r="3" spans="1:220" s="113" customFormat="1" ht="15" customHeight="1">
      <c r="A3" s="134"/>
      <c r="B3" s="164"/>
      <c r="C3" s="164"/>
      <c r="D3" s="164"/>
      <c r="E3" s="164"/>
      <c r="G3" s="134"/>
      <c r="H3" s="134"/>
      <c r="I3" s="171"/>
      <c r="J3" s="134"/>
      <c r="K3" s="171"/>
      <c r="L3" s="134"/>
      <c r="M3" s="166"/>
      <c r="N3" s="166"/>
      <c r="O3" s="167"/>
      <c r="P3" s="168"/>
      <c r="R3" s="382" t="s">
        <v>222</v>
      </c>
      <c r="S3" s="383"/>
      <c r="T3" s="383"/>
      <c r="U3" s="383"/>
      <c r="V3" s="383"/>
      <c r="W3" s="384"/>
      <c r="X3" s="385" t="s">
        <v>223</v>
      </c>
      <c r="Y3" s="386"/>
      <c r="Z3" s="386"/>
      <c r="AA3" s="386"/>
      <c r="AB3" s="386"/>
      <c r="AC3" s="387"/>
      <c r="AD3" s="388" t="s">
        <v>224</v>
      </c>
      <c r="AE3" s="389"/>
      <c r="AF3" s="390"/>
      <c r="AG3" s="172"/>
      <c r="AH3" s="172"/>
      <c r="AI3" s="393" t="s">
        <v>255</v>
      </c>
      <c r="AJ3" s="393"/>
      <c r="AK3" s="393"/>
      <c r="AL3" s="393"/>
      <c r="AM3" s="393"/>
      <c r="AN3" s="393"/>
      <c r="AO3" s="393"/>
      <c r="AP3" s="393"/>
      <c r="AQ3" s="394" t="s">
        <v>256</v>
      </c>
      <c r="AR3" s="394"/>
      <c r="AS3" s="394"/>
      <c r="AT3" s="394"/>
      <c r="AU3" s="394"/>
      <c r="AV3" s="394"/>
      <c r="AW3" s="394"/>
      <c r="AX3" s="394"/>
      <c r="AY3" s="395" t="s">
        <v>257</v>
      </c>
      <c r="AZ3" s="395"/>
      <c r="BA3" s="395"/>
      <c r="BB3" s="299"/>
      <c r="BC3" s="172"/>
      <c r="BD3" s="393" t="s">
        <v>255</v>
      </c>
      <c r="BE3" s="393"/>
      <c r="BF3" s="393"/>
      <c r="BG3" s="393"/>
      <c r="BH3" s="393"/>
      <c r="BI3" s="393"/>
      <c r="BJ3" s="393"/>
      <c r="BK3" s="393"/>
      <c r="BL3" s="394" t="s">
        <v>256</v>
      </c>
      <c r="BM3" s="394"/>
      <c r="BN3" s="394"/>
      <c r="BO3" s="394"/>
      <c r="BP3" s="394"/>
      <c r="BQ3" s="394"/>
      <c r="BR3" s="394"/>
      <c r="BS3" s="394"/>
      <c r="BT3" s="395" t="s">
        <v>257</v>
      </c>
      <c r="BU3" s="395"/>
      <c r="BV3" s="395"/>
    </row>
    <row r="4" spans="1:220" s="79" customFormat="1" ht="46.5" customHeight="1">
      <c r="A4" s="283" t="s">
        <v>33</v>
      </c>
      <c r="B4" s="283" t="s">
        <v>122</v>
      </c>
      <c r="C4" s="283" t="s">
        <v>1280</v>
      </c>
      <c r="D4" s="283" t="s">
        <v>1281</v>
      </c>
      <c r="E4" s="283" t="s">
        <v>1282</v>
      </c>
      <c r="F4" s="283" t="s">
        <v>30</v>
      </c>
      <c r="G4" s="283" t="s">
        <v>111</v>
      </c>
      <c r="H4" s="283" t="s">
        <v>247</v>
      </c>
      <c r="I4" s="283" t="s">
        <v>96</v>
      </c>
      <c r="J4" s="283" t="s">
        <v>23</v>
      </c>
      <c r="K4" s="283" t="s">
        <v>112</v>
      </c>
      <c r="L4" s="283" t="s">
        <v>113</v>
      </c>
      <c r="M4" s="283" t="s">
        <v>37</v>
      </c>
      <c r="N4" s="283" t="s">
        <v>31</v>
      </c>
      <c r="O4" s="283" t="s">
        <v>124</v>
      </c>
      <c r="P4" s="283" t="s">
        <v>63</v>
      </c>
      <c r="Q4" s="283" t="s">
        <v>116</v>
      </c>
      <c r="R4" s="283" t="s">
        <v>114</v>
      </c>
      <c r="S4" s="283" t="s">
        <v>127</v>
      </c>
      <c r="T4" s="283" t="s">
        <v>128</v>
      </c>
      <c r="U4" s="283" t="s">
        <v>129</v>
      </c>
      <c r="V4" s="283" t="s">
        <v>125</v>
      </c>
      <c r="W4" s="283" t="s">
        <v>126</v>
      </c>
      <c r="X4" s="283" t="s">
        <v>115</v>
      </c>
      <c r="Y4" s="283" t="s">
        <v>134</v>
      </c>
      <c r="Z4" s="283" t="s">
        <v>130</v>
      </c>
      <c r="AA4" s="283" t="s">
        <v>131</v>
      </c>
      <c r="AB4" s="283" t="s">
        <v>132</v>
      </c>
      <c r="AC4" s="283" t="s">
        <v>133</v>
      </c>
      <c r="AD4" s="283" t="s">
        <v>118</v>
      </c>
      <c r="AE4" s="283" t="s">
        <v>35</v>
      </c>
      <c r="AF4" s="283" t="s">
        <v>1258</v>
      </c>
      <c r="AG4" s="283" t="s">
        <v>194</v>
      </c>
      <c r="AH4" s="283" t="s">
        <v>1241</v>
      </c>
      <c r="AI4" s="283" t="s">
        <v>258</v>
      </c>
      <c r="AJ4" s="283" t="s">
        <v>259</v>
      </c>
      <c r="AK4" s="283" t="s">
        <v>260</v>
      </c>
      <c r="AL4" s="283" t="s">
        <v>261</v>
      </c>
      <c r="AM4" s="283" t="s">
        <v>262</v>
      </c>
      <c r="AN4" s="283" t="s">
        <v>263</v>
      </c>
      <c r="AO4" s="283" t="s">
        <v>264</v>
      </c>
      <c r="AP4" s="283" t="s">
        <v>265</v>
      </c>
      <c r="AQ4" s="283" t="s">
        <v>266</v>
      </c>
      <c r="AR4" s="283" t="s">
        <v>267</v>
      </c>
      <c r="AS4" s="283" t="s">
        <v>268</v>
      </c>
      <c r="AT4" s="283" t="s">
        <v>269</v>
      </c>
      <c r="AU4" s="283" t="s">
        <v>270</v>
      </c>
      <c r="AV4" s="283" t="s">
        <v>271</v>
      </c>
      <c r="AW4" s="283" t="s">
        <v>272</v>
      </c>
      <c r="AX4" s="283" t="s">
        <v>273</v>
      </c>
      <c r="AY4" s="283" t="s">
        <v>274</v>
      </c>
      <c r="AZ4" s="283" t="s">
        <v>275</v>
      </c>
      <c r="BA4" s="283" t="s">
        <v>276</v>
      </c>
      <c r="BB4" s="283" t="s">
        <v>166</v>
      </c>
      <c r="BC4" s="283" t="s">
        <v>277</v>
      </c>
      <c r="BD4" s="283" t="s">
        <v>1826</v>
      </c>
      <c r="BE4" s="283" t="s">
        <v>1827</v>
      </c>
      <c r="BF4" s="283" t="s">
        <v>1828</v>
      </c>
      <c r="BG4" s="283" t="s">
        <v>1829</v>
      </c>
      <c r="BH4" s="283" t="s">
        <v>1830</v>
      </c>
      <c r="BI4" s="283" t="s">
        <v>1831</v>
      </c>
      <c r="BJ4" s="283" t="s">
        <v>1832</v>
      </c>
      <c r="BK4" s="283" t="s">
        <v>1833</v>
      </c>
      <c r="BL4" s="283" t="s">
        <v>1834</v>
      </c>
      <c r="BM4" s="283" t="s">
        <v>1835</v>
      </c>
      <c r="BN4" s="283" t="s">
        <v>1836</v>
      </c>
      <c r="BO4" s="283" t="s">
        <v>1837</v>
      </c>
      <c r="BP4" s="283" t="s">
        <v>1838</v>
      </c>
      <c r="BQ4" s="283" t="s">
        <v>1839</v>
      </c>
      <c r="BR4" s="283" t="s">
        <v>1840</v>
      </c>
      <c r="BS4" s="283" t="s">
        <v>1841</v>
      </c>
      <c r="BT4" s="283" t="s">
        <v>1842</v>
      </c>
      <c r="BU4" s="283" t="s">
        <v>1843</v>
      </c>
      <c r="BV4" s="283" t="s">
        <v>1844</v>
      </c>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c r="DH4" s="175"/>
      <c r="DI4" s="175"/>
      <c r="DJ4" s="175"/>
      <c r="DK4" s="175"/>
      <c r="DL4" s="175"/>
      <c r="DM4" s="175"/>
      <c r="DN4" s="175"/>
      <c r="DO4" s="175"/>
      <c r="DP4" s="175"/>
      <c r="DQ4" s="175"/>
      <c r="DR4" s="175"/>
      <c r="DS4" s="175"/>
      <c r="DT4" s="175"/>
      <c r="DU4" s="175"/>
      <c r="DV4" s="175"/>
      <c r="DW4" s="175"/>
      <c r="DX4" s="175"/>
      <c r="DY4" s="175"/>
      <c r="DZ4" s="175"/>
      <c r="EA4" s="175"/>
      <c r="EB4" s="175"/>
      <c r="EC4" s="175"/>
      <c r="ED4" s="175"/>
      <c r="EE4" s="175"/>
      <c r="EF4" s="175"/>
      <c r="EG4" s="175"/>
      <c r="EH4" s="175"/>
      <c r="EI4" s="175"/>
      <c r="EJ4" s="175"/>
      <c r="EK4" s="175"/>
      <c r="EL4" s="175"/>
      <c r="EM4" s="175"/>
      <c r="EN4" s="175"/>
      <c r="EO4" s="175"/>
      <c r="EP4" s="175"/>
      <c r="EQ4" s="175"/>
      <c r="ER4" s="175"/>
      <c r="ES4" s="175"/>
      <c r="ET4" s="175"/>
      <c r="EU4" s="175"/>
      <c r="EV4" s="175"/>
      <c r="EW4" s="175"/>
      <c r="EX4" s="175"/>
      <c r="EY4" s="175"/>
      <c r="EZ4" s="175"/>
      <c r="FA4" s="175"/>
      <c r="FB4" s="175"/>
      <c r="FC4" s="175"/>
      <c r="FD4" s="175"/>
      <c r="FE4" s="175"/>
      <c r="FF4" s="175"/>
      <c r="FG4" s="175"/>
      <c r="FH4" s="175"/>
      <c r="FI4" s="175"/>
      <c r="FJ4" s="175"/>
      <c r="FK4" s="175"/>
      <c r="FL4" s="175"/>
      <c r="FM4" s="175"/>
      <c r="FN4" s="175"/>
      <c r="FO4" s="175"/>
      <c r="FP4" s="175"/>
      <c r="FQ4" s="175"/>
      <c r="FR4" s="175"/>
      <c r="FS4" s="175"/>
      <c r="FT4" s="175"/>
      <c r="FU4" s="175"/>
      <c r="FV4" s="175"/>
      <c r="FW4" s="175"/>
      <c r="FX4" s="175"/>
      <c r="FY4" s="175"/>
      <c r="FZ4" s="175"/>
      <c r="GA4" s="175"/>
      <c r="GB4" s="175"/>
      <c r="GC4" s="175"/>
      <c r="GD4" s="175"/>
      <c r="GE4" s="175"/>
      <c r="GF4" s="175"/>
      <c r="GG4" s="175"/>
      <c r="GH4" s="175"/>
      <c r="GI4" s="175"/>
      <c r="GJ4" s="175"/>
      <c r="GK4" s="175"/>
      <c r="GL4" s="175"/>
      <c r="GM4" s="175"/>
      <c r="GN4" s="175"/>
      <c r="GO4" s="175"/>
      <c r="GP4" s="175"/>
      <c r="GQ4" s="175"/>
      <c r="GR4" s="175"/>
      <c r="GS4" s="175"/>
      <c r="GT4" s="175"/>
      <c r="GU4" s="175"/>
      <c r="GV4" s="175"/>
      <c r="GW4" s="175"/>
      <c r="GX4" s="175"/>
      <c r="GY4" s="175"/>
      <c r="GZ4" s="175"/>
      <c r="HA4" s="175"/>
      <c r="HB4" s="175"/>
      <c r="HC4" s="175"/>
      <c r="HD4" s="175"/>
      <c r="HE4" s="175"/>
      <c r="HF4" s="175"/>
      <c r="HG4" s="175"/>
      <c r="HH4" s="175"/>
      <c r="HI4" s="175"/>
      <c r="HJ4" s="175"/>
      <c r="HK4" s="175"/>
      <c r="HL4" s="175"/>
    </row>
    <row r="5" spans="1:220" s="79" customFormat="1" ht="15" customHeight="1">
      <c r="A5" s="149">
        <v>1</v>
      </c>
      <c r="B5" s="176" t="str">
        <f>VLOOKUP(Ruimtestaat[[#This Row],[Code]],Locaties[[Code]:[Locatie]],2,FALSE)</f>
        <v xml:space="preserve">OBS Molenbeek </v>
      </c>
      <c r="C5" s="176" t="str">
        <f>VLOOKUP(Ruimtestaat[[#This Row],[Code]],Locaties[[#All],[Code]:[Adres]],4,FALSE)</f>
        <v>Boekelerschoolpad 1</v>
      </c>
      <c r="D5" s="176" t="str">
        <f>VLOOKUP(Ruimtestaat[[#This Row],[Code]],Locaties[[#All],[Code]:[Postcode]],5,FALSE)</f>
        <v>7548 AH</v>
      </c>
      <c r="E5" s="176" t="str">
        <f>VLOOKUP(Ruimtestaat[[#This Row],[Code]],Locaties[#All],6,FALSE)</f>
        <v>Boekelo</v>
      </c>
      <c r="F5" s="149"/>
      <c r="G5" s="149" t="s">
        <v>1646</v>
      </c>
      <c r="H5" s="302" t="s">
        <v>1647</v>
      </c>
      <c r="I5" s="301" t="s">
        <v>38</v>
      </c>
      <c r="J5" s="149">
        <v>7</v>
      </c>
      <c r="K5" s="173" t="str">
        <f>VLOOKUP(Ruimtestaat[[#This Row],[Ruimte code]],Ruimtegroepen[[#All],[Code]:[Ruimte omschrijving]],2,FALSE)</f>
        <v>Entree</v>
      </c>
      <c r="L5" s="149" t="s">
        <v>99</v>
      </c>
      <c r="M5" s="301" t="s">
        <v>36</v>
      </c>
      <c r="N5" s="177">
        <v>5.8</v>
      </c>
      <c r="O5" s="177"/>
      <c r="P5" s="178" t="str">
        <f>VLOOKUP(Ruimtestaat[[#This Row],[Ruimte code]],Ruimtegroepen[],4,FALSE)</f>
        <v>Ve</v>
      </c>
      <c r="Q5" s="149">
        <v>40</v>
      </c>
      <c r="R5" s="149" t="s">
        <v>2</v>
      </c>
      <c r="S5" s="149">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 s="149">
        <f>IF(S5&gt;0,VLOOKUP($J5,Ruimtegroepen[],3,FALSE)*VLOOKUP($L5,Vloersoorten[],3,FALSE)*VLOOKUP($R5,Frequenties[],3,FALSE)*VLOOKUP($A5,Locaties[],3,FALSE),0)</f>
        <v>0</v>
      </c>
      <c r="U5" s="149">
        <f>Ruimtestaat[[#This Row],[Uitvoeringen werkdagen]]*Ruimtestaat[[#This Row],[Oppervlak (netto)]]</f>
        <v>1160</v>
      </c>
      <c r="V5" s="179">
        <f>IF(T5&gt;0,Ruimtestaat[[#This Row],[Prest. (m2 /jaar) werkdagen]]/Ruimtestaat[[#This Row],[Norm (m2/uur) werkdagen]],0)</f>
        <v>0</v>
      </c>
      <c r="W5" s="180">
        <f>Ruimtestaat[[#This Row],[uren / jaar werkdagen]]*Tariefsopbouw!$E$35</f>
        <v>0</v>
      </c>
      <c r="X5" s="149"/>
      <c r="Y5" s="149">
        <f>IF(Ruimtestaat[[#This Row],[Frequentie weekend]]&gt;0,VALUE(LEFT(X5,1))*Q5,0)</f>
        <v>0</v>
      </c>
      <c r="Z5" s="148">
        <f>IF($Y5&gt;0,VLOOKUP($J5,Ruimtegroepen[],3,FALSE)*VLOOKUP($L5,Vloersoorten[],3,FALSE)*VLOOKUP($X5,Frequenties[],3,FALSE)*VLOOKUP(Ruimtestaat[[#This Row],[Code]],Locaties[],3,FALSE),0)</f>
        <v>0</v>
      </c>
      <c r="AA5" s="148">
        <f>Ruimtestaat[[#This Row],[Uitvoeringen weekend]]*Ruimtestaat[[#This Row],[Oppervlak (netto)]]</f>
        <v>0</v>
      </c>
      <c r="AB5" s="148">
        <f>IF(Z5&gt;0,Ruimtestaat[[#This Row],[Prest. (m2 /jaar) weekend]]/Ruimtestaat[[#This Row],[Norm (m2/uur) weekend]],0)</f>
        <v>0</v>
      </c>
      <c r="AC5" s="180">
        <f>Ruimtestaat[[#This Row],[uren / jaar weekend]]*Tariefsopbouw!$D$40</f>
        <v>0</v>
      </c>
      <c r="AD5" s="179">
        <f>Ruimtestaat[[#This Row],[Prest. (m2 /jaar) weekend]]+Ruimtestaat[[#This Row],[Prest. (m2 /jaar) werkdagen]]</f>
        <v>1160</v>
      </c>
      <c r="AE5" s="179">
        <f>Ruimtestaat[[#This Row],[uren / jaar weekend]]+Ruimtestaat[[#This Row],[uren / jaar werkdagen]]</f>
        <v>0</v>
      </c>
      <c r="AF5" s="174">
        <f>Ruimtestaat[[#This Row],[kosten / jaar weekend]]+Ruimtestaat[[#This Row],[kosten / jaar werkdagen]]</f>
        <v>0</v>
      </c>
      <c r="AG5" s="174"/>
      <c r="AH5" s="181" t="str">
        <f>IF(Ruimtestaat[[#This Row],[Frequentie werkdagen]]="","",_xlfn.CONCAT(Ruimtestaat[[#This Row],[Ruimte code]],"-",Ruimtestaat[[#This Row],[Frequentie werkdagen]]," ",Ruimtestaat[[#This Row],[Vloer code]]))</f>
        <v>7-5w T</v>
      </c>
      <c r="AI5" s="185" t="str">
        <f>_xlfn.IFNA(VLOOKUP($AH5,Programma!$F$3:$G$1101,2,0),"")</f>
        <v>_</v>
      </c>
      <c r="AJ5" s="185" t="str">
        <f>_xlfn.IFNA(VLOOKUP($AH5,Programma!$F$3:$H$1101,3,0),"")</f>
        <v>5w</v>
      </c>
      <c r="AK5" s="185" t="str">
        <f>_xlfn.IFNA(VLOOKUP($AH5,Programma!$F$3:$I$1101,4,0),"")</f>
        <v>_</v>
      </c>
      <c r="AL5" s="185" t="str">
        <f>_xlfn.IFNA(VLOOKUP($AH5,Programma!$F$3:$J$1101,5,0),"")</f>
        <v>_</v>
      </c>
      <c r="AM5" s="185" t="str">
        <f>_xlfn.IFNA(VLOOKUP($AH5,Programma!$F$3:$K$1101,6,0),"")</f>
        <v>_</v>
      </c>
      <c r="AN5" s="185" t="str">
        <f>_xlfn.IFNA(VLOOKUP($AH5,Programma!$F$3:$L$1101,7,0),"")</f>
        <v>_</v>
      </c>
      <c r="AO5" s="185" t="str">
        <f>_xlfn.IFNA(VLOOKUP($AH5,Programma!$F$3:$M$1101,8,0),"")</f>
        <v>_</v>
      </c>
      <c r="AP5" s="185" t="str">
        <f>_xlfn.IFNA(VLOOKUP($AH5,Programma!$F$3:$N$1101,9,0),"")</f>
        <v>_</v>
      </c>
      <c r="AQ5" s="185" t="str">
        <f>_xlfn.IFNA(VLOOKUP($AH5,Programma!$F$3:$O$1101,10,0),"")</f>
        <v>5w</v>
      </c>
      <c r="AR5" s="185" t="str">
        <f>_xlfn.IFNA(VLOOKUP($AH5,Programma!$F$3:$P$1101,11,0),"")</f>
        <v>5w</v>
      </c>
      <c r="AS5" s="185" t="str">
        <f>_xlfn.IFNA(VLOOKUP($AH5,Programma!$F$3:$Q$1101,12,0),"")</f>
        <v>1w</v>
      </c>
      <c r="AT5" s="185" t="str">
        <f>_xlfn.IFNA(VLOOKUP($AH5,Programma!$F$3:$R$1101,13,0),"")</f>
        <v>1w</v>
      </c>
      <c r="AU5" s="185" t="str">
        <f>_xlfn.IFNA(VLOOKUP($AH5,Programma!$F$3:$S$1101,14,0),"")</f>
        <v>1m</v>
      </c>
      <c r="AV5" s="185" t="str">
        <f>_xlfn.IFNA(VLOOKUP($AH5,Programma!$F$3:$T$1101,15,0),"")</f>
        <v>2j</v>
      </c>
      <c r="AW5" s="185" t="str">
        <f>_xlfn.IFNA(VLOOKUP($AH5,Programma!$F$3:$U$1101,16,0),"")</f>
        <v>1j</v>
      </c>
      <c r="AX5" s="185" t="str">
        <f>_xlfn.IFNA(VLOOKUP($AH5,Programma!$F$3:$V$1101,17,0),"")</f>
        <v>_</v>
      </c>
      <c r="AY5" s="185" t="str">
        <f>_xlfn.IFNA(VLOOKUP($AH5,Programma!$F$3:$W$1101,18,0),"")</f>
        <v>_</v>
      </c>
      <c r="AZ5" s="185" t="str">
        <f>_xlfn.IFNA(VLOOKUP($AH5,Programma!$F$3:$X$1101,19,0),"")</f>
        <v>_</v>
      </c>
      <c r="BA5" s="185" t="str">
        <f>_xlfn.IFNA(VLOOKUP($AH5,Programma!$F$3:$Y$1101,20,0),"")</f>
        <v>_</v>
      </c>
      <c r="BB5" s="182"/>
      <c r="BC5" s="181" t="str">
        <f>IF(Ruimtestaat[[#This Row],[Frequentie weekend]]="","",_xlfn.CONCAT(Ruimtestaat[[#This Row],[Ruimte code]],"-",Ruimtestaat[[#This Row],[Frequentie weekend]]," ",Ruimtestaat[[#This Row],[Vloer code]]))</f>
        <v/>
      </c>
      <c r="BD5" s="185" t="str">
        <f>_xlfn.IFNA(VLOOKUP($BC5,Programma!$F$3:$G$1101,2,0),"")</f>
        <v/>
      </c>
      <c r="BE5" s="185" t="str">
        <f>_xlfn.IFNA(VLOOKUP($BC5,Programma!$F$3:$H$1101,3,0),"")</f>
        <v/>
      </c>
      <c r="BF5" s="185" t="str">
        <f>_xlfn.IFNA(VLOOKUP($BC5,Programma!$F$3:$I$1101,4,0),"")</f>
        <v/>
      </c>
      <c r="BG5" s="185" t="str">
        <f>_xlfn.IFNA(VLOOKUP($BC5,Programma!$F$3:$J$1101,5,0),"")</f>
        <v/>
      </c>
      <c r="BH5" s="185" t="str">
        <f>_xlfn.IFNA(VLOOKUP($BC5,Programma!$F$3:$K$1101,6,0),"")</f>
        <v/>
      </c>
      <c r="BI5" s="185" t="str">
        <f>_xlfn.IFNA(VLOOKUP($BC5,Programma!$F$3:$L$1101,7,0),"")</f>
        <v/>
      </c>
      <c r="BJ5" s="185" t="str">
        <f>_xlfn.IFNA(VLOOKUP($BC5,Programma!$F$3:$M$1101,8,0),"")</f>
        <v/>
      </c>
      <c r="BK5" s="185" t="str">
        <f>_xlfn.IFNA(VLOOKUP($BC5,Programma!$F$3:$N$1101,9,0),"")</f>
        <v/>
      </c>
      <c r="BL5" s="185" t="str">
        <f>_xlfn.IFNA(VLOOKUP($BC5,Programma!$F$3:$O$1101,10,0),"")</f>
        <v/>
      </c>
      <c r="BM5" s="185" t="str">
        <f>_xlfn.IFNA(VLOOKUP($BC5,Programma!$F$3:$P$1101,11,0),"")</f>
        <v/>
      </c>
      <c r="BN5" s="185" t="str">
        <f>_xlfn.IFNA(VLOOKUP($BC5,Programma!$F$3:$Q$1101,12,0),"")</f>
        <v/>
      </c>
      <c r="BO5" s="185" t="str">
        <f>_xlfn.IFNA(VLOOKUP($BC5,Programma!$F$3:$R$1101,13,0),"")</f>
        <v/>
      </c>
      <c r="BP5" s="185" t="str">
        <f>_xlfn.IFNA(VLOOKUP($BC5,Programma!$F$3:$S$1101,14,0),"")</f>
        <v/>
      </c>
      <c r="BQ5" s="185" t="str">
        <f>_xlfn.IFNA(VLOOKUP($BC5,Programma!$F$3:$T$1101,15,0),"")</f>
        <v/>
      </c>
      <c r="BR5" s="185" t="str">
        <f>_xlfn.IFNA(VLOOKUP($BC5,Programma!$F$3:$U$1101,16,0),"")</f>
        <v/>
      </c>
      <c r="BS5" s="185" t="str">
        <f>_xlfn.IFNA(VLOOKUP($BC5,Programma!$F$3:$V$1101,17,0),"")</f>
        <v/>
      </c>
      <c r="BT5" s="185" t="str">
        <f>_xlfn.IFNA(VLOOKUP($BC5,Programma!$F$3:$W$1101,18,0),"")</f>
        <v/>
      </c>
      <c r="BU5" s="185" t="str">
        <f>_xlfn.IFNA(VLOOKUP($BC5,Programma!$F$3:$X$1101,19,0),"")</f>
        <v/>
      </c>
      <c r="BV5" s="185" t="str">
        <f>_xlfn.IFNA(VLOOKUP($BC5,Programma!$F$3:$Y$1101,20,0),"")</f>
        <v/>
      </c>
    </row>
    <row r="6" spans="1:220" s="79" customFormat="1" ht="15" customHeight="1">
      <c r="A6" s="149">
        <v>1</v>
      </c>
      <c r="B6" s="176" t="str">
        <f>VLOOKUP(Ruimtestaat[[#This Row],[Code]],Locaties[[Code]:[Locatie]],2,FALSE)</f>
        <v xml:space="preserve">OBS Molenbeek </v>
      </c>
      <c r="C6" s="176" t="str">
        <f>VLOOKUP(Ruimtestaat[[#This Row],[Code]],Locaties[[#All],[Code]:[Adres]],4,FALSE)</f>
        <v>Boekelerschoolpad 1</v>
      </c>
      <c r="D6" s="176" t="str">
        <f>VLOOKUP(Ruimtestaat[[#This Row],[Code]],Locaties[[#All],[Code]:[Postcode]],5,FALSE)</f>
        <v>7548 AH</v>
      </c>
      <c r="E6" s="176" t="str">
        <f>VLOOKUP(Ruimtestaat[[#This Row],[Code]],Locaties[#All],6,FALSE)</f>
        <v>Boekelo</v>
      </c>
      <c r="F6" s="149"/>
      <c r="G6" s="149" t="s">
        <v>1646</v>
      </c>
      <c r="H6" s="302" t="s">
        <v>1648</v>
      </c>
      <c r="I6" s="301" t="s">
        <v>1649</v>
      </c>
      <c r="J6" s="149">
        <v>2</v>
      </c>
      <c r="K6" s="173" t="str">
        <f>VLOOKUP(Ruimtestaat[[#This Row],[Ruimte code]],Ruimtegroepen[[#All],[Code]:[Ruimte omschrijving]],2,FALSE)</f>
        <v>Kantoren</v>
      </c>
      <c r="L6" s="149" t="s">
        <v>99</v>
      </c>
      <c r="M6" s="301" t="s">
        <v>36</v>
      </c>
      <c r="N6" s="177">
        <v>7.5</v>
      </c>
      <c r="O6" s="177"/>
      <c r="P6" s="178" t="str">
        <f>VLOOKUP(Ruimtestaat[[#This Row],[Ruimte code]],Ruimtegroepen[],4,FALSE)</f>
        <v>Bu</v>
      </c>
      <c r="Q6" s="149">
        <v>40</v>
      </c>
      <c r="R6" s="149" t="s">
        <v>18</v>
      </c>
      <c r="S6" s="149">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 s="149">
        <f>IF(S6&gt;0,VLOOKUP($J6,Ruimtegroepen[],3,FALSE)*VLOOKUP($L6,Vloersoorten[],3,FALSE)*VLOOKUP($R6,Frequenties[],3,FALSE)*VLOOKUP($A6,Locaties[],3,FALSE),0)</f>
        <v>0</v>
      </c>
      <c r="U6" s="149">
        <f>Ruimtestaat[[#This Row],[Uitvoeringen werkdagen]]*Ruimtestaat[[#This Row],[Oppervlak (netto)]]</f>
        <v>900</v>
      </c>
      <c r="V6" s="179">
        <f>IF(T6&gt;0,Ruimtestaat[[#This Row],[Prest. (m2 /jaar) werkdagen]]/Ruimtestaat[[#This Row],[Norm (m2/uur) werkdagen]],0)</f>
        <v>0</v>
      </c>
      <c r="W6" s="180">
        <f>Ruimtestaat[[#This Row],[uren / jaar werkdagen]]*Tariefsopbouw!$E$35</f>
        <v>0</v>
      </c>
      <c r="X6" s="149"/>
      <c r="Y6" s="149">
        <f>IF(Ruimtestaat[[#This Row],[Frequentie weekend]]&gt;0,VALUE(LEFT(X6,1))*Q6,0)</f>
        <v>0</v>
      </c>
      <c r="Z6" s="148">
        <f>IF($Y6&gt;0,VLOOKUP($J6,Ruimtegroepen[],3,FALSE)*VLOOKUP($L6,Vloersoorten[],3,FALSE)*VLOOKUP($X6,Frequenties[],3,FALSE)*VLOOKUP(Ruimtestaat[[#This Row],[Code]],Locaties[],3,FALSE),0)</f>
        <v>0</v>
      </c>
      <c r="AA6" s="148">
        <f>Ruimtestaat[[#This Row],[Uitvoeringen weekend]]*Ruimtestaat[[#This Row],[Oppervlak (netto)]]</f>
        <v>0</v>
      </c>
      <c r="AB6" s="148">
        <f>IF(Z6&gt;0,Ruimtestaat[[#This Row],[Prest. (m2 /jaar) weekend]]/Ruimtestaat[[#This Row],[Norm (m2/uur) weekend]],0)</f>
        <v>0</v>
      </c>
      <c r="AC6" s="180">
        <f>Ruimtestaat[[#This Row],[uren / jaar weekend]]*Tariefsopbouw!$D$40</f>
        <v>0</v>
      </c>
      <c r="AD6" s="179">
        <f>Ruimtestaat[[#This Row],[Prest. (m2 /jaar) weekend]]+Ruimtestaat[[#This Row],[Prest. (m2 /jaar) werkdagen]]</f>
        <v>900</v>
      </c>
      <c r="AE6" s="179">
        <f>Ruimtestaat[[#This Row],[uren / jaar weekend]]+Ruimtestaat[[#This Row],[uren / jaar werkdagen]]</f>
        <v>0</v>
      </c>
      <c r="AF6" s="174">
        <f>Ruimtestaat[[#This Row],[kosten / jaar weekend]]+Ruimtestaat[[#This Row],[kosten / jaar werkdagen]]</f>
        <v>0</v>
      </c>
      <c r="AG6" s="174"/>
      <c r="AH6" s="181" t="str">
        <f>IF(Ruimtestaat[[#This Row],[Frequentie werkdagen]]="","",_xlfn.CONCAT(Ruimtestaat[[#This Row],[Ruimte code]],"-",Ruimtestaat[[#This Row],[Frequentie werkdagen]]," ",Ruimtestaat[[#This Row],[Vloer code]]))</f>
        <v>2-3w T</v>
      </c>
      <c r="AI6" s="185" t="str">
        <f>_xlfn.IFNA(VLOOKUP($AH6,Programma!$F$3:$G$1101,2,0),"")</f>
        <v>2w</v>
      </c>
      <c r="AJ6" s="185" t="str">
        <f>_xlfn.IFNA(VLOOKUP($AH6,Programma!$F$3:$H$1101,3,0),"")</f>
        <v>1w</v>
      </c>
      <c r="AK6" s="185" t="str">
        <f>_xlfn.IFNA(VLOOKUP($AH6,Programma!$F$3:$I$1101,4,0),"")</f>
        <v>_</v>
      </c>
      <c r="AL6" s="185" t="str">
        <f>_xlfn.IFNA(VLOOKUP($AH6,Programma!$F$3:$J$1101,5,0),"")</f>
        <v>_</v>
      </c>
      <c r="AM6" s="185" t="str">
        <f>_xlfn.IFNA(VLOOKUP($AH6,Programma!$F$3:$K$1101,6,0),"")</f>
        <v>_</v>
      </c>
      <c r="AN6" s="185" t="str">
        <f>_xlfn.IFNA(VLOOKUP($AH6,Programma!$F$3:$L$1101,7,0),"")</f>
        <v>_</v>
      </c>
      <c r="AO6" s="185" t="str">
        <f>_xlfn.IFNA(VLOOKUP($AH6,Programma!$F$3:$M$1101,8,0),"")</f>
        <v>_</v>
      </c>
      <c r="AP6" s="185" t="str">
        <f>_xlfn.IFNA(VLOOKUP($AH6,Programma!$F$3:$N$1101,9,0),"")</f>
        <v>_</v>
      </c>
      <c r="AQ6" s="185" t="str">
        <f>_xlfn.IFNA(VLOOKUP($AH6,Programma!$F$3:$O$1101,10,0),"")</f>
        <v>3w</v>
      </c>
      <c r="AR6" s="185" t="str">
        <f>_xlfn.IFNA(VLOOKUP($AH6,Programma!$F$3:$P$1101,11,0),"")</f>
        <v>3w</v>
      </c>
      <c r="AS6" s="185" t="str">
        <f>_xlfn.IFNA(VLOOKUP($AH6,Programma!$F$3:$Q$1101,12,0),"")</f>
        <v>1w</v>
      </c>
      <c r="AT6" s="185" t="str">
        <f>_xlfn.IFNA(VLOOKUP($AH6,Programma!$F$3:$R$1101,13,0),"")</f>
        <v>1w</v>
      </c>
      <c r="AU6" s="185" t="str">
        <f>_xlfn.IFNA(VLOOKUP($AH6,Programma!$F$3:$S$1101,14,0),"")</f>
        <v>1m</v>
      </c>
      <c r="AV6" s="185" t="str">
        <f>_xlfn.IFNA(VLOOKUP($AH6,Programma!$F$3:$T$1101,15,0),"")</f>
        <v>2j</v>
      </c>
      <c r="AW6" s="185" t="str">
        <f>_xlfn.IFNA(VLOOKUP($AH6,Programma!$F$3:$U$1101,16,0),"")</f>
        <v>1j</v>
      </c>
      <c r="AX6" s="185" t="str">
        <f>_xlfn.IFNA(VLOOKUP($AH6,Programma!$F$3:$V$1101,17,0),"")</f>
        <v>_</v>
      </c>
      <c r="AY6" s="185" t="str">
        <f>_xlfn.IFNA(VLOOKUP($AH6,Programma!$F$3:$W$1101,18,0),"")</f>
        <v>_</v>
      </c>
      <c r="AZ6" s="185" t="str">
        <f>_xlfn.IFNA(VLOOKUP($AH6,Programma!$F$3:$X$1101,19,0),"")</f>
        <v>_</v>
      </c>
      <c r="BA6" s="185" t="str">
        <f>_xlfn.IFNA(VLOOKUP($AH6,Programma!$F$3:$Y$1101,20,0),"")</f>
        <v>_</v>
      </c>
      <c r="BB6" s="182"/>
      <c r="BC6" s="181" t="str">
        <f>IF(Ruimtestaat[[#This Row],[Frequentie weekend]]="","",_xlfn.CONCAT(Ruimtestaat[[#This Row],[Ruimte code]],"-",Ruimtestaat[[#This Row],[Frequentie weekend]]," ",Ruimtestaat[[#This Row],[Vloer code]]))</f>
        <v/>
      </c>
      <c r="BD6" s="185" t="str">
        <f>_xlfn.IFNA(VLOOKUP($BC6,Programma!$F$3:$G$1101,2,0),"")</f>
        <v/>
      </c>
      <c r="BE6" s="185" t="str">
        <f>_xlfn.IFNA(VLOOKUP($BC6,Programma!$F$3:$H$1101,3,0),"")</f>
        <v/>
      </c>
      <c r="BF6" s="185" t="str">
        <f>_xlfn.IFNA(VLOOKUP($BC6,Programma!$F$3:$I$1101,4,0),"")</f>
        <v/>
      </c>
      <c r="BG6" s="185" t="str">
        <f>_xlfn.IFNA(VLOOKUP($BC6,Programma!$F$3:$J$1101,5,0),"")</f>
        <v/>
      </c>
      <c r="BH6" s="185" t="str">
        <f>_xlfn.IFNA(VLOOKUP($BC6,Programma!$F$3:$K$1101,6,0),"")</f>
        <v/>
      </c>
      <c r="BI6" s="185" t="str">
        <f>_xlfn.IFNA(VLOOKUP($BC6,Programma!$F$3:$L$1101,7,0),"")</f>
        <v/>
      </c>
      <c r="BJ6" s="185" t="str">
        <f>_xlfn.IFNA(VLOOKUP($BC6,Programma!$F$3:$M$1101,8,0),"")</f>
        <v/>
      </c>
      <c r="BK6" s="185" t="str">
        <f>_xlfn.IFNA(VLOOKUP($BC6,Programma!$F$3:$N$1101,9,0),"")</f>
        <v/>
      </c>
      <c r="BL6" s="185" t="str">
        <f>_xlfn.IFNA(VLOOKUP($BC6,Programma!$F$3:$O$1101,10,0),"")</f>
        <v/>
      </c>
      <c r="BM6" s="185" t="str">
        <f>_xlfn.IFNA(VLOOKUP($BC6,Programma!$F$3:$P$1101,11,0),"")</f>
        <v/>
      </c>
      <c r="BN6" s="185" t="str">
        <f>_xlfn.IFNA(VLOOKUP($BC6,Programma!$F$3:$Q$1101,12,0),"")</f>
        <v/>
      </c>
      <c r="BO6" s="185" t="str">
        <f>_xlfn.IFNA(VLOOKUP($BC6,Programma!$F$3:$R$1101,13,0),"")</f>
        <v/>
      </c>
      <c r="BP6" s="185" t="str">
        <f>_xlfn.IFNA(VLOOKUP($BC6,Programma!$F$3:$S$1101,14,0),"")</f>
        <v/>
      </c>
      <c r="BQ6" s="185" t="str">
        <f>_xlfn.IFNA(VLOOKUP($BC6,Programma!$F$3:$T$1101,15,0),"")</f>
        <v/>
      </c>
      <c r="BR6" s="185" t="str">
        <f>_xlfn.IFNA(VLOOKUP($BC6,Programma!$F$3:$U$1101,16,0),"")</f>
        <v/>
      </c>
      <c r="BS6" s="185" t="str">
        <f>_xlfn.IFNA(VLOOKUP($BC6,Programma!$F$3:$V$1101,17,0),"")</f>
        <v/>
      </c>
      <c r="BT6" s="185" t="str">
        <f>_xlfn.IFNA(VLOOKUP($BC6,Programma!$F$3:$W$1101,18,0),"")</f>
        <v/>
      </c>
      <c r="BU6" s="185" t="str">
        <f>_xlfn.IFNA(VLOOKUP($BC6,Programma!$F$3:$X$1101,19,0),"")</f>
        <v/>
      </c>
      <c r="BV6" s="185" t="str">
        <f>_xlfn.IFNA(VLOOKUP($BC6,Programma!$F$3:$Y$1101,20,0),"")</f>
        <v/>
      </c>
    </row>
    <row r="7" spans="1:220" ht="15" customHeight="1">
      <c r="A7" s="149">
        <v>1</v>
      </c>
      <c r="B7" s="176" t="str">
        <f>VLOOKUP(Ruimtestaat[[#This Row],[Code]],Locaties[[Code]:[Locatie]],2,FALSE)</f>
        <v xml:space="preserve">OBS Molenbeek </v>
      </c>
      <c r="C7" s="176" t="str">
        <f>VLOOKUP(Ruimtestaat[[#This Row],[Code]],Locaties[[#All],[Code]:[Adres]],4,FALSE)</f>
        <v>Boekelerschoolpad 1</v>
      </c>
      <c r="D7" s="176" t="str">
        <f>VLOOKUP(Ruimtestaat[[#This Row],[Code]],Locaties[[#All],[Code]:[Postcode]],5,FALSE)</f>
        <v>7548 AH</v>
      </c>
      <c r="E7" s="176" t="str">
        <f>VLOOKUP(Ruimtestaat[[#This Row],[Code]],Locaties[#All],6,FALSE)</f>
        <v>Boekelo</v>
      </c>
      <c r="F7" s="149"/>
      <c r="G7" s="149" t="s">
        <v>1646</v>
      </c>
      <c r="H7" s="302" t="s">
        <v>1650</v>
      </c>
      <c r="I7" s="301" t="s">
        <v>1651</v>
      </c>
      <c r="J7" s="149">
        <v>16</v>
      </c>
      <c r="K7" s="183" t="str">
        <f>VLOOKUP(Ruimtestaat[[#This Row],[Ruimte code]],Ruimtegroepen[[#All],[Code]:[Ruimte omschrijving]],2,FALSE)</f>
        <v>Leslokalen</v>
      </c>
      <c r="L7" s="149" t="s">
        <v>102</v>
      </c>
      <c r="M7" s="301" t="s">
        <v>120</v>
      </c>
      <c r="N7" s="177">
        <v>85.1</v>
      </c>
      <c r="O7" s="177"/>
      <c r="P7" s="178" t="str">
        <f>VLOOKUP(Ruimtestaat[[#This Row],[Ruimte code]],Ruimtegroepen[],4,FALSE)</f>
        <v>Le</v>
      </c>
      <c r="Q7" s="149">
        <v>40</v>
      </c>
      <c r="R7" s="149" t="s">
        <v>2</v>
      </c>
      <c r="S7" s="149">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 s="149">
        <f>IF(S7&gt;0,VLOOKUP($J7,Ruimtegroepen[],3,FALSE)*VLOOKUP($L7,Vloersoorten[],3,FALSE)*VLOOKUP($R7,Frequenties[],3,FALSE)*VLOOKUP($A7,Locaties[],3,FALSE),0)</f>
        <v>0</v>
      </c>
      <c r="U7" s="149">
        <f>Ruimtestaat[[#This Row],[Uitvoeringen werkdagen]]*Ruimtestaat[[#This Row],[Oppervlak (netto)]]</f>
        <v>17020</v>
      </c>
      <c r="V7" s="179">
        <f>IF(T7&gt;0,Ruimtestaat[[#This Row],[Prest. (m2 /jaar) werkdagen]]/Ruimtestaat[[#This Row],[Norm (m2/uur) werkdagen]],0)</f>
        <v>0</v>
      </c>
      <c r="W7" s="180">
        <f>Ruimtestaat[[#This Row],[uren / jaar werkdagen]]*Tariefsopbouw!$E$35</f>
        <v>0</v>
      </c>
      <c r="X7" s="149"/>
      <c r="Y7" s="149">
        <f>IF(Ruimtestaat[[#This Row],[Frequentie weekend]]&gt;0,VALUE(LEFT(X7,1))*Q7,0)</f>
        <v>0</v>
      </c>
      <c r="Z7" s="148">
        <f>IF($Y7&gt;0,VLOOKUP($J7,Ruimtegroepen[],3,FALSE)*VLOOKUP($L7,Vloersoorten[],3,FALSE)*VLOOKUP($X7,Frequenties[],3,FALSE)*VLOOKUP(Ruimtestaat[[#This Row],[Code]],Locaties[],3,FALSE),0)</f>
        <v>0</v>
      </c>
      <c r="AA7" s="148">
        <f>Ruimtestaat[[#This Row],[Uitvoeringen weekend]]*Ruimtestaat[[#This Row],[Oppervlak (netto)]]</f>
        <v>0</v>
      </c>
      <c r="AB7" s="148">
        <f>IF(Z7&gt;0,Ruimtestaat[[#This Row],[Prest. (m2 /jaar) weekend]]/Ruimtestaat[[#This Row],[Norm (m2/uur) weekend]],0)</f>
        <v>0</v>
      </c>
      <c r="AC7" s="180">
        <f>Ruimtestaat[[#This Row],[uren / jaar weekend]]*Tariefsopbouw!$D$40</f>
        <v>0</v>
      </c>
      <c r="AD7" s="179">
        <f>Ruimtestaat[[#This Row],[Prest. (m2 /jaar) weekend]]+Ruimtestaat[[#This Row],[Prest. (m2 /jaar) werkdagen]]</f>
        <v>17020</v>
      </c>
      <c r="AE7" s="179">
        <f>Ruimtestaat[[#This Row],[uren / jaar weekend]]+Ruimtestaat[[#This Row],[uren / jaar werkdagen]]</f>
        <v>0</v>
      </c>
      <c r="AF7" s="174">
        <f>Ruimtestaat[[#This Row],[kosten / jaar weekend]]+Ruimtestaat[[#This Row],[kosten / jaar werkdagen]]</f>
        <v>0</v>
      </c>
      <c r="AG7" s="174"/>
      <c r="AH7" s="181" t="str">
        <f>IF(Ruimtestaat[[#This Row],[Frequentie werkdagen]]="","",_xlfn.CONCAT(Ruimtestaat[[#This Row],[Ruimte code]],"-",Ruimtestaat[[#This Row],[Frequentie werkdagen]]," ",Ruimtestaat[[#This Row],[Vloer code]]))</f>
        <v>16-5w P</v>
      </c>
      <c r="AI7" s="185" t="str">
        <f>_xlfn.IFNA(VLOOKUP($AH7,Programma!$F$3:$G$1101,2,0),"")</f>
        <v>_</v>
      </c>
      <c r="AJ7" s="185" t="str">
        <f>_xlfn.IFNA(VLOOKUP($AH7,Programma!$F$3:$H$1101,3,0),"")</f>
        <v>_</v>
      </c>
      <c r="AK7" s="185" t="str">
        <f>_xlfn.IFNA(VLOOKUP($AH7,Programma!$F$3:$I$1101,4,0),"")</f>
        <v>4w</v>
      </c>
      <c r="AL7" s="185" t="str">
        <f>_xlfn.IFNA(VLOOKUP($AH7,Programma!$F$3:$J$1101,5,0),"")</f>
        <v>1w</v>
      </c>
      <c r="AM7" s="185" t="str">
        <f>_xlfn.IFNA(VLOOKUP($AH7,Programma!$F$3:$K$1101,6,0),"")</f>
        <v>1m</v>
      </c>
      <c r="AN7" s="185" t="str">
        <f>_xlfn.IFNA(VLOOKUP($AH7,Programma!$F$3:$L$1101,7,0),"")</f>
        <v>_</v>
      </c>
      <c r="AO7" s="185" t="str">
        <f>_xlfn.IFNA(VLOOKUP($AH7,Programma!$F$3:$M$1101,8,0),"")</f>
        <v>_</v>
      </c>
      <c r="AP7" s="185" t="str">
        <f>_xlfn.IFNA(VLOOKUP($AH7,Programma!$F$3:$N$1101,9,0),"")</f>
        <v>_</v>
      </c>
      <c r="AQ7" s="185" t="str">
        <f>_xlfn.IFNA(VLOOKUP($AH7,Programma!$F$3:$O$1101,10,0),"")</f>
        <v>5w</v>
      </c>
      <c r="AR7" s="185" t="str">
        <f>_xlfn.IFNA(VLOOKUP($AH7,Programma!$F$3:$P$1101,11,0),"")</f>
        <v>5w</v>
      </c>
      <c r="AS7" s="185" t="str">
        <f>_xlfn.IFNA(VLOOKUP($AH7,Programma!$F$3:$Q$1101,12,0),"")</f>
        <v>1w</v>
      </c>
      <c r="AT7" s="185" t="str">
        <f>_xlfn.IFNA(VLOOKUP($AH7,Programma!$F$3:$R$1101,13,0),"")</f>
        <v>1w</v>
      </c>
      <c r="AU7" s="185" t="str">
        <f>_xlfn.IFNA(VLOOKUP($AH7,Programma!$F$3:$S$1101,14,0),"")</f>
        <v>1m</v>
      </c>
      <c r="AV7" s="185" t="str">
        <f>_xlfn.IFNA(VLOOKUP($AH7,Programma!$F$3:$T$1101,15,0),"")</f>
        <v>2j</v>
      </c>
      <c r="AW7" s="185" t="str">
        <f>_xlfn.IFNA(VLOOKUP($AH7,Programma!$F$3:$U$1101,16,0),"")</f>
        <v>1j</v>
      </c>
      <c r="AX7" s="185" t="str">
        <f>_xlfn.IFNA(VLOOKUP($AH7,Programma!$F$3:$V$1101,17,0),"")</f>
        <v>_</v>
      </c>
      <c r="AY7" s="185" t="str">
        <f>_xlfn.IFNA(VLOOKUP($AH7,Programma!$F$3:$W$1101,18,0),"")</f>
        <v>_</v>
      </c>
      <c r="AZ7" s="185" t="str">
        <f>_xlfn.IFNA(VLOOKUP($AH7,Programma!$F$3:$X$1101,19,0),"")</f>
        <v>_</v>
      </c>
      <c r="BA7" s="185" t="str">
        <f>_xlfn.IFNA(VLOOKUP($AH7,Programma!$F$3:$Y$1101,20,0),"")</f>
        <v>_</v>
      </c>
      <c r="BB7" s="182"/>
      <c r="BC7" s="181" t="str">
        <f>IF(Ruimtestaat[[#This Row],[Frequentie weekend]]="","",_xlfn.CONCAT(Ruimtestaat[[#This Row],[Ruimte code]],"-",Ruimtestaat[[#This Row],[Frequentie weekend]]," ",Ruimtestaat[[#This Row],[Vloer code]]))</f>
        <v/>
      </c>
      <c r="BD7" s="185" t="str">
        <f>_xlfn.IFNA(VLOOKUP($BC7,Programma!$F$3:$G$1101,2,0),"")</f>
        <v/>
      </c>
      <c r="BE7" s="185" t="str">
        <f>_xlfn.IFNA(VLOOKUP($BC7,Programma!$F$3:$H$1101,3,0),"")</f>
        <v/>
      </c>
      <c r="BF7" s="185" t="str">
        <f>_xlfn.IFNA(VLOOKUP($BC7,Programma!$F$3:$I$1101,4,0),"")</f>
        <v/>
      </c>
      <c r="BG7" s="185" t="str">
        <f>_xlfn.IFNA(VLOOKUP($BC7,Programma!$F$3:$J$1101,5,0),"")</f>
        <v/>
      </c>
      <c r="BH7" s="185" t="str">
        <f>_xlfn.IFNA(VLOOKUP($BC7,Programma!$F$3:$K$1101,6,0),"")</f>
        <v/>
      </c>
      <c r="BI7" s="185" t="str">
        <f>_xlfn.IFNA(VLOOKUP($BC7,Programma!$F$3:$L$1101,7,0),"")</f>
        <v/>
      </c>
      <c r="BJ7" s="185" t="str">
        <f>_xlfn.IFNA(VLOOKUP($BC7,Programma!$F$3:$M$1101,8,0),"")</f>
        <v/>
      </c>
      <c r="BK7" s="185" t="str">
        <f>_xlfn.IFNA(VLOOKUP($BC7,Programma!$F$3:$N$1101,9,0),"")</f>
        <v/>
      </c>
      <c r="BL7" s="185" t="str">
        <f>_xlfn.IFNA(VLOOKUP($BC7,Programma!$F$3:$O$1101,10,0),"")</f>
        <v/>
      </c>
      <c r="BM7" s="185" t="str">
        <f>_xlfn.IFNA(VLOOKUP($BC7,Programma!$F$3:$P$1101,11,0),"")</f>
        <v/>
      </c>
      <c r="BN7" s="185" t="str">
        <f>_xlfn.IFNA(VLOOKUP($BC7,Programma!$F$3:$Q$1101,12,0),"")</f>
        <v/>
      </c>
      <c r="BO7" s="185" t="str">
        <f>_xlfn.IFNA(VLOOKUP($BC7,Programma!$F$3:$R$1101,13,0),"")</f>
        <v/>
      </c>
      <c r="BP7" s="185" t="str">
        <f>_xlfn.IFNA(VLOOKUP($BC7,Programma!$F$3:$S$1101,14,0),"")</f>
        <v/>
      </c>
      <c r="BQ7" s="185" t="str">
        <f>_xlfn.IFNA(VLOOKUP($BC7,Programma!$F$3:$T$1101,15,0),"")</f>
        <v/>
      </c>
      <c r="BR7" s="185" t="str">
        <f>_xlfn.IFNA(VLOOKUP($BC7,Programma!$F$3:$U$1101,16,0),"")</f>
        <v/>
      </c>
      <c r="BS7" s="185" t="str">
        <f>_xlfn.IFNA(VLOOKUP($BC7,Programma!$F$3:$V$1101,17,0),"")</f>
        <v/>
      </c>
      <c r="BT7" s="185" t="str">
        <f>_xlfn.IFNA(VLOOKUP($BC7,Programma!$F$3:$W$1101,18,0),"")</f>
        <v/>
      </c>
      <c r="BU7" s="185" t="str">
        <f>_xlfn.IFNA(VLOOKUP($BC7,Programma!$F$3:$X$1101,19,0),"")</f>
        <v/>
      </c>
      <c r="BV7" s="185" t="str">
        <f>_xlfn.IFNA(VLOOKUP($BC7,Programma!$F$3:$Y$1101,20,0),"")</f>
        <v/>
      </c>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78"/>
      <c r="DX7" s="78"/>
      <c r="DY7" s="78"/>
      <c r="DZ7" s="78"/>
      <c r="EA7" s="78"/>
      <c r="EB7" s="78"/>
      <c r="EC7" s="78"/>
      <c r="ED7" s="78"/>
      <c r="EE7" s="78"/>
      <c r="EF7" s="78"/>
      <c r="EG7" s="78"/>
      <c r="EH7" s="78"/>
      <c r="EI7" s="78"/>
      <c r="EJ7" s="78"/>
      <c r="EK7" s="78"/>
      <c r="EL7" s="78"/>
      <c r="EM7" s="78"/>
      <c r="EN7" s="78"/>
      <c r="EO7" s="78"/>
      <c r="EP7" s="78"/>
      <c r="EQ7" s="78"/>
      <c r="ER7" s="78"/>
      <c r="ES7" s="78"/>
      <c r="ET7" s="78"/>
      <c r="EU7" s="78"/>
      <c r="EV7" s="78"/>
      <c r="EW7" s="78"/>
      <c r="EX7" s="78"/>
      <c r="EY7" s="78"/>
      <c r="EZ7" s="78"/>
      <c r="FA7" s="78"/>
      <c r="FB7" s="78"/>
      <c r="FC7" s="78"/>
      <c r="FD7" s="78"/>
      <c r="FE7" s="78"/>
      <c r="FF7" s="78"/>
      <c r="FG7" s="78"/>
      <c r="FH7" s="78"/>
      <c r="FI7" s="78"/>
      <c r="FJ7" s="78"/>
      <c r="FK7" s="78"/>
      <c r="FL7" s="78"/>
      <c r="FM7" s="78"/>
      <c r="FN7" s="78"/>
      <c r="FO7" s="78"/>
      <c r="FP7" s="78"/>
      <c r="FQ7" s="78"/>
      <c r="FR7" s="78"/>
      <c r="FS7" s="78"/>
      <c r="FT7" s="78"/>
      <c r="FU7" s="78"/>
      <c r="FV7" s="78"/>
      <c r="FW7" s="78"/>
      <c r="FX7" s="78"/>
      <c r="FY7" s="78"/>
      <c r="FZ7" s="78"/>
      <c r="GA7" s="78"/>
      <c r="GB7" s="78"/>
      <c r="GC7" s="78"/>
      <c r="GD7" s="78"/>
      <c r="GE7" s="78"/>
      <c r="GF7" s="78"/>
      <c r="GG7" s="78"/>
      <c r="GH7" s="78"/>
      <c r="GI7" s="78"/>
      <c r="GJ7" s="78"/>
      <c r="GK7" s="78"/>
      <c r="GL7" s="78"/>
      <c r="GM7" s="78"/>
      <c r="GN7" s="78"/>
      <c r="GO7" s="78"/>
      <c r="GP7" s="78"/>
      <c r="GQ7" s="78"/>
      <c r="GR7" s="78"/>
      <c r="GS7" s="78"/>
      <c r="GT7" s="78"/>
      <c r="GU7" s="78"/>
      <c r="GV7" s="78"/>
      <c r="GW7" s="78"/>
      <c r="GX7" s="78"/>
      <c r="GY7" s="78"/>
      <c r="GZ7" s="78"/>
      <c r="HA7" s="78"/>
      <c r="HB7" s="78"/>
      <c r="HC7" s="78"/>
      <c r="HD7" s="78"/>
      <c r="HE7" s="78"/>
      <c r="HF7" s="78"/>
      <c r="HG7" s="78"/>
      <c r="HH7" s="78"/>
      <c r="HI7" s="78"/>
      <c r="HJ7" s="78"/>
      <c r="HK7" s="78"/>
    </row>
    <row r="8" spans="1:220" ht="15" customHeight="1">
      <c r="A8" s="149">
        <v>1</v>
      </c>
      <c r="B8" s="176" t="str">
        <f>VLOOKUP(Ruimtestaat[[#This Row],[Code]],Locaties[[Code]:[Locatie]],2,FALSE)</f>
        <v xml:space="preserve">OBS Molenbeek </v>
      </c>
      <c r="C8" s="176" t="str">
        <f>VLOOKUP(Ruimtestaat[[#This Row],[Code]],Locaties[[#All],[Code]:[Adres]],4,FALSE)</f>
        <v>Boekelerschoolpad 1</v>
      </c>
      <c r="D8" s="176" t="str">
        <f>VLOOKUP(Ruimtestaat[[#This Row],[Code]],Locaties[[#All],[Code]:[Postcode]],5,FALSE)</f>
        <v>7548 AH</v>
      </c>
      <c r="E8" s="176" t="str">
        <f>VLOOKUP(Ruimtestaat[[#This Row],[Code]],Locaties[#All],6,FALSE)</f>
        <v>Boekelo</v>
      </c>
      <c r="F8" s="149"/>
      <c r="G8" s="149" t="s">
        <v>1646</v>
      </c>
      <c r="H8" s="302" t="s">
        <v>1652</v>
      </c>
      <c r="I8" s="301" t="s">
        <v>1649</v>
      </c>
      <c r="J8" s="149">
        <v>2</v>
      </c>
      <c r="K8" s="183" t="str">
        <f>VLOOKUP(Ruimtestaat[[#This Row],[Ruimte code]],Ruimtegroepen[[#All],[Code]:[Ruimte omschrijving]],2,FALSE)</f>
        <v>Kantoren</v>
      </c>
      <c r="L8" s="149" t="s">
        <v>99</v>
      </c>
      <c r="M8" s="301" t="s">
        <v>36</v>
      </c>
      <c r="N8" s="177">
        <v>17.2</v>
      </c>
      <c r="O8" s="177"/>
      <c r="P8" s="178" t="str">
        <f>VLOOKUP(Ruimtestaat[[#This Row],[Ruimte code]],Ruimtegroepen[],4,FALSE)</f>
        <v>Bu</v>
      </c>
      <c r="Q8" s="149">
        <v>40</v>
      </c>
      <c r="R8" s="149" t="s">
        <v>18</v>
      </c>
      <c r="S8" s="149">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8" s="149">
        <f>IF(S8&gt;0,VLOOKUP($J8,Ruimtegroepen[],3,FALSE)*VLOOKUP($L8,Vloersoorten[],3,FALSE)*VLOOKUP($R8,Frequenties[],3,FALSE)*VLOOKUP($A8,Locaties[],3,FALSE),0)</f>
        <v>0</v>
      </c>
      <c r="U8" s="149">
        <f>Ruimtestaat[[#This Row],[Uitvoeringen werkdagen]]*Ruimtestaat[[#This Row],[Oppervlak (netto)]]</f>
        <v>2064</v>
      </c>
      <c r="V8" s="179">
        <f>IF(T8&gt;0,Ruimtestaat[[#This Row],[Prest. (m2 /jaar) werkdagen]]/Ruimtestaat[[#This Row],[Norm (m2/uur) werkdagen]],0)</f>
        <v>0</v>
      </c>
      <c r="W8" s="180">
        <f>Ruimtestaat[[#This Row],[uren / jaar werkdagen]]*Tariefsopbouw!$E$35</f>
        <v>0</v>
      </c>
      <c r="X8" s="149"/>
      <c r="Y8" s="149">
        <f>IF(Ruimtestaat[[#This Row],[Frequentie weekend]]&gt;0,VALUE(LEFT(X8,1))*Q8,0)</f>
        <v>0</v>
      </c>
      <c r="Z8" s="148">
        <f>IF($Y8&gt;0,VLOOKUP($J8,Ruimtegroepen[],3,FALSE)*VLOOKUP($L8,Vloersoorten[],3,FALSE)*VLOOKUP($X8,Frequenties[],3,FALSE)*VLOOKUP(#REF!,Locaties[],3,FALSE),0)</f>
        <v>0</v>
      </c>
      <c r="AA8" s="148">
        <f>Ruimtestaat[[#This Row],[Uitvoeringen weekend]]*Ruimtestaat[[#This Row],[Oppervlak (netto)]]</f>
        <v>0</v>
      </c>
      <c r="AB8" s="148">
        <f>IF(Z8&gt;0,Ruimtestaat[[#This Row],[Prest. (m2 /jaar) weekend]]/Ruimtestaat[[#This Row],[Norm (m2/uur) weekend]],0)</f>
        <v>0</v>
      </c>
      <c r="AC8" s="180">
        <f>Ruimtestaat[[#This Row],[uren / jaar weekend]]*Tariefsopbouw!$D$40</f>
        <v>0</v>
      </c>
      <c r="AD8" s="179">
        <f>Ruimtestaat[[#This Row],[Prest. (m2 /jaar) weekend]]+Ruimtestaat[[#This Row],[Prest. (m2 /jaar) werkdagen]]</f>
        <v>2064</v>
      </c>
      <c r="AE8" s="179">
        <f>Ruimtestaat[[#This Row],[uren / jaar weekend]]+Ruimtestaat[[#This Row],[uren / jaar werkdagen]]</f>
        <v>0</v>
      </c>
      <c r="AF8" s="174">
        <f>Ruimtestaat[[#This Row],[kosten / jaar weekend]]+Ruimtestaat[[#This Row],[kosten / jaar werkdagen]]</f>
        <v>0</v>
      </c>
      <c r="AG8" s="174"/>
      <c r="AH8" s="181" t="str">
        <f>IF(Ruimtestaat[[#This Row],[Frequentie werkdagen]]="","",_xlfn.CONCAT(Ruimtestaat[[#This Row],[Ruimte code]],"-",Ruimtestaat[[#This Row],[Frequentie werkdagen]]," ",Ruimtestaat[[#This Row],[Vloer code]]))</f>
        <v>2-3w T</v>
      </c>
      <c r="AI8" s="185" t="str">
        <f>_xlfn.IFNA(VLOOKUP($AH8,Programma!$F$3:$G$1101,2,0),"")</f>
        <v>2w</v>
      </c>
      <c r="AJ8" s="185" t="str">
        <f>_xlfn.IFNA(VLOOKUP($AH8,Programma!$F$3:$H$1101,3,0),"")</f>
        <v>1w</v>
      </c>
      <c r="AK8" s="185" t="str">
        <f>_xlfn.IFNA(VLOOKUP($AH8,Programma!$F$3:$I$1101,4,0),"")</f>
        <v>_</v>
      </c>
      <c r="AL8" s="185" t="str">
        <f>_xlfn.IFNA(VLOOKUP($AH8,Programma!$F$3:$J$1101,5,0),"")</f>
        <v>_</v>
      </c>
      <c r="AM8" s="185" t="str">
        <f>_xlfn.IFNA(VLOOKUP($AH8,Programma!$F$3:$K$1101,6,0),"")</f>
        <v>_</v>
      </c>
      <c r="AN8" s="185" t="str">
        <f>_xlfn.IFNA(VLOOKUP($AH8,Programma!$F$3:$L$1101,7,0),"")</f>
        <v>_</v>
      </c>
      <c r="AO8" s="185" t="str">
        <f>_xlfn.IFNA(VLOOKUP($AH8,Programma!$F$3:$M$1101,8,0),"")</f>
        <v>_</v>
      </c>
      <c r="AP8" s="185" t="str">
        <f>_xlfn.IFNA(VLOOKUP($AH8,Programma!$F$3:$N$1101,9,0),"")</f>
        <v>_</v>
      </c>
      <c r="AQ8" s="185" t="str">
        <f>_xlfn.IFNA(VLOOKUP($AH8,Programma!$F$3:$O$1101,10,0),"")</f>
        <v>3w</v>
      </c>
      <c r="AR8" s="185" t="str">
        <f>_xlfn.IFNA(VLOOKUP($AH8,Programma!$F$3:$P$1101,11,0),"")</f>
        <v>3w</v>
      </c>
      <c r="AS8" s="185" t="str">
        <f>_xlfn.IFNA(VLOOKUP($AH8,Programma!$F$3:$Q$1101,12,0),"")</f>
        <v>1w</v>
      </c>
      <c r="AT8" s="185" t="str">
        <f>_xlfn.IFNA(VLOOKUP($AH8,Programma!$F$3:$R$1101,13,0),"")</f>
        <v>1w</v>
      </c>
      <c r="AU8" s="185" t="str">
        <f>_xlfn.IFNA(VLOOKUP($AH8,Programma!$F$3:$S$1101,14,0),"")</f>
        <v>1m</v>
      </c>
      <c r="AV8" s="185" t="str">
        <f>_xlfn.IFNA(VLOOKUP($AH8,Programma!$F$3:$T$1101,15,0),"")</f>
        <v>2j</v>
      </c>
      <c r="AW8" s="185" t="str">
        <f>_xlfn.IFNA(VLOOKUP($AH8,Programma!$F$3:$U$1101,16,0),"")</f>
        <v>1j</v>
      </c>
      <c r="AX8" s="185" t="str">
        <f>_xlfn.IFNA(VLOOKUP($AH8,Programma!$F$3:$V$1101,17,0),"")</f>
        <v>_</v>
      </c>
      <c r="AY8" s="185" t="str">
        <f>_xlfn.IFNA(VLOOKUP($AH8,Programma!$F$3:$W$1101,18,0),"")</f>
        <v>_</v>
      </c>
      <c r="AZ8" s="185" t="str">
        <f>_xlfn.IFNA(VLOOKUP($AH8,Programma!$F$3:$X$1101,19,0),"")</f>
        <v>_</v>
      </c>
      <c r="BA8" s="185" t="str">
        <f>_xlfn.IFNA(VLOOKUP($AH8,Programma!$F$3:$Y$1101,20,0),"")</f>
        <v>_</v>
      </c>
      <c r="BB8" s="182"/>
      <c r="BC8" s="181" t="str">
        <f>IF(Ruimtestaat[[#This Row],[Frequentie weekend]]="","",_xlfn.CONCAT(Ruimtestaat[[#This Row],[Ruimte code]],"-",Ruimtestaat[[#This Row],[Frequentie weekend]]," ",Ruimtestaat[[#This Row],[Vloer code]]))</f>
        <v/>
      </c>
      <c r="BD8" s="185" t="str">
        <f>_xlfn.IFNA(VLOOKUP($BC8,Programma!$F$3:$G$1101,2,0),"")</f>
        <v/>
      </c>
      <c r="BE8" s="185" t="str">
        <f>_xlfn.IFNA(VLOOKUP($BC8,Programma!$F$3:$H$1101,3,0),"")</f>
        <v/>
      </c>
      <c r="BF8" s="185" t="str">
        <f>_xlfn.IFNA(VLOOKUP($BC8,Programma!$F$3:$I$1101,4,0),"")</f>
        <v/>
      </c>
      <c r="BG8" s="185" t="str">
        <f>_xlfn.IFNA(VLOOKUP($BC8,Programma!$F$3:$J$1101,5,0),"")</f>
        <v/>
      </c>
      <c r="BH8" s="185" t="str">
        <f>_xlfn.IFNA(VLOOKUP($BC8,Programma!$F$3:$K$1101,6,0),"")</f>
        <v/>
      </c>
      <c r="BI8" s="185" t="str">
        <f>_xlfn.IFNA(VLOOKUP($BC8,Programma!$F$3:$L$1101,7,0),"")</f>
        <v/>
      </c>
      <c r="BJ8" s="185" t="str">
        <f>_xlfn.IFNA(VLOOKUP($BC8,Programma!$F$3:$M$1101,8,0),"")</f>
        <v/>
      </c>
      <c r="BK8" s="185" t="str">
        <f>_xlfn.IFNA(VLOOKUP($BC8,Programma!$F$3:$N$1101,9,0),"")</f>
        <v/>
      </c>
      <c r="BL8" s="185" t="str">
        <f>_xlfn.IFNA(VLOOKUP($BC8,Programma!$F$3:$O$1101,10,0),"")</f>
        <v/>
      </c>
      <c r="BM8" s="185" t="str">
        <f>_xlfn.IFNA(VLOOKUP($BC8,Programma!$F$3:$P$1101,11,0),"")</f>
        <v/>
      </c>
      <c r="BN8" s="185" t="str">
        <f>_xlfn.IFNA(VLOOKUP($BC8,Programma!$F$3:$Q$1101,12,0),"")</f>
        <v/>
      </c>
      <c r="BO8" s="185" t="str">
        <f>_xlfn.IFNA(VLOOKUP($BC8,Programma!$F$3:$R$1101,13,0),"")</f>
        <v/>
      </c>
      <c r="BP8" s="185" t="str">
        <f>_xlfn.IFNA(VLOOKUP($BC8,Programma!$F$3:$S$1101,14,0),"")</f>
        <v/>
      </c>
      <c r="BQ8" s="185" t="str">
        <f>_xlfn.IFNA(VLOOKUP($BC8,Programma!$F$3:$T$1101,15,0),"")</f>
        <v/>
      </c>
      <c r="BR8" s="185" t="str">
        <f>_xlfn.IFNA(VLOOKUP($BC8,Programma!$F$3:$U$1101,16,0),"")</f>
        <v/>
      </c>
      <c r="BS8" s="185" t="str">
        <f>_xlfn.IFNA(VLOOKUP($BC8,Programma!$F$3:$V$1101,17,0),"")</f>
        <v/>
      </c>
      <c r="BT8" s="185" t="str">
        <f>_xlfn.IFNA(VLOOKUP($BC8,Programma!$F$3:$W$1101,18,0),"")</f>
        <v/>
      </c>
      <c r="BU8" s="185" t="str">
        <f>_xlfn.IFNA(VLOOKUP($BC8,Programma!$F$3:$X$1101,19,0),"")</f>
        <v/>
      </c>
      <c r="BV8" s="185" t="str">
        <f>_xlfn.IFNA(VLOOKUP($BC8,Programma!$F$3:$Y$1101,20,0),"")</f>
        <v/>
      </c>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8"/>
      <c r="EG8" s="78"/>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8"/>
      <c r="FZ8" s="78"/>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row>
    <row r="9" spans="1:220" ht="15" customHeight="1">
      <c r="A9" s="149">
        <v>1</v>
      </c>
      <c r="B9" s="176" t="str">
        <f>VLOOKUP(Ruimtestaat[[#This Row],[Code]],Locaties[[Code]:[Locatie]],2,FALSE)</f>
        <v xml:space="preserve">OBS Molenbeek </v>
      </c>
      <c r="C9" s="176" t="str">
        <f>VLOOKUP(Ruimtestaat[[#This Row],[Code]],Locaties[[#All],[Code]:[Adres]],4,FALSE)</f>
        <v>Boekelerschoolpad 1</v>
      </c>
      <c r="D9" s="176" t="str">
        <f>VLOOKUP(Ruimtestaat[[#This Row],[Code]],Locaties[[#All],[Code]:[Postcode]],5,FALSE)</f>
        <v>7548 AH</v>
      </c>
      <c r="E9" s="176" t="str">
        <f>VLOOKUP(Ruimtestaat[[#This Row],[Code]],Locaties[#All],6,FALSE)</f>
        <v>Boekelo</v>
      </c>
      <c r="F9" s="149"/>
      <c r="G9" s="149" t="s">
        <v>1646</v>
      </c>
      <c r="H9" s="302" t="s">
        <v>1653</v>
      </c>
      <c r="I9" s="301" t="s">
        <v>1651</v>
      </c>
      <c r="J9" s="149">
        <v>16</v>
      </c>
      <c r="K9" s="183" t="str">
        <f>VLOOKUP(Ruimtestaat[[#This Row],[Ruimte code]],Ruimtegroepen[[#All],[Code]:[Ruimte omschrijving]],2,FALSE)</f>
        <v>Leslokalen</v>
      </c>
      <c r="L9" s="149" t="s">
        <v>102</v>
      </c>
      <c r="M9" s="301" t="s">
        <v>120</v>
      </c>
      <c r="N9" s="177">
        <v>54.8</v>
      </c>
      <c r="O9" s="177"/>
      <c r="P9" s="178" t="str">
        <f>VLOOKUP(Ruimtestaat[[#This Row],[Ruimte code]],Ruimtegroepen[],4,FALSE)</f>
        <v>Le</v>
      </c>
      <c r="Q9" s="149">
        <v>40</v>
      </c>
      <c r="R9" s="149" t="s">
        <v>2</v>
      </c>
      <c r="S9" s="149">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 s="149">
        <f>IF(S9&gt;0,VLOOKUP($J9,Ruimtegroepen[],3,FALSE)*VLOOKUP($L9,Vloersoorten[],3,FALSE)*VLOOKUP($R9,Frequenties[],3,FALSE)*VLOOKUP($A9,Locaties[],3,FALSE),0)</f>
        <v>0</v>
      </c>
      <c r="U9" s="149">
        <f>Ruimtestaat[[#This Row],[Uitvoeringen werkdagen]]*Ruimtestaat[[#This Row],[Oppervlak (netto)]]</f>
        <v>10960</v>
      </c>
      <c r="V9" s="179">
        <f>IF(T9&gt;0,Ruimtestaat[[#This Row],[Prest. (m2 /jaar) werkdagen]]/Ruimtestaat[[#This Row],[Norm (m2/uur) werkdagen]],0)</f>
        <v>0</v>
      </c>
      <c r="W9" s="180">
        <f>Ruimtestaat[[#This Row],[uren / jaar werkdagen]]*Tariefsopbouw!$E$35</f>
        <v>0</v>
      </c>
      <c r="X9" s="149"/>
      <c r="Y9" s="149">
        <f>IF(Ruimtestaat[[#This Row],[Frequentie weekend]]&gt;0,VALUE(LEFT(X9,1))*Q9,0)</f>
        <v>0</v>
      </c>
      <c r="Z9" s="148">
        <f>IF($Y9&gt;0,VLOOKUP($J9,Ruimtegroepen[],3,FALSE)*VLOOKUP($L9,Vloersoorten[],3,FALSE)*VLOOKUP($X9,Frequenties[],3,FALSE)*VLOOKUP(#REF!,Locaties[],3,FALSE),0)</f>
        <v>0</v>
      </c>
      <c r="AA9" s="148">
        <f>Ruimtestaat[[#This Row],[Uitvoeringen weekend]]*Ruimtestaat[[#This Row],[Oppervlak (netto)]]</f>
        <v>0</v>
      </c>
      <c r="AB9" s="148">
        <f>IF(Z9&gt;0,Ruimtestaat[[#This Row],[Prest. (m2 /jaar) weekend]]/Ruimtestaat[[#This Row],[Norm (m2/uur) weekend]],0)</f>
        <v>0</v>
      </c>
      <c r="AC9" s="180">
        <f>Ruimtestaat[[#This Row],[uren / jaar weekend]]*Tariefsopbouw!$D$40</f>
        <v>0</v>
      </c>
      <c r="AD9" s="179">
        <f>Ruimtestaat[[#This Row],[Prest. (m2 /jaar) weekend]]+Ruimtestaat[[#This Row],[Prest. (m2 /jaar) werkdagen]]</f>
        <v>10960</v>
      </c>
      <c r="AE9" s="179">
        <f>Ruimtestaat[[#This Row],[uren / jaar weekend]]+Ruimtestaat[[#This Row],[uren / jaar werkdagen]]</f>
        <v>0</v>
      </c>
      <c r="AF9" s="174">
        <f>Ruimtestaat[[#This Row],[kosten / jaar weekend]]+Ruimtestaat[[#This Row],[kosten / jaar werkdagen]]</f>
        <v>0</v>
      </c>
      <c r="AG9" s="174"/>
      <c r="AH9" s="181" t="str">
        <f>IF(Ruimtestaat[[#This Row],[Frequentie werkdagen]]="","",_xlfn.CONCAT(Ruimtestaat[[#This Row],[Ruimte code]],"-",Ruimtestaat[[#This Row],[Frequentie werkdagen]]," ",Ruimtestaat[[#This Row],[Vloer code]]))</f>
        <v>16-5w P</v>
      </c>
      <c r="AI9" s="185" t="str">
        <f>_xlfn.IFNA(VLOOKUP($AH9,Programma!$F$3:$G$1101,2,0),"")</f>
        <v>_</v>
      </c>
      <c r="AJ9" s="185" t="str">
        <f>_xlfn.IFNA(VLOOKUP($AH9,Programma!$F$3:$H$1101,3,0),"")</f>
        <v>_</v>
      </c>
      <c r="AK9" s="185" t="str">
        <f>_xlfn.IFNA(VLOOKUP($AH9,Programma!$F$3:$I$1101,4,0),"")</f>
        <v>4w</v>
      </c>
      <c r="AL9" s="185" t="str">
        <f>_xlfn.IFNA(VLOOKUP($AH9,Programma!$F$3:$J$1101,5,0),"")</f>
        <v>1w</v>
      </c>
      <c r="AM9" s="185" t="str">
        <f>_xlfn.IFNA(VLOOKUP($AH9,Programma!$F$3:$K$1101,6,0),"")</f>
        <v>1m</v>
      </c>
      <c r="AN9" s="185" t="str">
        <f>_xlfn.IFNA(VLOOKUP($AH9,Programma!$F$3:$L$1101,7,0),"")</f>
        <v>_</v>
      </c>
      <c r="AO9" s="185" t="str">
        <f>_xlfn.IFNA(VLOOKUP($AH9,Programma!$F$3:$M$1101,8,0),"")</f>
        <v>_</v>
      </c>
      <c r="AP9" s="185" t="str">
        <f>_xlfn.IFNA(VLOOKUP($AH9,Programma!$F$3:$N$1101,9,0),"")</f>
        <v>_</v>
      </c>
      <c r="AQ9" s="185" t="str">
        <f>_xlfn.IFNA(VLOOKUP($AH9,Programma!$F$3:$O$1101,10,0),"")</f>
        <v>5w</v>
      </c>
      <c r="AR9" s="185" t="str">
        <f>_xlfn.IFNA(VLOOKUP($AH9,Programma!$F$3:$P$1101,11,0),"")</f>
        <v>5w</v>
      </c>
      <c r="AS9" s="185" t="str">
        <f>_xlfn.IFNA(VLOOKUP($AH9,Programma!$F$3:$Q$1101,12,0),"")</f>
        <v>1w</v>
      </c>
      <c r="AT9" s="185" t="str">
        <f>_xlfn.IFNA(VLOOKUP($AH9,Programma!$F$3:$R$1101,13,0),"")</f>
        <v>1w</v>
      </c>
      <c r="AU9" s="185" t="str">
        <f>_xlfn.IFNA(VLOOKUP($AH9,Programma!$F$3:$S$1101,14,0),"")</f>
        <v>1m</v>
      </c>
      <c r="AV9" s="185" t="str">
        <f>_xlfn.IFNA(VLOOKUP($AH9,Programma!$F$3:$T$1101,15,0),"")</f>
        <v>2j</v>
      </c>
      <c r="AW9" s="185" t="str">
        <f>_xlfn.IFNA(VLOOKUP($AH9,Programma!$F$3:$U$1101,16,0),"")</f>
        <v>1j</v>
      </c>
      <c r="AX9" s="185" t="str">
        <f>_xlfn.IFNA(VLOOKUP($AH9,Programma!$F$3:$V$1101,17,0),"")</f>
        <v>_</v>
      </c>
      <c r="AY9" s="185" t="str">
        <f>_xlfn.IFNA(VLOOKUP($AH9,Programma!$F$3:$W$1101,18,0),"")</f>
        <v>_</v>
      </c>
      <c r="AZ9" s="185" t="str">
        <f>_xlfn.IFNA(VLOOKUP($AH9,Programma!$F$3:$X$1101,19,0),"")</f>
        <v>_</v>
      </c>
      <c r="BA9" s="185" t="str">
        <f>_xlfn.IFNA(VLOOKUP($AH9,Programma!$F$3:$Y$1101,20,0),"")</f>
        <v>_</v>
      </c>
      <c r="BB9" s="182"/>
      <c r="BC9" s="181" t="str">
        <f>IF(Ruimtestaat[[#This Row],[Frequentie weekend]]="","",_xlfn.CONCAT(Ruimtestaat[[#This Row],[Ruimte code]],"-",Ruimtestaat[[#This Row],[Frequentie weekend]]," ",Ruimtestaat[[#This Row],[Vloer code]]))</f>
        <v/>
      </c>
      <c r="BD9" s="185" t="str">
        <f>_xlfn.IFNA(VLOOKUP($BC9,Programma!$F$3:$G$1101,2,0),"")</f>
        <v/>
      </c>
      <c r="BE9" s="185" t="str">
        <f>_xlfn.IFNA(VLOOKUP($BC9,Programma!$F$3:$H$1101,3,0),"")</f>
        <v/>
      </c>
      <c r="BF9" s="185" t="str">
        <f>_xlfn.IFNA(VLOOKUP($BC9,Programma!$F$3:$I$1101,4,0),"")</f>
        <v/>
      </c>
      <c r="BG9" s="185" t="str">
        <f>_xlfn.IFNA(VLOOKUP($BC9,Programma!$F$3:$J$1101,5,0),"")</f>
        <v/>
      </c>
      <c r="BH9" s="185" t="str">
        <f>_xlfn.IFNA(VLOOKUP($BC9,Programma!$F$3:$K$1101,6,0),"")</f>
        <v/>
      </c>
      <c r="BI9" s="185" t="str">
        <f>_xlfn.IFNA(VLOOKUP($BC9,Programma!$F$3:$L$1101,7,0),"")</f>
        <v/>
      </c>
      <c r="BJ9" s="185" t="str">
        <f>_xlfn.IFNA(VLOOKUP($BC9,Programma!$F$3:$M$1101,8,0),"")</f>
        <v/>
      </c>
      <c r="BK9" s="185" t="str">
        <f>_xlfn.IFNA(VLOOKUP($BC9,Programma!$F$3:$N$1101,9,0),"")</f>
        <v/>
      </c>
      <c r="BL9" s="185" t="str">
        <f>_xlfn.IFNA(VLOOKUP($BC9,Programma!$F$3:$O$1101,10,0),"")</f>
        <v/>
      </c>
      <c r="BM9" s="185" t="str">
        <f>_xlfn.IFNA(VLOOKUP($BC9,Programma!$F$3:$P$1101,11,0),"")</f>
        <v/>
      </c>
      <c r="BN9" s="185" t="str">
        <f>_xlfn.IFNA(VLOOKUP($BC9,Programma!$F$3:$Q$1101,12,0),"")</f>
        <v/>
      </c>
      <c r="BO9" s="185" t="str">
        <f>_xlfn.IFNA(VLOOKUP($BC9,Programma!$F$3:$R$1101,13,0),"")</f>
        <v/>
      </c>
      <c r="BP9" s="185" t="str">
        <f>_xlfn.IFNA(VLOOKUP($BC9,Programma!$F$3:$S$1101,14,0),"")</f>
        <v/>
      </c>
      <c r="BQ9" s="185" t="str">
        <f>_xlfn.IFNA(VLOOKUP($BC9,Programma!$F$3:$T$1101,15,0),"")</f>
        <v/>
      </c>
      <c r="BR9" s="185" t="str">
        <f>_xlfn.IFNA(VLOOKUP($BC9,Programma!$F$3:$U$1101,16,0),"")</f>
        <v/>
      </c>
      <c r="BS9" s="185" t="str">
        <f>_xlfn.IFNA(VLOOKUP($BC9,Programma!$F$3:$V$1101,17,0),"")</f>
        <v/>
      </c>
      <c r="BT9" s="185" t="str">
        <f>_xlfn.IFNA(VLOOKUP($BC9,Programma!$F$3:$W$1101,18,0),"")</f>
        <v/>
      </c>
      <c r="BU9" s="185" t="str">
        <f>_xlfn.IFNA(VLOOKUP($BC9,Programma!$F$3:$X$1101,19,0),"")</f>
        <v/>
      </c>
      <c r="BV9" s="185" t="str">
        <f>_xlfn.IFNA(VLOOKUP($BC9,Programma!$F$3:$Y$1101,20,0),"")</f>
        <v/>
      </c>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row>
    <row r="10" spans="1:220" ht="15" customHeight="1">
      <c r="A10" s="149">
        <v>1</v>
      </c>
      <c r="B10" s="176" t="str">
        <f>VLOOKUP(Ruimtestaat[[#This Row],[Code]],Locaties[[Code]:[Locatie]],2,FALSE)</f>
        <v xml:space="preserve">OBS Molenbeek </v>
      </c>
      <c r="C10" s="176" t="str">
        <f>VLOOKUP(Ruimtestaat[[#This Row],[Code]],Locaties[[#All],[Code]:[Adres]],4,FALSE)</f>
        <v>Boekelerschoolpad 1</v>
      </c>
      <c r="D10" s="176" t="str">
        <f>VLOOKUP(Ruimtestaat[[#This Row],[Code]],Locaties[[#All],[Code]:[Postcode]],5,FALSE)</f>
        <v>7548 AH</v>
      </c>
      <c r="E10" s="176" t="str">
        <f>VLOOKUP(Ruimtestaat[[#This Row],[Code]],Locaties[#All],6,FALSE)</f>
        <v>Boekelo</v>
      </c>
      <c r="F10" s="149"/>
      <c r="G10" s="149" t="s">
        <v>1646</v>
      </c>
      <c r="H10" s="302" t="s">
        <v>1654</v>
      </c>
      <c r="I10" s="301" t="s">
        <v>1655</v>
      </c>
      <c r="J10" s="149">
        <v>5</v>
      </c>
      <c r="K10" s="183" t="str">
        <f>VLOOKUP(Ruimtestaat[[#This Row],[Ruimte code]],Ruimtegroepen[[#All],[Code]:[Ruimte omschrijving]],2,FALSE)</f>
        <v>Sanitair</v>
      </c>
      <c r="L10" s="149" t="s">
        <v>101</v>
      </c>
      <c r="M10" s="301" t="s">
        <v>1682</v>
      </c>
      <c r="N10" s="177">
        <v>5.0999999999999996</v>
      </c>
      <c r="O10" s="177"/>
      <c r="P10" s="178" t="str">
        <f>VLOOKUP(Ruimtestaat[[#This Row],[Ruimte code]],Ruimtegroepen[],4,FALSE)</f>
        <v>Sa</v>
      </c>
      <c r="Q10" s="149">
        <v>40</v>
      </c>
      <c r="R10" s="149" t="s">
        <v>2</v>
      </c>
      <c r="S10" s="149">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 s="149">
        <f>IF(S10&gt;0,VLOOKUP($J10,Ruimtegroepen[],3,FALSE)*VLOOKUP($L10,Vloersoorten[],3,FALSE)*VLOOKUP($R10,Frequenties[],3,FALSE)*VLOOKUP($A10,Locaties[],3,FALSE),0)</f>
        <v>0</v>
      </c>
      <c r="U10" s="149">
        <f>Ruimtestaat[[#This Row],[Uitvoeringen werkdagen]]*Ruimtestaat[[#This Row],[Oppervlak (netto)]]</f>
        <v>1019.9999999999999</v>
      </c>
      <c r="V10" s="179">
        <f>IF(T10&gt;0,Ruimtestaat[[#This Row],[Prest. (m2 /jaar) werkdagen]]/Ruimtestaat[[#This Row],[Norm (m2/uur) werkdagen]],0)</f>
        <v>0</v>
      </c>
      <c r="W10" s="180">
        <f>Ruimtestaat[[#This Row],[uren / jaar werkdagen]]*Tariefsopbouw!$E$35</f>
        <v>0</v>
      </c>
      <c r="X10" s="149"/>
      <c r="Y10" s="149">
        <f>IF(Ruimtestaat[[#This Row],[Frequentie weekend]]&gt;0,VALUE(LEFT(X10,1))*Q10,0)</f>
        <v>0</v>
      </c>
      <c r="Z10" s="148">
        <f>IF($Y10&gt;0,VLOOKUP($J10,Ruimtegroepen[],3,FALSE)*VLOOKUP($L10,Vloersoorten[],3,FALSE)*VLOOKUP($X10,Frequenties[],3,FALSE)*VLOOKUP(#REF!,Locaties[],3,FALSE),0)</f>
        <v>0</v>
      </c>
      <c r="AA10" s="148">
        <f>Ruimtestaat[[#This Row],[Uitvoeringen weekend]]*Ruimtestaat[[#This Row],[Oppervlak (netto)]]</f>
        <v>0</v>
      </c>
      <c r="AB10" s="148">
        <f>IF(Z10&gt;0,Ruimtestaat[[#This Row],[Prest. (m2 /jaar) weekend]]/Ruimtestaat[[#This Row],[Norm (m2/uur) weekend]],0)</f>
        <v>0</v>
      </c>
      <c r="AC10" s="180">
        <f>Ruimtestaat[[#This Row],[uren / jaar weekend]]*Tariefsopbouw!$D$40</f>
        <v>0</v>
      </c>
      <c r="AD10" s="179">
        <f>Ruimtestaat[[#This Row],[Prest. (m2 /jaar) weekend]]+Ruimtestaat[[#This Row],[Prest. (m2 /jaar) werkdagen]]</f>
        <v>1019.9999999999999</v>
      </c>
      <c r="AE10" s="179">
        <f>Ruimtestaat[[#This Row],[uren / jaar weekend]]+Ruimtestaat[[#This Row],[uren / jaar werkdagen]]</f>
        <v>0</v>
      </c>
      <c r="AF10" s="174">
        <f>Ruimtestaat[[#This Row],[kosten / jaar weekend]]+Ruimtestaat[[#This Row],[kosten / jaar werkdagen]]</f>
        <v>0</v>
      </c>
      <c r="AG10" s="174"/>
      <c r="AH10" s="181" t="str">
        <f>IF(Ruimtestaat[[#This Row],[Frequentie werkdagen]]="","",_xlfn.CONCAT(Ruimtestaat[[#This Row],[Ruimte code]],"-",Ruimtestaat[[#This Row],[Frequentie werkdagen]]," ",Ruimtestaat[[#This Row],[Vloer code]]))</f>
        <v>5-5w S</v>
      </c>
      <c r="AI10" s="185" t="str">
        <f>_xlfn.IFNA(VLOOKUP($AH10,Programma!$F$3:$G$1101,2,0),"")</f>
        <v>_</v>
      </c>
      <c r="AJ10" s="185" t="str">
        <f>_xlfn.IFNA(VLOOKUP($AH10,Programma!$F$3:$H$1101,3,0),"")</f>
        <v>_</v>
      </c>
      <c r="AK10" s="185" t="str">
        <f>_xlfn.IFNA(VLOOKUP($AH10,Programma!$F$3:$I$1101,4,0),"")</f>
        <v>_</v>
      </c>
      <c r="AL10" s="185" t="str">
        <f>_xlfn.IFNA(VLOOKUP($AH10,Programma!$F$3:$J$1101,5,0),"")</f>
        <v>4w</v>
      </c>
      <c r="AM10" s="185" t="str">
        <f>_xlfn.IFNA(VLOOKUP($AH10,Programma!$F$3:$K$1101,6,0),"")</f>
        <v>1w</v>
      </c>
      <c r="AN10" s="185" t="str">
        <f>_xlfn.IFNA(VLOOKUP($AH10,Programma!$F$3:$L$1101,7,0),"")</f>
        <v>_</v>
      </c>
      <c r="AO10" s="185" t="str">
        <f>_xlfn.IFNA(VLOOKUP($AH10,Programma!$F$3:$M$1101,8,0),"")</f>
        <v>_</v>
      </c>
      <c r="AP10" s="185" t="str">
        <f>_xlfn.IFNA(VLOOKUP($AH10,Programma!$F$3:$N$1101,9,0),"")</f>
        <v>_</v>
      </c>
      <c r="AQ10" s="185" t="str">
        <f>_xlfn.IFNA(VLOOKUP($AH10,Programma!$F$3:$O$1101,10,0),"")</f>
        <v>_</v>
      </c>
      <c r="AR10" s="185" t="str">
        <f>_xlfn.IFNA(VLOOKUP($AH10,Programma!$F$3:$P$1101,11,0),"")</f>
        <v>_</v>
      </c>
      <c r="AS10" s="185" t="str">
        <f>_xlfn.IFNA(VLOOKUP($AH10,Programma!$F$3:$Q$1101,12,0),"")</f>
        <v>_</v>
      </c>
      <c r="AT10" s="185" t="str">
        <f>_xlfn.IFNA(VLOOKUP($AH10,Programma!$F$3:$R$1101,13,0),"")</f>
        <v>_</v>
      </c>
      <c r="AU10" s="185" t="str">
        <f>_xlfn.IFNA(VLOOKUP($AH10,Programma!$F$3:$S$1101,14,0),"")</f>
        <v>_</v>
      </c>
      <c r="AV10" s="185" t="str">
        <f>_xlfn.IFNA(VLOOKUP($AH10,Programma!$F$3:$T$1101,15,0),"")</f>
        <v>_</v>
      </c>
      <c r="AW10" s="185" t="str">
        <f>_xlfn.IFNA(VLOOKUP($AH10,Programma!$F$3:$U$1101,16,0),"")</f>
        <v>_</v>
      </c>
      <c r="AX10" s="185" t="str">
        <f>_xlfn.IFNA(VLOOKUP($AH10,Programma!$F$3:$V$1101,17,0),"")</f>
        <v>_</v>
      </c>
      <c r="AY10" s="185" t="str">
        <f>_xlfn.IFNA(VLOOKUP($AH10,Programma!$F$3:$W$1101,18,0),"")</f>
        <v>4w</v>
      </c>
      <c r="AZ10" s="185" t="str">
        <f>_xlfn.IFNA(VLOOKUP($AH10,Programma!$F$3:$X$1101,19,0),"")</f>
        <v>1w</v>
      </c>
      <c r="BA10" s="185" t="str">
        <f>_xlfn.IFNA(VLOOKUP($AH10,Programma!$F$3:$Y$1101,20,0),"")</f>
        <v>_</v>
      </c>
      <c r="BB10" s="182"/>
      <c r="BC10" s="181" t="str">
        <f>IF(Ruimtestaat[[#This Row],[Frequentie weekend]]="","",_xlfn.CONCAT(Ruimtestaat[[#This Row],[Ruimte code]],"-",Ruimtestaat[[#This Row],[Frequentie weekend]]," ",Ruimtestaat[[#This Row],[Vloer code]]))</f>
        <v/>
      </c>
      <c r="BD10" s="185" t="str">
        <f>_xlfn.IFNA(VLOOKUP($BC10,Programma!$F$3:$G$1101,2,0),"")</f>
        <v/>
      </c>
      <c r="BE10" s="185" t="str">
        <f>_xlfn.IFNA(VLOOKUP($BC10,Programma!$F$3:$H$1101,3,0),"")</f>
        <v/>
      </c>
      <c r="BF10" s="185" t="str">
        <f>_xlfn.IFNA(VLOOKUP($BC10,Programma!$F$3:$I$1101,4,0),"")</f>
        <v/>
      </c>
      <c r="BG10" s="185" t="str">
        <f>_xlfn.IFNA(VLOOKUP($BC10,Programma!$F$3:$J$1101,5,0),"")</f>
        <v/>
      </c>
      <c r="BH10" s="185" t="str">
        <f>_xlfn.IFNA(VLOOKUP($BC10,Programma!$F$3:$K$1101,6,0),"")</f>
        <v/>
      </c>
      <c r="BI10" s="185" t="str">
        <f>_xlfn.IFNA(VLOOKUP($BC10,Programma!$F$3:$L$1101,7,0),"")</f>
        <v/>
      </c>
      <c r="BJ10" s="185" t="str">
        <f>_xlfn.IFNA(VLOOKUP($BC10,Programma!$F$3:$M$1101,8,0),"")</f>
        <v/>
      </c>
      <c r="BK10" s="185" t="str">
        <f>_xlfn.IFNA(VLOOKUP($BC10,Programma!$F$3:$N$1101,9,0),"")</f>
        <v/>
      </c>
      <c r="BL10" s="185" t="str">
        <f>_xlfn.IFNA(VLOOKUP($BC10,Programma!$F$3:$O$1101,10,0),"")</f>
        <v/>
      </c>
      <c r="BM10" s="185" t="str">
        <f>_xlfn.IFNA(VLOOKUP($BC10,Programma!$F$3:$P$1101,11,0),"")</f>
        <v/>
      </c>
      <c r="BN10" s="185" t="str">
        <f>_xlfn.IFNA(VLOOKUP($BC10,Programma!$F$3:$Q$1101,12,0),"")</f>
        <v/>
      </c>
      <c r="BO10" s="185" t="str">
        <f>_xlfn.IFNA(VLOOKUP($BC10,Programma!$F$3:$R$1101,13,0),"")</f>
        <v/>
      </c>
      <c r="BP10" s="185" t="str">
        <f>_xlfn.IFNA(VLOOKUP($BC10,Programma!$F$3:$S$1101,14,0),"")</f>
        <v/>
      </c>
      <c r="BQ10" s="185" t="str">
        <f>_xlfn.IFNA(VLOOKUP($BC10,Programma!$F$3:$T$1101,15,0),"")</f>
        <v/>
      </c>
      <c r="BR10" s="185" t="str">
        <f>_xlfn.IFNA(VLOOKUP($BC10,Programma!$F$3:$U$1101,16,0),"")</f>
        <v/>
      </c>
      <c r="BS10" s="185" t="str">
        <f>_xlfn.IFNA(VLOOKUP($BC10,Programma!$F$3:$V$1101,17,0),"")</f>
        <v/>
      </c>
      <c r="BT10" s="185" t="str">
        <f>_xlfn.IFNA(VLOOKUP($BC10,Programma!$F$3:$W$1101,18,0),"")</f>
        <v/>
      </c>
      <c r="BU10" s="185" t="str">
        <f>_xlfn.IFNA(VLOOKUP($BC10,Programma!$F$3:$X$1101,19,0),"")</f>
        <v/>
      </c>
      <c r="BV10" s="185" t="str">
        <f>_xlfn.IFNA(VLOOKUP($BC10,Programma!$F$3:$Y$1101,20,0),"")</f>
        <v/>
      </c>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8"/>
      <c r="EG10" s="78"/>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8"/>
      <c r="FZ10" s="78"/>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row>
    <row r="11" spans="1:220" ht="15" customHeight="1">
      <c r="A11" s="149">
        <v>1</v>
      </c>
      <c r="B11" s="176" t="str">
        <f>VLOOKUP(Ruimtestaat[[#This Row],[Code]],Locaties[[Code]:[Locatie]],2,FALSE)</f>
        <v xml:space="preserve">OBS Molenbeek </v>
      </c>
      <c r="C11" s="176" t="str">
        <f>VLOOKUP(Ruimtestaat[[#This Row],[Code]],Locaties[[#All],[Code]:[Adres]],4,FALSE)</f>
        <v>Boekelerschoolpad 1</v>
      </c>
      <c r="D11" s="176" t="str">
        <f>VLOOKUP(Ruimtestaat[[#This Row],[Code]],Locaties[[#All],[Code]:[Postcode]],5,FALSE)</f>
        <v>7548 AH</v>
      </c>
      <c r="E11" s="176" t="str">
        <f>VLOOKUP(Ruimtestaat[[#This Row],[Code]],Locaties[#All],6,FALSE)</f>
        <v>Boekelo</v>
      </c>
      <c r="F11" s="149"/>
      <c r="G11" s="149" t="s">
        <v>1646</v>
      </c>
      <c r="H11" s="302" t="s">
        <v>1656</v>
      </c>
      <c r="I11" s="301" t="s">
        <v>1655</v>
      </c>
      <c r="J11" s="149">
        <v>5</v>
      </c>
      <c r="K11" s="183" t="str">
        <f>VLOOKUP(Ruimtestaat[[#This Row],[Ruimte code]],Ruimtegroepen[[#All],[Code]:[Ruimte omschrijving]],2,FALSE)</f>
        <v>Sanitair</v>
      </c>
      <c r="L11" s="149" t="s">
        <v>101</v>
      </c>
      <c r="M11" s="301" t="s">
        <v>1682</v>
      </c>
      <c r="N11" s="177">
        <v>5.0999999999999996</v>
      </c>
      <c r="O11" s="177"/>
      <c r="P11" s="178" t="str">
        <f>VLOOKUP(Ruimtestaat[[#This Row],[Ruimte code]],Ruimtegroepen[],4,FALSE)</f>
        <v>Sa</v>
      </c>
      <c r="Q11" s="149">
        <v>40</v>
      </c>
      <c r="R11" s="149" t="s">
        <v>2</v>
      </c>
      <c r="S11" s="149">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149">
        <f>IF(S11&gt;0,VLOOKUP($J11,Ruimtegroepen[],3,FALSE)*VLOOKUP($L11,Vloersoorten[],3,FALSE)*VLOOKUP($R11,Frequenties[],3,FALSE)*VLOOKUP($A11,Locaties[],3,FALSE),0)</f>
        <v>0</v>
      </c>
      <c r="U11" s="149">
        <f>Ruimtestaat[[#This Row],[Uitvoeringen werkdagen]]*Ruimtestaat[[#This Row],[Oppervlak (netto)]]</f>
        <v>1019.9999999999999</v>
      </c>
      <c r="V11" s="179">
        <f>IF(T11&gt;0,Ruimtestaat[[#This Row],[Prest. (m2 /jaar) werkdagen]]/Ruimtestaat[[#This Row],[Norm (m2/uur) werkdagen]],0)</f>
        <v>0</v>
      </c>
      <c r="W11" s="180">
        <f>Ruimtestaat[[#This Row],[uren / jaar werkdagen]]*Tariefsopbouw!$E$35</f>
        <v>0</v>
      </c>
      <c r="X11" s="149"/>
      <c r="Y11" s="149">
        <f>IF(Ruimtestaat[[#This Row],[Frequentie weekend]]&gt;0,VALUE(LEFT(X11,1))*Q11,0)</f>
        <v>0</v>
      </c>
      <c r="Z11" s="148">
        <f>IF($Y11&gt;0,VLOOKUP($J11,Ruimtegroepen[],3,FALSE)*VLOOKUP($L11,Vloersoorten[],3,FALSE)*VLOOKUP($X11,Frequenties[],3,FALSE)*VLOOKUP(#REF!,Locaties[],3,FALSE),0)</f>
        <v>0</v>
      </c>
      <c r="AA11" s="148">
        <f>Ruimtestaat[[#This Row],[Uitvoeringen weekend]]*Ruimtestaat[[#This Row],[Oppervlak (netto)]]</f>
        <v>0</v>
      </c>
      <c r="AB11" s="148">
        <f>IF(Z11&gt;0,Ruimtestaat[[#This Row],[Prest. (m2 /jaar) weekend]]/Ruimtestaat[[#This Row],[Norm (m2/uur) weekend]],0)</f>
        <v>0</v>
      </c>
      <c r="AC11" s="180">
        <f>Ruimtestaat[[#This Row],[uren / jaar weekend]]*Tariefsopbouw!$D$40</f>
        <v>0</v>
      </c>
      <c r="AD11" s="179">
        <f>Ruimtestaat[[#This Row],[Prest. (m2 /jaar) weekend]]+Ruimtestaat[[#This Row],[Prest. (m2 /jaar) werkdagen]]</f>
        <v>1019.9999999999999</v>
      </c>
      <c r="AE11" s="179">
        <f>Ruimtestaat[[#This Row],[uren / jaar weekend]]+Ruimtestaat[[#This Row],[uren / jaar werkdagen]]</f>
        <v>0</v>
      </c>
      <c r="AF11" s="174">
        <f>Ruimtestaat[[#This Row],[kosten / jaar weekend]]+Ruimtestaat[[#This Row],[kosten / jaar werkdagen]]</f>
        <v>0</v>
      </c>
      <c r="AG11" s="174"/>
      <c r="AH11" s="181" t="str">
        <f>IF(Ruimtestaat[[#This Row],[Frequentie werkdagen]]="","",_xlfn.CONCAT(Ruimtestaat[[#This Row],[Ruimte code]],"-",Ruimtestaat[[#This Row],[Frequentie werkdagen]]," ",Ruimtestaat[[#This Row],[Vloer code]]))</f>
        <v>5-5w S</v>
      </c>
      <c r="AI11" s="185" t="str">
        <f>_xlfn.IFNA(VLOOKUP($AH11,Programma!$F$3:$G$1101,2,0),"")</f>
        <v>_</v>
      </c>
      <c r="AJ11" s="185" t="str">
        <f>_xlfn.IFNA(VLOOKUP($AH11,Programma!$F$3:$H$1101,3,0),"")</f>
        <v>_</v>
      </c>
      <c r="AK11" s="185" t="str">
        <f>_xlfn.IFNA(VLOOKUP($AH11,Programma!$F$3:$I$1101,4,0),"")</f>
        <v>_</v>
      </c>
      <c r="AL11" s="185" t="str">
        <f>_xlfn.IFNA(VLOOKUP($AH11,Programma!$F$3:$J$1101,5,0),"")</f>
        <v>4w</v>
      </c>
      <c r="AM11" s="185" t="str">
        <f>_xlfn.IFNA(VLOOKUP($AH11,Programma!$F$3:$K$1101,6,0),"")</f>
        <v>1w</v>
      </c>
      <c r="AN11" s="185" t="str">
        <f>_xlfn.IFNA(VLOOKUP($AH11,Programma!$F$3:$L$1101,7,0),"")</f>
        <v>_</v>
      </c>
      <c r="AO11" s="185" t="str">
        <f>_xlfn.IFNA(VLOOKUP($AH11,Programma!$F$3:$M$1101,8,0),"")</f>
        <v>_</v>
      </c>
      <c r="AP11" s="185" t="str">
        <f>_xlfn.IFNA(VLOOKUP($AH11,Programma!$F$3:$N$1101,9,0),"")</f>
        <v>_</v>
      </c>
      <c r="AQ11" s="185" t="str">
        <f>_xlfn.IFNA(VLOOKUP($AH11,Programma!$F$3:$O$1101,10,0),"")</f>
        <v>_</v>
      </c>
      <c r="AR11" s="185" t="str">
        <f>_xlfn.IFNA(VLOOKUP($AH11,Programma!$F$3:$P$1101,11,0),"")</f>
        <v>_</v>
      </c>
      <c r="AS11" s="185" t="str">
        <f>_xlfn.IFNA(VLOOKUP($AH11,Programma!$F$3:$Q$1101,12,0),"")</f>
        <v>_</v>
      </c>
      <c r="AT11" s="185" t="str">
        <f>_xlfn.IFNA(VLOOKUP($AH11,Programma!$F$3:$R$1101,13,0),"")</f>
        <v>_</v>
      </c>
      <c r="AU11" s="185" t="str">
        <f>_xlfn.IFNA(VLOOKUP($AH11,Programma!$F$3:$S$1101,14,0),"")</f>
        <v>_</v>
      </c>
      <c r="AV11" s="185" t="str">
        <f>_xlfn.IFNA(VLOOKUP($AH11,Programma!$F$3:$T$1101,15,0),"")</f>
        <v>_</v>
      </c>
      <c r="AW11" s="185" t="str">
        <f>_xlfn.IFNA(VLOOKUP($AH11,Programma!$F$3:$U$1101,16,0),"")</f>
        <v>_</v>
      </c>
      <c r="AX11" s="185" t="str">
        <f>_xlfn.IFNA(VLOOKUP($AH11,Programma!$F$3:$V$1101,17,0),"")</f>
        <v>_</v>
      </c>
      <c r="AY11" s="185" t="str">
        <f>_xlfn.IFNA(VLOOKUP($AH11,Programma!$F$3:$W$1101,18,0),"")</f>
        <v>4w</v>
      </c>
      <c r="AZ11" s="185" t="str">
        <f>_xlfn.IFNA(VLOOKUP($AH11,Programma!$F$3:$X$1101,19,0),"")</f>
        <v>1w</v>
      </c>
      <c r="BA11" s="185" t="str">
        <f>_xlfn.IFNA(VLOOKUP($AH11,Programma!$F$3:$Y$1101,20,0),"")</f>
        <v>_</v>
      </c>
      <c r="BB11" s="182"/>
      <c r="BC11" s="181" t="str">
        <f>IF(Ruimtestaat[[#This Row],[Frequentie weekend]]="","",_xlfn.CONCAT(Ruimtestaat[[#This Row],[Ruimte code]],"-",Ruimtestaat[[#This Row],[Frequentie weekend]]," ",Ruimtestaat[[#This Row],[Vloer code]]))</f>
        <v/>
      </c>
      <c r="BD11" s="185" t="str">
        <f>_xlfn.IFNA(VLOOKUP($BC11,Programma!$F$3:$G$1101,2,0),"")</f>
        <v/>
      </c>
      <c r="BE11" s="185" t="str">
        <f>_xlfn.IFNA(VLOOKUP($BC11,Programma!$F$3:$H$1101,3,0),"")</f>
        <v/>
      </c>
      <c r="BF11" s="185" t="str">
        <f>_xlfn.IFNA(VLOOKUP($BC11,Programma!$F$3:$I$1101,4,0),"")</f>
        <v/>
      </c>
      <c r="BG11" s="185" t="str">
        <f>_xlfn.IFNA(VLOOKUP($BC11,Programma!$F$3:$J$1101,5,0),"")</f>
        <v/>
      </c>
      <c r="BH11" s="185" t="str">
        <f>_xlfn.IFNA(VLOOKUP($BC11,Programma!$F$3:$K$1101,6,0),"")</f>
        <v/>
      </c>
      <c r="BI11" s="185" t="str">
        <f>_xlfn.IFNA(VLOOKUP($BC11,Programma!$F$3:$L$1101,7,0),"")</f>
        <v/>
      </c>
      <c r="BJ11" s="185" t="str">
        <f>_xlfn.IFNA(VLOOKUP($BC11,Programma!$F$3:$M$1101,8,0),"")</f>
        <v/>
      </c>
      <c r="BK11" s="185" t="str">
        <f>_xlfn.IFNA(VLOOKUP($BC11,Programma!$F$3:$N$1101,9,0),"")</f>
        <v/>
      </c>
      <c r="BL11" s="185" t="str">
        <f>_xlfn.IFNA(VLOOKUP($BC11,Programma!$F$3:$O$1101,10,0),"")</f>
        <v/>
      </c>
      <c r="BM11" s="185" t="str">
        <f>_xlfn.IFNA(VLOOKUP($BC11,Programma!$F$3:$P$1101,11,0),"")</f>
        <v/>
      </c>
      <c r="BN11" s="185" t="str">
        <f>_xlfn.IFNA(VLOOKUP($BC11,Programma!$F$3:$Q$1101,12,0),"")</f>
        <v/>
      </c>
      <c r="BO11" s="185" t="str">
        <f>_xlfn.IFNA(VLOOKUP($BC11,Programma!$F$3:$R$1101,13,0),"")</f>
        <v/>
      </c>
      <c r="BP11" s="185" t="str">
        <f>_xlfn.IFNA(VLOOKUP($BC11,Programma!$F$3:$S$1101,14,0),"")</f>
        <v/>
      </c>
      <c r="BQ11" s="185" t="str">
        <f>_xlfn.IFNA(VLOOKUP($BC11,Programma!$F$3:$T$1101,15,0),"")</f>
        <v/>
      </c>
      <c r="BR11" s="185" t="str">
        <f>_xlfn.IFNA(VLOOKUP($BC11,Programma!$F$3:$U$1101,16,0),"")</f>
        <v/>
      </c>
      <c r="BS11" s="185" t="str">
        <f>_xlfn.IFNA(VLOOKUP($BC11,Programma!$F$3:$V$1101,17,0),"")</f>
        <v/>
      </c>
      <c r="BT11" s="185" t="str">
        <f>_xlfn.IFNA(VLOOKUP($BC11,Programma!$F$3:$W$1101,18,0),"")</f>
        <v/>
      </c>
      <c r="BU11" s="185" t="str">
        <f>_xlfn.IFNA(VLOOKUP($BC11,Programma!$F$3:$X$1101,19,0),"")</f>
        <v/>
      </c>
      <c r="BV11" s="185" t="str">
        <f>_xlfn.IFNA(VLOOKUP($BC11,Programma!$F$3:$Y$1101,20,0),"")</f>
        <v/>
      </c>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c r="EQ11" s="78"/>
      <c r="ER11" s="78"/>
      <c r="ES11" s="78"/>
      <c r="ET11" s="78"/>
      <c r="EU11" s="78"/>
      <c r="EV11" s="78"/>
      <c r="EW11" s="78"/>
      <c r="EX11" s="78"/>
      <c r="EY11" s="78"/>
      <c r="EZ11" s="78"/>
      <c r="FA11" s="78"/>
      <c r="FB11" s="78"/>
      <c r="FC11" s="78"/>
      <c r="FD11" s="78"/>
      <c r="FE11" s="78"/>
      <c r="FF11" s="78"/>
      <c r="FG11" s="78"/>
      <c r="FH11" s="78"/>
      <c r="FI11" s="78"/>
      <c r="FJ11" s="78"/>
      <c r="FK11" s="78"/>
      <c r="FL11" s="78"/>
      <c r="FM11" s="78"/>
      <c r="FN11" s="78"/>
      <c r="FO11" s="78"/>
      <c r="FP11" s="78"/>
      <c r="FQ11" s="78"/>
      <c r="FR11" s="78"/>
      <c r="FS11" s="78"/>
      <c r="FT11" s="78"/>
      <c r="FU11" s="78"/>
      <c r="FV11" s="78"/>
      <c r="FW11" s="78"/>
      <c r="FX11" s="78"/>
      <c r="FY11" s="78"/>
      <c r="FZ11" s="78"/>
      <c r="GA11" s="78"/>
      <c r="GB11" s="78"/>
      <c r="GC11" s="78"/>
      <c r="GD11" s="78"/>
      <c r="GE11" s="78"/>
      <c r="GF11" s="78"/>
      <c r="GG11" s="78"/>
      <c r="GH11" s="78"/>
      <c r="GI11" s="78"/>
      <c r="GJ11" s="78"/>
      <c r="GK11" s="78"/>
      <c r="GL11" s="78"/>
      <c r="GM11" s="78"/>
      <c r="GN11" s="78"/>
      <c r="GO11" s="78"/>
      <c r="GP11" s="78"/>
      <c r="GQ11" s="78"/>
      <c r="GR11" s="78"/>
      <c r="GS11" s="78"/>
      <c r="GT11" s="78"/>
      <c r="GU11" s="78"/>
      <c r="GV11" s="78"/>
      <c r="GW11" s="78"/>
      <c r="GX11" s="78"/>
      <c r="GY11" s="78"/>
      <c r="GZ11" s="78"/>
      <c r="HA11" s="78"/>
      <c r="HB11" s="78"/>
      <c r="HC11" s="78"/>
      <c r="HD11" s="78"/>
      <c r="HE11" s="78"/>
      <c r="HF11" s="78"/>
      <c r="HG11" s="78"/>
      <c r="HH11" s="78"/>
      <c r="HI11" s="78"/>
      <c r="HJ11" s="78"/>
      <c r="HK11" s="78"/>
    </row>
    <row r="12" spans="1:220" ht="15" customHeight="1">
      <c r="A12" s="149">
        <v>1</v>
      </c>
      <c r="B12" s="176" t="str">
        <f>VLOOKUP(Ruimtestaat[[#This Row],[Code]],Locaties[[Code]:[Locatie]],2,FALSE)</f>
        <v xml:space="preserve">OBS Molenbeek </v>
      </c>
      <c r="C12" s="176" t="str">
        <f>VLOOKUP(Ruimtestaat[[#This Row],[Code]],Locaties[[#All],[Code]:[Adres]],4,FALSE)</f>
        <v>Boekelerschoolpad 1</v>
      </c>
      <c r="D12" s="176" t="str">
        <f>VLOOKUP(Ruimtestaat[[#This Row],[Code]],Locaties[[#All],[Code]:[Postcode]],5,FALSE)</f>
        <v>7548 AH</v>
      </c>
      <c r="E12" s="176" t="str">
        <f>VLOOKUP(Ruimtestaat[[#This Row],[Code]],Locaties[#All],6,FALSE)</f>
        <v>Boekelo</v>
      </c>
      <c r="F12" s="149"/>
      <c r="G12" s="149" t="s">
        <v>1646</v>
      </c>
      <c r="H12" s="302" t="s">
        <v>1657</v>
      </c>
      <c r="I12" s="301" t="s">
        <v>1658</v>
      </c>
      <c r="J12" s="149">
        <v>6</v>
      </c>
      <c r="K12" s="183" t="str">
        <f>VLOOKUP(Ruimtestaat[[#This Row],[Ruimte code]],Ruimtegroepen[[#All],[Code]:[Ruimte omschrijving]],2,FALSE)</f>
        <v>Gangen/hallen</v>
      </c>
      <c r="L12" s="149" t="s">
        <v>102</v>
      </c>
      <c r="M12" s="301" t="s">
        <v>120</v>
      </c>
      <c r="N12" s="177">
        <v>45.3</v>
      </c>
      <c r="O12" s="177"/>
      <c r="P12" s="178" t="str">
        <f>VLOOKUP(Ruimtestaat[[#This Row],[Ruimte code]],Ruimtegroepen[],4,FALSE)</f>
        <v>Ve</v>
      </c>
      <c r="Q12" s="149">
        <v>40</v>
      </c>
      <c r="R12" s="149" t="s">
        <v>2</v>
      </c>
      <c r="S12" s="149">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 s="149">
        <f>IF(S12&gt;0,VLOOKUP($J12,Ruimtegroepen[],3,FALSE)*VLOOKUP($L12,Vloersoorten[],3,FALSE)*VLOOKUP($R12,Frequenties[],3,FALSE)*VLOOKUP($A12,Locaties[],3,FALSE),0)</f>
        <v>0</v>
      </c>
      <c r="U12" s="149">
        <f>Ruimtestaat[[#This Row],[Uitvoeringen werkdagen]]*Ruimtestaat[[#This Row],[Oppervlak (netto)]]</f>
        <v>9060</v>
      </c>
      <c r="V12" s="179">
        <f>IF(T12&gt;0,Ruimtestaat[[#This Row],[Prest. (m2 /jaar) werkdagen]]/Ruimtestaat[[#This Row],[Norm (m2/uur) werkdagen]],0)</f>
        <v>0</v>
      </c>
      <c r="W12" s="180">
        <f>Ruimtestaat[[#This Row],[uren / jaar werkdagen]]*Tariefsopbouw!$E$35</f>
        <v>0</v>
      </c>
      <c r="X12" s="149"/>
      <c r="Y12" s="149">
        <f>IF(Ruimtestaat[[#This Row],[Frequentie weekend]]&gt;0,VALUE(LEFT(X12,1))*Q12,0)</f>
        <v>0</v>
      </c>
      <c r="Z12" s="148">
        <f>IF($Y12&gt;0,VLOOKUP($J12,Ruimtegroepen[],3,FALSE)*VLOOKUP($L12,Vloersoorten[],3,FALSE)*VLOOKUP($X12,Frequenties[],3,FALSE)*VLOOKUP(#REF!,Locaties[],3,FALSE),0)</f>
        <v>0</v>
      </c>
      <c r="AA12" s="148">
        <f>Ruimtestaat[[#This Row],[Uitvoeringen weekend]]*Ruimtestaat[[#This Row],[Oppervlak (netto)]]</f>
        <v>0</v>
      </c>
      <c r="AB12" s="148">
        <f>IF(Z12&gt;0,Ruimtestaat[[#This Row],[Prest. (m2 /jaar) weekend]]/Ruimtestaat[[#This Row],[Norm (m2/uur) weekend]],0)</f>
        <v>0</v>
      </c>
      <c r="AC12" s="180">
        <f>Ruimtestaat[[#This Row],[uren / jaar weekend]]*Tariefsopbouw!$D$40</f>
        <v>0</v>
      </c>
      <c r="AD12" s="179">
        <f>Ruimtestaat[[#This Row],[Prest. (m2 /jaar) weekend]]+Ruimtestaat[[#This Row],[Prest. (m2 /jaar) werkdagen]]</f>
        <v>9060</v>
      </c>
      <c r="AE12" s="179">
        <f>Ruimtestaat[[#This Row],[uren / jaar weekend]]+Ruimtestaat[[#This Row],[uren / jaar werkdagen]]</f>
        <v>0</v>
      </c>
      <c r="AF12" s="174">
        <f>Ruimtestaat[[#This Row],[kosten / jaar weekend]]+Ruimtestaat[[#This Row],[kosten / jaar werkdagen]]</f>
        <v>0</v>
      </c>
      <c r="AG12" s="174"/>
      <c r="AH12" s="181" t="str">
        <f>IF(Ruimtestaat[[#This Row],[Frequentie werkdagen]]="","",_xlfn.CONCAT(Ruimtestaat[[#This Row],[Ruimte code]],"-",Ruimtestaat[[#This Row],[Frequentie werkdagen]]," ",Ruimtestaat[[#This Row],[Vloer code]]))</f>
        <v>6-5w P</v>
      </c>
      <c r="AI12" s="185" t="str">
        <f>_xlfn.IFNA(VLOOKUP($AH12,Programma!$F$3:$G$1101,2,0),"")</f>
        <v>_</v>
      </c>
      <c r="AJ12" s="185" t="str">
        <f>_xlfn.IFNA(VLOOKUP($AH12,Programma!$F$3:$H$1101,3,0),"")</f>
        <v>_</v>
      </c>
      <c r="AK12" s="185" t="str">
        <f>_xlfn.IFNA(VLOOKUP($AH12,Programma!$F$3:$I$1101,4,0),"")</f>
        <v>5w</v>
      </c>
      <c r="AL12" s="185" t="str">
        <f>_xlfn.IFNA(VLOOKUP($AH12,Programma!$F$3:$J$1101,5,0),"")</f>
        <v>_</v>
      </c>
      <c r="AM12" s="185" t="str">
        <f>_xlfn.IFNA(VLOOKUP($AH12,Programma!$F$3:$K$1101,6,0),"")</f>
        <v>5w</v>
      </c>
      <c r="AN12" s="185" t="str">
        <f>_xlfn.IFNA(VLOOKUP($AH12,Programma!$F$3:$L$1101,7,0),"")</f>
        <v>_</v>
      </c>
      <c r="AO12" s="185" t="str">
        <f>_xlfn.IFNA(VLOOKUP($AH12,Programma!$F$3:$M$1101,8,0),"")</f>
        <v>_</v>
      </c>
      <c r="AP12" s="185" t="str">
        <f>_xlfn.IFNA(VLOOKUP($AH12,Programma!$F$3:$N$1101,9,0),"")</f>
        <v>_</v>
      </c>
      <c r="AQ12" s="185" t="str">
        <f>_xlfn.IFNA(VLOOKUP($AH12,Programma!$F$3:$O$1101,10,0),"")</f>
        <v>5w</v>
      </c>
      <c r="AR12" s="185" t="str">
        <f>_xlfn.IFNA(VLOOKUP($AH12,Programma!$F$3:$P$1101,11,0),"")</f>
        <v>5w</v>
      </c>
      <c r="AS12" s="185" t="str">
        <f>_xlfn.IFNA(VLOOKUP($AH12,Programma!$F$3:$Q$1101,12,0),"")</f>
        <v>1w</v>
      </c>
      <c r="AT12" s="185" t="str">
        <f>_xlfn.IFNA(VLOOKUP($AH12,Programma!$F$3:$R$1101,13,0),"")</f>
        <v>1w</v>
      </c>
      <c r="AU12" s="185" t="str">
        <f>_xlfn.IFNA(VLOOKUP($AH12,Programma!$F$3:$S$1101,14,0),"")</f>
        <v>1m</v>
      </c>
      <c r="AV12" s="185" t="str">
        <f>_xlfn.IFNA(VLOOKUP($AH12,Programma!$F$3:$T$1101,15,0),"")</f>
        <v>2j</v>
      </c>
      <c r="AW12" s="185" t="str">
        <f>_xlfn.IFNA(VLOOKUP($AH12,Programma!$F$3:$U$1101,16,0),"")</f>
        <v>1j</v>
      </c>
      <c r="AX12" s="185" t="str">
        <f>_xlfn.IFNA(VLOOKUP($AH12,Programma!$F$3:$V$1101,17,0),"")</f>
        <v>_</v>
      </c>
      <c r="AY12" s="185" t="str">
        <f>_xlfn.IFNA(VLOOKUP($AH12,Programma!$F$3:$W$1101,18,0),"")</f>
        <v>_</v>
      </c>
      <c r="AZ12" s="185" t="str">
        <f>_xlfn.IFNA(VLOOKUP($AH12,Programma!$F$3:$X$1101,19,0),"")</f>
        <v>_</v>
      </c>
      <c r="BA12" s="185" t="str">
        <f>_xlfn.IFNA(VLOOKUP($AH12,Programma!$F$3:$Y$1101,20,0),"")</f>
        <v>_</v>
      </c>
      <c r="BB12" s="182"/>
      <c r="BC12" s="181" t="str">
        <f>IF(Ruimtestaat[[#This Row],[Frequentie weekend]]="","",_xlfn.CONCAT(Ruimtestaat[[#This Row],[Ruimte code]],"-",Ruimtestaat[[#This Row],[Frequentie weekend]]," ",Ruimtestaat[[#This Row],[Vloer code]]))</f>
        <v/>
      </c>
      <c r="BD12" s="185" t="str">
        <f>_xlfn.IFNA(VLOOKUP($BC12,Programma!$F$3:$G$1101,2,0),"")</f>
        <v/>
      </c>
      <c r="BE12" s="185" t="str">
        <f>_xlfn.IFNA(VLOOKUP($BC12,Programma!$F$3:$H$1101,3,0),"")</f>
        <v/>
      </c>
      <c r="BF12" s="185" t="str">
        <f>_xlfn.IFNA(VLOOKUP($BC12,Programma!$F$3:$I$1101,4,0),"")</f>
        <v/>
      </c>
      <c r="BG12" s="185" t="str">
        <f>_xlfn.IFNA(VLOOKUP($BC12,Programma!$F$3:$J$1101,5,0),"")</f>
        <v/>
      </c>
      <c r="BH12" s="185" t="str">
        <f>_xlfn.IFNA(VLOOKUP($BC12,Programma!$F$3:$K$1101,6,0),"")</f>
        <v/>
      </c>
      <c r="BI12" s="185" t="str">
        <f>_xlfn.IFNA(VLOOKUP($BC12,Programma!$F$3:$L$1101,7,0),"")</f>
        <v/>
      </c>
      <c r="BJ12" s="185" t="str">
        <f>_xlfn.IFNA(VLOOKUP($BC12,Programma!$F$3:$M$1101,8,0),"")</f>
        <v/>
      </c>
      <c r="BK12" s="185" t="str">
        <f>_xlfn.IFNA(VLOOKUP($BC12,Programma!$F$3:$N$1101,9,0),"")</f>
        <v/>
      </c>
      <c r="BL12" s="185" t="str">
        <f>_xlfn.IFNA(VLOOKUP($BC12,Programma!$F$3:$O$1101,10,0),"")</f>
        <v/>
      </c>
      <c r="BM12" s="185" t="str">
        <f>_xlfn.IFNA(VLOOKUP($BC12,Programma!$F$3:$P$1101,11,0),"")</f>
        <v/>
      </c>
      <c r="BN12" s="185" t="str">
        <f>_xlfn.IFNA(VLOOKUP($BC12,Programma!$F$3:$Q$1101,12,0),"")</f>
        <v/>
      </c>
      <c r="BO12" s="185" t="str">
        <f>_xlfn.IFNA(VLOOKUP($BC12,Programma!$F$3:$R$1101,13,0),"")</f>
        <v/>
      </c>
      <c r="BP12" s="185" t="str">
        <f>_xlfn.IFNA(VLOOKUP($BC12,Programma!$F$3:$S$1101,14,0),"")</f>
        <v/>
      </c>
      <c r="BQ12" s="185" t="str">
        <f>_xlfn.IFNA(VLOOKUP($BC12,Programma!$F$3:$T$1101,15,0),"")</f>
        <v/>
      </c>
      <c r="BR12" s="185" t="str">
        <f>_xlfn.IFNA(VLOOKUP($BC12,Programma!$F$3:$U$1101,16,0),"")</f>
        <v/>
      </c>
      <c r="BS12" s="185" t="str">
        <f>_xlfn.IFNA(VLOOKUP($BC12,Programma!$F$3:$V$1101,17,0),"")</f>
        <v/>
      </c>
      <c r="BT12" s="185" t="str">
        <f>_xlfn.IFNA(VLOOKUP($BC12,Programma!$F$3:$W$1101,18,0),"")</f>
        <v/>
      </c>
      <c r="BU12" s="185" t="str">
        <f>_xlfn.IFNA(VLOOKUP($BC12,Programma!$F$3:$X$1101,19,0),"")</f>
        <v/>
      </c>
      <c r="BV12" s="185" t="str">
        <f>_xlfn.IFNA(VLOOKUP($BC12,Programma!$F$3:$Y$1101,20,0),"")</f>
        <v/>
      </c>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8"/>
      <c r="FZ12" s="78"/>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row>
    <row r="13" spans="1:220" ht="15" customHeight="1">
      <c r="A13" s="149">
        <v>1</v>
      </c>
      <c r="B13" s="176" t="str">
        <f>VLOOKUP(Ruimtestaat[[#This Row],[Code]],Locaties[[Code]:[Locatie]],2,FALSE)</f>
        <v xml:space="preserve">OBS Molenbeek </v>
      </c>
      <c r="C13" s="176" t="str">
        <f>VLOOKUP(Ruimtestaat[[#This Row],[Code]],Locaties[[#All],[Code]:[Adres]],4,FALSE)</f>
        <v>Boekelerschoolpad 1</v>
      </c>
      <c r="D13" s="176" t="str">
        <f>VLOOKUP(Ruimtestaat[[#This Row],[Code]],Locaties[[#All],[Code]:[Postcode]],5,FALSE)</f>
        <v>7548 AH</v>
      </c>
      <c r="E13" s="176" t="str">
        <f>VLOOKUP(Ruimtestaat[[#This Row],[Code]],Locaties[#All],6,FALSE)</f>
        <v>Boekelo</v>
      </c>
      <c r="F13" s="149"/>
      <c r="G13" s="149" t="s">
        <v>1646</v>
      </c>
      <c r="H13" s="302" t="s">
        <v>1659</v>
      </c>
      <c r="I13" s="301" t="s">
        <v>1651</v>
      </c>
      <c r="J13" s="149">
        <v>16</v>
      </c>
      <c r="K13" s="183" t="str">
        <f>VLOOKUP(Ruimtestaat[[#This Row],[Ruimte code]],Ruimtegroepen[[#All],[Code]:[Ruimte omschrijving]],2,FALSE)</f>
        <v>Leslokalen</v>
      </c>
      <c r="L13" s="149" t="s">
        <v>102</v>
      </c>
      <c r="M13" s="301" t="s">
        <v>120</v>
      </c>
      <c r="N13" s="177">
        <v>56.3</v>
      </c>
      <c r="O13" s="177"/>
      <c r="P13" s="178" t="str">
        <f>VLOOKUP(Ruimtestaat[[#This Row],[Ruimte code]],Ruimtegroepen[],4,FALSE)</f>
        <v>Le</v>
      </c>
      <c r="Q13" s="149">
        <v>40</v>
      </c>
      <c r="R13" s="149" t="s">
        <v>2</v>
      </c>
      <c r="S13" s="149">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 s="149">
        <f>IF(S13&gt;0,VLOOKUP($J13,Ruimtegroepen[],3,FALSE)*VLOOKUP($L13,Vloersoorten[],3,FALSE)*VLOOKUP($R13,Frequenties[],3,FALSE)*VLOOKUP($A13,Locaties[],3,FALSE),0)</f>
        <v>0</v>
      </c>
      <c r="U13" s="149">
        <f>Ruimtestaat[[#This Row],[Uitvoeringen werkdagen]]*Ruimtestaat[[#This Row],[Oppervlak (netto)]]</f>
        <v>11260</v>
      </c>
      <c r="V13" s="179">
        <f>IF(T13&gt;0,Ruimtestaat[[#This Row],[Prest. (m2 /jaar) werkdagen]]/Ruimtestaat[[#This Row],[Norm (m2/uur) werkdagen]],0)</f>
        <v>0</v>
      </c>
      <c r="W13" s="180">
        <f>Ruimtestaat[[#This Row],[uren / jaar werkdagen]]*Tariefsopbouw!$E$35</f>
        <v>0</v>
      </c>
      <c r="X13" s="149"/>
      <c r="Y13" s="149">
        <f>IF(Ruimtestaat[[#This Row],[Frequentie weekend]]&gt;0,VALUE(LEFT(X13,1))*Q13,0)</f>
        <v>0</v>
      </c>
      <c r="Z13" s="148">
        <f>IF($Y13&gt;0,VLOOKUP($J13,Ruimtegroepen[],3,FALSE)*VLOOKUP($L13,Vloersoorten[],3,FALSE)*VLOOKUP($X13,Frequenties[],3,FALSE)*VLOOKUP(#REF!,Locaties[],3,FALSE),0)</f>
        <v>0</v>
      </c>
      <c r="AA13" s="148">
        <f>Ruimtestaat[[#This Row],[Uitvoeringen weekend]]*Ruimtestaat[[#This Row],[Oppervlak (netto)]]</f>
        <v>0</v>
      </c>
      <c r="AB13" s="148">
        <f>IF(Z13&gt;0,Ruimtestaat[[#This Row],[Prest. (m2 /jaar) weekend]]/Ruimtestaat[[#This Row],[Norm (m2/uur) weekend]],0)</f>
        <v>0</v>
      </c>
      <c r="AC13" s="180">
        <f>Ruimtestaat[[#This Row],[uren / jaar weekend]]*Tariefsopbouw!$D$40</f>
        <v>0</v>
      </c>
      <c r="AD13" s="179">
        <f>Ruimtestaat[[#This Row],[Prest. (m2 /jaar) weekend]]+Ruimtestaat[[#This Row],[Prest. (m2 /jaar) werkdagen]]</f>
        <v>11260</v>
      </c>
      <c r="AE13" s="179">
        <f>Ruimtestaat[[#This Row],[uren / jaar weekend]]+Ruimtestaat[[#This Row],[uren / jaar werkdagen]]</f>
        <v>0</v>
      </c>
      <c r="AF13" s="174">
        <f>Ruimtestaat[[#This Row],[kosten / jaar weekend]]+Ruimtestaat[[#This Row],[kosten / jaar werkdagen]]</f>
        <v>0</v>
      </c>
      <c r="AG13" s="174"/>
      <c r="AH13" s="181" t="str">
        <f>IF(Ruimtestaat[[#This Row],[Frequentie werkdagen]]="","",_xlfn.CONCAT(Ruimtestaat[[#This Row],[Ruimte code]],"-",Ruimtestaat[[#This Row],[Frequentie werkdagen]]," ",Ruimtestaat[[#This Row],[Vloer code]]))</f>
        <v>16-5w P</v>
      </c>
      <c r="AI13" s="185" t="str">
        <f>_xlfn.IFNA(VLOOKUP($AH13,Programma!$F$3:$G$1101,2,0),"")</f>
        <v>_</v>
      </c>
      <c r="AJ13" s="185" t="str">
        <f>_xlfn.IFNA(VLOOKUP($AH13,Programma!$F$3:$H$1101,3,0),"")</f>
        <v>_</v>
      </c>
      <c r="AK13" s="185" t="str">
        <f>_xlfn.IFNA(VLOOKUP($AH13,Programma!$F$3:$I$1101,4,0),"")</f>
        <v>4w</v>
      </c>
      <c r="AL13" s="185" t="str">
        <f>_xlfn.IFNA(VLOOKUP($AH13,Programma!$F$3:$J$1101,5,0),"")</f>
        <v>1w</v>
      </c>
      <c r="AM13" s="185" t="str">
        <f>_xlfn.IFNA(VLOOKUP($AH13,Programma!$F$3:$K$1101,6,0),"")</f>
        <v>1m</v>
      </c>
      <c r="AN13" s="185" t="str">
        <f>_xlfn.IFNA(VLOOKUP($AH13,Programma!$F$3:$L$1101,7,0),"")</f>
        <v>_</v>
      </c>
      <c r="AO13" s="185" t="str">
        <f>_xlfn.IFNA(VLOOKUP($AH13,Programma!$F$3:$M$1101,8,0),"")</f>
        <v>_</v>
      </c>
      <c r="AP13" s="185" t="str">
        <f>_xlfn.IFNA(VLOOKUP($AH13,Programma!$F$3:$N$1101,9,0),"")</f>
        <v>_</v>
      </c>
      <c r="AQ13" s="185" t="str">
        <f>_xlfn.IFNA(VLOOKUP($AH13,Programma!$F$3:$O$1101,10,0),"")</f>
        <v>5w</v>
      </c>
      <c r="AR13" s="185" t="str">
        <f>_xlfn.IFNA(VLOOKUP($AH13,Programma!$F$3:$P$1101,11,0),"")</f>
        <v>5w</v>
      </c>
      <c r="AS13" s="185" t="str">
        <f>_xlfn.IFNA(VLOOKUP($AH13,Programma!$F$3:$Q$1101,12,0),"")</f>
        <v>1w</v>
      </c>
      <c r="AT13" s="185" t="str">
        <f>_xlfn.IFNA(VLOOKUP($AH13,Programma!$F$3:$R$1101,13,0),"")</f>
        <v>1w</v>
      </c>
      <c r="AU13" s="185" t="str">
        <f>_xlfn.IFNA(VLOOKUP($AH13,Programma!$F$3:$S$1101,14,0),"")</f>
        <v>1m</v>
      </c>
      <c r="AV13" s="185" t="str">
        <f>_xlfn.IFNA(VLOOKUP($AH13,Programma!$F$3:$T$1101,15,0),"")</f>
        <v>2j</v>
      </c>
      <c r="AW13" s="185" t="str">
        <f>_xlfn.IFNA(VLOOKUP($AH13,Programma!$F$3:$U$1101,16,0),"")</f>
        <v>1j</v>
      </c>
      <c r="AX13" s="185" t="str">
        <f>_xlfn.IFNA(VLOOKUP($AH13,Programma!$F$3:$V$1101,17,0),"")</f>
        <v>_</v>
      </c>
      <c r="AY13" s="185" t="str">
        <f>_xlfn.IFNA(VLOOKUP($AH13,Programma!$F$3:$W$1101,18,0),"")</f>
        <v>_</v>
      </c>
      <c r="AZ13" s="185" t="str">
        <f>_xlfn.IFNA(VLOOKUP($AH13,Programma!$F$3:$X$1101,19,0),"")</f>
        <v>_</v>
      </c>
      <c r="BA13" s="185" t="str">
        <f>_xlfn.IFNA(VLOOKUP($AH13,Programma!$F$3:$Y$1101,20,0),"")</f>
        <v>_</v>
      </c>
      <c r="BB13" s="182"/>
      <c r="BC13" s="181" t="str">
        <f>IF(Ruimtestaat[[#This Row],[Frequentie weekend]]="","",_xlfn.CONCAT(Ruimtestaat[[#This Row],[Ruimte code]],"-",Ruimtestaat[[#This Row],[Frequentie weekend]]," ",Ruimtestaat[[#This Row],[Vloer code]]))</f>
        <v/>
      </c>
      <c r="BD13" s="185" t="str">
        <f>_xlfn.IFNA(VLOOKUP($BC13,Programma!$F$3:$G$1101,2,0),"")</f>
        <v/>
      </c>
      <c r="BE13" s="185" t="str">
        <f>_xlfn.IFNA(VLOOKUP($BC13,Programma!$F$3:$H$1101,3,0),"")</f>
        <v/>
      </c>
      <c r="BF13" s="185" t="str">
        <f>_xlfn.IFNA(VLOOKUP($BC13,Programma!$F$3:$I$1101,4,0),"")</f>
        <v/>
      </c>
      <c r="BG13" s="185" t="str">
        <f>_xlfn.IFNA(VLOOKUP($BC13,Programma!$F$3:$J$1101,5,0),"")</f>
        <v/>
      </c>
      <c r="BH13" s="185" t="str">
        <f>_xlfn.IFNA(VLOOKUP($BC13,Programma!$F$3:$K$1101,6,0),"")</f>
        <v/>
      </c>
      <c r="BI13" s="185" t="str">
        <f>_xlfn.IFNA(VLOOKUP($BC13,Programma!$F$3:$L$1101,7,0),"")</f>
        <v/>
      </c>
      <c r="BJ13" s="185" t="str">
        <f>_xlfn.IFNA(VLOOKUP($BC13,Programma!$F$3:$M$1101,8,0),"")</f>
        <v/>
      </c>
      <c r="BK13" s="185" t="str">
        <f>_xlfn.IFNA(VLOOKUP($BC13,Programma!$F$3:$N$1101,9,0),"")</f>
        <v/>
      </c>
      <c r="BL13" s="185" t="str">
        <f>_xlfn.IFNA(VLOOKUP($BC13,Programma!$F$3:$O$1101,10,0),"")</f>
        <v/>
      </c>
      <c r="BM13" s="185" t="str">
        <f>_xlfn.IFNA(VLOOKUP($BC13,Programma!$F$3:$P$1101,11,0),"")</f>
        <v/>
      </c>
      <c r="BN13" s="185" t="str">
        <f>_xlfn.IFNA(VLOOKUP($BC13,Programma!$F$3:$Q$1101,12,0),"")</f>
        <v/>
      </c>
      <c r="BO13" s="185" t="str">
        <f>_xlfn.IFNA(VLOOKUP($BC13,Programma!$F$3:$R$1101,13,0),"")</f>
        <v/>
      </c>
      <c r="BP13" s="185" t="str">
        <f>_xlfn.IFNA(VLOOKUP($BC13,Programma!$F$3:$S$1101,14,0),"")</f>
        <v/>
      </c>
      <c r="BQ13" s="185" t="str">
        <f>_xlfn.IFNA(VLOOKUP($BC13,Programma!$F$3:$T$1101,15,0),"")</f>
        <v/>
      </c>
      <c r="BR13" s="185" t="str">
        <f>_xlfn.IFNA(VLOOKUP($BC13,Programma!$F$3:$U$1101,16,0),"")</f>
        <v/>
      </c>
      <c r="BS13" s="185" t="str">
        <f>_xlfn.IFNA(VLOOKUP($BC13,Programma!$F$3:$V$1101,17,0),"")</f>
        <v/>
      </c>
      <c r="BT13" s="185" t="str">
        <f>_xlfn.IFNA(VLOOKUP($BC13,Programma!$F$3:$W$1101,18,0),"")</f>
        <v/>
      </c>
      <c r="BU13" s="185" t="str">
        <f>_xlfn.IFNA(VLOOKUP($BC13,Programma!$F$3:$X$1101,19,0),"")</f>
        <v/>
      </c>
      <c r="BV13" s="185" t="str">
        <f>_xlfn.IFNA(VLOOKUP($BC13,Programma!$F$3:$Y$1101,20,0),"")</f>
        <v/>
      </c>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c r="EQ13" s="78"/>
      <c r="ER13" s="78"/>
      <c r="ES13" s="78"/>
      <c r="ET13" s="78"/>
      <c r="EU13" s="78"/>
      <c r="EV13" s="78"/>
      <c r="EW13" s="78"/>
      <c r="EX13" s="78"/>
      <c r="EY13" s="78"/>
      <c r="EZ13" s="78"/>
      <c r="FA13" s="78"/>
      <c r="FB13" s="78"/>
      <c r="FC13" s="78"/>
      <c r="FD13" s="78"/>
      <c r="FE13" s="78"/>
      <c r="FF13" s="78"/>
      <c r="FG13" s="78"/>
      <c r="FH13" s="78"/>
      <c r="FI13" s="78"/>
      <c r="FJ13" s="78"/>
      <c r="FK13" s="78"/>
      <c r="FL13" s="78"/>
      <c r="FM13" s="78"/>
      <c r="FN13" s="78"/>
      <c r="FO13" s="78"/>
      <c r="FP13" s="78"/>
      <c r="FQ13" s="78"/>
      <c r="FR13" s="78"/>
      <c r="FS13" s="78"/>
      <c r="FT13" s="78"/>
      <c r="FU13" s="78"/>
      <c r="FV13" s="78"/>
      <c r="FW13" s="78"/>
      <c r="FX13" s="78"/>
      <c r="FY13" s="78"/>
      <c r="FZ13" s="78"/>
      <c r="GA13" s="78"/>
      <c r="GB13" s="78"/>
      <c r="GC13" s="78"/>
      <c r="GD13" s="78"/>
      <c r="GE13" s="78"/>
      <c r="GF13" s="78"/>
      <c r="GG13" s="78"/>
      <c r="GH13" s="78"/>
      <c r="GI13" s="78"/>
      <c r="GJ13" s="78"/>
      <c r="GK13" s="78"/>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row>
    <row r="14" spans="1:220" ht="15" customHeight="1">
      <c r="A14" s="149">
        <v>1</v>
      </c>
      <c r="B14" s="176" t="str">
        <f>VLOOKUP(Ruimtestaat[[#This Row],[Code]],Locaties[[Code]:[Locatie]],2,FALSE)</f>
        <v xml:space="preserve">OBS Molenbeek </v>
      </c>
      <c r="C14" s="176" t="str">
        <f>VLOOKUP(Ruimtestaat[[#This Row],[Code]],Locaties[[#All],[Code]:[Adres]],4,FALSE)</f>
        <v>Boekelerschoolpad 1</v>
      </c>
      <c r="D14" s="176" t="str">
        <f>VLOOKUP(Ruimtestaat[[#This Row],[Code]],Locaties[[#All],[Code]:[Postcode]],5,FALSE)</f>
        <v>7548 AH</v>
      </c>
      <c r="E14" s="176" t="str">
        <f>VLOOKUP(Ruimtestaat[[#This Row],[Code]],Locaties[#All],6,FALSE)</f>
        <v>Boekelo</v>
      </c>
      <c r="F14" s="149"/>
      <c r="G14" s="149" t="s">
        <v>1646</v>
      </c>
      <c r="H14" s="302" t="s">
        <v>1660</v>
      </c>
      <c r="I14" s="301" t="s">
        <v>1651</v>
      </c>
      <c r="J14" s="149">
        <v>16</v>
      </c>
      <c r="K14" s="183" t="str">
        <f>VLOOKUP(Ruimtestaat[[#This Row],[Ruimte code]],Ruimtegroepen[[#All],[Code]:[Ruimte omschrijving]],2,FALSE)</f>
        <v>Leslokalen</v>
      </c>
      <c r="L14" s="149" t="s">
        <v>102</v>
      </c>
      <c r="M14" s="301" t="s">
        <v>120</v>
      </c>
      <c r="N14" s="177">
        <v>54.4</v>
      </c>
      <c r="O14" s="177"/>
      <c r="P14" s="178" t="str">
        <f>VLOOKUP(Ruimtestaat[[#This Row],[Ruimte code]],Ruimtegroepen[],4,FALSE)</f>
        <v>Le</v>
      </c>
      <c r="Q14" s="149">
        <v>40</v>
      </c>
      <c r="R14" s="149" t="s">
        <v>2</v>
      </c>
      <c r="S14" s="149">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149">
        <f>IF(S14&gt;0,VLOOKUP($J14,Ruimtegroepen[],3,FALSE)*VLOOKUP($L14,Vloersoorten[],3,FALSE)*VLOOKUP($R14,Frequenties[],3,FALSE)*VLOOKUP($A14,Locaties[],3,FALSE),0)</f>
        <v>0</v>
      </c>
      <c r="U14" s="149">
        <f>Ruimtestaat[[#This Row],[Uitvoeringen werkdagen]]*Ruimtestaat[[#This Row],[Oppervlak (netto)]]</f>
        <v>10880</v>
      </c>
      <c r="V14" s="179">
        <f>IF(T14&gt;0,Ruimtestaat[[#This Row],[Prest. (m2 /jaar) werkdagen]]/Ruimtestaat[[#This Row],[Norm (m2/uur) werkdagen]],0)</f>
        <v>0</v>
      </c>
      <c r="W14" s="180">
        <f>Ruimtestaat[[#This Row],[uren / jaar werkdagen]]*Tariefsopbouw!$E$35</f>
        <v>0</v>
      </c>
      <c r="X14" s="149"/>
      <c r="Y14" s="149">
        <f>IF(Ruimtestaat[[#This Row],[Frequentie weekend]]&gt;0,VALUE(LEFT(X14,1))*Q14,0)</f>
        <v>0</v>
      </c>
      <c r="Z14" s="148">
        <f>IF($Y14&gt;0,VLOOKUP($J14,Ruimtegroepen[],3,FALSE)*VLOOKUP($L14,Vloersoorten[],3,FALSE)*VLOOKUP($X14,Frequenties[],3,FALSE)*VLOOKUP(#REF!,Locaties[],3,FALSE),0)</f>
        <v>0</v>
      </c>
      <c r="AA14" s="148">
        <f>Ruimtestaat[[#This Row],[Uitvoeringen weekend]]*Ruimtestaat[[#This Row],[Oppervlak (netto)]]</f>
        <v>0</v>
      </c>
      <c r="AB14" s="148">
        <f>IF(Z14&gt;0,Ruimtestaat[[#This Row],[Prest. (m2 /jaar) weekend]]/Ruimtestaat[[#This Row],[Norm (m2/uur) weekend]],0)</f>
        <v>0</v>
      </c>
      <c r="AC14" s="180">
        <f>Ruimtestaat[[#This Row],[uren / jaar weekend]]*Tariefsopbouw!$D$40</f>
        <v>0</v>
      </c>
      <c r="AD14" s="179">
        <f>Ruimtestaat[[#This Row],[Prest. (m2 /jaar) weekend]]+Ruimtestaat[[#This Row],[Prest. (m2 /jaar) werkdagen]]</f>
        <v>10880</v>
      </c>
      <c r="AE14" s="179">
        <f>Ruimtestaat[[#This Row],[uren / jaar weekend]]+Ruimtestaat[[#This Row],[uren / jaar werkdagen]]</f>
        <v>0</v>
      </c>
      <c r="AF14" s="174">
        <f>Ruimtestaat[[#This Row],[kosten / jaar weekend]]+Ruimtestaat[[#This Row],[kosten / jaar werkdagen]]</f>
        <v>0</v>
      </c>
      <c r="AG14" s="174"/>
      <c r="AH14" s="181" t="str">
        <f>IF(Ruimtestaat[[#This Row],[Frequentie werkdagen]]="","",_xlfn.CONCAT(Ruimtestaat[[#This Row],[Ruimte code]],"-",Ruimtestaat[[#This Row],[Frequentie werkdagen]]," ",Ruimtestaat[[#This Row],[Vloer code]]))</f>
        <v>16-5w P</v>
      </c>
      <c r="AI14" s="185" t="str">
        <f>_xlfn.IFNA(VLOOKUP($AH14,Programma!$F$3:$G$1101,2,0),"")</f>
        <v>_</v>
      </c>
      <c r="AJ14" s="185" t="str">
        <f>_xlfn.IFNA(VLOOKUP($AH14,Programma!$F$3:$H$1101,3,0),"")</f>
        <v>_</v>
      </c>
      <c r="AK14" s="185" t="str">
        <f>_xlfn.IFNA(VLOOKUP($AH14,Programma!$F$3:$I$1101,4,0),"")</f>
        <v>4w</v>
      </c>
      <c r="AL14" s="185" t="str">
        <f>_xlfn.IFNA(VLOOKUP($AH14,Programma!$F$3:$J$1101,5,0),"")</f>
        <v>1w</v>
      </c>
      <c r="AM14" s="185" t="str">
        <f>_xlfn.IFNA(VLOOKUP($AH14,Programma!$F$3:$K$1101,6,0),"")</f>
        <v>1m</v>
      </c>
      <c r="AN14" s="185" t="str">
        <f>_xlfn.IFNA(VLOOKUP($AH14,Programma!$F$3:$L$1101,7,0),"")</f>
        <v>_</v>
      </c>
      <c r="AO14" s="185" t="str">
        <f>_xlfn.IFNA(VLOOKUP($AH14,Programma!$F$3:$M$1101,8,0),"")</f>
        <v>_</v>
      </c>
      <c r="AP14" s="185" t="str">
        <f>_xlfn.IFNA(VLOOKUP($AH14,Programma!$F$3:$N$1101,9,0),"")</f>
        <v>_</v>
      </c>
      <c r="AQ14" s="185" t="str">
        <f>_xlfn.IFNA(VLOOKUP($AH14,Programma!$F$3:$O$1101,10,0),"")</f>
        <v>5w</v>
      </c>
      <c r="AR14" s="185" t="str">
        <f>_xlfn.IFNA(VLOOKUP($AH14,Programma!$F$3:$P$1101,11,0),"")</f>
        <v>5w</v>
      </c>
      <c r="AS14" s="185" t="str">
        <f>_xlfn.IFNA(VLOOKUP($AH14,Programma!$F$3:$Q$1101,12,0),"")</f>
        <v>1w</v>
      </c>
      <c r="AT14" s="185" t="str">
        <f>_xlfn.IFNA(VLOOKUP($AH14,Programma!$F$3:$R$1101,13,0),"")</f>
        <v>1w</v>
      </c>
      <c r="AU14" s="185" t="str">
        <f>_xlfn.IFNA(VLOOKUP($AH14,Programma!$F$3:$S$1101,14,0),"")</f>
        <v>1m</v>
      </c>
      <c r="AV14" s="185" t="str">
        <f>_xlfn.IFNA(VLOOKUP($AH14,Programma!$F$3:$T$1101,15,0),"")</f>
        <v>2j</v>
      </c>
      <c r="AW14" s="185" t="str">
        <f>_xlfn.IFNA(VLOOKUP($AH14,Programma!$F$3:$U$1101,16,0),"")</f>
        <v>1j</v>
      </c>
      <c r="AX14" s="185" t="str">
        <f>_xlfn.IFNA(VLOOKUP($AH14,Programma!$F$3:$V$1101,17,0),"")</f>
        <v>_</v>
      </c>
      <c r="AY14" s="185" t="str">
        <f>_xlfn.IFNA(VLOOKUP($AH14,Programma!$F$3:$W$1101,18,0),"")</f>
        <v>_</v>
      </c>
      <c r="AZ14" s="185" t="str">
        <f>_xlfn.IFNA(VLOOKUP($AH14,Programma!$F$3:$X$1101,19,0),"")</f>
        <v>_</v>
      </c>
      <c r="BA14" s="185" t="str">
        <f>_xlfn.IFNA(VLOOKUP($AH14,Programma!$F$3:$Y$1101,20,0),"")</f>
        <v>_</v>
      </c>
      <c r="BB14" s="182"/>
      <c r="BC14" s="181" t="str">
        <f>IF(Ruimtestaat[[#This Row],[Frequentie weekend]]="","",_xlfn.CONCAT(Ruimtestaat[[#This Row],[Ruimte code]],"-",Ruimtestaat[[#This Row],[Frequentie weekend]]," ",Ruimtestaat[[#This Row],[Vloer code]]))</f>
        <v/>
      </c>
      <c r="BD14" s="185" t="str">
        <f>_xlfn.IFNA(VLOOKUP($BC14,Programma!$F$3:$G$1101,2,0),"")</f>
        <v/>
      </c>
      <c r="BE14" s="185" t="str">
        <f>_xlfn.IFNA(VLOOKUP($BC14,Programma!$F$3:$H$1101,3,0),"")</f>
        <v/>
      </c>
      <c r="BF14" s="185" t="str">
        <f>_xlfn.IFNA(VLOOKUP($BC14,Programma!$F$3:$I$1101,4,0),"")</f>
        <v/>
      </c>
      <c r="BG14" s="185" t="str">
        <f>_xlfn.IFNA(VLOOKUP($BC14,Programma!$F$3:$J$1101,5,0),"")</f>
        <v/>
      </c>
      <c r="BH14" s="185" t="str">
        <f>_xlfn.IFNA(VLOOKUP($BC14,Programma!$F$3:$K$1101,6,0),"")</f>
        <v/>
      </c>
      <c r="BI14" s="185" t="str">
        <f>_xlfn.IFNA(VLOOKUP($BC14,Programma!$F$3:$L$1101,7,0),"")</f>
        <v/>
      </c>
      <c r="BJ14" s="185" t="str">
        <f>_xlfn.IFNA(VLOOKUP($BC14,Programma!$F$3:$M$1101,8,0),"")</f>
        <v/>
      </c>
      <c r="BK14" s="185" t="str">
        <f>_xlfn.IFNA(VLOOKUP($BC14,Programma!$F$3:$N$1101,9,0),"")</f>
        <v/>
      </c>
      <c r="BL14" s="185" t="str">
        <f>_xlfn.IFNA(VLOOKUP($BC14,Programma!$F$3:$O$1101,10,0),"")</f>
        <v/>
      </c>
      <c r="BM14" s="185" t="str">
        <f>_xlfn.IFNA(VLOOKUP($BC14,Programma!$F$3:$P$1101,11,0),"")</f>
        <v/>
      </c>
      <c r="BN14" s="185" t="str">
        <f>_xlfn.IFNA(VLOOKUP($BC14,Programma!$F$3:$Q$1101,12,0),"")</f>
        <v/>
      </c>
      <c r="BO14" s="185" t="str">
        <f>_xlfn.IFNA(VLOOKUP($BC14,Programma!$F$3:$R$1101,13,0),"")</f>
        <v/>
      </c>
      <c r="BP14" s="185" t="str">
        <f>_xlfn.IFNA(VLOOKUP($BC14,Programma!$F$3:$S$1101,14,0),"")</f>
        <v/>
      </c>
      <c r="BQ14" s="185" t="str">
        <f>_xlfn.IFNA(VLOOKUP($BC14,Programma!$F$3:$T$1101,15,0),"")</f>
        <v/>
      </c>
      <c r="BR14" s="185" t="str">
        <f>_xlfn.IFNA(VLOOKUP($BC14,Programma!$F$3:$U$1101,16,0),"")</f>
        <v/>
      </c>
      <c r="BS14" s="185" t="str">
        <f>_xlfn.IFNA(VLOOKUP($BC14,Programma!$F$3:$V$1101,17,0),"")</f>
        <v/>
      </c>
      <c r="BT14" s="185" t="str">
        <f>_xlfn.IFNA(VLOOKUP($BC14,Programma!$F$3:$W$1101,18,0),"")</f>
        <v/>
      </c>
      <c r="BU14" s="185" t="str">
        <f>_xlfn.IFNA(VLOOKUP($BC14,Programma!$F$3:$X$1101,19,0),"")</f>
        <v/>
      </c>
      <c r="BV14" s="185" t="str">
        <f>_xlfn.IFNA(VLOOKUP($BC14,Programma!$F$3:$Y$1101,20,0),"")</f>
        <v/>
      </c>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c r="EQ14" s="78"/>
      <c r="ER14" s="78"/>
      <c r="ES14" s="78"/>
      <c r="ET14" s="78"/>
      <c r="EU14" s="78"/>
      <c r="EV14" s="78"/>
      <c r="EW14" s="78"/>
      <c r="EX14" s="78"/>
      <c r="EY14" s="78"/>
      <c r="EZ14" s="78"/>
      <c r="FA14" s="78"/>
      <c r="FB14" s="78"/>
      <c r="FC14" s="78"/>
      <c r="FD14" s="78"/>
      <c r="FE14" s="78"/>
      <c r="FF14" s="78"/>
      <c r="FG14" s="78"/>
      <c r="FH14" s="78"/>
      <c r="FI14" s="78"/>
      <c r="FJ14" s="78"/>
      <c r="FK14" s="78"/>
      <c r="FL14" s="78"/>
      <c r="FM14" s="78"/>
      <c r="FN14" s="78"/>
      <c r="FO14" s="78"/>
      <c r="FP14" s="78"/>
      <c r="FQ14" s="78"/>
      <c r="FR14" s="78"/>
      <c r="FS14" s="78"/>
      <c r="FT14" s="78"/>
      <c r="FU14" s="78"/>
      <c r="FV14" s="78"/>
      <c r="FW14" s="78"/>
      <c r="FX14" s="78"/>
      <c r="FY14" s="78"/>
      <c r="FZ14" s="78"/>
      <c r="GA14" s="78"/>
      <c r="GB14" s="78"/>
      <c r="GC14" s="78"/>
      <c r="GD14" s="78"/>
      <c r="GE14" s="78"/>
      <c r="GF14" s="78"/>
      <c r="GG14" s="78"/>
      <c r="GH14" s="78"/>
      <c r="GI14" s="78"/>
      <c r="GJ14" s="78"/>
      <c r="GK14" s="78"/>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row>
    <row r="15" spans="1:220" ht="15" customHeight="1">
      <c r="A15" s="149">
        <v>1</v>
      </c>
      <c r="B15" s="176" t="str">
        <f>VLOOKUP(Ruimtestaat[[#This Row],[Code]],Locaties[[Code]:[Locatie]],2,FALSE)</f>
        <v xml:space="preserve">OBS Molenbeek </v>
      </c>
      <c r="C15" s="176" t="str">
        <f>VLOOKUP(Ruimtestaat[[#This Row],[Code]],Locaties[[#All],[Code]:[Adres]],4,FALSE)</f>
        <v>Boekelerschoolpad 1</v>
      </c>
      <c r="D15" s="176" t="str">
        <f>VLOOKUP(Ruimtestaat[[#This Row],[Code]],Locaties[[#All],[Code]:[Postcode]],5,FALSE)</f>
        <v>7548 AH</v>
      </c>
      <c r="E15" s="176" t="str">
        <f>VLOOKUP(Ruimtestaat[[#This Row],[Code]],Locaties[#All],6,FALSE)</f>
        <v>Boekelo</v>
      </c>
      <c r="F15" s="149"/>
      <c r="G15" s="149" t="s">
        <v>1646</v>
      </c>
      <c r="H15" s="302" t="s">
        <v>1661</v>
      </c>
      <c r="I15" s="301" t="s">
        <v>1651</v>
      </c>
      <c r="J15" s="149">
        <v>16</v>
      </c>
      <c r="K15" s="183" t="str">
        <f>VLOOKUP(Ruimtestaat[[#This Row],[Ruimte code]],Ruimtegroepen[[#All],[Code]:[Ruimte omschrijving]],2,FALSE)</f>
        <v>Leslokalen</v>
      </c>
      <c r="L15" s="149" t="s">
        <v>102</v>
      </c>
      <c r="M15" s="301" t="s">
        <v>120</v>
      </c>
      <c r="N15" s="177">
        <v>57</v>
      </c>
      <c r="O15" s="177"/>
      <c r="P15" s="178" t="str">
        <f>VLOOKUP(Ruimtestaat[[#This Row],[Ruimte code]],Ruimtegroepen[],4,FALSE)</f>
        <v>Le</v>
      </c>
      <c r="Q15" s="149">
        <v>40</v>
      </c>
      <c r="R15" s="149" t="s">
        <v>2</v>
      </c>
      <c r="S15" s="149">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 s="149">
        <f>IF(S15&gt;0,VLOOKUP($J15,Ruimtegroepen[],3,FALSE)*VLOOKUP($L15,Vloersoorten[],3,FALSE)*VLOOKUP($R15,Frequenties[],3,FALSE)*VLOOKUP($A15,Locaties[],3,FALSE),0)</f>
        <v>0</v>
      </c>
      <c r="U15" s="149">
        <f>Ruimtestaat[[#This Row],[Uitvoeringen werkdagen]]*Ruimtestaat[[#This Row],[Oppervlak (netto)]]</f>
        <v>11400</v>
      </c>
      <c r="V15" s="179">
        <f>IF(T15&gt;0,Ruimtestaat[[#This Row],[Prest. (m2 /jaar) werkdagen]]/Ruimtestaat[[#This Row],[Norm (m2/uur) werkdagen]],0)</f>
        <v>0</v>
      </c>
      <c r="W15" s="180">
        <f>Ruimtestaat[[#This Row],[uren / jaar werkdagen]]*Tariefsopbouw!$E$35</f>
        <v>0</v>
      </c>
      <c r="X15" s="149"/>
      <c r="Y15" s="149">
        <f>IF(Ruimtestaat[[#This Row],[Frequentie weekend]]&gt;0,VALUE(LEFT(X15,1))*Q15,0)</f>
        <v>0</v>
      </c>
      <c r="Z15" s="148">
        <f>IF($Y15&gt;0,VLOOKUP($J15,Ruimtegroepen[],3,FALSE)*VLOOKUP($L15,Vloersoorten[],3,FALSE)*VLOOKUP($X15,Frequenties[],3,FALSE)*VLOOKUP(#REF!,Locaties[],3,FALSE),0)</f>
        <v>0</v>
      </c>
      <c r="AA15" s="148">
        <f>Ruimtestaat[[#This Row],[Uitvoeringen weekend]]*Ruimtestaat[[#This Row],[Oppervlak (netto)]]</f>
        <v>0</v>
      </c>
      <c r="AB15" s="148">
        <f>IF(Z15&gt;0,Ruimtestaat[[#This Row],[Prest. (m2 /jaar) weekend]]/Ruimtestaat[[#This Row],[Norm (m2/uur) weekend]],0)</f>
        <v>0</v>
      </c>
      <c r="AC15" s="180">
        <f>Ruimtestaat[[#This Row],[uren / jaar weekend]]*Tariefsopbouw!$D$40</f>
        <v>0</v>
      </c>
      <c r="AD15" s="179">
        <f>Ruimtestaat[[#This Row],[Prest. (m2 /jaar) weekend]]+Ruimtestaat[[#This Row],[Prest. (m2 /jaar) werkdagen]]</f>
        <v>11400</v>
      </c>
      <c r="AE15" s="179">
        <f>Ruimtestaat[[#This Row],[uren / jaar weekend]]+Ruimtestaat[[#This Row],[uren / jaar werkdagen]]</f>
        <v>0</v>
      </c>
      <c r="AF15" s="174">
        <f>Ruimtestaat[[#This Row],[kosten / jaar weekend]]+Ruimtestaat[[#This Row],[kosten / jaar werkdagen]]</f>
        <v>0</v>
      </c>
      <c r="AG15" s="174"/>
      <c r="AH15" s="181" t="str">
        <f>IF(Ruimtestaat[[#This Row],[Frequentie werkdagen]]="","",_xlfn.CONCAT(Ruimtestaat[[#This Row],[Ruimte code]],"-",Ruimtestaat[[#This Row],[Frequentie werkdagen]]," ",Ruimtestaat[[#This Row],[Vloer code]]))</f>
        <v>16-5w P</v>
      </c>
      <c r="AI15" s="185" t="str">
        <f>_xlfn.IFNA(VLOOKUP($AH15,Programma!$F$3:$G$1101,2,0),"")</f>
        <v>_</v>
      </c>
      <c r="AJ15" s="185" t="str">
        <f>_xlfn.IFNA(VLOOKUP($AH15,Programma!$F$3:$H$1101,3,0),"")</f>
        <v>_</v>
      </c>
      <c r="AK15" s="185" t="str">
        <f>_xlfn.IFNA(VLOOKUP($AH15,Programma!$F$3:$I$1101,4,0),"")</f>
        <v>4w</v>
      </c>
      <c r="AL15" s="185" t="str">
        <f>_xlfn.IFNA(VLOOKUP($AH15,Programma!$F$3:$J$1101,5,0),"")</f>
        <v>1w</v>
      </c>
      <c r="AM15" s="185" t="str">
        <f>_xlfn.IFNA(VLOOKUP($AH15,Programma!$F$3:$K$1101,6,0),"")</f>
        <v>1m</v>
      </c>
      <c r="AN15" s="185" t="str">
        <f>_xlfn.IFNA(VLOOKUP($AH15,Programma!$F$3:$L$1101,7,0),"")</f>
        <v>_</v>
      </c>
      <c r="AO15" s="185" t="str">
        <f>_xlfn.IFNA(VLOOKUP($AH15,Programma!$F$3:$M$1101,8,0),"")</f>
        <v>_</v>
      </c>
      <c r="AP15" s="185" t="str">
        <f>_xlfn.IFNA(VLOOKUP($AH15,Programma!$F$3:$N$1101,9,0),"")</f>
        <v>_</v>
      </c>
      <c r="AQ15" s="185" t="str">
        <f>_xlfn.IFNA(VLOOKUP($AH15,Programma!$F$3:$O$1101,10,0),"")</f>
        <v>5w</v>
      </c>
      <c r="AR15" s="185" t="str">
        <f>_xlfn.IFNA(VLOOKUP($AH15,Programma!$F$3:$P$1101,11,0),"")</f>
        <v>5w</v>
      </c>
      <c r="AS15" s="185" t="str">
        <f>_xlfn.IFNA(VLOOKUP($AH15,Programma!$F$3:$Q$1101,12,0),"")</f>
        <v>1w</v>
      </c>
      <c r="AT15" s="185" t="str">
        <f>_xlfn.IFNA(VLOOKUP($AH15,Programma!$F$3:$R$1101,13,0),"")</f>
        <v>1w</v>
      </c>
      <c r="AU15" s="185" t="str">
        <f>_xlfn.IFNA(VLOOKUP($AH15,Programma!$F$3:$S$1101,14,0),"")</f>
        <v>1m</v>
      </c>
      <c r="AV15" s="185" t="str">
        <f>_xlfn.IFNA(VLOOKUP($AH15,Programma!$F$3:$T$1101,15,0),"")</f>
        <v>2j</v>
      </c>
      <c r="AW15" s="185" t="str">
        <f>_xlfn.IFNA(VLOOKUP($AH15,Programma!$F$3:$U$1101,16,0),"")</f>
        <v>1j</v>
      </c>
      <c r="AX15" s="185" t="str">
        <f>_xlfn.IFNA(VLOOKUP($AH15,Programma!$F$3:$V$1101,17,0),"")</f>
        <v>_</v>
      </c>
      <c r="AY15" s="185" t="str">
        <f>_xlfn.IFNA(VLOOKUP($AH15,Programma!$F$3:$W$1101,18,0),"")</f>
        <v>_</v>
      </c>
      <c r="AZ15" s="185" t="str">
        <f>_xlfn.IFNA(VLOOKUP($AH15,Programma!$F$3:$X$1101,19,0),"")</f>
        <v>_</v>
      </c>
      <c r="BA15" s="185" t="str">
        <f>_xlfn.IFNA(VLOOKUP($AH15,Programma!$F$3:$Y$1101,20,0),"")</f>
        <v>_</v>
      </c>
      <c r="BB15" s="182"/>
      <c r="BC15" s="181" t="str">
        <f>IF(Ruimtestaat[[#This Row],[Frequentie weekend]]="","",_xlfn.CONCAT(Ruimtestaat[[#This Row],[Ruimte code]],"-",Ruimtestaat[[#This Row],[Frequentie weekend]]," ",Ruimtestaat[[#This Row],[Vloer code]]))</f>
        <v/>
      </c>
      <c r="BD15" s="185" t="str">
        <f>_xlfn.IFNA(VLOOKUP($BC15,Programma!$F$3:$G$1101,2,0),"")</f>
        <v/>
      </c>
      <c r="BE15" s="185" t="str">
        <f>_xlfn.IFNA(VLOOKUP($BC15,Programma!$F$3:$H$1101,3,0),"")</f>
        <v/>
      </c>
      <c r="BF15" s="185" t="str">
        <f>_xlfn.IFNA(VLOOKUP($BC15,Programma!$F$3:$I$1101,4,0),"")</f>
        <v/>
      </c>
      <c r="BG15" s="185" t="str">
        <f>_xlfn.IFNA(VLOOKUP($BC15,Programma!$F$3:$J$1101,5,0),"")</f>
        <v/>
      </c>
      <c r="BH15" s="185" t="str">
        <f>_xlfn.IFNA(VLOOKUP($BC15,Programma!$F$3:$K$1101,6,0),"")</f>
        <v/>
      </c>
      <c r="BI15" s="185" t="str">
        <f>_xlfn.IFNA(VLOOKUP($BC15,Programma!$F$3:$L$1101,7,0),"")</f>
        <v/>
      </c>
      <c r="BJ15" s="185" t="str">
        <f>_xlfn.IFNA(VLOOKUP($BC15,Programma!$F$3:$M$1101,8,0),"")</f>
        <v/>
      </c>
      <c r="BK15" s="185" t="str">
        <f>_xlfn.IFNA(VLOOKUP($BC15,Programma!$F$3:$N$1101,9,0),"")</f>
        <v/>
      </c>
      <c r="BL15" s="185" t="str">
        <f>_xlfn.IFNA(VLOOKUP($BC15,Programma!$F$3:$O$1101,10,0),"")</f>
        <v/>
      </c>
      <c r="BM15" s="185" t="str">
        <f>_xlfn.IFNA(VLOOKUP($BC15,Programma!$F$3:$P$1101,11,0),"")</f>
        <v/>
      </c>
      <c r="BN15" s="185" t="str">
        <f>_xlfn.IFNA(VLOOKUP($BC15,Programma!$F$3:$Q$1101,12,0),"")</f>
        <v/>
      </c>
      <c r="BO15" s="185" t="str">
        <f>_xlfn.IFNA(VLOOKUP($BC15,Programma!$F$3:$R$1101,13,0),"")</f>
        <v/>
      </c>
      <c r="BP15" s="185" t="str">
        <f>_xlfn.IFNA(VLOOKUP($BC15,Programma!$F$3:$S$1101,14,0),"")</f>
        <v/>
      </c>
      <c r="BQ15" s="185" t="str">
        <f>_xlfn.IFNA(VLOOKUP($BC15,Programma!$F$3:$T$1101,15,0),"")</f>
        <v/>
      </c>
      <c r="BR15" s="185" t="str">
        <f>_xlfn.IFNA(VLOOKUP($BC15,Programma!$F$3:$U$1101,16,0),"")</f>
        <v/>
      </c>
      <c r="BS15" s="185" t="str">
        <f>_xlfn.IFNA(VLOOKUP($BC15,Programma!$F$3:$V$1101,17,0),"")</f>
        <v/>
      </c>
      <c r="BT15" s="185" t="str">
        <f>_xlfn.IFNA(VLOOKUP($BC15,Programma!$F$3:$W$1101,18,0),"")</f>
        <v/>
      </c>
      <c r="BU15" s="185" t="str">
        <f>_xlfn.IFNA(VLOOKUP($BC15,Programma!$F$3:$X$1101,19,0),"")</f>
        <v/>
      </c>
      <c r="BV15" s="185" t="str">
        <f>_xlfn.IFNA(VLOOKUP($BC15,Programma!$F$3:$Y$1101,20,0),"")</f>
        <v/>
      </c>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row>
    <row r="16" spans="1:220" ht="15" customHeight="1">
      <c r="A16" s="149">
        <v>1</v>
      </c>
      <c r="B16" s="176" t="str">
        <f>VLOOKUP(Ruimtestaat[[#This Row],[Code]],Locaties[[Code]:[Locatie]],2,FALSE)</f>
        <v xml:space="preserve">OBS Molenbeek </v>
      </c>
      <c r="C16" s="176" t="str">
        <f>VLOOKUP(Ruimtestaat[[#This Row],[Code]],Locaties[[#All],[Code]:[Adres]],4,FALSE)</f>
        <v>Boekelerschoolpad 1</v>
      </c>
      <c r="D16" s="176" t="str">
        <f>VLOOKUP(Ruimtestaat[[#This Row],[Code]],Locaties[[#All],[Code]:[Postcode]],5,FALSE)</f>
        <v>7548 AH</v>
      </c>
      <c r="E16" s="176" t="str">
        <f>VLOOKUP(Ruimtestaat[[#This Row],[Code]],Locaties[#All],6,FALSE)</f>
        <v>Boekelo</v>
      </c>
      <c r="F16" s="149"/>
      <c r="G16" s="149" t="s">
        <v>1646</v>
      </c>
      <c r="H16" s="302" t="s">
        <v>1662</v>
      </c>
      <c r="I16" s="301" t="s">
        <v>1651</v>
      </c>
      <c r="J16" s="149">
        <v>16</v>
      </c>
      <c r="K16" s="183" t="str">
        <f>VLOOKUP(Ruimtestaat[[#This Row],[Ruimte code]],Ruimtegroepen[[#All],[Code]:[Ruimte omschrijving]],2,FALSE)</f>
        <v>Leslokalen</v>
      </c>
      <c r="L16" s="149" t="s">
        <v>102</v>
      </c>
      <c r="M16" s="301" t="s">
        <v>120</v>
      </c>
      <c r="N16" s="177">
        <v>41.3</v>
      </c>
      <c r="O16" s="177"/>
      <c r="P16" s="178" t="str">
        <f>VLOOKUP(Ruimtestaat[[#This Row],[Ruimte code]],Ruimtegroepen[],4,FALSE)</f>
        <v>Le</v>
      </c>
      <c r="Q16" s="149">
        <v>40</v>
      </c>
      <c r="R16" s="149" t="s">
        <v>2</v>
      </c>
      <c r="S16" s="149">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149">
        <f>IF(S16&gt;0,VLOOKUP($J16,Ruimtegroepen[],3,FALSE)*VLOOKUP($L16,Vloersoorten[],3,FALSE)*VLOOKUP($R16,Frequenties[],3,FALSE)*VLOOKUP($A16,Locaties[],3,FALSE),0)</f>
        <v>0</v>
      </c>
      <c r="U16" s="149">
        <f>Ruimtestaat[[#This Row],[Uitvoeringen werkdagen]]*Ruimtestaat[[#This Row],[Oppervlak (netto)]]</f>
        <v>8260</v>
      </c>
      <c r="V16" s="179">
        <f>IF(T16&gt;0,Ruimtestaat[[#This Row],[Prest. (m2 /jaar) werkdagen]]/Ruimtestaat[[#This Row],[Norm (m2/uur) werkdagen]],0)</f>
        <v>0</v>
      </c>
      <c r="W16" s="180">
        <f>Ruimtestaat[[#This Row],[uren / jaar werkdagen]]*Tariefsopbouw!$E$35</f>
        <v>0</v>
      </c>
      <c r="X16" s="149"/>
      <c r="Y16" s="149">
        <f>IF(Ruimtestaat[[#This Row],[Frequentie weekend]]&gt;0,VALUE(LEFT(X16,1))*Q16,0)</f>
        <v>0</v>
      </c>
      <c r="Z16" s="148">
        <f>IF($Y16&gt;0,VLOOKUP($J16,Ruimtegroepen[],3,FALSE)*VLOOKUP($L16,Vloersoorten[],3,FALSE)*VLOOKUP($X16,Frequenties[],3,FALSE)*VLOOKUP(#REF!,Locaties[],3,FALSE),0)</f>
        <v>0</v>
      </c>
      <c r="AA16" s="148">
        <f>Ruimtestaat[[#This Row],[Uitvoeringen weekend]]*Ruimtestaat[[#This Row],[Oppervlak (netto)]]</f>
        <v>0</v>
      </c>
      <c r="AB16" s="148">
        <f>IF(Z16&gt;0,Ruimtestaat[[#This Row],[Prest. (m2 /jaar) weekend]]/Ruimtestaat[[#This Row],[Norm (m2/uur) weekend]],0)</f>
        <v>0</v>
      </c>
      <c r="AC16" s="180">
        <f>Ruimtestaat[[#This Row],[uren / jaar weekend]]*Tariefsopbouw!$D$40</f>
        <v>0</v>
      </c>
      <c r="AD16" s="179">
        <f>Ruimtestaat[[#This Row],[Prest. (m2 /jaar) weekend]]+Ruimtestaat[[#This Row],[Prest. (m2 /jaar) werkdagen]]</f>
        <v>8260</v>
      </c>
      <c r="AE16" s="179">
        <f>Ruimtestaat[[#This Row],[uren / jaar weekend]]+Ruimtestaat[[#This Row],[uren / jaar werkdagen]]</f>
        <v>0</v>
      </c>
      <c r="AF16" s="174">
        <f>Ruimtestaat[[#This Row],[kosten / jaar weekend]]+Ruimtestaat[[#This Row],[kosten / jaar werkdagen]]</f>
        <v>0</v>
      </c>
      <c r="AG16" s="174"/>
      <c r="AH16" s="181" t="str">
        <f>IF(Ruimtestaat[[#This Row],[Frequentie werkdagen]]="","",_xlfn.CONCAT(Ruimtestaat[[#This Row],[Ruimte code]],"-",Ruimtestaat[[#This Row],[Frequentie werkdagen]]," ",Ruimtestaat[[#This Row],[Vloer code]]))</f>
        <v>16-5w P</v>
      </c>
      <c r="AI16" s="185" t="str">
        <f>_xlfn.IFNA(VLOOKUP($AH16,Programma!$F$3:$G$1101,2,0),"")</f>
        <v>_</v>
      </c>
      <c r="AJ16" s="185" t="str">
        <f>_xlfn.IFNA(VLOOKUP($AH16,Programma!$F$3:$H$1101,3,0),"")</f>
        <v>_</v>
      </c>
      <c r="AK16" s="185" t="str">
        <f>_xlfn.IFNA(VLOOKUP($AH16,Programma!$F$3:$I$1101,4,0),"")</f>
        <v>4w</v>
      </c>
      <c r="AL16" s="185" t="str">
        <f>_xlfn.IFNA(VLOOKUP($AH16,Programma!$F$3:$J$1101,5,0),"")</f>
        <v>1w</v>
      </c>
      <c r="AM16" s="185" t="str">
        <f>_xlfn.IFNA(VLOOKUP($AH16,Programma!$F$3:$K$1101,6,0),"")</f>
        <v>1m</v>
      </c>
      <c r="AN16" s="185" t="str">
        <f>_xlfn.IFNA(VLOOKUP($AH16,Programma!$F$3:$L$1101,7,0),"")</f>
        <v>_</v>
      </c>
      <c r="AO16" s="185" t="str">
        <f>_xlfn.IFNA(VLOOKUP($AH16,Programma!$F$3:$M$1101,8,0),"")</f>
        <v>_</v>
      </c>
      <c r="AP16" s="185" t="str">
        <f>_xlfn.IFNA(VLOOKUP($AH16,Programma!$F$3:$N$1101,9,0),"")</f>
        <v>_</v>
      </c>
      <c r="AQ16" s="185" t="str">
        <f>_xlfn.IFNA(VLOOKUP($AH16,Programma!$F$3:$O$1101,10,0),"")</f>
        <v>5w</v>
      </c>
      <c r="AR16" s="185" t="str">
        <f>_xlfn.IFNA(VLOOKUP($AH16,Programma!$F$3:$P$1101,11,0),"")</f>
        <v>5w</v>
      </c>
      <c r="AS16" s="185" t="str">
        <f>_xlfn.IFNA(VLOOKUP($AH16,Programma!$F$3:$Q$1101,12,0),"")</f>
        <v>1w</v>
      </c>
      <c r="AT16" s="185" t="str">
        <f>_xlfn.IFNA(VLOOKUP($AH16,Programma!$F$3:$R$1101,13,0),"")</f>
        <v>1w</v>
      </c>
      <c r="AU16" s="185" t="str">
        <f>_xlfn.IFNA(VLOOKUP($AH16,Programma!$F$3:$S$1101,14,0),"")</f>
        <v>1m</v>
      </c>
      <c r="AV16" s="185" t="str">
        <f>_xlfn.IFNA(VLOOKUP($AH16,Programma!$F$3:$T$1101,15,0),"")</f>
        <v>2j</v>
      </c>
      <c r="AW16" s="185" t="str">
        <f>_xlfn.IFNA(VLOOKUP($AH16,Programma!$F$3:$U$1101,16,0),"")</f>
        <v>1j</v>
      </c>
      <c r="AX16" s="185" t="str">
        <f>_xlfn.IFNA(VLOOKUP($AH16,Programma!$F$3:$V$1101,17,0),"")</f>
        <v>_</v>
      </c>
      <c r="AY16" s="185" t="str">
        <f>_xlfn.IFNA(VLOOKUP($AH16,Programma!$F$3:$W$1101,18,0),"")</f>
        <v>_</v>
      </c>
      <c r="AZ16" s="185" t="str">
        <f>_xlfn.IFNA(VLOOKUP($AH16,Programma!$F$3:$X$1101,19,0),"")</f>
        <v>_</v>
      </c>
      <c r="BA16" s="185" t="str">
        <f>_xlfn.IFNA(VLOOKUP($AH16,Programma!$F$3:$Y$1101,20,0),"")</f>
        <v>_</v>
      </c>
      <c r="BB16" s="182"/>
      <c r="BC16" s="181" t="str">
        <f>IF(Ruimtestaat[[#This Row],[Frequentie weekend]]="","",_xlfn.CONCAT(Ruimtestaat[[#This Row],[Ruimte code]],"-",Ruimtestaat[[#This Row],[Frequentie weekend]]," ",Ruimtestaat[[#This Row],[Vloer code]]))</f>
        <v/>
      </c>
      <c r="BD16" s="185" t="str">
        <f>_xlfn.IFNA(VLOOKUP($BC16,Programma!$F$3:$G$1101,2,0),"")</f>
        <v/>
      </c>
      <c r="BE16" s="185" t="str">
        <f>_xlfn.IFNA(VLOOKUP($BC16,Programma!$F$3:$H$1101,3,0),"")</f>
        <v/>
      </c>
      <c r="BF16" s="185" t="str">
        <f>_xlfn.IFNA(VLOOKUP($BC16,Programma!$F$3:$I$1101,4,0),"")</f>
        <v/>
      </c>
      <c r="BG16" s="185" t="str">
        <f>_xlfn.IFNA(VLOOKUP($BC16,Programma!$F$3:$J$1101,5,0),"")</f>
        <v/>
      </c>
      <c r="BH16" s="185" t="str">
        <f>_xlfn.IFNA(VLOOKUP($BC16,Programma!$F$3:$K$1101,6,0),"")</f>
        <v/>
      </c>
      <c r="BI16" s="185" t="str">
        <f>_xlfn.IFNA(VLOOKUP($BC16,Programma!$F$3:$L$1101,7,0),"")</f>
        <v/>
      </c>
      <c r="BJ16" s="185" t="str">
        <f>_xlfn.IFNA(VLOOKUP($BC16,Programma!$F$3:$M$1101,8,0),"")</f>
        <v/>
      </c>
      <c r="BK16" s="185" t="str">
        <f>_xlfn.IFNA(VLOOKUP($BC16,Programma!$F$3:$N$1101,9,0),"")</f>
        <v/>
      </c>
      <c r="BL16" s="185" t="str">
        <f>_xlfn.IFNA(VLOOKUP($BC16,Programma!$F$3:$O$1101,10,0),"")</f>
        <v/>
      </c>
      <c r="BM16" s="185" t="str">
        <f>_xlfn.IFNA(VLOOKUP($BC16,Programma!$F$3:$P$1101,11,0),"")</f>
        <v/>
      </c>
      <c r="BN16" s="185" t="str">
        <f>_xlfn.IFNA(VLOOKUP($BC16,Programma!$F$3:$Q$1101,12,0),"")</f>
        <v/>
      </c>
      <c r="BO16" s="185" t="str">
        <f>_xlfn.IFNA(VLOOKUP($BC16,Programma!$F$3:$R$1101,13,0),"")</f>
        <v/>
      </c>
      <c r="BP16" s="185" t="str">
        <f>_xlfn.IFNA(VLOOKUP($BC16,Programma!$F$3:$S$1101,14,0),"")</f>
        <v/>
      </c>
      <c r="BQ16" s="185" t="str">
        <f>_xlfn.IFNA(VLOOKUP($BC16,Programma!$F$3:$T$1101,15,0),"")</f>
        <v/>
      </c>
      <c r="BR16" s="185" t="str">
        <f>_xlfn.IFNA(VLOOKUP($BC16,Programma!$F$3:$U$1101,16,0),"")</f>
        <v/>
      </c>
      <c r="BS16" s="185" t="str">
        <f>_xlfn.IFNA(VLOOKUP($BC16,Programma!$F$3:$V$1101,17,0),"")</f>
        <v/>
      </c>
      <c r="BT16" s="185" t="str">
        <f>_xlfn.IFNA(VLOOKUP($BC16,Programma!$F$3:$W$1101,18,0),"")</f>
        <v/>
      </c>
      <c r="BU16" s="185" t="str">
        <f>_xlfn.IFNA(VLOOKUP($BC16,Programma!$F$3:$X$1101,19,0),"")</f>
        <v/>
      </c>
      <c r="BV16" s="185" t="str">
        <f>_xlfn.IFNA(VLOOKUP($BC16,Programma!$F$3:$Y$1101,20,0),"")</f>
        <v/>
      </c>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c r="EQ16" s="78"/>
      <c r="ER16" s="78"/>
      <c r="ES16" s="78"/>
      <c r="ET16" s="78"/>
      <c r="EU16" s="78"/>
      <c r="EV16" s="78"/>
      <c r="EW16" s="78"/>
      <c r="EX16" s="78"/>
      <c r="EY16" s="78"/>
      <c r="EZ16" s="78"/>
      <c r="FA16" s="78"/>
      <c r="FB16" s="78"/>
      <c r="FC16" s="78"/>
      <c r="FD16" s="78"/>
      <c r="FE16" s="78"/>
      <c r="FF16" s="78"/>
      <c r="FG16" s="78"/>
      <c r="FH16" s="78"/>
      <c r="FI16" s="78"/>
      <c r="FJ16" s="78"/>
      <c r="FK16" s="78"/>
      <c r="FL16" s="78"/>
      <c r="FM16" s="78"/>
      <c r="FN16" s="78"/>
      <c r="FO16" s="78"/>
      <c r="FP16" s="78"/>
      <c r="FQ16" s="78"/>
      <c r="FR16" s="78"/>
      <c r="FS16" s="78"/>
      <c r="FT16" s="78"/>
      <c r="FU16" s="78"/>
      <c r="FV16" s="78"/>
      <c r="FW16" s="78"/>
      <c r="FX16" s="78"/>
      <c r="FY16" s="78"/>
      <c r="FZ16" s="78"/>
      <c r="GA16" s="78"/>
      <c r="GB16" s="78"/>
      <c r="GC16" s="78"/>
      <c r="GD16" s="78"/>
      <c r="GE16" s="78"/>
      <c r="GF16" s="78"/>
      <c r="GG16" s="78"/>
      <c r="GH16" s="78"/>
      <c r="GI16" s="78"/>
      <c r="GJ16" s="78"/>
      <c r="GK16" s="78"/>
      <c r="GL16" s="78"/>
      <c r="GM16" s="78"/>
      <c r="GN16" s="78"/>
      <c r="GO16" s="78"/>
      <c r="GP16" s="78"/>
      <c r="GQ16" s="78"/>
      <c r="GR16" s="78"/>
      <c r="GS16" s="78"/>
      <c r="GT16" s="78"/>
      <c r="GU16" s="78"/>
      <c r="GV16" s="78"/>
      <c r="GW16" s="78"/>
      <c r="GX16" s="78"/>
      <c r="GY16" s="78"/>
      <c r="GZ16" s="78"/>
      <c r="HA16" s="78"/>
      <c r="HB16" s="78"/>
      <c r="HC16" s="78"/>
      <c r="HD16" s="78"/>
      <c r="HE16" s="78"/>
      <c r="HF16" s="78"/>
      <c r="HG16" s="78"/>
      <c r="HH16" s="78"/>
      <c r="HI16" s="78"/>
      <c r="HJ16" s="78"/>
      <c r="HK16" s="78"/>
    </row>
    <row r="17" spans="1:219" ht="15" customHeight="1">
      <c r="A17" s="149">
        <v>1</v>
      </c>
      <c r="B17" s="176" t="str">
        <f>VLOOKUP(Ruimtestaat[[#This Row],[Code]],Locaties[[Code]:[Locatie]],2,FALSE)</f>
        <v xml:space="preserve">OBS Molenbeek </v>
      </c>
      <c r="C17" s="176" t="str">
        <f>VLOOKUP(Ruimtestaat[[#This Row],[Code]],Locaties[[#All],[Code]:[Adres]],4,FALSE)</f>
        <v>Boekelerschoolpad 1</v>
      </c>
      <c r="D17" s="176" t="str">
        <f>VLOOKUP(Ruimtestaat[[#This Row],[Code]],Locaties[[#All],[Code]:[Postcode]],5,FALSE)</f>
        <v>7548 AH</v>
      </c>
      <c r="E17" s="176" t="str">
        <f>VLOOKUP(Ruimtestaat[[#This Row],[Code]],Locaties[#All],6,FALSE)</f>
        <v>Boekelo</v>
      </c>
      <c r="F17" s="149"/>
      <c r="G17" s="149" t="s">
        <v>1646</v>
      </c>
      <c r="H17" s="302" t="s">
        <v>1663</v>
      </c>
      <c r="I17" s="301" t="s">
        <v>1649</v>
      </c>
      <c r="J17" s="149">
        <v>2</v>
      </c>
      <c r="K17" s="183" t="str">
        <f>VLOOKUP(Ruimtestaat[[#This Row],[Ruimte code]],Ruimtegroepen[[#All],[Code]:[Ruimte omschrijving]],2,FALSE)</f>
        <v>Kantoren</v>
      </c>
      <c r="L17" s="149" t="s">
        <v>99</v>
      </c>
      <c r="M17" s="301" t="s">
        <v>36</v>
      </c>
      <c r="N17" s="177">
        <v>16.3</v>
      </c>
      <c r="O17" s="177"/>
      <c r="P17" s="178" t="str">
        <f>VLOOKUP(Ruimtestaat[[#This Row],[Ruimte code]],Ruimtegroepen[],4,FALSE)</f>
        <v>Bu</v>
      </c>
      <c r="Q17" s="149">
        <v>40</v>
      </c>
      <c r="R17" s="149" t="s">
        <v>18</v>
      </c>
      <c r="S17" s="149">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7" s="149">
        <f>IF(S17&gt;0,VLOOKUP($J17,Ruimtegroepen[],3,FALSE)*VLOOKUP($L17,Vloersoorten[],3,FALSE)*VLOOKUP($R17,Frequenties[],3,FALSE)*VLOOKUP($A17,Locaties[],3,FALSE),0)</f>
        <v>0</v>
      </c>
      <c r="U17" s="149">
        <f>Ruimtestaat[[#This Row],[Uitvoeringen werkdagen]]*Ruimtestaat[[#This Row],[Oppervlak (netto)]]</f>
        <v>1956</v>
      </c>
      <c r="V17" s="179">
        <f>IF(T17&gt;0,Ruimtestaat[[#This Row],[Prest. (m2 /jaar) werkdagen]]/Ruimtestaat[[#This Row],[Norm (m2/uur) werkdagen]],0)</f>
        <v>0</v>
      </c>
      <c r="W17" s="180">
        <f>Ruimtestaat[[#This Row],[uren / jaar werkdagen]]*Tariefsopbouw!$E$35</f>
        <v>0</v>
      </c>
      <c r="X17" s="149"/>
      <c r="Y17" s="149">
        <f>IF(Ruimtestaat[[#This Row],[Frequentie weekend]]&gt;0,VALUE(LEFT(X17,1))*Q17,0)</f>
        <v>0</v>
      </c>
      <c r="Z17" s="148">
        <f>IF($Y17&gt;0,VLOOKUP($J17,Ruimtegroepen[],3,FALSE)*VLOOKUP($L17,Vloersoorten[],3,FALSE)*VLOOKUP($X17,Frequenties[],3,FALSE)*VLOOKUP(#REF!,Locaties[],3,FALSE),0)</f>
        <v>0</v>
      </c>
      <c r="AA17" s="148">
        <f>Ruimtestaat[[#This Row],[Uitvoeringen weekend]]*Ruimtestaat[[#This Row],[Oppervlak (netto)]]</f>
        <v>0</v>
      </c>
      <c r="AB17" s="148">
        <f>IF(Z17&gt;0,Ruimtestaat[[#This Row],[Prest. (m2 /jaar) weekend]]/Ruimtestaat[[#This Row],[Norm (m2/uur) weekend]],0)</f>
        <v>0</v>
      </c>
      <c r="AC17" s="180">
        <f>Ruimtestaat[[#This Row],[uren / jaar weekend]]*Tariefsopbouw!$D$40</f>
        <v>0</v>
      </c>
      <c r="AD17" s="179">
        <f>Ruimtestaat[[#This Row],[Prest. (m2 /jaar) weekend]]+Ruimtestaat[[#This Row],[Prest. (m2 /jaar) werkdagen]]</f>
        <v>1956</v>
      </c>
      <c r="AE17" s="179">
        <f>Ruimtestaat[[#This Row],[uren / jaar weekend]]+Ruimtestaat[[#This Row],[uren / jaar werkdagen]]</f>
        <v>0</v>
      </c>
      <c r="AF17" s="174">
        <f>Ruimtestaat[[#This Row],[kosten / jaar weekend]]+Ruimtestaat[[#This Row],[kosten / jaar werkdagen]]</f>
        <v>0</v>
      </c>
      <c r="AG17" s="174"/>
      <c r="AH17" s="181" t="str">
        <f>IF(Ruimtestaat[[#This Row],[Frequentie werkdagen]]="","",_xlfn.CONCAT(Ruimtestaat[[#This Row],[Ruimte code]],"-",Ruimtestaat[[#This Row],[Frequentie werkdagen]]," ",Ruimtestaat[[#This Row],[Vloer code]]))</f>
        <v>2-3w T</v>
      </c>
      <c r="AI17" s="185" t="str">
        <f>_xlfn.IFNA(VLOOKUP($AH17,Programma!$F$3:$G$1101,2,0),"")</f>
        <v>2w</v>
      </c>
      <c r="AJ17" s="185" t="str">
        <f>_xlfn.IFNA(VLOOKUP($AH17,Programma!$F$3:$H$1101,3,0),"")</f>
        <v>1w</v>
      </c>
      <c r="AK17" s="185" t="str">
        <f>_xlfn.IFNA(VLOOKUP($AH17,Programma!$F$3:$I$1101,4,0),"")</f>
        <v>_</v>
      </c>
      <c r="AL17" s="185" t="str">
        <f>_xlfn.IFNA(VLOOKUP($AH17,Programma!$F$3:$J$1101,5,0),"")</f>
        <v>_</v>
      </c>
      <c r="AM17" s="185" t="str">
        <f>_xlfn.IFNA(VLOOKUP($AH17,Programma!$F$3:$K$1101,6,0),"")</f>
        <v>_</v>
      </c>
      <c r="AN17" s="185" t="str">
        <f>_xlfn.IFNA(VLOOKUP($AH17,Programma!$F$3:$L$1101,7,0),"")</f>
        <v>_</v>
      </c>
      <c r="AO17" s="185" t="str">
        <f>_xlfn.IFNA(VLOOKUP($AH17,Programma!$F$3:$M$1101,8,0),"")</f>
        <v>_</v>
      </c>
      <c r="AP17" s="185" t="str">
        <f>_xlfn.IFNA(VLOOKUP($AH17,Programma!$F$3:$N$1101,9,0),"")</f>
        <v>_</v>
      </c>
      <c r="AQ17" s="185" t="str">
        <f>_xlfn.IFNA(VLOOKUP($AH17,Programma!$F$3:$O$1101,10,0),"")</f>
        <v>3w</v>
      </c>
      <c r="AR17" s="185" t="str">
        <f>_xlfn.IFNA(VLOOKUP($AH17,Programma!$F$3:$P$1101,11,0),"")</f>
        <v>3w</v>
      </c>
      <c r="AS17" s="185" t="str">
        <f>_xlfn.IFNA(VLOOKUP($AH17,Programma!$F$3:$Q$1101,12,0),"")</f>
        <v>1w</v>
      </c>
      <c r="AT17" s="185" t="str">
        <f>_xlfn.IFNA(VLOOKUP($AH17,Programma!$F$3:$R$1101,13,0),"")</f>
        <v>1w</v>
      </c>
      <c r="AU17" s="185" t="str">
        <f>_xlfn.IFNA(VLOOKUP($AH17,Programma!$F$3:$S$1101,14,0),"")</f>
        <v>1m</v>
      </c>
      <c r="AV17" s="185" t="str">
        <f>_xlfn.IFNA(VLOOKUP($AH17,Programma!$F$3:$T$1101,15,0),"")</f>
        <v>2j</v>
      </c>
      <c r="AW17" s="185" t="str">
        <f>_xlfn.IFNA(VLOOKUP($AH17,Programma!$F$3:$U$1101,16,0),"")</f>
        <v>1j</v>
      </c>
      <c r="AX17" s="185" t="str">
        <f>_xlfn.IFNA(VLOOKUP($AH17,Programma!$F$3:$V$1101,17,0),"")</f>
        <v>_</v>
      </c>
      <c r="AY17" s="185" t="str">
        <f>_xlfn.IFNA(VLOOKUP($AH17,Programma!$F$3:$W$1101,18,0),"")</f>
        <v>_</v>
      </c>
      <c r="AZ17" s="185" t="str">
        <f>_xlfn.IFNA(VLOOKUP($AH17,Programma!$F$3:$X$1101,19,0),"")</f>
        <v>_</v>
      </c>
      <c r="BA17" s="185" t="str">
        <f>_xlfn.IFNA(VLOOKUP($AH17,Programma!$F$3:$Y$1101,20,0),"")</f>
        <v>_</v>
      </c>
      <c r="BB17" s="182"/>
      <c r="BC17" s="181" t="str">
        <f>IF(Ruimtestaat[[#This Row],[Frequentie weekend]]="","",_xlfn.CONCAT(Ruimtestaat[[#This Row],[Ruimte code]],"-",Ruimtestaat[[#This Row],[Frequentie weekend]]," ",Ruimtestaat[[#This Row],[Vloer code]]))</f>
        <v/>
      </c>
      <c r="BD17" s="185" t="str">
        <f>_xlfn.IFNA(VLOOKUP($BC17,Programma!$F$3:$G$1101,2,0),"")</f>
        <v/>
      </c>
      <c r="BE17" s="185" t="str">
        <f>_xlfn.IFNA(VLOOKUP($BC17,Programma!$F$3:$H$1101,3,0),"")</f>
        <v/>
      </c>
      <c r="BF17" s="185" t="str">
        <f>_xlfn.IFNA(VLOOKUP($BC17,Programma!$F$3:$I$1101,4,0),"")</f>
        <v/>
      </c>
      <c r="BG17" s="185" t="str">
        <f>_xlfn.IFNA(VLOOKUP($BC17,Programma!$F$3:$J$1101,5,0),"")</f>
        <v/>
      </c>
      <c r="BH17" s="185" t="str">
        <f>_xlfn.IFNA(VLOOKUP($BC17,Programma!$F$3:$K$1101,6,0),"")</f>
        <v/>
      </c>
      <c r="BI17" s="185" t="str">
        <f>_xlfn.IFNA(VLOOKUP($BC17,Programma!$F$3:$L$1101,7,0),"")</f>
        <v/>
      </c>
      <c r="BJ17" s="185" t="str">
        <f>_xlfn.IFNA(VLOOKUP($BC17,Programma!$F$3:$M$1101,8,0),"")</f>
        <v/>
      </c>
      <c r="BK17" s="185" t="str">
        <f>_xlfn.IFNA(VLOOKUP($BC17,Programma!$F$3:$N$1101,9,0),"")</f>
        <v/>
      </c>
      <c r="BL17" s="185" t="str">
        <f>_xlfn.IFNA(VLOOKUP($BC17,Programma!$F$3:$O$1101,10,0),"")</f>
        <v/>
      </c>
      <c r="BM17" s="185" t="str">
        <f>_xlfn.IFNA(VLOOKUP($BC17,Programma!$F$3:$P$1101,11,0),"")</f>
        <v/>
      </c>
      <c r="BN17" s="185" t="str">
        <f>_xlfn.IFNA(VLOOKUP($BC17,Programma!$F$3:$Q$1101,12,0),"")</f>
        <v/>
      </c>
      <c r="BO17" s="185" t="str">
        <f>_xlfn.IFNA(VLOOKUP($BC17,Programma!$F$3:$R$1101,13,0),"")</f>
        <v/>
      </c>
      <c r="BP17" s="185" t="str">
        <f>_xlfn.IFNA(VLOOKUP($BC17,Programma!$F$3:$S$1101,14,0),"")</f>
        <v/>
      </c>
      <c r="BQ17" s="185" t="str">
        <f>_xlfn.IFNA(VLOOKUP($BC17,Programma!$F$3:$T$1101,15,0),"")</f>
        <v/>
      </c>
      <c r="BR17" s="185" t="str">
        <f>_xlfn.IFNA(VLOOKUP($BC17,Programma!$F$3:$U$1101,16,0),"")</f>
        <v/>
      </c>
      <c r="BS17" s="185" t="str">
        <f>_xlfn.IFNA(VLOOKUP($BC17,Programma!$F$3:$V$1101,17,0),"")</f>
        <v/>
      </c>
      <c r="BT17" s="185" t="str">
        <f>_xlfn.IFNA(VLOOKUP($BC17,Programma!$F$3:$W$1101,18,0),"")</f>
        <v/>
      </c>
      <c r="BU17" s="185" t="str">
        <f>_xlfn.IFNA(VLOOKUP($BC17,Programma!$F$3:$X$1101,19,0),"")</f>
        <v/>
      </c>
      <c r="BV17" s="185" t="str">
        <f>_xlfn.IFNA(VLOOKUP($BC17,Programma!$F$3:$Y$1101,20,0),"")</f>
        <v/>
      </c>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row>
    <row r="18" spans="1:219" ht="15" customHeight="1">
      <c r="A18" s="149">
        <v>1</v>
      </c>
      <c r="B18" s="176" t="str">
        <f>VLOOKUP(Ruimtestaat[[#This Row],[Code]],Locaties[[Code]:[Locatie]],2,FALSE)</f>
        <v xml:space="preserve">OBS Molenbeek </v>
      </c>
      <c r="C18" s="176" t="str">
        <f>VLOOKUP(Ruimtestaat[[#This Row],[Code]],Locaties[[#All],[Code]:[Adres]],4,FALSE)</f>
        <v>Boekelerschoolpad 1</v>
      </c>
      <c r="D18" s="176" t="str">
        <f>VLOOKUP(Ruimtestaat[[#This Row],[Code]],Locaties[[#All],[Code]:[Postcode]],5,FALSE)</f>
        <v>7548 AH</v>
      </c>
      <c r="E18" s="176" t="str">
        <f>VLOOKUP(Ruimtestaat[[#This Row],[Code]],Locaties[#All],6,FALSE)</f>
        <v>Boekelo</v>
      </c>
      <c r="F18" s="149"/>
      <c r="G18" s="149" t="s">
        <v>1646</v>
      </c>
      <c r="H18" s="302" t="s">
        <v>1664</v>
      </c>
      <c r="I18" s="301" t="s">
        <v>1665</v>
      </c>
      <c r="J18" s="149">
        <v>11</v>
      </c>
      <c r="K18" s="183" t="str">
        <f>VLOOKUP(Ruimtestaat[[#This Row],[Ruimte code]],Ruimtegroepen[[#All],[Code]:[Ruimte omschrijving]],2,FALSE)</f>
        <v>Garderobes</v>
      </c>
      <c r="L18" s="149" t="s">
        <v>102</v>
      </c>
      <c r="M18" s="301" t="s">
        <v>120</v>
      </c>
      <c r="N18" s="177">
        <v>7.4</v>
      </c>
      <c r="O18" s="177"/>
      <c r="P18" s="178" t="str">
        <f>VLOOKUP(Ruimtestaat[[#This Row],[Ruimte code]],Ruimtegroepen[],4,FALSE)</f>
        <v>Ve</v>
      </c>
      <c r="Q18" s="149">
        <v>40</v>
      </c>
      <c r="R18" s="149" t="s">
        <v>2</v>
      </c>
      <c r="S18" s="149">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 s="149">
        <f>IF(S18&gt;0,VLOOKUP($J18,Ruimtegroepen[],3,FALSE)*VLOOKUP($L18,Vloersoorten[],3,FALSE)*VLOOKUP($R18,Frequenties[],3,FALSE)*VLOOKUP($A18,Locaties[],3,FALSE),0)</f>
        <v>0</v>
      </c>
      <c r="U18" s="149">
        <f>Ruimtestaat[[#This Row],[Uitvoeringen werkdagen]]*Ruimtestaat[[#This Row],[Oppervlak (netto)]]</f>
        <v>1480</v>
      </c>
      <c r="V18" s="179">
        <f>IF(T18&gt;0,Ruimtestaat[[#This Row],[Prest. (m2 /jaar) werkdagen]]/Ruimtestaat[[#This Row],[Norm (m2/uur) werkdagen]],0)</f>
        <v>0</v>
      </c>
      <c r="W18" s="180">
        <f>Ruimtestaat[[#This Row],[uren / jaar werkdagen]]*Tariefsopbouw!$E$35</f>
        <v>0</v>
      </c>
      <c r="X18" s="149"/>
      <c r="Y18" s="149">
        <f>IF(Ruimtestaat[[#This Row],[Frequentie weekend]]&gt;0,VALUE(LEFT(X18,1))*Q18,0)</f>
        <v>0</v>
      </c>
      <c r="Z18" s="148">
        <f>IF($Y18&gt;0,VLOOKUP($J18,Ruimtegroepen[],3,FALSE)*VLOOKUP($L18,Vloersoorten[],3,FALSE)*VLOOKUP($X18,Frequenties[],3,FALSE)*VLOOKUP(#REF!,Locaties[],3,FALSE),0)</f>
        <v>0</v>
      </c>
      <c r="AA18" s="148">
        <f>Ruimtestaat[[#This Row],[Uitvoeringen weekend]]*Ruimtestaat[[#This Row],[Oppervlak (netto)]]</f>
        <v>0</v>
      </c>
      <c r="AB18" s="148">
        <f>IF(Z18&gt;0,Ruimtestaat[[#This Row],[Prest. (m2 /jaar) weekend]]/Ruimtestaat[[#This Row],[Norm (m2/uur) weekend]],0)</f>
        <v>0</v>
      </c>
      <c r="AC18" s="180">
        <f>Ruimtestaat[[#This Row],[uren / jaar weekend]]*Tariefsopbouw!$D$40</f>
        <v>0</v>
      </c>
      <c r="AD18" s="179">
        <f>Ruimtestaat[[#This Row],[Prest. (m2 /jaar) weekend]]+Ruimtestaat[[#This Row],[Prest. (m2 /jaar) werkdagen]]</f>
        <v>1480</v>
      </c>
      <c r="AE18" s="179">
        <f>Ruimtestaat[[#This Row],[uren / jaar weekend]]+Ruimtestaat[[#This Row],[uren / jaar werkdagen]]</f>
        <v>0</v>
      </c>
      <c r="AF18" s="174">
        <f>Ruimtestaat[[#This Row],[kosten / jaar weekend]]+Ruimtestaat[[#This Row],[kosten / jaar werkdagen]]</f>
        <v>0</v>
      </c>
      <c r="AG18" s="174"/>
      <c r="AH18" s="181" t="str">
        <f>IF(Ruimtestaat[[#This Row],[Frequentie werkdagen]]="","",_xlfn.CONCAT(Ruimtestaat[[#This Row],[Ruimte code]],"-",Ruimtestaat[[#This Row],[Frequentie werkdagen]]," ",Ruimtestaat[[#This Row],[Vloer code]]))</f>
        <v>11-5w P</v>
      </c>
      <c r="AI18" s="185" t="str">
        <f>_xlfn.IFNA(VLOOKUP($AH18,Programma!$F$3:$G$1101,2,0),"")</f>
        <v>_</v>
      </c>
      <c r="AJ18" s="185" t="str">
        <f>_xlfn.IFNA(VLOOKUP($AH18,Programma!$F$3:$H$1101,3,0),"")</f>
        <v>_</v>
      </c>
      <c r="AK18" s="185" t="str">
        <f>_xlfn.IFNA(VLOOKUP($AH18,Programma!$F$3:$I$1101,4,0),"")</f>
        <v>5w</v>
      </c>
      <c r="AL18" s="185" t="str">
        <f>_xlfn.IFNA(VLOOKUP($AH18,Programma!$F$3:$J$1101,5,0),"")</f>
        <v>_</v>
      </c>
      <c r="AM18" s="185" t="str">
        <f>_xlfn.IFNA(VLOOKUP($AH18,Programma!$F$3:$K$1101,6,0),"")</f>
        <v>4j</v>
      </c>
      <c r="AN18" s="185" t="str">
        <f>_xlfn.IFNA(VLOOKUP($AH18,Programma!$F$3:$L$1101,7,0),"")</f>
        <v>_</v>
      </c>
      <c r="AO18" s="185" t="str">
        <f>_xlfn.IFNA(VLOOKUP($AH18,Programma!$F$3:$M$1101,8,0),"")</f>
        <v>_</v>
      </c>
      <c r="AP18" s="185" t="str">
        <f>_xlfn.IFNA(VLOOKUP($AH18,Programma!$F$3:$N$1101,9,0),"")</f>
        <v>_</v>
      </c>
      <c r="AQ18" s="185" t="str">
        <f>_xlfn.IFNA(VLOOKUP($AH18,Programma!$F$3:$O$1101,10,0),"")</f>
        <v>5w</v>
      </c>
      <c r="AR18" s="185" t="str">
        <f>_xlfn.IFNA(VLOOKUP($AH18,Programma!$F$3:$P$1101,11,0),"")</f>
        <v>5w</v>
      </c>
      <c r="AS18" s="185" t="str">
        <f>_xlfn.IFNA(VLOOKUP($AH18,Programma!$F$3:$Q$1101,12,0),"")</f>
        <v>1w</v>
      </c>
      <c r="AT18" s="185" t="str">
        <f>_xlfn.IFNA(VLOOKUP($AH18,Programma!$F$3:$R$1101,13,0),"")</f>
        <v>1w</v>
      </c>
      <c r="AU18" s="185" t="str">
        <f>_xlfn.IFNA(VLOOKUP($AH18,Programma!$F$3:$S$1101,14,0),"")</f>
        <v>1m</v>
      </c>
      <c r="AV18" s="185" t="str">
        <f>_xlfn.IFNA(VLOOKUP($AH18,Programma!$F$3:$T$1101,15,0),"")</f>
        <v>2j</v>
      </c>
      <c r="AW18" s="185" t="str">
        <f>_xlfn.IFNA(VLOOKUP($AH18,Programma!$F$3:$U$1101,16,0),"")</f>
        <v>1j</v>
      </c>
      <c r="AX18" s="185" t="str">
        <f>_xlfn.IFNA(VLOOKUP($AH18,Programma!$F$3:$V$1101,17,0),"")</f>
        <v>_</v>
      </c>
      <c r="AY18" s="185" t="str">
        <f>_xlfn.IFNA(VLOOKUP($AH18,Programma!$F$3:$W$1101,18,0),"")</f>
        <v>_</v>
      </c>
      <c r="AZ18" s="185" t="str">
        <f>_xlfn.IFNA(VLOOKUP($AH18,Programma!$F$3:$X$1101,19,0),"")</f>
        <v>_</v>
      </c>
      <c r="BA18" s="185" t="str">
        <f>_xlfn.IFNA(VLOOKUP($AH18,Programma!$F$3:$Y$1101,20,0),"")</f>
        <v>_</v>
      </c>
      <c r="BB18" s="182"/>
      <c r="BC18" s="181" t="str">
        <f>IF(Ruimtestaat[[#This Row],[Frequentie weekend]]="","",_xlfn.CONCAT(Ruimtestaat[[#This Row],[Ruimte code]],"-",Ruimtestaat[[#This Row],[Frequentie weekend]]," ",Ruimtestaat[[#This Row],[Vloer code]]))</f>
        <v/>
      </c>
      <c r="BD18" s="185" t="str">
        <f>_xlfn.IFNA(VLOOKUP($BC18,Programma!$F$3:$G$1101,2,0),"")</f>
        <v/>
      </c>
      <c r="BE18" s="185" t="str">
        <f>_xlfn.IFNA(VLOOKUP($BC18,Programma!$F$3:$H$1101,3,0),"")</f>
        <v/>
      </c>
      <c r="BF18" s="185" t="str">
        <f>_xlfn.IFNA(VLOOKUP($BC18,Programma!$F$3:$I$1101,4,0),"")</f>
        <v/>
      </c>
      <c r="BG18" s="185" t="str">
        <f>_xlfn.IFNA(VLOOKUP($BC18,Programma!$F$3:$J$1101,5,0),"")</f>
        <v/>
      </c>
      <c r="BH18" s="185" t="str">
        <f>_xlfn.IFNA(VLOOKUP($BC18,Programma!$F$3:$K$1101,6,0),"")</f>
        <v/>
      </c>
      <c r="BI18" s="185" t="str">
        <f>_xlfn.IFNA(VLOOKUP($BC18,Programma!$F$3:$L$1101,7,0),"")</f>
        <v/>
      </c>
      <c r="BJ18" s="185" t="str">
        <f>_xlfn.IFNA(VLOOKUP($BC18,Programma!$F$3:$M$1101,8,0),"")</f>
        <v/>
      </c>
      <c r="BK18" s="185" t="str">
        <f>_xlfn.IFNA(VLOOKUP($BC18,Programma!$F$3:$N$1101,9,0),"")</f>
        <v/>
      </c>
      <c r="BL18" s="185" t="str">
        <f>_xlfn.IFNA(VLOOKUP($BC18,Programma!$F$3:$O$1101,10,0),"")</f>
        <v/>
      </c>
      <c r="BM18" s="185" t="str">
        <f>_xlfn.IFNA(VLOOKUP($BC18,Programma!$F$3:$P$1101,11,0),"")</f>
        <v/>
      </c>
      <c r="BN18" s="185" t="str">
        <f>_xlfn.IFNA(VLOOKUP($BC18,Programma!$F$3:$Q$1101,12,0),"")</f>
        <v/>
      </c>
      <c r="BO18" s="185" t="str">
        <f>_xlfn.IFNA(VLOOKUP($BC18,Programma!$F$3:$R$1101,13,0),"")</f>
        <v/>
      </c>
      <c r="BP18" s="185" t="str">
        <f>_xlfn.IFNA(VLOOKUP($BC18,Programma!$F$3:$S$1101,14,0),"")</f>
        <v/>
      </c>
      <c r="BQ18" s="185" t="str">
        <f>_xlfn.IFNA(VLOOKUP($BC18,Programma!$F$3:$T$1101,15,0),"")</f>
        <v/>
      </c>
      <c r="BR18" s="185" t="str">
        <f>_xlfn.IFNA(VLOOKUP($BC18,Programma!$F$3:$U$1101,16,0),"")</f>
        <v/>
      </c>
      <c r="BS18" s="185" t="str">
        <f>_xlfn.IFNA(VLOOKUP($BC18,Programma!$F$3:$V$1101,17,0),"")</f>
        <v/>
      </c>
      <c r="BT18" s="185" t="str">
        <f>_xlfn.IFNA(VLOOKUP($BC18,Programma!$F$3:$W$1101,18,0),"")</f>
        <v/>
      </c>
      <c r="BU18" s="185" t="str">
        <f>_xlfn.IFNA(VLOOKUP($BC18,Programma!$F$3:$X$1101,19,0),"")</f>
        <v/>
      </c>
      <c r="BV18" s="185" t="str">
        <f>_xlfn.IFNA(VLOOKUP($BC18,Programma!$F$3:$Y$1101,20,0),"")</f>
        <v/>
      </c>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c r="EQ18" s="78"/>
      <c r="ER18" s="78"/>
      <c r="ES18" s="78"/>
      <c r="ET18" s="78"/>
      <c r="EU18" s="78"/>
      <c r="EV18" s="78"/>
      <c r="EW18" s="78"/>
      <c r="EX18" s="78"/>
      <c r="EY18" s="78"/>
      <c r="EZ18" s="78"/>
      <c r="FA18" s="78"/>
      <c r="FB18" s="78"/>
      <c r="FC18" s="78"/>
      <c r="FD18" s="78"/>
      <c r="FE18" s="78"/>
      <c r="FF18" s="78"/>
      <c r="FG18" s="78"/>
      <c r="FH18" s="78"/>
      <c r="FI18" s="78"/>
      <c r="FJ18" s="78"/>
      <c r="FK18" s="78"/>
      <c r="FL18" s="78"/>
      <c r="FM18" s="78"/>
      <c r="FN18" s="78"/>
      <c r="FO18" s="78"/>
      <c r="FP18" s="78"/>
      <c r="FQ18" s="78"/>
      <c r="FR18" s="78"/>
      <c r="FS18" s="78"/>
      <c r="FT18" s="78"/>
      <c r="FU18" s="78"/>
      <c r="FV18" s="78"/>
      <c r="FW18" s="78"/>
      <c r="FX18" s="78"/>
      <c r="FY18" s="78"/>
      <c r="FZ18" s="78"/>
      <c r="GA18" s="78"/>
      <c r="GB18" s="78"/>
      <c r="GC18" s="78"/>
      <c r="GD18" s="78"/>
      <c r="GE18" s="78"/>
      <c r="GF18" s="78"/>
      <c r="GG18" s="78"/>
      <c r="GH18" s="78"/>
      <c r="GI18" s="78"/>
      <c r="GJ18" s="78"/>
      <c r="GK18" s="78"/>
      <c r="GL18" s="78"/>
      <c r="GM18" s="78"/>
      <c r="GN18" s="78"/>
      <c r="GO18" s="78"/>
      <c r="GP18" s="78"/>
      <c r="GQ18" s="78"/>
      <c r="GR18" s="78"/>
      <c r="GS18" s="78"/>
      <c r="GT18" s="78"/>
      <c r="GU18" s="78"/>
      <c r="GV18" s="78"/>
      <c r="GW18" s="78"/>
      <c r="GX18" s="78"/>
      <c r="GY18" s="78"/>
      <c r="GZ18" s="78"/>
      <c r="HA18" s="78"/>
      <c r="HB18" s="78"/>
      <c r="HC18" s="78"/>
      <c r="HD18" s="78"/>
      <c r="HE18" s="78"/>
      <c r="HF18" s="78"/>
      <c r="HG18" s="78"/>
      <c r="HH18" s="78"/>
      <c r="HI18" s="78"/>
      <c r="HJ18" s="78"/>
      <c r="HK18" s="78"/>
    </row>
    <row r="19" spans="1:219" ht="15" customHeight="1">
      <c r="A19" s="149">
        <v>1</v>
      </c>
      <c r="B19" s="176" t="str">
        <f>VLOOKUP(Ruimtestaat[[#This Row],[Code]],Locaties[[Code]:[Locatie]],2,FALSE)</f>
        <v xml:space="preserve">OBS Molenbeek </v>
      </c>
      <c r="C19" s="176" t="str">
        <f>VLOOKUP(Ruimtestaat[[#This Row],[Code]],Locaties[[#All],[Code]:[Adres]],4,FALSE)</f>
        <v>Boekelerschoolpad 1</v>
      </c>
      <c r="D19" s="176" t="str">
        <f>VLOOKUP(Ruimtestaat[[#This Row],[Code]],Locaties[[#All],[Code]:[Postcode]],5,FALSE)</f>
        <v>7548 AH</v>
      </c>
      <c r="E19" s="176" t="str">
        <f>VLOOKUP(Ruimtestaat[[#This Row],[Code]],Locaties[#All],6,FALSE)</f>
        <v>Boekelo</v>
      </c>
      <c r="F19" s="149"/>
      <c r="G19" s="149" t="s">
        <v>1646</v>
      </c>
      <c r="H19" s="302" t="s">
        <v>1666</v>
      </c>
      <c r="I19" s="301" t="s">
        <v>1667</v>
      </c>
      <c r="J19" s="149">
        <v>5</v>
      </c>
      <c r="K19" s="183" t="str">
        <f>VLOOKUP(Ruimtestaat[[#This Row],[Ruimte code]],Ruimtegroepen[[#All],[Code]:[Ruimte omschrijving]],2,FALSE)</f>
        <v>Sanitair</v>
      </c>
      <c r="L19" s="149" t="s">
        <v>101</v>
      </c>
      <c r="M19" s="301" t="s">
        <v>1682</v>
      </c>
      <c r="N19" s="177">
        <v>3.9</v>
      </c>
      <c r="O19" s="177"/>
      <c r="P19" s="178" t="str">
        <f>VLOOKUP(Ruimtestaat[[#This Row],[Ruimte code]],Ruimtegroepen[],4,FALSE)</f>
        <v>Sa</v>
      </c>
      <c r="Q19" s="149">
        <v>40</v>
      </c>
      <c r="R19" s="149" t="s">
        <v>2</v>
      </c>
      <c r="S19" s="149">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 s="149">
        <f>IF(S19&gt;0,VLOOKUP($J19,Ruimtegroepen[],3,FALSE)*VLOOKUP($L19,Vloersoorten[],3,FALSE)*VLOOKUP($R19,Frequenties[],3,FALSE)*VLOOKUP($A19,Locaties[],3,FALSE),0)</f>
        <v>0</v>
      </c>
      <c r="U19" s="149">
        <f>Ruimtestaat[[#This Row],[Uitvoeringen werkdagen]]*Ruimtestaat[[#This Row],[Oppervlak (netto)]]</f>
        <v>780</v>
      </c>
      <c r="V19" s="179">
        <f>IF(T19&gt;0,Ruimtestaat[[#This Row],[Prest. (m2 /jaar) werkdagen]]/Ruimtestaat[[#This Row],[Norm (m2/uur) werkdagen]],0)</f>
        <v>0</v>
      </c>
      <c r="W19" s="180">
        <f>Ruimtestaat[[#This Row],[uren / jaar werkdagen]]*Tariefsopbouw!$E$35</f>
        <v>0</v>
      </c>
      <c r="X19" s="149"/>
      <c r="Y19" s="149">
        <f>IF(Ruimtestaat[[#This Row],[Frequentie weekend]]&gt;0,VALUE(LEFT(X19,1))*Q19,0)</f>
        <v>0</v>
      </c>
      <c r="Z19" s="148">
        <f>IF($Y19&gt;0,VLOOKUP($J19,Ruimtegroepen[],3,FALSE)*VLOOKUP($L19,Vloersoorten[],3,FALSE)*VLOOKUP($X19,Frequenties[],3,FALSE)*VLOOKUP(#REF!,Locaties[],3,FALSE),0)</f>
        <v>0</v>
      </c>
      <c r="AA19" s="148">
        <f>Ruimtestaat[[#This Row],[Uitvoeringen weekend]]*Ruimtestaat[[#This Row],[Oppervlak (netto)]]</f>
        <v>0</v>
      </c>
      <c r="AB19" s="148">
        <f>IF(Z19&gt;0,Ruimtestaat[[#This Row],[Prest. (m2 /jaar) weekend]]/Ruimtestaat[[#This Row],[Norm (m2/uur) weekend]],0)</f>
        <v>0</v>
      </c>
      <c r="AC19" s="180">
        <f>Ruimtestaat[[#This Row],[uren / jaar weekend]]*Tariefsopbouw!$D$40</f>
        <v>0</v>
      </c>
      <c r="AD19" s="179">
        <f>Ruimtestaat[[#This Row],[Prest. (m2 /jaar) weekend]]+Ruimtestaat[[#This Row],[Prest. (m2 /jaar) werkdagen]]</f>
        <v>780</v>
      </c>
      <c r="AE19" s="179">
        <f>Ruimtestaat[[#This Row],[uren / jaar weekend]]+Ruimtestaat[[#This Row],[uren / jaar werkdagen]]</f>
        <v>0</v>
      </c>
      <c r="AF19" s="174">
        <f>Ruimtestaat[[#This Row],[kosten / jaar weekend]]+Ruimtestaat[[#This Row],[kosten / jaar werkdagen]]</f>
        <v>0</v>
      </c>
      <c r="AG19" s="174"/>
      <c r="AH19" s="181" t="str">
        <f>IF(Ruimtestaat[[#This Row],[Frequentie werkdagen]]="","",_xlfn.CONCAT(Ruimtestaat[[#This Row],[Ruimte code]],"-",Ruimtestaat[[#This Row],[Frequentie werkdagen]]," ",Ruimtestaat[[#This Row],[Vloer code]]))</f>
        <v>5-5w S</v>
      </c>
      <c r="AI19" s="185" t="str">
        <f>_xlfn.IFNA(VLOOKUP($AH19,Programma!$F$3:$G$1101,2,0),"")</f>
        <v>_</v>
      </c>
      <c r="AJ19" s="185" t="str">
        <f>_xlfn.IFNA(VLOOKUP($AH19,Programma!$F$3:$H$1101,3,0),"")</f>
        <v>_</v>
      </c>
      <c r="AK19" s="185" t="str">
        <f>_xlfn.IFNA(VLOOKUP($AH19,Programma!$F$3:$I$1101,4,0),"")</f>
        <v>_</v>
      </c>
      <c r="AL19" s="185" t="str">
        <f>_xlfn.IFNA(VLOOKUP($AH19,Programma!$F$3:$J$1101,5,0),"")</f>
        <v>4w</v>
      </c>
      <c r="AM19" s="185" t="str">
        <f>_xlfn.IFNA(VLOOKUP($AH19,Programma!$F$3:$K$1101,6,0),"")</f>
        <v>1w</v>
      </c>
      <c r="AN19" s="185" t="str">
        <f>_xlfn.IFNA(VLOOKUP($AH19,Programma!$F$3:$L$1101,7,0),"")</f>
        <v>_</v>
      </c>
      <c r="AO19" s="185" t="str">
        <f>_xlfn.IFNA(VLOOKUP($AH19,Programma!$F$3:$M$1101,8,0),"")</f>
        <v>_</v>
      </c>
      <c r="AP19" s="185" t="str">
        <f>_xlfn.IFNA(VLOOKUP($AH19,Programma!$F$3:$N$1101,9,0),"")</f>
        <v>_</v>
      </c>
      <c r="AQ19" s="185" t="str">
        <f>_xlfn.IFNA(VLOOKUP($AH19,Programma!$F$3:$O$1101,10,0),"")</f>
        <v>_</v>
      </c>
      <c r="AR19" s="185" t="str">
        <f>_xlfn.IFNA(VLOOKUP($AH19,Programma!$F$3:$P$1101,11,0),"")</f>
        <v>_</v>
      </c>
      <c r="AS19" s="185" t="str">
        <f>_xlfn.IFNA(VLOOKUP($AH19,Programma!$F$3:$Q$1101,12,0),"")</f>
        <v>_</v>
      </c>
      <c r="AT19" s="185" t="str">
        <f>_xlfn.IFNA(VLOOKUP($AH19,Programma!$F$3:$R$1101,13,0),"")</f>
        <v>_</v>
      </c>
      <c r="AU19" s="185" t="str">
        <f>_xlfn.IFNA(VLOOKUP($AH19,Programma!$F$3:$S$1101,14,0),"")</f>
        <v>_</v>
      </c>
      <c r="AV19" s="185" t="str">
        <f>_xlfn.IFNA(VLOOKUP($AH19,Programma!$F$3:$T$1101,15,0),"")</f>
        <v>_</v>
      </c>
      <c r="AW19" s="185" t="str">
        <f>_xlfn.IFNA(VLOOKUP($AH19,Programma!$F$3:$U$1101,16,0),"")</f>
        <v>_</v>
      </c>
      <c r="AX19" s="185" t="str">
        <f>_xlfn.IFNA(VLOOKUP($AH19,Programma!$F$3:$V$1101,17,0),"")</f>
        <v>_</v>
      </c>
      <c r="AY19" s="185" t="str">
        <f>_xlfn.IFNA(VLOOKUP($AH19,Programma!$F$3:$W$1101,18,0),"")</f>
        <v>4w</v>
      </c>
      <c r="AZ19" s="185" t="str">
        <f>_xlfn.IFNA(VLOOKUP($AH19,Programma!$F$3:$X$1101,19,0),"")</f>
        <v>1w</v>
      </c>
      <c r="BA19" s="185" t="str">
        <f>_xlfn.IFNA(VLOOKUP($AH19,Programma!$F$3:$Y$1101,20,0),"")</f>
        <v>_</v>
      </c>
      <c r="BB19" s="182"/>
      <c r="BC19" s="181" t="str">
        <f>IF(Ruimtestaat[[#This Row],[Frequentie weekend]]="","",_xlfn.CONCAT(Ruimtestaat[[#This Row],[Ruimte code]],"-",Ruimtestaat[[#This Row],[Frequentie weekend]]," ",Ruimtestaat[[#This Row],[Vloer code]]))</f>
        <v/>
      </c>
      <c r="BD19" s="185" t="str">
        <f>_xlfn.IFNA(VLOOKUP($BC19,Programma!$F$3:$G$1101,2,0),"")</f>
        <v/>
      </c>
      <c r="BE19" s="185" t="str">
        <f>_xlfn.IFNA(VLOOKUP($BC19,Programma!$F$3:$H$1101,3,0),"")</f>
        <v/>
      </c>
      <c r="BF19" s="185" t="str">
        <f>_xlfn.IFNA(VLOOKUP($BC19,Programma!$F$3:$I$1101,4,0),"")</f>
        <v/>
      </c>
      <c r="BG19" s="185" t="str">
        <f>_xlfn.IFNA(VLOOKUP($BC19,Programma!$F$3:$J$1101,5,0),"")</f>
        <v/>
      </c>
      <c r="BH19" s="185" t="str">
        <f>_xlfn.IFNA(VLOOKUP($BC19,Programma!$F$3:$K$1101,6,0),"")</f>
        <v/>
      </c>
      <c r="BI19" s="185" t="str">
        <f>_xlfn.IFNA(VLOOKUP($BC19,Programma!$F$3:$L$1101,7,0),"")</f>
        <v/>
      </c>
      <c r="BJ19" s="185" t="str">
        <f>_xlfn.IFNA(VLOOKUP($BC19,Programma!$F$3:$M$1101,8,0),"")</f>
        <v/>
      </c>
      <c r="BK19" s="185" t="str">
        <f>_xlfn.IFNA(VLOOKUP($BC19,Programma!$F$3:$N$1101,9,0),"")</f>
        <v/>
      </c>
      <c r="BL19" s="185" t="str">
        <f>_xlfn.IFNA(VLOOKUP($BC19,Programma!$F$3:$O$1101,10,0),"")</f>
        <v/>
      </c>
      <c r="BM19" s="185" t="str">
        <f>_xlfn.IFNA(VLOOKUP($BC19,Programma!$F$3:$P$1101,11,0),"")</f>
        <v/>
      </c>
      <c r="BN19" s="185" t="str">
        <f>_xlfn.IFNA(VLOOKUP($BC19,Programma!$F$3:$Q$1101,12,0),"")</f>
        <v/>
      </c>
      <c r="BO19" s="185" t="str">
        <f>_xlfn.IFNA(VLOOKUP($BC19,Programma!$F$3:$R$1101,13,0),"")</f>
        <v/>
      </c>
      <c r="BP19" s="185" t="str">
        <f>_xlfn.IFNA(VLOOKUP($BC19,Programma!$F$3:$S$1101,14,0),"")</f>
        <v/>
      </c>
      <c r="BQ19" s="185" t="str">
        <f>_xlfn.IFNA(VLOOKUP($BC19,Programma!$F$3:$T$1101,15,0),"")</f>
        <v/>
      </c>
      <c r="BR19" s="185" t="str">
        <f>_xlfn.IFNA(VLOOKUP($BC19,Programma!$F$3:$U$1101,16,0),"")</f>
        <v/>
      </c>
      <c r="BS19" s="185" t="str">
        <f>_xlfn.IFNA(VLOOKUP($BC19,Programma!$F$3:$V$1101,17,0),"")</f>
        <v/>
      </c>
      <c r="BT19" s="185" t="str">
        <f>_xlfn.IFNA(VLOOKUP($BC19,Programma!$F$3:$W$1101,18,0),"")</f>
        <v/>
      </c>
      <c r="BU19" s="185" t="str">
        <f>_xlfn.IFNA(VLOOKUP($BC19,Programma!$F$3:$X$1101,19,0),"")</f>
        <v/>
      </c>
      <c r="BV19" s="185" t="str">
        <f>_xlfn.IFNA(VLOOKUP($BC19,Programma!$F$3:$Y$1101,20,0),"")</f>
        <v/>
      </c>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c r="EQ19" s="78"/>
      <c r="ER19" s="78"/>
      <c r="ES19" s="78"/>
      <c r="ET19" s="78"/>
      <c r="EU19" s="78"/>
      <c r="EV19" s="78"/>
      <c r="EW19" s="78"/>
      <c r="EX19" s="78"/>
      <c r="EY19" s="78"/>
      <c r="EZ19" s="78"/>
      <c r="FA19" s="78"/>
      <c r="FB19" s="78"/>
      <c r="FC19" s="78"/>
      <c r="FD19" s="78"/>
      <c r="FE19" s="78"/>
      <c r="FF19" s="78"/>
      <c r="FG19" s="78"/>
      <c r="FH19" s="78"/>
      <c r="FI19" s="78"/>
      <c r="FJ19" s="78"/>
      <c r="FK19" s="78"/>
      <c r="FL19" s="78"/>
      <c r="FM19" s="78"/>
      <c r="FN19" s="78"/>
      <c r="FO19" s="78"/>
      <c r="FP19" s="78"/>
      <c r="FQ19" s="78"/>
      <c r="FR19" s="78"/>
      <c r="FS19" s="78"/>
      <c r="FT19" s="78"/>
      <c r="FU19" s="78"/>
      <c r="FV19" s="78"/>
      <c r="FW19" s="78"/>
      <c r="FX19" s="78"/>
      <c r="FY19" s="78"/>
      <c r="FZ19" s="78"/>
      <c r="GA19" s="78"/>
      <c r="GB19" s="78"/>
      <c r="GC19" s="78"/>
      <c r="GD19" s="78"/>
      <c r="GE19" s="78"/>
      <c r="GF19" s="78"/>
      <c r="GG19" s="78"/>
      <c r="GH19" s="78"/>
      <c r="GI19" s="78"/>
      <c r="GJ19" s="78"/>
      <c r="GK19" s="78"/>
      <c r="GL19" s="78"/>
      <c r="GM19" s="78"/>
      <c r="GN19" s="78"/>
      <c r="GO19" s="78"/>
      <c r="GP19" s="78"/>
      <c r="GQ19" s="78"/>
      <c r="GR19" s="78"/>
      <c r="GS19" s="78"/>
      <c r="GT19" s="78"/>
      <c r="GU19" s="78"/>
      <c r="GV19" s="78"/>
      <c r="GW19" s="78"/>
      <c r="GX19" s="78"/>
      <c r="GY19" s="78"/>
      <c r="GZ19" s="78"/>
      <c r="HA19" s="78"/>
      <c r="HB19" s="78"/>
      <c r="HC19" s="78"/>
      <c r="HD19" s="78"/>
      <c r="HE19" s="78"/>
      <c r="HF19" s="78"/>
      <c r="HG19" s="78"/>
      <c r="HH19" s="78"/>
      <c r="HI19" s="78"/>
      <c r="HJ19" s="78"/>
      <c r="HK19" s="78"/>
    </row>
    <row r="20" spans="1:219" ht="15" customHeight="1">
      <c r="A20" s="149">
        <v>1</v>
      </c>
      <c r="B20" s="176" t="str">
        <f>VLOOKUP(Ruimtestaat[[#This Row],[Code]],Locaties[[Code]:[Locatie]],2,FALSE)</f>
        <v xml:space="preserve">OBS Molenbeek </v>
      </c>
      <c r="C20" s="176" t="str">
        <f>VLOOKUP(Ruimtestaat[[#This Row],[Code]],Locaties[[#All],[Code]:[Adres]],4,FALSE)</f>
        <v>Boekelerschoolpad 1</v>
      </c>
      <c r="D20" s="176" t="str">
        <f>VLOOKUP(Ruimtestaat[[#This Row],[Code]],Locaties[[#All],[Code]:[Postcode]],5,FALSE)</f>
        <v>7548 AH</v>
      </c>
      <c r="E20" s="176" t="str">
        <f>VLOOKUP(Ruimtestaat[[#This Row],[Code]],Locaties[#All],6,FALSE)</f>
        <v>Boekelo</v>
      </c>
      <c r="F20" s="149"/>
      <c r="G20" s="149" t="s">
        <v>1646</v>
      </c>
      <c r="H20" s="302" t="s">
        <v>1668</v>
      </c>
      <c r="I20" s="301" t="s">
        <v>1655</v>
      </c>
      <c r="J20" s="149">
        <v>5</v>
      </c>
      <c r="K20" s="183" t="str">
        <f>VLOOKUP(Ruimtestaat[[#This Row],[Ruimte code]],Ruimtegroepen[[#All],[Code]:[Ruimte omschrijving]],2,FALSE)</f>
        <v>Sanitair</v>
      </c>
      <c r="L20" s="149" t="s">
        <v>101</v>
      </c>
      <c r="M20" s="301" t="s">
        <v>1682</v>
      </c>
      <c r="N20" s="177">
        <v>4</v>
      </c>
      <c r="O20" s="177"/>
      <c r="P20" s="178" t="str">
        <f>VLOOKUP(Ruimtestaat[[#This Row],[Ruimte code]],Ruimtegroepen[],4,FALSE)</f>
        <v>Sa</v>
      </c>
      <c r="Q20" s="149">
        <v>40</v>
      </c>
      <c r="R20" s="149" t="s">
        <v>2</v>
      </c>
      <c r="S20" s="149">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149">
        <f>IF(S20&gt;0,VLOOKUP($J20,Ruimtegroepen[],3,FALSE)*VLOOKUP($L20,Vloersoorten[],3,FALSE)*VLOOKUP($R20,Frequenties[],3,FALSE)*VLOOKUP($A20,Locaties[],3,FALSE),0)</f>
        <v>0</v>
      </c>
      <c r="U20" s="149">
        <f>Ruimtestaat[[#This Row],[Uitvoeringen werkdagen]]*Ruimtestaat[[#This Row],[Oppervlak (netto)]]</f>
        <v>800</v>
      </c>
      <c r="V20" s="179">
        <f>IF(T20&gt;0,Ruimtestaat[[#This Row],[Prest. (m2 /jaar) werkdagen]]/Ruimtestaat[[#This Row],[Norm (m2/uur) werkdagen]],0)</f>
        <v>0</v>
      </c>
      <c r="W20" s="180">
        <f>Ruimtestaat[[#This Row],[uren / jaar werkdagen]]*Tariefsopbouw!$E$35</f>
        <v>0</v>
      </c>
      <c r="X20" s="149"/>
      <c r="Y20" s="149">
        <f>IF(Ruimtestaat[[#This Row],[Frequentie weekend]]&gt;0,VALUE(LEFT(X20,1))*Q20,0)</f>
        <v>0</v>
      </c>
      <c r="Z20" s="148">
        <f>IF($Y20&gt;0,VLOOKUP($J20,Ruimtegroepen[],3,FALSE)*VLOOKUP($L20,Vloersoorten[],3,FALSE)*VLOOKUP($X20,Frequenties[],3,FALSE)*VLOOKUP(#REF!,Locaties[],3,FALSE),0)</f>
        <v>0</v>
      </c>
      <c r="AA20" s="148">
        <f>Ruimtestaat[[#This Row],[Uitvoeringen weekend]]*Ruimtestaat[[#This Row],[Oppervlak (netto)]]</f>
        <v>0</v>
      </c>
      <c r="AB20" s="148">
        <f>IF(Z20&gt;0,Ruimtestaat[[#This Row],[Prest. (m2 /jaar) weekend]]/Ruimtestaat[[#This Row],[Norm (m2/uur) weekend]],0)</f>
        <v>0</v>
      </c>
      <c r="AC20" s="180">
        <f>Ruimtestaat[[#This Row],[uren / jaar weekend]]*Tariefsopbouw!$D$40</f>
        <v>0</v>
      </c>
      <c r="AD20" s="179">
        <f>Ruimtestaat[[#This Row],[Prest. (m2 /jaar) weekend]]+Ruimtestaat[[#This Row],[Prest. (m2 /jaar) werkdagen]]</f>
        <v>800</v>
      </c>
      <c r="AE20" s="179">
        <f>Ruimtestaat[[#This Row],[uren / jaar weekend]]+Ruimtestaat[[#This Row],[uren / jaar werkdagen]]</f>
        <v>0</v>
      </c>
      <c r="AF20" s="174">
        <f>Ruimtestaat[[#This Row],[kosten / jaar weekend]]+Ruimtestaat[[#This Row],[kosten / jaar werkdagen]]</f>
        <v>0</v>
      </c>
      <c r="AG20" s="174"/>
      <c r="AH20" s="181" t="str">
        <f>IF(Ruimtestaat[[#This Row],[Frequentie werkdagen]]="","",_xlfn.CONCAT(Ruimtestaat[[#This Row],[Ruimte code]],"-",Ruimtestaat[[#This Row],[Frequentie werkdagen]]," ",Ruimtestaat[[#This Row],[Vloer code]]))</f>
        <v>5-5w S</v>
      </c>
      <c r="AI20" s="185" t="str">
        <f>_xlfn.IFNA(VLOOKUP($AH20,Programma!$F$3:$G$1101,2,0),"")</f>
        <v>_</v>
      </c>
      <c r="AJ20" s="185" t="str">
        <f>_xlfn.IFNA(VLOOKUP($AH20,Programma!$F$3:$H$1101,3,0),"")</f>
        <v>_</v>
      </c>
      <c r="AK20" s="185" t="str">
        <f>_xlfn.IFNA(VLOOKUP($AH20,Programma!$F$3:$I$1101,4,0),"")</f>
        <v>_</v>
      </c>
      <c r="AL20" s="185" t="str">
        <f>_xlfn.IFNA(VLOOKUP($AH20,Programma!$F$3:$J$1101,5,0),"")</f>
        <v>4w</v>
      </c>
      <c r="AM20" s="185" t="str">
        <f>_xlfn.IFNA(VLOOKUP($AH20,Programma!$F$3:$K$1101,6,0),"")</f>
        <v>1w</v>
      </c>
      <c r="AN20" s="185" t="str">
        <f>_xlfn.IFNA(VLOOKUP($AH20,Programma!$F$3:$L$1101,7,0),"")</f>
        <v>_</v>
      </c>
      <c r="AO20" s="185" t="str">
        <f>_xlfn.IFNA(VLOOKUP($AH20,Programma!$F$3:$M$1101,8,0),"")</f>
        <v>_</v>
      </c>
      <c r="AP20" s="185" t="str">
        <f>_xlfn.IFNA(VLOOKUP($AH20,Programma!$F$3:$N$1101,9,0),"")</f>
        <v>_</v>
      </c>
      <c r="AQ20" s="185" t="str">
        <f>_xlfn.IFNA(VLOOKUP($AH20,Programma!$F$3:$O$1101,10,0),"")</f>
        <v>_</v>
      </c>
      <c r="AR20" s="185" t="str">
        <f>_xlfn.IFNA(VLOOKUP($AH20,Programma!$F$3:$P$1101,11,0),"")</f>
        <v>_</v>
      </c>
      <c r="AS20" s="185" t="str">
        <f>_xlfn.IFNA(VLOOKUP($AH20,Programma!$F$3:$Q$1101,12,0),"")</f>
        <v>_</v>
      </c>
      <c r="AT20" s="185" t="str">
        <f>_xlfn.IFNA(VLOOKUP($AH20,Programma!$F$3:$R$1101,13,0),"")</f>
        <v>_</v>
      </c>
      <c r="AU20" s="185" t="str">
        <f>_xlfn.IFNA(VLOOKUP($AH20,Programma!$F$3:$S$1101,14,0),"")</f>
        <v>_</v>
      </c>
      <c r="AV20" s="185" t="str">
        <f>_xlfn.IFNA(VLOOKUP($AH20,Programma!$F$3:$T$1101,15,0),"")</f>
        <v>_</v>
      </c>
      <c r="AW20" s="185" t="str">
        <f>_xlfn.IFNA(VLOOKUP($AH20,Programma!$F$3:$U$1101,16,0),"")</f>
        <v>_</v>
      </c>
      <c r="AX20" s="185" t="str">
        <f>_xlfn.IFNA(VLOOKUP($AH20,Programma!$F$3:$V$1101,17,0),"")</f>
        <v>_</v>
      </c>
      <c r="AY20" s="185" t="str">
        <f>_xlfn.IFNA(VLOOKUP($AH20,Programma!$F$3:$W$1101,18,0),"")</f>
        <v>4w</v>
      </c>
      <c r="AZ20" s="185" t="str">
        <f>_xlfn.IFNA(VLOOKUP($AH20,Programma!$F$3:$X$1101,19,0),"")</f>
        <v>1w</v>
      </c>
      <c r="BA20" s="185" t="str">
        <f>_xlfn.IFNA(VLOOKUP($AH20,Programma!$F$3:$Y$1101,20,0),"")</f>
        <v>_</v>
      </c>
      <c r="BB20" s="182"/>
      <c r="BC20" s="181" t="str">
        <f>IF(Ruimtestaat[[#This Row],[Frequentie weekend]]="","",_xlfn.CONCAT(Ruimtestaat[[#This Row],[Ruimte code]],"-",Ruimtestaat[[#This Row],[Frequentie weekend]]," ",Ruimtestaat[[#This Row],[Vloer code]]))</f>
        <v/>
      </c>
      <c r="BD20" s="185" t="str">
        <f>_xlfn.IFNA(VLOOKUP($BC20,Programma!$F$3:$G$1101,2,0),"")</f>
        <v/>
      </c>
      <c r="BE20" s="185" t="str">
        <f>_xlfn.IFNA(VLOOKUP($BC20,Programma!$F$3:$H$1101,3,0),"")</f>
        <v/>
      </c>
      <c r="BF20" s="185" t="str">
        <f>_xlfn.IFNA(VLOOKUP($BC20,Programma!$F$3:$I$1101,4,0),"")</f>
        <v/>
      </c>
      <c r="BG20" s="185" t="str">
        <f>_xlfn.IFNA(VLOOKUP($BC20,Programma!$F$3:$J$1101,5,0),"")</f>
        <v/>
      </c>
      <c r="BH20" s="185" t="str">
        <f>_xlfn.IFNA(VLOOKUP($BC20,Programma!$F$3:$K$1101,6,0),"")</f>
        <v/>
      </c>
      <c r="BI20" s="185" t="str">
        <f>_xlfn.IFNA(VLOOKUP($BC20,Programma!$F$3:$L$1101,7,0),"")</f>
        <v/>
      </c>
      <c r="BJ20" s="185" t="str">
        <f>_xlfn.IFNA(VLOOKUP($BC20,Programma!$F$3:$M$1101,8,0),"")</f>
        <v/>
      </c>
      <c r="BK20" s="185" t="str">
        <f>_xlfn.IFNA(VLOOKUP($BC20,Programma!$F$3:$N$1101,9,0),"")</f>
        <v/>
      </c>
      <c r="BL20" s="185" t="str">
        <f>_xlfn.IFNA(VLOOKUP($BC20,Programma!$F$3:$O$1101,10,0),"")</f>
        <v/>
      </c>
      <c r="BM20" s="185" t="str">
        <f>_xlfn.IFNA(VLOOKUP($BC20,Programma!$F$3:$P$1101,11,0),"")</f>
        <v/>
      </c>
      <c r="BN20" s="185" t="str">
        <f>_xlfn.IFNA(VLOOKUP($BC20,Programma!$F$3:$Q$1101,12,0),"")</f>
        <v/>
      </c>
      <c r="BO20" s="185" t="str">
        <f>_xlfn.IFNA(VLOOKUP($BC20,Programma!$F$3:$R$1101,13,0),"")</f>
        <v/>
      </c>
      <c r="BP20" s="185" t="str">
        <f>_xlfn.IFNA(VLOOKUP($BC20,Programma!$F$3:$S$1101,14,0),"")</f>
        <v/>
      </c>
      <c r="BQ20" s="185" t="str">
        <f>_xlfn.IFNA(VLOOKUP($BC20,Programma!$F$3:$T$1101,15,0),"")</f>
        <v/>
      </c>
      <c r="BR20" s="185" t="str">
        <f>_xlfn.IFNA(VLOOKUP($BC20,Programma!$F$3:$U$1101,16,0),"")</f>
        <v/>
      </c>
      <c r="BS20" s="185" t="str">
        <f>_xlfn.IFNA(VLOOKUP($BC20,Programma!$F$3:$V$1101,17,0),"")</f>
        <v/>
      </c>
      <c r="BT20" s="185" t="str">
        <f>_xlfn.IFNA(VLOOKUP($BC20,Programma!$F$3:$W$1101,18,0),"")</f>
        <v/>
      </c>
      <c r="BU20" s="185" t="str">
        <f>_xlfn.IFNA(VLOOKUP($BC20,Programma!$F$3:$X$1101,19,0),"")</f>
        <v/>
      </c>
      <c r="BV20" s="185" t="str">
        <f>_xlfn.IFNA(VLOOKUP($BC20,Programma!$F$3:$Y$1101,20,0),"")</f>
        <v/>
      </c>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row>
    <row r="21" spans="1:219" ht="15" customHeight="1">
      <c r="A21" s="149">
        <v>1</v>
      </c>
      <c r="B21" s="176" t="str">
        <f>VLOOKUP(Ruimtestaat[[#This Row],[Code]],Locaties[[Code]:[Locatie]],2,FALSE)</f>
        <v xml:space="preserve">OBS Molenbeek </v>
      </c>
      <c r="C21" s="176" t="str">
        <f>VLOOKUP(Ruimtestaat[[#This Row],[Code]],Locaties[[#All],[Code]:[Adres]],4,FALSE)</f>
        <v>Boekelerschoolpad 1</v>
      </c>
      <c r="D21" s="176" t="str">
        <f>VLOOKUP(Ruimtestaat[[#This Row],[Code]],Locaties[[#All],[Code]:[Postcode]],5,FALSE)</f>
        <v>7548 AH</v>
      </c>
      <c r="E21" s="176" t="str">
        <f>VLOOKUP(Ruimtestaat[[#This Row],[Code]],Locaties[#All],6,FALSE)</f>
        <v>Boekelo</v>
      </c>
      <c r="F21" s="149"/>
      <c r="G21" s="149" t="s">
        <v>1646</v>
      </c>
      <c r="H21" s="302" t="s">
        <v>1669</v>
      </c>
      <c r="I21" s="301" t="s">
        <v>1651</v>
      </c>
      <c r="J21" s="149">
        <v>16</v>
      </c>
      <c r="K21" s="183" t="str">
        <f>VLOOKUP(Ruimtestaat[[#This Row],[Ruimte code]],Ruimtegroepen[[#All],[Code]:[Ruimte omschrijving]],2,FALSE)</f>
        <v>Leslokalen</v>
      </c>
      <c r="L21" s="149" t="s">
        <v>102</v>
      </c>
      <c r="M21" s="301" t="s">
        <v>120</v>
      </c>
      <c r="N21" s="177">
        <v>55.9</v>
      </c>
      <c r="O21" s="177"/>
      <c r="P21" s="178" t="str">
        <f>VLOOKUP(Ruimtestaat[[#This Row],[Ruimte code]],Ruimtegroepen[],4,FALSE)</f>
        <v>Le</v>
      </c>
      <c r="Q21" s="149">
        <v>40</v>
      </c>
      <c r="R21" s="149" t="s">
        <v>2</v>
      </c>
      <c r="S21" s="149">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 s="149">
        <f>IF(S21&gt;0,VLOOKUP($J21,Ruimtegroepen[],3,FALSE)*VLOOKUP($L21,Vloersoorten[],3,FALSE)*VLOOKUP($R21,Frequenties[],3,FALSE)*VLOOKUP($A21,Locaties[],3,FALSE),0)</f>
        <v>0</v>
      </c>
      <c r="U21" s="149">
        <f>Ruimtestaat[[#This Row],[Uitvoeringen werkdagen]]*Ruimtestaat[[#This Row],[Oppervlak (netto)]]</f>
        <v>11180</v>
      </c>
      <c r="V21" s="179">
        <f>IF(T21&gt;0,Ruimtestaat[[#This Row],[Prest. (m2 /jaar) werkdagen]]/Ruimtestaat[[#This Row],[Norm (m2/uur) werkdagen]],0)</f>
        <v>0</v>
      </c>
      <c r="W21" s="180">
        <f>Ruimtestaat[[#This Row],[uren / jaar werkdagen]]*Tariefsopbouw!$E$35</f>
        <v>0</v>
      </c>
      <c r="X21" s="149"/>
      <c r="Y21" s="149">
        <f>IF(Ruimtestaat[[#This Row],[Frequentie weekend]]&gt;0,VALUE(LEFT(X21,1))*Q21,0)</f>
        <v>0</v>
      </c>
      <c r="Z21" s="148">
        <f>IF($Y21&gt;0,VLOOKUP($J21,Ruimtegroepen[],3,FALSE)*VLOOKUP($L21,Vloersoorten[],3,FALSE)*VLOOKUP($X21,Frequenties[],3,FALSE)*VLOOKUP(#REF!,Locaties[],3,FALSE),0)</f>
        <v>0</v>
      </c>
      <c r="AA21" s="148">
        <f>Ruimtestaat[[#This Row],[Uitvoeringen weekend]]*Ruimtestaat[[#This Row],[Oppervlak (netto)]]</f>
        <v>0</v>
      </c>
      <c r="AB21" s="148">
        <f>IF(Z21&gt;0,Ruimtestaat[[#This Row],[Prest. (m2 /jaar) weekend]]/Ruimtestaat[[#This Row],[Norm (m2/uur) weekend]],0)</f>
        <v>0</v>
      </c>
      <c r="AC21" s="180">
        <f>Ruimtestaat[[#This Row],[uren / jaar weekend]]*Tariefsopbouw!$D$40</f>
        <v>0</v>
      </c>
      <c r="AD21" s="179">
        <f>Ruimtestaat[[#This Row],[Prest. (m2 /jaar) weekend]]+Ruimtestaat[[#This Row],[Prest. (m2 /jaar) werkdagen]]</f>
        <v>11180</v>
      </c>
      <c r="AE21" s="179">
        <f>Ruimtestaat[[#This Row],[uren / jaar weekend]]+Ruimtestaat[[#This Row],[uren / jaar werkdagen]]</f>
        <v>0</v>
      </c>
      <c r="AF21" s="174">
        <f>Ruimtestaat[[#This Row],[kosten / jaar weekend]]+Ruimtestaat[[#This Row],[kosten / jaar werkdagen]]</f>
        <v>0</v>
      </c>
      <c r="AG21" s="174"/>
      <c r="AH21" s="181" t="str">
        <f>IF(Ruimtestaat[[#This Row],[Frequentie werkdagen]]="","",_xlfn.CONCAT(Ruimtestaat[[#This Row],[Ruimte code]],"-",Ruimtestaat[[#This Row],[Frequentie werkdagen]]," ",Ruimtestaat[[#This Row],[Vloer code]]))</f>
        <v>16-5w P</v>
      </c>
      <c r="AI21" s="185" t="str">
        <f>_xlfn.IFNA(VLOOKUP($AH21,Programma!$F$3:$G$1101,2,0),"")</f>
        <v>_</v>
      </c>
      <c r="AJ21" s="185" t="str">
        <f>_xlfn.IFNA(VLOOKUP($AH21,Programma!$F$3:$H$1101,3,0),"")</f>
        <v>_</v>
      </c>
      <c r="AK21" s="185" t="str">
        <f>_xlfn.IFNA(VLOOKUP($AH21,Programma!$F$3:$I$1101,4,0),"")</f>
        <v>4w</v>
      </c>
      <c r="AL21" s="185" t="str">
        <f>_xlfn.IFNA(VLOOKUP($AH21,Programma!$F$3:$J$1101,5,0),"")</f>
        <v>1w</v>
      </c>
      <c r="AM21" s="185" t="str">
        <f>_xlfn.IFNA(VLOOKUP($AH21,Programma!$F$3:$K$1101,6,0),"")</f>
        <v>1m</v>
      </c>
      <c r="AN21" s="185" t="str">
        <f>_xlfn.IFNA(VLOOKUP($AH21,Programma!$F$3:$L$1101,7,0),"")</f>
        <v>_</v>
      </c>
      <c r="AO21" s="185" t="str">
        <f>_xlfn.IFNA(VLOOKUP($AH21,Programma!$F$3:$M$1101,8,0),"")</f>
        <v>_</v>
      </c>
      <c r="AP21" s="185" t="str">
        <f>_xlfn.IFNA(VLOOKUP($AH21,Programma!$F$3:$N$1101,9,0),"")</f>
        <v>_</v>
      </c>
      <c r="AQ21" s="185" t="str">
        <f>_xlfn.IFNA(VLOOKUP($AH21,Programma!$F$3:$O$1101,10,0),"")</f>
        <v>5w</v>
      </c>
      <c r="AR21" s="185" t="str">
        <f>_xlfn.IFNA(VLOOKUP($AH21,Programma!$F$3:$P$1101,11,0),"")</f>
        <v>5w</v>
      </c>
      <c r="AS21" s="185" t="str">
        <f>_xlfn.IFNA(VLOOKUP($AH21,Programma!$F$3:$Q$1101,12,0),"")</f>
        <v>1w</v>
      </c>
      <c r="AT21" s="185" t="str">
        <f>_xlfn.IFNA(VLOOKUP($AH21,Programma!$F$3:$R$1101,13,0),"")</f>
        <v>1w</v>
      </c>
      <c r="AU21" s="185" t="str">
        <f>_xlfn.IFNA(VLOOKUP($AH21,Programma!$F$3:$S$1101,14,0),"")</f>
        <v>1m</v>
      </c>
      <c r="AV21" s="185" t="str">
        <f>_xlfn.IFNA(VLOOKUP($AH21,Programma!$F$3:$T$1101,15,0),"")</f>
        <v>2j</v>
      </c>
      <c r="AW21" s="185" t="str">
        <f>_xlfn.IFNA(VLOOKUP($AH21,Programma!$F$3:$U$1101,16,0),"")</f>
        <v>1j</v>
      </c>
      <c r="AX21" s="185" t="str">
        <f>_xlfn.IFNA(VLOOKUP($AH21,Programma!$F$3:$V$1101,17,0),"")</f>
        <v>_</v>
      </c>
      <c r="AY21" s="185" t="str">
        <f>_xlfn.IFNA(VLOOKUP($AH21,Programma!$F$3:$W$1101,18,0),"")</f>
        <v>_</v>
      </c>
      <c r="AZ21" s="185" t="str">
        <f>_xlfn.IFNA(VLOOKUP($AH21,Programma!$F$3:$X$1101,19,0),"")</f>
        <v>_</v>
      </c>
      <c r="BA21" s="185" t="str">
        <f>_xlfn.IFNA(VLOOKUP($AH21,Programma!$F$3:$Y$1101,20,0),"")</f>
        <v>_</v>
      </c>
      <c r="BB21" s="182"/>
      <c r="BC21" s="181" t="str">
        <f>IF(Ruimtestaat[[#This Row],[Frequentie weekend]]="","",_xlfn.CONCAT(Ruimtestaat[[#This Row],[Ruimte code]],"-",Ruimtestaat[[#This Row],[Frequentie weekend]]," ",Ruimtestaat[[#This Row],[Vloer code]]))</f>
        <v/>
      </c>
      <c r="BD21" s="185" t="str">
        <f>_xlfn.IFNA(VLOOKUP($BC21,Programma!$F$3:$G$1101,2,0),"")</f>
        <v/>
      </c>
      <c r="BE21" s="185" t="str">
        <f>_xlfn.IFNA(VLOOKUP($BC21,Programma!$F$3:$H$1101,3,0),"")</f>
        <v/>
      </c>
      <c r="BF21" s="185" t="str">
        <f>_xlfn.IFNA(VLOOKUP($BC21,Programma!$F$3:$I$1101,4,0),"")</f>
        <v/>
      </c>
      <c r="BG21" s="185" t="str">
        <f>_xlfn.IFNA(VLOOKUP($BC21,Programma!$F$3:$J$1101,5,0),"")</f>
        <v/>
      </c>
      <c r="BH21" s="185" t="str">
        <f>_xlfn.IFNA(VLOOKUP($BC21,Programma!$F$3:$K$1101,6,0),"")</f>
        <v/>
      </c>
      <c r="BI21" s="185" t="str">
        <f>_xlfn.IFNA(VLOOKUP($BC21,Programma!$F$3:$L$1101,7,0),"")</f>
        <v/>
      </c>
      <c r="BJ21" s="185" t="str">
        <f>_xlfn.IFNA(VLOOKUP($BC21,Programma!$F$3:$M$1101,8,0),"")</f>
        <v/>
      </c>
      <c r="BK21" s="185" t="str">
        <f>_xlfn.IFNA(VLOOKUP($BC21,Programma!$F$3:$N$1101,9,0),"")</f>
        <v/>
      </c>
      <c r="BL21" s="185" t="str">
        <f>_xlfn.IFNA(VLOOKUP($BC21,Programma!$F$3:$O$1101,10,0),"")</f>
        <v/>
      </c>
      <c r="BM21" s="185" t="str">
        <f>_xlfn.IFNA(VLOOKUP($BC21,Programma!$F$3:$P$1101,11,0),"")</f>
        <v/>
      </c>
      <c r="BN21" s="185" t="str">
        <f>_xlfn.IFNA(VLOOKUP($BC21,Programma!$F$3:$Q$1101,12,0),"")</f>
        <v/>
      </c>
      <c r="BO21" s="185" t="str">
        <f>_xlfn.IFNA(VLOOKUP($BC21,Programma!$F$3:$R$1101,13,0),"")</f>
        <v/>
      </c>
      <c r="BP21" s="185" t="str">
        <f>_xlfn.IFNA(VLOOKUP($BC21,Programma!$F$3:$S$1101,14,0),"")</f>
        <v/>
      </c>
      <c r="BQ21" s="185" t="str">
        <f>_xlfn.IFNA(VLOOKUP($BC21,Programma!$F$3:$T$1101,15,0),"")</f>
        <v/>
      </c>
      <c r="BR21" s="185" t="str">
        <f>_xlfn.IFNA(VLOOKUP($BC21,Programma!$F$3:$U$1101,16,0),"")</f>
        <v/>
      </c>
      <c r="BS21" s="185" t="str">
        <f>_xlfn.IFNA(VLOOKUP($BC21,Programma!$F$3:$V$1101,17,0),"")</f>
        <v/>
      </c>
      <c r="BT21" s="185" t="str">
        <f>_xlfn.IFNA(VLOOKUP($BC21,Programma!$F$3:$W$1101,18,0),"")</f>
        <v/>
      </c>
      <c r="BU21" s="185" t="str">
        <f>_xlfn.IFNA(VLOOKUP($BC21,Programma!$F$3:$X$1101,19,0),"")</f>
        <v/>
      </c>
      <c r="BV21" s="185" t="str">
        <f>_xlfn.IFNA(VLOOKUP($BC21,Programma!$F$3:$Y$1101,20,0),"")</f>
        <v/>
      </c>
      <c r="BW21" s="78"/>
      <c r="BX21" s="78"/>
      <c r="BY21" s="78"/>
      <c r="BZ21" s="78"/>
      <c r="CA21" s="78"/>
      <c r="CB21" s="78"/>
      <c r="CC21" s="78"/>
      <c r="CD21" s="78"/>
      <c r="CE21" s="78"/>
      <c r="CF21" s="78"/>
      <c r="CG21" s="78"/>
      <c r="CH21" s="78"/>
      <c r="CI21" s="78"/>
      <c r="CJ21" s="78"/>
      <c r="CK21" s="78"/>
      <c r="CL21" s="78"/>
      <c r="CM21" s="78"/>
      <c r="CN21" s="78"/>
      <c r="CO21" s="78"/>
      <c r="CP21" s="78"/>
      <c r="CQ21" s="78"/>
      <c r="CR21" s="78"/>
      <c r="CS21" s="78"/>
      <c r="CT21" s="78"/>
      <c r="CU21" s="78"/>
      <c r="CV21" s="78"/>
      <c r="CW21" s="78"/>
      <c r="CX21" s="78"/>
      <c r="CY21" s="78"/>
      <c r="CZ21" s="78"/>
      <c r="DA21" s="78"/>
      <c r="DB21" s="78"/>
      <c r="DC21" s="78"/>
      <c r="DD21" s="78"/>
      <c r="DE21" s="78"/>
      <c r="DF21" s="78"/>
      <c r="DG21" s="78"/>
      <c r="DH21" s="78"/>
      <c r="DI21" s="78"/>
      <c r="DJ21" s="78"/>
      <c r="DK21" s="78"/>
      <c r="DL21" s="78"/>
      <c r="DM21" s="78"/>
      <c r="DN21" s="78"/>
      <c r="DO21" s="78"/>
      <c r="DP21" s="78"/>
      <c r="DQ21" s="78"/>
      <c r="DR21" s="78"/>
      <c r="DS21" s="78"/>
      <c r="DT21" s="78"/>
      <c r="DU21" s="78"/>
      <c r="DV21" s="78"/>
      <c r="DW21" s="78"/>
      <c r="DX21" s="78"/>
      <c r="DY21" s="78"/>
      <c r="DZ21" s="78"/>
      <c r="EA21" s="78"/>
      <c r="EB21" s="78"/>
      <c r="EC21" s="78"/>
      <c r="ED21" s="78"/>
      <c r="EE21" s="78"/>
      <c r="EF21" s="78"/>
      <c r="EG21" s="78"/>
      <c r="EH21" s="78"/>
      <c r="EI21" s="78"/>
      <c r="EJ21" s="78"/>
      <c r="EK21" s="78"/>
      <c r="EL21" s="78"/>
      <c r="EM21" s="78"/>
      <c r="EN21" s="78"/>
      <c r="EO21" s="78"/>
      <c r="EP21" s="78"/>
      <c r="EQ21" s="78"/>
      <c r="ER21" s="78"/>
      <c r="ES21" s="78"/>
      <c r="ET21" s="78"/>
      <c r="EU21" s="78"/>
      <c r="EV21" s="78"/>
      <c r="EW21" s="78"/>
      <c r="EX21" s="78"/>
      <c r="EY21" s="78"/>
      <c r="EZ21" s="78"/>
      <c r="FA21" s="78"/>
      <c r="FB21" s="78"/>
      <c r="FC21" s="78"/>
      <c r="FD21" s="78"/>
      <c r="FE21" s="78"/>
      <c r="FF21" s="78"/>
      <c r="FG21" s="78"/>
      <c r="FH21" s="78"/>
      <c r="FI21" s="78"/>
      <c r="FJ21" s="78"/>
      <c r="FK21" s="78"/>
      <c r="FL21" s="78"/>
      <c r="FM21" s="78"/>
      <c r="FN21" s="78"/>
      <c r="FO21" s="78"/>
      <c r="FP21" s="78"/>
      <c r="FQ21" s="78"/>
      <c r="FR21" s="78"/>
      <c r="FS21" s="78"/>
      <c r="FT21" s="78"/>
      <c r="FU21" s="78"/>
      <c r="FV21" s="78"/>
      <c r="FW21" s="78"/>
      <c r="FX21" s="78"/>
      <c r="FY21" s="78"/>
      <c r="FZ21" s="78"/>
      <c r="GA21" s="78"/>
      <c r="GB21" s="78"/>
      <c r="GC21" s="78"/>
      <c r="GD21" s="78"/>
      <c r="GE21" s="78"/>
      <c r="GF21" s="78"/>
      <c r="GG21" s="78"/>
      <c r="GH21" s="78"/>
      <c r="GI21" s="78"/>
      <c r="GJ21" s="78"/>
      <c r="GK21" s="78"/>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row>
    <row r="22" spans="1:219" ht="15" customHeight="1">
      <c r="A22" s="149">
        <v>1</v>
      </c>
      <c r="B22" s="176" t="str">
        <f>VLOOKUP(Ruimtestaat[[#This Row],[Code]],Locaties[[Code]:[Locatie]],2,FALSE)</f>
        <v xml:space="preserve">OBS Molenbeek </v>
      </c>
      <c r="C22" s="176" t="str">
        <f>VLOOKUP(Ruimtestaat[[#This Row],[Code]],Locaties[[#All],[Code]:[Adres]],4,FALSE)</f>
        <v>Boekelerschoolpad 1</v>
      </c>
      <c r="D22" s="176" t="str">
        <f>VLOOKUP(Ruimtestaat[[#This Row],[Code]],Locaties[[#All],[Code]:[Postcode]],5,FALSE)</f>
        <v>7548 AH</v>
      </c>
      <c r="E22" s="176" t="str">
        <f>VLOOKUP(Ruimtestaat[[#This Row],[Code]],Locaties[#All],6,FALSE)</f>
        <v>Boekelo</v>
      </c>
      <c r="F22" s="149"/>
      <c r="G22" s="149" t="s">
        <v>1646</v>
      </c>
      <c r="H22" s="302" t="s">
        <v>1670</v>
      </c>
      <c r="I22" s="301" t="s">
        <v>1651</v>
      </c>
      <c r="J22" s="149">
        <v>16</v>
      </c>
      <c r="K22" s="183" t="str">
        <f>VLOOKUP(Ruimtestaat[[#This Row],[Ruimte code]],Ruimtegroepen[[#All],[Code]:[Ruimte omschrijving]],2,FALSE)</f>
        <v>Leslokalen</v>
      </c>
      <c r="L22" s="149" t="s">
        <v>102</v>
      </c>
      <c r="M22" s="301" t="s">
        <v>120</v>
      </c>
      <c r="N22" s="177">
        <v>55.9</v>
      </c>
      <c r="O22" s="177"/>
      <c r="P22" s="178" t="str">
        <f>VLOOKUP(Ruimtestaat[[#This Row],[Ruimte code]],Ruimtegroepen[],4,FALSE)</f>
        <v>Le</v>
      </c>
      <c r="Q22" s="149">
        <v>40</v>
      </c>
      <c r="R22" s="149" t="s">
        <v>2</v>
      </c>
      <c r="S22" s="149">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149">
        <f>IF(S22&gt;0,VLOOKUP($J22,Ruimtegroepen[],3,FALSE)*VLOOKUP($L22,Vloersoorten[],3,FALSE)*VLOOKUP($R22,Frequenties[],3,FALSE)*VLOOKUP($A22,Locaties[],3,FALSE),0)</f>
        <v>0</v>
      </c>
      <c r="U22" s="149">
        <f>Ruimtestaat[[#This Row],[Uitvoeringen werkdagen]]*Ruimtestaat[[#This Row],[Oppervlak (netto)]]</f>
        <v>11180</v>
      </c>
      <c r="V22" s="179">
        <f>IF(T22&gt;0,Ruimtestaat[[#This Row],[Prest. (m2 /jaar) werkdagen]]/Ruimtestaat[[#This Row],[Norm (m2/uur) werkdagen]],0)</f>
        <v>0</v>
      </c>
      <c r="W22" s="180">
        <f>Ruimtestaat[[#This Row],[uren / jaar werkdagen]]*Tariefsopbouw!$E$35</f>
        <v>0</v>
      </c>
      <c r="X22" s="149"/>
      <c r="Y22" s="149">
        <f>IF(Ruimtestaat[[#This Row],[Frequentie weekend]]&gt;0,VALUE(LEFT(X22,1))*Q22,0)</f>
        <v>0</v>
      </c>
      <c r="Z22" s="148">
        <f>IF($Y22&gt;0,VLOOKUP($J22,Ruimtegroepen[],3,FALSE)*VLOOKUP($L22,Vloersoorten[],3,FALSE)*VLOOKUP($X22,Frequenties[],3,FALSE)*VLOOKUP(#REF!,Locaties[],3,FALSE),0)</f>
        <v>0</v>
      </c>
      <c r="AA22" s="148">
        <f>Ruimtestaat[[#This Row],[Uitvoeringen weekend]]*Ruimtestaat[[#This Row],[Oppervlak (netto)]]</f>
        <v>0</v>
      </c>
      <c r="AB22" s="148">
        <f>IF(Z22&gt;0,Ruimtestaat[[#This Row],[Prest. (m2 /jaar) weekend]]/Ruimtestaat[[#This Row],[Norm (m2/uur) weekend]],0)</f>
        <v>0</v>
      </c>
      <c r="AC22" s="180">
        <f>Ruimtestaat[[#This Row],[uren / jaar weekend]]*Tariefsopbouw!$D$40</f>
        <v>0</v>
      </c>
      <c r="AD22" s="179">
        <f>Ruimtestaat[[#This Row],[Prest. (m2 /jaar) weekend]]+Ruimtestaat[[#This Row],[Prest. (m2 /jaar) werkdagen]]</f>
        <v>11180</v>
      </c>
      <c r="AE22" s="179">
        <f>Ruimtestaat[[#This Row],[uren / jaar weekend]]+Ruimtestaat[[#This Row],[uren / jaar werkdagen]]</f>
        <v>0</v>
      </c>
      <c r="AF22" s="174">
        <f>Ruimtestaat[[#This Row],[kosten / jaar weekend]]+Ruimtestaat[[#This Row],[kosten / jaar werkdagen]]</f>
        <v>0</v>
      </c>
      <c r="AG22" s="174"/>
      <c r="AH22" s="181" t="str">
        <f>IF(Ruimtestaat[[#This Row],[Frequentie werkdagen]]="","",_xlfn.CONCAT(Ruimtestaat[[#This Row],[Ruimte code]],"-",Ruimtestaat[[#This Row],[Frequentie werkdagen]]," ",Ruimtestaat[[#This Row],[Vloer code]]))</f>
        <v>16-5w P</v>
      </c>
      <c r="AI22" s="185" t="str">
        <f>_xlfn.IFNA(VLOOKUP($AH22,Programma!$F$3:$G$1101,2,0),"")</f>
        <v>_</v>
      </c>
      <c r="AJ22" s="185" t="str">
        <f>_xlfn.IFNA(VLOOKUP($AH22,Programma!$F$3:$H$1101,3,0),"")</f>
        <v>_</v>
      </c>
      <c r="AK22" s="185" t="str">
        <f>_xlfn.IFNA(VLOOKUP($AH22,Programma!$F$3:$I$1101,4,0),"")</f>
        <v>4w</v>
      </c>
      <c r="AL22" s="185" t="str">
        <f>_xlfn.IFNA(VLOOKUP($AH22,Programma!$F$3:$J$1101,5,0),"")</f>
        <v>1w</v>
      </c>
      <c r="AM22" s="185" t="str">
        <f>_xlfn.IFNA(VLOOKUP($AH22,Programma!$F$3:$K$1101,6,0),"")</f>
        <v>1m</v>
      </c>
      <c r="AN22" s="185" t="str">
        <f>_xlfn.IFNA(VLOOKUP($AH22,Programma!$F$3:$L$1101,7,0),"")</f>
        <v>_</v>
      </c>
      <c r="AO22" s="185" t="str">
        <f>_xlfn.IFNA(VLOOKUP($AH22,Programma!$F$3:$M$1101,8,0),"")</f>
        <v>_</v>
      </c>
      <c r="AP22" s="185" t="str">
        <f>_xlfn.IFNA(VLOOKUP($AH22,Programma!$F$3:$N$1101,9,0),"")</f>
        <v>_</v>
      </c>
      <c r="AQ22" s="185" t="str">
        <f>_xlfn.IFNA(VLOOKUP($AH22,Programma!$F$3:$O$1101,10,0),"")</f>
        <v>5w</v>
      </c>
      <c r="AR22" s="185" t="str">
        <f>_xlfn.IFNA(VLOOKUP($AH22,Programma!$F$3:$P$1101,11,0),"")</f>
        <v>5w</v>
      </c>
      <c r="AS22" s="185" t="str">
        <f>_xlfn.IFNA(VLOOKUP($AH22,Programma!$F$3:$Q$1101,12,0),"")</f>
        <v>1w</v>
      </c>
      <c r="AT22" s="185" t="str">
        <f>_xlfn.IFNA(VLOOKUP($AH22,Programma!$F$3:$R$1101,13,0),"")</f>
        <v>1w</v>
      </c>
      <c r="AU22" s="185" t="str">
        <f>_xlfn.IFNA(VLOOKUP($AH22,Programma!$F$3:$S$1101,14,0),"")</f>
        <v>1m</v>
      </c>
      <c r="AV22" s="185" t="str">
        <f>_xlfn.IFNA(VLOOKUP($AH22,Programma!$F$3:$T$1101,15,0),"")</f>
        <v>2j</v>
      </c>
      <c r="AW22" s="185" t="str">
        <f>_xlfn.IFNA(VLOOKUP($AH22,Programma!$F$3:$U$1101,16,0),"")</f>
        <v>1j</v>
      </c>
      <c r="AX22" s="185" t="str">
        <f>_xlfn.IFNA(VLOOKUP($AH22,Programma!$F$3:$V$1101,17,0),"")</f>
        <v>_</v>
      </c>
      <c r="AY22" s="185" t="str">
        <f>_xlfn.IFNA(VLOOKUP($AH22,Programma!$F$3:$W$1101,18,0),"")</f>
        <v>_</v>
      </c>
      <c r="AZ22" s="185" t="str">
        <f>_xlfn.IFNA(VLOOKUP($AH22,Programma!$F$3:$X$1101,19,0),"")</f>
        <v>_</v>
      </c>
      <c r="BA22" s="185" t="str">
        <f>_xlfn.IFNA(VLOOKUP($AH22,Programma!$F$3:$Y$1101,20,0),"")</f>
        <v>_</v>
      </c>
      <c r="BB22" s="182"/>
      <c r="BC22" s="181" t="str">
        <f>IF(Ruimtestaat[[#This Row],[Frequentie weekend]]="","",_xlfn.CONCAT(Ruimtestaat[[#This Row],[Ruimte code]],"-",Ruimtestaat[[#This Row],[Frequentie weekend]]," ",Ruimtestaat[[#This Row],[Vloer code]]))</f>
        <v/>
      </c>
      <c r="BD22" s="185" t="str">
        <f>_xlfn.IFNA(VLOOKUP($BC22,Programma!$F$3:$G$1101,2,0),"")</f>
        <v/>
      </c>
      <c r="BE22" s="185" t="str">
        <f>_xlfn.IFNA(VLOOKUP($BC22,Programma!$F$3:$H$1101,3,0),"")</f>
        <v/>
      </c>
      <c r="BF22" s="185" t="str">
        <f>_xlfn.IFNA(VLOOKUP($BC22,Programma!$F$3:$I$1101,4,0),"")</f>
        <v/>
      </c>
      <c r="BG22" s="185" t="str">
        <f>_xlfn.IFNA(VLOOKUP($BC22,Programma!$F$3:$J$1101,5,0),"")</f>
        <v/>
      </c>
      <c r="BH22" s="185" t="str">
        <f>_xlfn.IFNA(VLOOKUP($BC22,Programma!$F$3:$K$1101,6,0),"")</f>
        <v/>
      </c>
      <c r="BI22" s="185" t="str">
        <f>_xlfn.IFNA(VLOOKUP($BC22,Programma!$F$3:$L$1101,7,0),"")</f>
        <v/>
      </c>
      <c r="BJ22" s="185" t="str">
        <f>_xlfn.IFNA(VLOOKUP($BC22,Programma!$F$3:$M$1101,8,0),"")</f>
        <v/>
      </c>
      <c r="BK22" s="185" t="str">
        <f>_xlfn.IFNA(VLOOKUP($BC22,Programma!$F$3:$N$1101,9,0),"")</f>
        <v/>
      </c>
      <c r="BL22" s="185" t="str">
        <f>_xlfn.IFNA(VLOOKUP($BC22,Programma!$F$3:$O$1101,10,0),"")</f>
        <v/>
      </c>
      <c r="BM22" s="185" t="str">
        <f>_xlfn.IFNA(VLOOKUP($BC22,Programma!$F$3:$P$1101,11,0),"")</f>
        <v/>
      </c>
      <c r="BN22" s="185" t="str">
        <f>_xlfn.IFNA(VLOOKUP($BC22,Programma!$F$3:$Q$1101,12,0),"")</f>
        <v/>
      </c>
      <c r="BO22" s="185" t="str">
        <f>_xlfn.IFNA(VLOOKUP($BC22,Programma!$F$3:$R$1101,13,0),"")</f>
        <v/>
      </c>
      <c r="BP22" s="185" t="str">
        <f>_xlfn.IFNA(VLOOKUP($BC22,Programma!$F$3:$S$1101,14,0),"")</f>
        <v/>
      </c>
      <c r="BQ22" s="185" t="str">
        <f>_xlfn.IFNA(VLOOKUP($BC22,Programma!$F$3:$T$1101,15,0),"")</f>
        <v/>
      </c>
      <c r="BR22" s="185" t="str">
        <f>_xlfn.IFNA(VLOOKUP($BC22,Programma!$F$3:$U$1101,16,0),"")</f>
        <v/>
      </c>
      <c r="BS22" s="185" t="str">
        <f>_xlfn.IFNA(VLOOKUP($BC22,Programma!$F$3:$V$1101,17,0),"")</f>
        <v/>
      </c>
      <c r="BT22" s="185" t="str">
        <f>_xlfn.IFNA(VLOOKUP($BC22,Programma!$F$3:$W$1101,18,0),"")</f>
        <v/>
      </c>
      <c r="BU22" s="185" t="str">
        <f>_xlfn.IFNA(VLOOKUP($BC22,Programma!$F$3:$X$1101,19,0),"")</f>
        <v/>
      </c>
      <c r="BV22" s="185" t="str">
        <f>_xlfn.IFNA(VLOOKUP($BC22,Programma!$F$3:$Y$1101,20,0),"")</f>
        <v/>
      </c>
      <c r="BW22" s="78"/>
      <c r="BX22" s="78"/>
      <c r="BY22" s="78"/>
      <c r="BZ22" s="78"/>
      <c r="CA22" s="78"/>
      <c r="CB22" s="78"/>
      <c r="CC22" s="78"/>
      <c r="CD22" s="78"/>
      <c r="CE22" s="78"/>
      <c r="CF22" s="78"/>
      <c r="CG22" s="78"/>
      <c r="CH22" s="78"/>
      <c r="CI22" s="78"/>
      <c r="CJ22" s="78"/>
      <c r="CK22" s="78"/>
      <c r="CL22" s="78"/>
      <c r="CM22" s="78"/>
      <c r="CN22" s="78"/>
      <c r="CO22" s="78"/>
      <c r="CP22" s="78"/>
      <c r="CQ22" s="78"/>
      <c r="CR22" s="78"/>
      <c r="CS22" s="78"/>
      <c r="CT22" s="78"/>
      <c r="CU22" s="78"/>
      <c r="CV22" s="78"/>
      <c r="CW22" s="78"/>
      <c r="CX22" s="78"/>
      <c r="CY22" s="78"/>
      <c r="CZ22" s="78"/>
      <c r="DA22" s="78"/>
      <c r="DB22" s="78"/>
      <c r="DC22" s="78"/>
      <c r="DD22" s="78"/>
      <c r="DE22" s="78"/>
      <c r="DF22" s="78"/>
      <c r="DG22" s="78"/>
      <c r="DH22" s="78"/>
      <c r="DI22" s="78"/>
      <c r="DJ22" s="78"/>
      <c r="DK22" s="78"/>
      <c r="DL22" s="78"/>
      <c r="DM22" s="78"/>
      <c r="DN22" s="78"/>
      <c r="DO22" s="78"/>
      <c r="DP22" s="78"/>
      <c r="DQ22" s="78"/>
      <c r="DR22" s="78"/>
      <c r="DS22" s="78"/>
      <c r="DT22" s="78"/>
      <c r="DU22" s="78"/>
      <c r="DV22" s="78"/>
      <c r="DW22" s="78"/>
      <c r="DX22" s="78"/>
      <c r="DY22" s="78"/>
      <c r="DZ22" s="78"/>
      <c r="EA22" s="78"/>
      <c r="EB22" s="78"/>
      <c r="EC22" s="78"/>
      <c r="ED22" s="78"/>
      <c r="EE22" s="78"/>
      <c r="EF22" s="78"/>
      <c r="EG22" s="78"/>
      <c r="EH22" s="78"/>
      <c r="EI22" s="78"/>
      <c r="EJ22" s="78"/>
      <c r="EK22" s="78"/>
      <c r="EL22" s="78"/>
      <c r="EM22" s="78"/>
      <c r="EN22" s="78"/>
      <c r="EO22" s="78"/>
      <c r="EP22" s="78"/>
      <c r="EQ22" s="78"/>
      <c r="ER22" s="78"/>
      <c r="ES22" s="78"/>
      <c r="ET22" s="78"/>
      <c r="EU22" s="78"/>
      <c r="EV22" s="78"/>
      <c r="EW22" s="78"/>
      <c r="EX22" s="78"/>
      <c r="EY22" s="78"/>
      <c r="EZ22" s="78"/>
      <c r="FA22" s="78"/>
      <c r="FB22" s="78"/>
      <c r="FC22" s="78"/>
      <c r="FD22" s="78"/>
      <c r="FE22" s="78"/>
      <c r="FF22" s="78"/>
      <c r="FG22" s="78"/>
      <c r="FH22" s="78"/>
      <c r="FI22" s="78"/>
      <c r="FJ22" s="78"/>
      <c r="FK22" s="78"/>
      <c r="FL22" s="78"/>
      <c r="FM22" s="78"/>
      <c r="FN22" s="78"/>
      <c r="FO22" s="78"/>
      <c r="FP22" s="78"/>
      <c r="FQ22" s="78"/>
      <c r="FR22" s="78"/>
      <c r="FS22" s="78"/>
      <c r="FT22" s="78"/>
      <c r="FU22" s="78"/>
      <c r="FV22" s="78"/>
      <c r="FW22" s="78"/>
      <c r="FX22" s="78"/>
      <c r="FY22" s="78"/>
      <c r="FZ22" s="78"/>
      <c r="GA22" s="78"/>
      <c r="GB22" s="78"/>
      <c r="GC22" s="78"/>
      <c r="GD22" s="78"/>
      <c r="GE22" s="78"/>
      <c r="GF22" s="78"/>
      <c r="GG22" s="78"/>
      <c r="GH22" s="78"/>
      <c r="GI22" s="78"/>
      <c r="GJ22" s="78"/>
      <c r="GK22" s="78"/>
      <c r="GL22" s="78"/>
      <c r="GM22" s="78"/>
      <c r="GN22" s="78"/>
      <c r="GO22" s="78"/>
      <c r="GP22" s="78"/>
      <c r="GQ22" s="78"/>
      <c r="GR22" s="78"/>
      <c r="GS22" s="78"/>
      <c r="GT22" s="78"/>
      <c r="GU22" s="78"/>
      <c r="GV22" s="78"/>
      <c r="GW22" s="78"/>
      <c r="GX22" s="78"/>
      <c r="GY22" s="78"/>
      <c r="GZ22" s="78"/>
      <c r="HA22" s="78"/>
      <c r="HB22" s="78"/>
      <c r="HC22" s="78"/>
      <c r="HD22" s="78"/>
      <c r="HE22" s="78"/>
      <c r="HF22" s="78"/>
      <c r="HG22" s="78"/>
      <c r="HH22" s="78"/>
      <c r="HI22" s="78"/>
      <c r="HJ22" s="78"/>
      <c r="HK22" s="78"/>
    </row>
    <row r="23" spans="1:219" ht="15" customHeight="1">
      <c r="A23" s="149">
        <v>1</v>
      </c>
      <c r="B23" s="176" t="str">
        <f>VLOOKUP(Ruimtestaat[[#This Row],[Code]],Locaties[[Code]:[Locatie]],2,FALSE)</f>
        <v xml:space="preserve">OBS Molenbeek </v>
      </c>
      <c r="C23" s="176" t="str">
        <f>VLOOKUP(Ruimtestaat[[#This Row],[Code]],Locaties[[#All],[Code]:[Adres]],4,FALSE)</f>
        <v>Boekelerschoolpad 1</v>
      </c>
      <c r="D23" s="176" t="str">
        <f>VLOOKUP(Ruimtestaat[[#This Row],[Code]],Locaties[[#All],[Code]:[Postcode]],5,FALSE)</f>
        <v>7548 AH</v>
      </c>
      <c r="E23" s="176" t="str">
        <f>VLOOKUP(Ruimtestaat[[#This Row],[Code]],Locaties[#All],6,FALSE)</f>
        <v>Boekelo</v>
      </c>
      <c r="F23" s="149"/>
      <c r="G23" s="149" t="s">
        <v>1646</v>
      </c>
      <c r="H23" s="302" t="s">
        <v>1671</v>
      </c>
      <c r="I23" s="301" t="s">
        <v>38</v>
      </c>
      <c r="J23" s="149">
        <v>7</v>
      </c>
      <c r="K23" s="183" t="str">
        <f>VLOOKUP(Ruimtestaat[[#This Row],[Ruimte code]],Ruimtegroepen[[#All],[Code]:[Ruimte omschrijving]],2,FALSE)</f>
        <v>Entree</v>
      </c>
      <c r="L23" s="149" t="s">
        <v>99</v>
      </c>
      <c r="M23" s="301" t="s">
        <v>36</v>
      </c>
      <c r="N23" s="177">
        <v>7.1</v>
      </c>
      <c r="O23" s="177"/>
      <c r="P23" s="178" t="str">
        <f>VLOOKUP(Ruimtestaat[[#This Row],[Ruimte code]],Ruimtegroepen[],4,FALSE)</f>
        <v>Ve</v>
      </c>
      <c r="Q23" s="149">
        <v>40</v>
      </c>
      <c r="R23" s="149" t="s">
        <v>2</v>
      </c>
      <c r="S23" s="149">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 s="149">
        <f>IF(S23&gt;0,VLOOKUP($J23,Ruimtegroepen[],3,FALSE)*VLOOKUP($L23,Vloersoorten[],3,FALSE)*VLOOKUP($R23,Frequenties[],3,FALSE)*VLOOKUP($A23,Locaties[],3,FALSE),0)</f>
        <v>0</v>
      </c>
      <c r="U23" s="149">
        <f>Ruimtestaat[[#This Row],[Uitvoeringen werkdagen]]*Ruimtestaat[[#This Row],[Oppervlak (netto)]]</f>
        <v>1420</v>
      </c>
      <c r="V23" s="179">
        <f>IF(T23&gt;0,Ruimtestaat[[#This Row],[Prest. (m2 /jaar) werkdagen]]/Ruimtestaat[[#This Row],[Norm (m2/uur) werkdagen]],0)</f>
        <v>0</v>
      </c>
      <c r="W23" s="180">
        <f>Ruimtestaat[[#This Row],[uren / jaar werkdagen]]*Tariefsopbouw!$E$35</f>
        <v>0</v>
      </c>
      <c r="X23" s="149"/>
      <c r="Y23" s="149">
        <f>IF(Ruimtestaat[[#This Row],[Frequentie weekend]]&gt;0,VALUE(LEFT(X23,1))*Q23,0)</f>
        <v>0</v>
      </c>
      <c r="Z23" s="148">
        <f>IF($Y23&gt;0,VLOOKUP($J23,Ruimtegroepen[],3,FALSE)*VLOOKUP($L23,Vloersoorten[],3,FALSE)*VLOOKUP($X23,Frequenties[],3,FALSE)*VLOOKUP(#REF!,Locaties[],3,FALSE),0)</f>
        <v>0</v>
      </c>
      <c r="AA23" s="148">
        <f>Ruimtestaat[[#This Row],[Uitvoeringen weekend]]*Ruimtestaat[[#This Row],[Oppervlak (netto)]]</f>
        <v>0</v>
      </c>
      <c r="AB23" s="148">
        <f>IF(Z23&gt;0,Ruimtestaat[[#This Row],[Prest. (m2 /jaar) weekend]]/Ruimtestaat[[#This Row],[Norm (m2/uur) weekend]],0)</f>
        <v>0</v>
      </c>
      <c r="AC23" s="180">
        <f>Ruimtestaat[[#This Row],[uren / jaar weekend]]*Tariefsopbouw!$D$40</f>
        <v>0</v>
      </c>
      <c r="AD23" s="179">
        <f>Ruimtestaat[[#This Row],[Prest. (m2 /jaar) weekend]]+Ruimtestaat[[#This Row],[Prest. (m2 /jaar) werkdagen]]</f>
        <v>1420</v>
      </c>
      <c r="AE23" s="179">
        <f>Ruimtestaat[[#This Row],[uren / jaar weekend]]+Ruimtestaat[[#This Row],[uren / jaar werkdagen]]</f>
        <v>0</v>
      </c>
      <c r="AF23" s="174">
        <f>Ruimtestaat[[#This Row],[kosten / jaar weekend]]+Ruimtestaat[[#This Row],[kosten / jaar werkdagen]]</f>
        <v>0</v>
      </c>
      <c r="AG23" s="174"/>
      <c r="AH23" s="181" t="str">
        <f>IF(Ruimtestaat[[#This Row],[Frequentie werkdagen]]="","",_xlfn.CONCAT(Ruimtestaat[[#This Row],[Ruimte code]],"-",Ruimtestaat[[#This Row],[Frequentie werkdagen]]," ",Ruimtestaat[[#This Row],[Vloer code]]))</f>
        <v>7-5w T</v>
      </c>
      <c r="AI23" s="185" t="str">
        <f>_xlfn.IFNA(VLOOKUP($AH23,Programma!$F$3:$G$1101,2,0),"")</f>
        <v>_</v>
      </c>
      <c r="AJ23" s="185" t="str">
        <f>_xlfn.IFNA(VLOOKUP($AH23,Programma!$F$3:$H$1101,3,0),"")</f>
        <v>5w</v>
      </c>
      <c r="AK23" s="185" t="str">
        <f>_xlfn.IFNA(VLOOKUP($AH23,Programma!$F$3:$I$1101,4,0),"")</f>
        <v>_</v>
      </c>
      <c r="AL23" s="185" t="str">
        <f>_xlfn.IFNA(VLOOKUP($AH23,Programma!$F$3:$J$1101,5,0),"")</f>
        <v>_</v>
      </c>
      <c r="AM23" s="185" t="str">
        <f>_xlfn.IFNA(VLOOKUP($AH23,Programma!$F$3:$K$1101,6,0),"")</f>
        <v>_</v>
      </c>
      <c r="AN23" s="185" t="str">
        <f>_xlfn.IFNA(VLOOKUP($AH23,Programma!$F$3:$L$1101,7,0),"")</f>
        <v>_</v>
      </c>
      <c r="AO23" s="185" t="str">
        <f>_xlfn.IFNA(VLOOKUP($AH23,Programma!$F$3:$M$1101,8,0),"")</f>
        <v>_</v>
      </c>
      <c r="AP23" s="185" t="str">
        <f>_xlfn.IFNA(VLOOKUP($AH23,Programma!$F$3:$N$1101,9,0),"")</f>
        <v>_</v>
      </c>
      <c r="AQ23" s="185" t="str">
        <f>_xlfn.IFNA(VLOOKUP($AH23,Programma!$F$3:$O$1101,10,0),"")</f>
        <v>5w</v>
      </c>
      <c r="AR23" s="185" t="str">
        <f>_xlfn.IFNA(VLOOKUP($AH23,Programma!$F$3:$P$1101,11,0),"")</f>
        <v>5w</v>
      </c>
      <c r="AS23" s="185" t="str">
        <f>_xlfn.IFNA(VLOOKUP($AH23,Programma!$F$3:$Q$1101,12,0),"")</f>
        <v>1w</v>
      </c>
      <c r="AT23" s="185" t="str">
        <f>_xlfn.IFNA(VLOOKUP($AH23,Programma!$F$3:$R$1101,13,0),"")</f>
        <v>1w</v>
      </c>
      <c r="AU23" s="185" t="str">
        <f>_xlfn.IFNA(VLOOKUP($AH23,Programma!$F$3:$S$1101,14,0),"")</f>
        <v>1m</v>
      </c>
      <c r="AV23" s="185" t="str">
        <f>_xlfn.IFNA(VLOOKUP($AH23,Programma!$F$3:$T$1101,15,0),"")</f>
        <v>2j</v>
      </c>
      <c r="AW23" s="185" t="str">
        <f>_xlfn.IFNA(VLOOKUP($AH23,Programma!$F$3:$U$1101,16,0),"")</f>
        <v>1j</v>
      </c>
      <c r="AX23" s="185" t="str">
        <f>_xlfn.IFNA(VLOOKUP($AH23,Programma!$F$3:$V$1101,17,0),"")</f>
        <v>_</v>
      </c>
      <c r="AY23" s="185" t="str">
        <f>_xlfn.IFNA(VLOOKUP($AH23,Programma!$F$3:$W$1101,18,0),"")</f>
        <v>_</v>
      </c>
      <c r="AZ23" s="185" t="str">
        <f>_xlfn.IFNA(VLOOKUP($AH23,Programma!$F$3:$X$1101,19,0),"")</f>
        <v>_</v>
      </c>
      <c r="BA23" s="185" t="str">
        <f>_xlfn.IFNA(VLOOKUP($AH23,Programma!$F$3:$Y$1101,20,0),"")</f>
        <v>_</v>
      </c>
      <c r="BB23" s="182"/>
      <c r="BC23" s="181" t="str">
        <f>IF(Ruimtestaat[[#This Row],[Frequentie weekend]]="","",_xlfn.CONCAT(Ruimtestaat[[#This Row],[Ruimte code]],"-",Ruimtestaat[[#This Row],[Frequentie weekend]]," ",Ruimtestaat[[#This Row],[Vloer code]]))</f>
        <v/>
      </c>
      <c r="BD23" s="185" t="str">
        <f>_xlfn.IFNA(VLOOKUP($BC23,Programma!$F$3:$G$1101,2,0),"")</f>
        <v/>
      </c>
      <c r="BE23" s="185" t="str">
        <f>_xlfn.IFNA(VLOOKUP($BC23,Programma!$F$3:$H$1101,3,0),"")</f>
        <v/>
      </c>
      <c r="BF23" s="185" t="str">
        <f>_xlfn.IFNA(VLOOKUP($BC23,Programma!$F$3:$I$1101,4,0),"")</f>
        <v/>
      </c>
      <c r="BG23" s="185" t="str">
        <f>_xlfn.IFNA(VLOOKUP($BC23,Programma!$F$3:$J$1101,5,0),"")</f>
        <v/>
      </c>
      <c r="BH23" s="185" t="str">
        <f>_xlfn.IFNA(VLOOKUP($BC23,Programma!$F$3:$K$1101,6,0),"")</f>
        <v/>
      </c>
      <c r="BI23" s="185" t="str">
        <f>_xlfn.IFNA(VLOOKUP($BC23,Programma!$F$3:$L$1101,7,0),"")</f>
        <v/>
      </c>
      <c r="BJ23" s="185" t="str">
        <f>_xlfn.IFNA(VLOOKUP($BC23,Programma!$F$3:$M$1101,8,0),"")</f>
        <v/>
      </c>
      <c r="BK23" s="185" t="str">
        <f>_xlfn.IFNA(VLOOKUP($BC23,Programma!$F$3:$N$1101,9,0),"")</f>
        <v/>
      </c>
      <c r="BL23" s="185" t="str">
        <f>_xlfn.IFNA(VLOOKUP($BC23,Programma!$F$3:$O$1101,10,0),"")</f>
        <v/>
      </c>
      <c r="BM23" s="185" t="str">
        <f>_xlfn.IFNA(VLOOKUP($BC23,Programma!$F$3:$P$1101,11,0),"")</f>
        <v/>
      </c>
      <c r="BN23" s="185" t="str">
        <f>_xlfn.IFNA(VLOOKUP($BC23,Programma!$F$3:$Q$1101,12,0),"")</f>
        <v/>
      </c>
      <c r="BO23" s="185" t="str">
        <f>_xlfn.IFNA(VLOOKUP($BC23,Programma!$F$3:$R$1101,13,0),"")</f>
        <v/>
      </c>
      <c r="BP23" s="185" t="str">
        <f>_xlfn.IFNA(VLOOKUP($BC23,Programma!$F$3:$S$1101,14,0),"")</f>
        <v/>
      </c>
      <c r="BQ23" s="185" t="str">
        <f>_xlfn.IFNA(VLOOKUP($BC23,Programma!$F$3:$T$1101,15,0),"")</f>
        <v/>
      </c>
      <c r="BR23" s="185" t="str">
        <f>_xlfn.IFNA(VLOOKUP($BC23,Programma!$F$3:$U$1101,16,0),"")</f>
        <v/>
      </c>
      <c r="BS23" s="185" t="str">
        <f>_xlfn.IFNA(VLOOKUP($BC23,Programma!$F$3:$V$1101,17,0),"")</f>
        <v/>
      </c>
      <c r="BT23" s="185" t="str">
        <f>_xlfn.IFNA(VLOOKUP($BC23,Programma!$F$3:$W$1101,18,0),"")</f>
        <v/>
      </c>
      <c r="BU23" s="185" t="str">
        <f>_xlfn.IFNA(VLOOKUP($BC23,Programma!$F$3:$X$1101,19,0),"")</f>
        <v/>
      </c>
      <c r="BV23" s="185" t="str">
        <f>_xlfn.IFNA(VLOOKUP($BC23,Programma!$F$3:$Y$1101,20,0),"")</f>
        <v/>
      </c>
      <c r="BW23" s="78"/>
      <c r="BX23" s="78"/>
      <c r="BY23" s="78"/>
      <c r="BZ23" s="78"/>
      <c r="CA23" s="78"/>
      <c r="CB23" s="78"/>
      <c r="CC23" s="78"/>
      <c r="CD23" s="78"/>
      <c r="CE23" s="78"/>
      <c r="CF23" s="78"/>
      <c r="CG23" s="78"/>
      <c r="CH23" s="78"/>
      <c r="CI23" s="78"/>
      <c r="CJ23" s="78"/>
      <c r="CK23" s="78"/>
      <c r="CL23" s="78"/>
      <c r="CM23" s="78"/>
      <c r="CN23" s="78"/>
      <c r="CO23" s="78"/>
      <c r="CP23" s="78"/>
      <c r="CQ23" s="78"/>
      <c r="CR23" s="78"/>
      <c r="CS23" s="78"/>
      <c r="CT23" s="78"/>
      <c r="CU23" s="78"/>
      <c r="CV23" s="78"/>
      <c r="CW23" s="78"/>
      <c r="CX23" s="78"/>
      <c r="CY23" s="78"/>
      <c r="CZ23" s="78"/>
      <c r="DA23" s="78"/>
      <c r="DB23" s="78"/>
      <c r="DC23" s="78"/>
      <c r="DD23" s="78"/>
      <c r="DE23" s="78"/>
      <c r="DF23" s="78"/>
      <c r="DG23" s="78"/>
      <c r="DH23" s="78"/>
      <c r="DI23" s="78"/>
      <c r="DJ23" s="78"/>
      <c r="DK23" s="78"/>
      <c r="DL23" s="78"/>
      <c r="DM23" s="78"/>
      <c r="DN23" s="78"/>
      <c r="DO23" s="78"/>
      <c r="DP23" s="78"/>
      <c r="DQ23" s="78"/>
      <c r="DR23" s="78"/>
      <c r="DS23" s="78"/>
      <c r="DT23" s="78"/>
      <c r="DU23" s="78"/>
      <c r="DV23" s="78"/>
      <c r="DW23" s="78"/>
      <c r="DX23" s="78"/>
      <c r="DY23" s="78"/>
      <c r="DZ23" s="78"/>
      <c r="EA23" s="78"/>
      <c r="EB23" s="78"/>
      <c r="EC23" s="78"/>
      <c r="ED23" s="78"/>
      <c r="EE23" s="78"/>
      <c r="EF23" s="78"/>
      <c r="EG23" s="78"/>
      <c r="EH23" s="78"/>
      <c r="EI23" s="78"/>
      <c r="EJ23" s="78"/>
      <c r="EK23" s="78"/>
      <c r="EL23" s="78"/>
      <c r="EM23" s="78"/>
      <c r="EN23" s="78"/>
      <c r="EO23" s="78"/>
      <c r="EP23" s="78"/>
      <c r="EQ23" s="78"/>
      <c r="ER23" s="78"/>
      <c r="ES23" s="78"/>
      <c r="ET23" s="78"/>
      <c r="EU23" s="78"/>
      <c r="EV23" s="78"/>
      <c r="EW23" s="78"/>
      <c r="EX23" s="78"/>
      <c r="EY23" s="78"/>
      <c r="EZ23" s="78"/>
      <c r="FA23" s="78"/>
      <c r="FB23" s="78"/>
      <c r="FC23" s="78"/>
      <c r="FD23" s="78"/>
      <c r="FE23" s="78"/>
      <c r="FF23" s="78"/>
      <c r="FG23" s="78"/>
      <c r="FH23" s="78"/>
      <c r="FI23" s="78"/>
      <c r="FJ23" s="78"/>
      <c r="FK23" s="78"/>
      <c r="FL23" s="78"/>
      <c r="FM23" s="78"/>
      <c r="FN23" s="78"/>
      <c r="FO23" s="78"/>
      <c r="FP23" s="78"/>
      <c r="FQ23" s="78"/>
      <c r="FR23" s="78"/>
      <c r="FS23" s="78"/>
      <c r="FT23" s="78"/>
      <c r="FU23" s="78"/>
      <c r="FV23" s="78"/>
      <c r="FW23" s="78"/>
      <c r="FX23" s="78"/>
      <c r="FY23" s="78"/>
      <c r="FZ23" s="78"/>
      <c r="GA23" s="78"/>
      <c r="GB23" s="78"/>
      <c r="GC23" s="78"/>
      <c r="GD23" s="78"/>
      <c r="GE23" s="78"/>
      <c r="GF23" s="78"/>
      <c r="GG23" s="78"/>
      <c r="GH23" s="78"/>
      <c r="GI23" s="78"/>
      <c r="GJ23" s="78"/>
      <c r="GK23" s="78"/>
      <c r="GL23" s="78"/>
      <c r="GM23" s="78"/>
      <c r="GN23" s="78"/>
      <c r="GO23" s="78"/>
      <c r="GP23" s="78"/>
      <c r="GQ23" s="78"/>
      <c r="GR23" s="78"/>
      <c r="GS23" s="78"/>
      <c r="GT23" s="78"/>
      <c r="GU23" s="78"/>
      <c r="GV23" s="78"/>
      <c r="GW23" s="78"/>
      <c r="GX23" s="78"/>
      <c r="GY23" s="78"/>
      <c r="GZ23" s="78"/>
      <c r="HA23" s="78"/>
      <c r="HB23" s="78"/>
      <c r="HC23" s="78"/>
      <c r="HD23" s="78"/>
      <c r="HE23" s="78"/>
      <c r="HF23" s="78"/>
      <c r="HG23" s="78"/>
      <c r="HH23" s="78"/>
      <c r="HI23" s="78"/>
      <c r="HJ23" s="78"/>
      <c r="HK23" s="78"/>
    </row>
    <row r="24" spans="1:219" ht="15" customHeight="1">
      <c r="A24" s="149">
        <v>1</v>
      </c>
      <c r="B24" s="176" t="str">
        <f>VLOOKUP(Ruimtestaat[[#This Row],[Code]],Locaties[[Code]:[Locatie]],2,FALSE)</f>
        <v xml:space="preserve">OBS Molenbeek </v>
      </c>
      <c r="C24" s="176" t="str">
        <f>VLOOKUP(Ruimtestaat[[#This Row],[Code]],Locaties[[#All],[Code]:[Adres]],4,FALSE)</f>
        <v>Boekelerschoolpad 1</v>
      </c>
      <c r="D24" s="176" t="str">
        <f>VLOOKUP(Ruimtestaat[[#This Row],[Code]],Locaties[[#All],[Code]:[Postcode]],5,FALSE)</f>
        <v>7548 AH</v>
      </c>
      <c r="E24" s="176" t="str">
        <f>VLOOKUP(Ruimtestaat[[#This Row],[Code]],Locaties[#All],6,FALSE)</f>
        <v>Boekelo</v>
      </c>
      <c r="F24" s="149"/>
      <c r="G24" s="149" t="s">
        <v>1646</v>
      </c>
      <c r="H24" s="302" t="s">
        <v>1672</v>
      </c>
      <c r="I24" s="301" t="s">
        <v>1655</v>
      </c>
      <c r="J24" s="149">
        <v>5</v>
      </c>
      <c r="K24" s="183" t="str">
        <f>VLOOKUP(Ruimtestaat[[#This Row],[Ruimte code]],Ruimtegroepen[[#All],[Code]:[Ruimte omschrijving]],2,FALSE)</f>
        <v>Sanitair</v>
      </c>
      <c r="L24" s="149" t="s">
        <v>101</v>
      </c>
      <c r="M24" s="301" t="s">
        <v>1682</v>
      </c>
      <c r="N24" s="177">
        <v>4.5</v>
      </c>
      <c r="O24" s="177"/>
      <c r="P24" s="178" t="str">
        <f>VLOOKUP(Ruimtestaat[[#This Row],[Ruimte code]],Ruimtegroepen[],4,FALSE)</f>
        <v>Sa</v>
      </c>
      <c r="Q24" s="149">
        <v>40</v>
      </c>
      <c r="R24" s="149" t="s">
        <v>2</v>
      </c>
      <c r="S24" s="149">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 s="149">
        <f>IF(S24&gt;0,VLOOKUP($J24,Ruimtegroepen[],3,FALSE)*VLOOKUP($L24,Vloersoorten[],3,FALSE)*VLOOKUP($R24,Frequenties[],3,FALSE)*VLOOKUP($A24,Locaties[],3,FALSE),0)</f>
        <v>0</v>
      </c>
      <c r="U24" s="149">
        <f>Ruimtestaat[[#This Row],[Uitvoeringen werkdagen]]*Ruimtestaat[[#This Row],[Oppervlak (netto)]]</f>
        <v>900</v>
      </c>
      <c r="V24" s="179">
        <f>IF(T24&gt;0,Ruimtestaat[[#This Row],[Prest. (m2 /jaar) werkdagen]]/Ruimtestaat[[#This Row],[Norm (m2/uur) werkdagen]],0)</f>
        <v>0</v>
      </c>
      <c r="W24" s="180">
        <f>Ruimtestaat[[#This Row],[uren / jaar werkdagen]]*Tariefsopbouw!$E$35</f>
        <v>0</v>
      </c>
      <c r="X24" s="149"/>
      <c r="Y24" s="149">
        <f>IF(Ruimtestaat[[#This Row],[Frequentie weekend]]&gt;0,VALUE(LEFT(X24,1))*Q24,0)</f>
        <v>0</v>
      </c>
      <c r="Z24" s="148">
        <f>IF($Y24&gt;0,VLOOKUP($J24,Ruimtegroepen[],3,FALSE)*VLOOKUP($L24,Vloersoorten[],3,FALSE)*VLOOKUP($X24,Frequenties[],3,FALSE)*VLOOKUP(#REF!,Locaties[],3,FALSE),0)</f>
        <v>0</v>
      </c>
      <c r="AA24" s="148">
        <f>Ruimtestaat[[#This Row],[Uitvoeringen weekend]]*Ruimtestaat[[#This Row],[Oppervlak (netto)]]</f>
        <v>0</v>
      </c>
      <c r="AB24" s="148">
        <f>IF(Z24&gt;0,Ruimtestaat[[#This Row],[Prest. (m2 /jaar) weekend]]/Ruimtestaat[[#This Row],[Norm (m2/uur) weekend]],0)</f>
        <v>0</v>
      </c>
      <c r="AC24" s="180">
        <f>Ruimtestaat[[#This Row],[uren / jaar weekend]]*Tariefsopbouw!$D$40</f>
        <v>0</v>
      </c>
      <c r="AD24" s="179">
        <f>Ruimtestaat[[#This Row],[Prest. (m2 /jaar) weekend]]+Ruimtestaat[[#This Row],[Prest. (m2 /jaar) werkdagen]]</f>
        <v>900</v>
      </c>
      <c r="AE24" s="179">
        <f>Ruimtestaat[[#This Row],[uren / jaar weekend]]+Ruimtestaat[[#This Row],[uren / jaar werkdagen]]</f>
        <v>0</v>
      </c>
      <c r="AF24" s="174">
        <f>Ruimtestaat[[#This Row],[kosten / jaar weekend]]+Ruimtestaat[[#This Row],[kosten / jaar werkdagen]]</f>
        <v>0</v>
      </c>
      <c r="AG24" s="174"/>
      <c r="AH24" s="181" t="str">
        <f>IF(Ruimtestaat[[#This Row],[Frequentie werkdagen]]="","",_xlfn.CONCAT(Ruimtestaat[[#This Row],[Ruimte code]],"-",Ruimtestaat[[#This Row],[Frequentie werkdagen]]," ",Ruimtestaat[[#This Row],[Vloer code]]))</f>
        <v>5-5w S</v>
      </c>
      <c r="AI24" s="185" t="str">
        <f>_xlfn.IFNA(VLOOKUP($AH24,Programma!$F$3:$G$1101,2,0),"")</f>
        <v>_</v>
      </c>
      <c r="AJ24" s="185" t="str">
        <f>_xlfn.IFNA(VLOOKUP($AH24,Programma!$F$3:$H$1101,3,0),"")</f>
        <v>_</v>
      </c>
      <c r="AK24" s="185" t="str">
        <f>_xlfn.IFNA(VLOOKUP($AH24,Programma!$F$3:$I$1101,4,0),"")</f>
        <v>_</v>
      </c>
      <c r="AL24" s="185" t="str">
        <f>_xlfn.IFNA(VLOOKUP($AH24,Programma!$F$3:$J$1101,5,0),"")</f>
        <v>4w</v>
      </c>
      <c r="AM24" s="185" t="str">
        <f>_xlfn.IFNA(VLOOKUP($AH24,Programma!$F$3:$K$1101,6,0),"")</f>
        <v>1w</v>
      </c>
      <c r="AN24" s="185" t="str">
        <f>_xlfn.IFNA(VLOOKUP($AH24,Programma!$F$3:$L$1101,7,0),"")</f>
        <v>_</v>
      </c>
      <c r="AO24" s="185" t="str">
        <f>_xlfn.IFNA(VLOOKUP($AH24,Programma!$F$3:$M$1101,8,0),"")</f>
        <v>_</v>
      </c>
      <c r="AP24" s="185" t="str">
        <f>_xlfn.IFNA(VLOOKUP($AH24,Programma!$F$3:$N$1101,9,0),"")</f>
        <v>_</v>
      </c>
      <c r="AQ24" s="185" t="str">
        <f>_xlfn.IFNA(VLOOKUP($AH24,Programma!$F$3:$O$1101,10,0),"")</f>
        <v>_</v>
      </c>
      <c r="AR24" s="185" t="str">
        <f>_xlfn.IFNA(VLOOKUP($AH24,Programma!$F$3:$P$1101,11,0),"")</f>
        <v>_</v>
      </c>
      <c r="AS24" s="185" t="str">
        <f>_xlfn.IFNA(VLOOKUP($AH24,Programma!$F$3:$Q$1101,12,0),"")</f>
        <v>_</v>
      </c>
      <c r="AT24" s="185" t="str">
        <f>_xlfn.IFNA(VLOOKUP($AH24,Programma!$F$3:$R$1101,13,0),"")</f>
        <v>_</v>
      </c>
      <c r="AU24" s="185" t="str">
        <f>_xlfn.IFNA(VLOOKUP($AH24,Programma!$F$3:$S$1101,14,0),"")</f>
        <v>_</v>
      </c>
      <c r="AV24" s="185" t="str">
        <f>_xlfn.IFNA(VLOOKUP($AH24,Programma!$F$3:$T$1101,15,0),"")</f>
        <v>_</v>
      </c>
      <c r="AW24" s="185" t="str">
        <f>_xlfn.IFNA(VLOOKUP($AH24,Programma!$F$3:$U$1101,16,0),"")</f>
        <v>_</v>
      </c>
      <c r="AX24" s="185" t="str">
        <f>_xlfn.IFNA(VLOOKUP($AH24,Programma!$F$3:$V$1101,17,0),"")</f>
        <v>_</v>
      </c>
      <c r="AY24" s="185" t="str">
        <f>_xlfn.IFNA(VLOOKUP($AH24,Programma!$F$3:$W$1101,18,0),"")</f>
        <v>4w</v>
      </c>
      <c r="AZ24" s="185" t="str">
        <f>_xlfn.IFNA(VLOOKUP($AH24,Programma!$F$3:$X$1101,19,0),"")</f>
        <v>1w</v>
      </c>
      <c r="BA24" s="185" t="str">
        <f>_xlfn.IFNA(VLOOKUP($AH24,Programma!$F$3:$Y$1101,20,0),"")</f>
        <v>_</v>
      </c>
      <c r="BB24" s="182"/>
      <c r="BC24" s="181" t="str">
        <f>IF(Ruimtestaat[[#This Row],[Frequentie weekend]]="","",_xlfn.CONCAT(Ruimtestaat[[#This Row],[Ruimte code]],"-",Ruimtestaat[[#This Row],[Frequentie weekend]]," ",Ruimtestaat[[#This Row],[Vloer code]]))</f>
        <v/>
      </c>
      <c r="BD24" s="185" t="str">
        <f>_xlfn.IFNA(VLOOKUP($BC24,Programma!$F$3:$G$1101,2,0),"")</f>
        <v/>
      </c>
      <c r="BE24" s="185" t="str">
        <f>_xlfn.IFNA(VLOOKUP($BC24,Programma!$F$3:$H$1101,3,0),"")</f>
        <v/>
      </c>
      <c r="BF24" s="185" t="str">
        <f>_xlfn.IFNA(VLOOKUP($BC24,Programma!$F$3:$I$1101,4,0),"")</f>
        <v/>
      </c>
      <c r="BG24" s="185" t="str">
        <f>_xlfn.IFNA(VLOOKUP($BC24,Programma!$F$3:$J$1101,5,0),"")</f>
        <v/>
      </c>
      <c r="BH24" s="185" t="str">
        <f>_xlfn.IFNA(VLOOKUP($BC24,Programma!$F$3:$K$1101,6,0),"")</f>
        <v/>
      </c>
      <c r="BI24" s="185" t="str">
        <f>_xlfn.IFNA(VLOOKUP($BC24,Programma!$F$3:$L$1101,7,0),"")</f>
        <v/>
      </c>
      <c r="BJ24" s="185" t="str">
        <f>_xlfn.IFNA(VLOOKUP($BC24,Programma!$F$3:$M$1101,8,0),"")</f>
        <v/>
      </c>
      <c r="BK24" s="185" t="str">
        <f>_xlfn.IFNA(VLOOKUP($BC24,Programma!$F$3:$N$1101,9,0),"")</f>
        <v/>
      </c>
      <c r="BL24" s="185" t="str">
        <f>_xlfn.IFNA(VLOOKUP($BC24,Programma!$F$3:$O$1101,10,0),"")</f>
        <v/>
      </c>
      <c r="BM24" s="185" t="str">
        <f>_xlfn.IFNA(VLOOKUP($BC24,Programma!$F$3:$P$1101,11,0),"")</f>
        <v/>
      </c>
      <c r="BN24" s="185" t="str">
        <f>_xlfn.IFNA(VLOOKUP($BC24,Programma!$F$3:$Q$1101,12,0),"")</f>
        <v/>
      </c>
      <c r="BO24" s="185" t="str">
        <f>_xlfn.IFNA(VLOOKUP($BC24,Programma!$F$3:$R$1101,13,0),"")</f>
        <v/>
      </c>
      <c r="BP24" s="185" t="str">
        <f>_xlfn.IFNA(VLOOKUP($BC24,Programma!$F$3:$S$1101,14,0),"")</f>
        <v/>
      </c>
      <c r="BQ24" s="185" t="str">
        <f>_xlfn.IFNA(VLOOKUP($BC24,Programma!$F$3:$T$1101,15,0),"")</f>
        <v/>
      </c>
      <c r="BR24" s="185" t="str">
        <f>_xlfn.IFNA(VLOOKUP($BC24,Programma!$F$3:$U$1101,16,0),"")</f>
        <v/>
      </c>
      <c r="BS24" s="185" t="str">
        <f>_xlfn.IFNA(VLOOKUP($BC24,Programma!$F$3:$V$1101,17,0),"")</f>
        <v/>
      </c>
      <c r="BT24" s="185" t="str">
        <f>_xlfn.IFNA(VLOOKUP($BC24,Programma!$F$3:$W$1101,18,0),"")</f>
        <v/>
      </c>
      <c r="BU24" s="185" t="str">
        <f>_xlfn.IFNA(VLOOKUP($BC24,Programma!$F$3:$X$1101,19,0),"")</f>
        <v/>
      </c>
      <c r="BV24" s="185" t="str">
        <f>_xlfn.IFNA(VLOOKUP($BC24,Programma!$F$3:$Y$1101,20,0),"")</f>
        <v/>
      </c>
      <c r="BW24" s="78"/>
      <c r="BX24" s="78"/>
      <c r="BY24" s="78"/>
      <c r="BZ24" s="78"/>
      <c r="CA24" s="78"/>
      <c r="CB24" s="78"/>
      <c r="CC24" s="78"/>
      <c r="CD24" s="78"/>
      <c r="CE24" s="78"/>
      <c r="CF24" s="78"/>
      <c r="CG24" s="78"/>
      <c r="CH24" s="78"/>
      <c r="CI24" s="78"/>
      <c r="CJ24" s="78"/>
      <c r="CK24" s="78"/>
      <c r="CL24" s="78"/>
      <c r="CM24" s="78"/>
      <c r="CN24" s="78"/>
      <c r="CO24" s="78"/>
      <c r="CP24" s="78"/>
      <c r="CQ24" s="78"/>
      <c r="CR24" s="78"/>
      <c r="CS24" s="78"/>
      <c r="CT24" s="78"/>
      <c r="CU24" s="78"/>
      <c r="CV24" s="78"/>
      <c r="CW24" s="78"/>
      <c r="CX24" s="78"/>
      <c r="CY24" s="78"/>
      <c r="CZ24" s="78"/>
      <c r="DA24" s="78"/>
      <c r="DB24" s="78"/>
      <c r="DC24" s="78"/>
      <c r="DD24" s="78"/>
      <c r="DE24" s="78"/>
      <c r="DF24" s="78"/>
      <c r="DG24" s="78"/>
      <c r="DH24" s="78"/>
      <c r="DI24" s="78"/>
      <c r="DJ24" s="78"/>
      <c r="DK24" s="78"/>
      <c r="DL24" s="78"/>
      <c r="DM24" s="78"/>
      <c r="DN24" s="78"/>
      <c r="DO24" s="78"/>
      <c r="DP24" s="78"/>
      <c r="DQ24" s="78"/>
      <c r="DR24" s="78"/>
      <c r="DS24" s="78"/>
      <c r="DT24" s="78"/>
      <c r="DU24" s="78"/>
      <c r="DV24" s="78"/>
      <c r="DW24" s="78"/>
      <c r="DX24" s="78"/>
      <c r="DY24" s="78"/>
      <c r="DZ24" s="78"/>
      <c r="EA24" s="78"/>
      <c r="EB24" s="78"/>
      <c r="EC24" s="78"/>
      <c r="ED24" s="78"/>
      <c r="EE24" s="78"/>
      <c r="EF24" s="78"/>
      <c r="EG24" s="78"/>
      <c r="EH24" s="78"/>
      <c r="EI24" s="78"/>
      <c r="EJ24" s="78"/>
      <c r="EK24" s="78"/>
      <c r="EL24" s="78"/>
      <c r="EM24" s="78"/>
      <c r="EN24" s="78"/>
      <c r="EO24" s="78"/>
      <c r="EP24" s="78"/>
      <c r="EQ24" s="78"/>
      <c r="ER24" s="78"/>
      <c r="ES24" s="78"/>
      <c r="ET24" s="78"/>
      <c r="EU24" s="78"/>
      <c r="EV24" s="78"/>
      <c r="EW24" s="78"/>
      <c r="EX24" s="78"/>
      <c r="EY24" s="78"/>
      <c r="EZ24" s="78"/>
      <c r="FA24" s="78"/>
      <c r="FB24" s="78"/>
      <c r="FC24" s="78"/>
      <c r="FD24" s="78"/>
      <c r="FE24" s="78"/>
      <c r="FF24" s="78"/>
      <c r="FG24" s="78"/>
      <c r="FH24" s="78"/>
      <c r="FI24" s="78"/>
      <c r="FJ24" s="78"/>
      <c r="FK24" s="78"/>
      <c r="FL24" s="78"/>
      <c r="FM24" s="78"/>
      <c r="FN24" s="78"/>
      <c r="FO24" s="78"/>
      <c r="FP24" s="78"/>
      <c r="FQ24" s="78"/>
      <c r="FR24" s="78"/>
      <c r="FS24" s="78"/>
      <c r="FT24" s="78"/>
      <c r="FU24" s="78"/>
      <c r="FV24" s="78"/>
      <c r="FW24" s="78"/>
      <c r="FX24" s="78"/>
      <c r="FY24" s="78"/>
      <c r="FZ24" s="78"/>
      <c r="GA24" s="78"/>
      <c r="GB24" s="78"/>
      <c r="GC24" s="78"/>
      <c r="GD24" s="78"/>
      <c r="GE24" s="78"/>
      <c r="GF24" s="78"/>
      <c r="GG24" s="78"/>
      <c r="GH24" s="78"/>
      <c r="GI24" s="78"/>
      <c r="GJ24" s="78"/>
      <c r="GK24" s="78"/>
      <c r="GL24" s="78"/>
      <c r="GM24" s="78"/>
      <c r="GN24" s="78"/>
      <c r="GO24" s="78"/>
      <c r="GP24" s="78"/>
      <c r="GQ24" s="78"/>
      <c r="GR24" s="78"/>
      <c r="GS24" s="78"/>
      <c r="GT24" s="78"/>
      <c r="GU24" s="78"/>
      <c r="GV24" s="78"/>
      <c r="GW24" s="78"/>
      <c r="GX24" s="78"/>
      <c r="GY24" s="78"/>
      <c r="GZ24" s="78"/>
      <c r="HA24" s="78"/>
      <c r="HB24" s="78"/>
      <c r="HC24" s="78"/>
      <c r="HD24" s="78"/>
      <c r="HE24" s="78"/>
      <c r="HF24" s="78"/>
      <c r="HG24" s="78"/>
      <c r="HH24" s="78"/>
      <c r="HI24" s="78"/>
      <c r="HJ24" s="78"/>
      <c r="HK24" s="78"/>
    </row>
    <row r="25" spans="1:219" ht="15" customHeight="1">
      <c r="A25" s="149">
        <v>1</v>
      </c>
      <c r="B25" s="176" t="str">
        <f>VLOOKUP(Ruimtestaat[[#This Row],[Code]],Locaties[[Code]:[Locatie]],2,FALSE)</f>
        <v xml:space="preserve">OBS Molenbeek </v>
      </c>
      <c r="C25" s="176" t="str">
        <f>VLOOKUP(Ruimtestaat[[#This Row],[Code]],Locaties[[#All],[Code]:[Adres]],4,FALSE)</f>
        <v>Boekelerschoolpad 1</v>
      </c>
      <c r="D25" s="176" t="str">
        <f>VLOOKUP(Ruimtestaat[[#This Row],[Code]],Locaties[[#All],[Code]:[Postcode]],5,FALSE)</f>
        <v>7548 AH</v>
      </c>
      <c r="E25" s="176" t="str">
        <f>VLOOKUP(Ruimtestaat[[#This Row],[Code]],Locaties[#All],6,FALSE)</f>
        <v>Boekelo</v>
      </c>
      <c r="F25" s="149"/>
      <c r="G25" s="149" t="s">
        <v>1646</v>
      </c>
      <c r="H25" s="302" t="s">
        <v>1673</v>
      </c>
      <c r="I25" s="301" t="s">
        <v>1655</v>
      </c>
      <c r="J25" s="149">
        <v>5</v>
      </c>
      <c r="K25" s="183" t="str">
        <f>VLOOKUP(Ruimtestaat[[#This Row],[Ruimte code]],Ruimtegroepen[[#All],[Code]:[Ruimte omschrijving]],2,FALSE)</f>
        <v>Sanitair</v>
      </c>
      <c r="L25" s="149" t="s">
        <v>101</v>
      </c>
      <c r="M25" s="301" t="s">
        <v>1682</v>
      </c>
      <c r="N25" s="177">
        <v>4.8</v>
      </c>
      <c r="O25" s="177"/>
      <c r="P25" s="178" t="str">
        <f>VLOOKUP(Ruimtestaat[[#This Row],[Ruimte code]],Ruimtegroepen[],4,FALSE)</f>
        <v>Sa</v>
      </c>
      <c r="Q25" s="149">
        <v>40</v>
      </c>
      <c r="R25" s="149" t="s">
        <v>2</v>
      </c>
      <c r="S25" s="149">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 s="149">
        <f>IF(S25&gt;0,VLOOKUP($J25,Ruimtegroepen[],3,FALSE)*VLOOKUP($L25,Vloersoorten[],3,FALSE)*VLOOKUP($R25,Frequenties[],3,FALSE)*VLOOKUP($A25,Locaties[],3,FALSE),0)</f>
        <v>0</v>
      </c>
      <c r="U25" s="149">
        <f>Ruimtestaat[[#This Row],[Uitvoeringen werkdagen]]*Ruimtestaat[[#This Row],[Oppervlak (netto)]]</f>
        <v>960</v>
      </c>
      <c r="V25" s="179">
        <f>IF(T25&gt;0,Ruimtestaat[[#This Row],[Prest. (m2 /jaar) werkdagen]]/Ruimtestaat[[#This Row],[Norm (m2/uur) werkdagen]],0)</f>
        <v>0</v>
      </c>
      <c r="W25" s="180">
        <f>Ruimtestaat[[#This Row],[uren / jaar werkdagen]]*Tariefsopbouw!$E$35</f>
        <v>0</v>
      </c>
      <c r="X25" s="149"/>
      <c r="Y25" s="149">
        <f>IF(Ruimtestaat[[#This Row],[Frequentie weekend]]&gt;0,VALUE(LEFT(X25,1))*Q25,0)</f>
        <v>0</v>
      </c>
      <c r="Z25" s="148">
        <f>IF($Y25&gt;0,VLOOKUP($J25,Ruimtegroepen[],3,FALSE)*VLOOKUP($L25,Vloersoorten[],3,FALSE)*VLOOKUP($X25,Frequenties[],3,FALSE)*VLOOKUP(#REF!,Locaties[],3,FALSE),0)</f>
        <v>0</v>
      </c>
      <c r="AA25" s="148">
        <f>Ruimtestaat[[#This Row],[Uitvoeringen weekend]]*Ruimtestaat[[#This Row],[Oppervlak (netto)]]</f>
        <v>0</v>
      </c>
      <c r="AB25" s="148">
        <f>IF(Z25&gt;0,Ruimtestaat[[#This Row],[Prest. (m2 /jaar) weekend]]/Ruimtestaat[[#This Row],[Norm (m2/uur) weekend]],0)</f>
        <v>0</v>
      </c>
      <c r="AC25" s="180">
        <f>Ruimtestaat[[#This Row],[uren / jaar weekend]]*Tariefsopbouw!$D$40</f>
        <v>0</v>
      </c>
      <c r="AD25" s="179">
        <f>Ruimtestaat[[#This Row],[Prest. (m2 /jaar) weekend]]+Ruimtestaat[[#This Row],[Prest. (m2 /jaar) werkdagen]]</f>
        <v>960</v>
      </c>
      <c r="AE25" s="179">
        <f>Ruimtestaat[[#This Row],[uren / jaar weekend]]+Ruimtestaat[[#This Row],[uren / jaar werkdagen]]</f>
        <v>0</v>
      </c>
      <c r="AF25" s="174">
        <f>Ruimtestaat[[#This Row],[kosten / jaar weekend]]+Ruimtestaat[[#This Row],[kosten / jaar werkdagen]]</f>
        <v>0</v>
      </c>
      <c r="AG25" s="174"/>
      <c r="AH25" s="181" t="str">
        <f>IF(Ruimtestaat[[#This Row],[Frequentie werkdagen]]="","",_xlfn.CONCAT(Ruimtestaat[[#This Row],[Ruimte code]],"-",Ruimtestaat[[#This Row],[Frequentie werkdagen]]," ",Ruimtestaat[[#This Row],[Vloer code]]))</f>
        <v>5-5w S</v>
      </c>
      <c r="AI25" s="185" t="str">
        <f>_xlfn.IFNA(VLOOKUP($AH25,Programma!$F$3:$G$1101,2,0),"")</f>
        <v>_</v>
      </c>
      <c r="AJ25" s="185" t="str">
        <f>_xlfn.IFNA(VLOOKUP($AH25,Programma!$F$3:$H$1101,3,0),"")</f>
        <v>_</v>
      </c>
      <c r="AK25" s="185" t="str">
        <f>_xlfn.IFNA(VLOOKUP($AH25,Programma!$F$3:$I$1101,4,0),"")</f>
        <v>_</v>
      </c>
      <c r="AL25" s="185" t="str">
        <f>_xlfn.IFNA(VLOOKUP($AH25,Programma!$F$3:$J$1101,5,0),"")</f>
        <v>4w</v>
      </c>
      <c r="AM25" s="185" t="str">
        <f>_xlfn.IFNA(VLOOKUP($AH25,Programma!$F$3:$K$1101,6,0),"")</f>
        <v>1w</v>
      </c>
      <c r="AN25" s="185" t="str">
        <f>_xlfn.IFNA(VLOOKUP($AH25,Programma!$F$3:$L$1101,7,0),"")</f>
        <v>_</v>
      </c>
      <c r="AO25" s="185" t="str">
        <f>_xlfn.IFNA(VLOOKUP($AH25,Programma!$F$3:$M$1101,8,0),"")</f>
        <v>_</v>
      </c>
      <c r="AP25" s="185" t="str">
        <f>_xlfn.IFNA(VLOOKUP($AH25,Programma!$F$3:$N$1101,9,0),"")</f>
        <v>_</v>
      </c>
      <c r="AQ25" s="185" t="str">
        <f>_xlfn.IFNA(VLOOKUP($AH25,Programma!$F$3:$O$1101,10,0),"")</f>
        <v>_</v>
      </c>
      <c r="AR25" s="185" t="str">
        <f>_xlfn.IFNA(VLOOKUP($AH25,Programma!$F$3:$P$1101,11,0),"")</f>
        <v>_</v>
      </c>
      <c r="AS25" s="185" t="str">
        <f>_xlfn.IFNA(VLOOKUP($AH25,Programma!$F$3:$Q$1101,12,0),"")</f>
        <v>_</v>
      </c>
      <c r="AT25" s="185" t="str">
        <f>_xlfn.IFNA(VLOOKUP($AH25,Programma!$F$3:$R$1101,13,0),"")</f>
        <v>_</v>
      </c>
      <c r="AU25" s="185" t="str">
        <f>_xlfn.IFNA(VLOOKUP($AH25,Programma!$F$3:$S$1101,14,0),"")</f>
        <v>_</v>
      </c>
      <c r="AV25" s="185" t="str">
        <f>_xlfn.IFNA(VLOOKUP($AH25,Programma!$F$3:$T$1101,15,0),"")</f>
        <v>_</v>
      </c>
      <c r="AW25" s="185" t="str">
        <f>_xlfn.IFNA(VLOOKUP($AH25,Programma!$F$3:$U$1101,16,0),"")</f>
        <v>_</v>
      </c>
      <c r="AX25" s="185" t="str">
        <f>_xlfn.IFNA(VLOOKUP($AH25,Programma!$F$3:$V$1101,17,0),"")</f>
        <v>_</v>
      </c>
      <c r="AY25" s="185" t="str">
        <f>_xlfn.IFNA(VLOOKUP($AH25,Programma!$F$3:$W$1101,18,0),"")</f>
        <v>4w</v>
      </c>
      <c r="AZ25" s="185" t="str">
        <f>_xlfn.IFNA(VLOOKUP($AH25,Programma!$F$3:$X$1101,19,0),"")</f>
        <v>1w</v>
      </c>
      <c r="BA25" s="185" t="str">
        <f>_xlfn.IFNA(VLOOKUP($AH25,Programma!$F$3:$Y$1101,20,0),"")</f>
        <v>_</v>
      </c>
      <c r="BB25" s="182"/>
      <c r="BC25" s="181" t="str">
        <f>IF(Ruimtestaat[[#This Row],[Frequentie weekend]]="","",_xlfn.CONCAT(Ruimtestaat[[#This Row],[Ruimte code]],"-",Ruimtestaat[[#This Row],[Frequentie weekend]]," ",Ruimtestaat[[#This Row],[Vloer code]]))</f>
        <v/>
      </c>
      <c r="BD25" s="185" t="str">
        <f>_xlfn.IFNA(VLOOKUP($BC25,Programma!$F$3:$G$1101,2,0),"")</f>
        <v/>
      </c>
      <c r="BE25" s="185" t="str">
        <f>_xlfn.IFNA(VLOOKUP($BC25,Programma!$F$3:$H$1101,3,0),"")</f>
        <v/>
      </c>
      <c r="BF25" s="185" t="str">
        <f>_xlfn.IFNA(VLOOKUP($BC25,Programma!$F$3:$I$1101,4,0),"")</f>
        <v/>
      </c>
      <c r="BG25" s="185" t="str">
        <f>_xlfn.IFNA(VLOOKUP($BC25,Programma!$F$3:$J$1101,5,0),"")</f>
        <v/>
      </c>
      <c r="BH25" s="185" t="str">
        <f>_xlfn.IFNA(VLOOKUP($BC25,Programma!$F$3:$K$1101,6,0),"")</f>
        <v/>
      </c>
      <c r="BI25" s="185" t="str">
        <f>_xlfn.IFNA(VLOOKUP($BC25,Programma!$F$3:$L$1101,7,0),"")</f>
        <v/>
      </c>
      <c r="BJ25" s="185" t="str">
        <f>_xlfn.IFNA(VLOOKUP($BC25,Programma!$F$3:$M$1101,8,0),"")</f>
        <v/>
      </c>
      <c r="BK25" s="185" t="str">
        <f>_xlfn.IFNA(VLOOKUP($BC25,Programma!$F$3:$N$1101,9,0),"")</f>
        <v/>
      </c>
      <c r="BL25" s="185" t="str">
        <f>_xlfn.IFNA(VLOOKUP($BC25,Programma!$F$3:$O$1101,10,0),"")</f>
        <v/>
      </c>
      <c r="BM25" s="185" t="str">
        <f>_xlfn.IFNA(VLOOKUP($BC25,Programma!$F$3:$P$1101,11,0),"")</f>
        <v/>
      </c>
      <c r="BN25" s="185" t="str">
        <f>_xlfn.IFNA(VLOOKUP($BC25,Programma!$F$3:$Q$1101,12,0),"")</f>
        <v/>
      </c>
      <c r="BO25" s="185" t="str">
        <f>_xlfn.IFNA(VLOOKUP($BC25,Programma!$F$3:$R$1101,13,0),"")</f>
        <v/>
      </c>
      <c r="BP25" s="185" t="str">
        <f>_xlfn.IFNA(VLOOKUP($BC25,Programma!$F$3:$S$1101,14,0),"")</f>
        <v/>
      </c>
      <c r="BQ25" s="185" t="str">
        <f>_xlfn.IFNA(VLOOKUP($BC25,Programma!$F$3:$T$1101,15,0),"")</f>
        <v/>
      </c>
      <c r="BR25" s="185" t="str">
        <f>_xlfn.IFNA(VLOOKUP($BC25,Programma!$F$3:$U$1101,16,0),"")</f>
        <v/>
      </c>
      <c r="BS25" s="185" t="str">
        <f>_xlfn.IFNA(VLOOKUP($BC25,Programma!$F$3:$V$1101,17,0),"")</f>
        <v/>
      </c>
      <c r="BT25" s="185" t="str">
        <f>_xlfn.IFNA(VLOOKUP($BC25,Programma!$F$3:$W$1101,18,0),"")</f>
        <v/>
      </c>
      <c r="BU25" s="185" t="str">
        <f>_xlfn.IFNA(VLOOKUP($BC25,Programma!$F$3:$X$1101,19,0),"")</f>
        <v/>
      </c>
      <c r="BV25" s="185" t="str">
        <f>_xlfn.IFNA(VLOOKUP($BC25,Programma!$F$3:$Y$1101,20,0),"")</f>
        <v/>
      </c>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row>
    <row r="26" spans="1:219" ht="15" customHeight="1">
      <c r="A26" s="149">
        <v>1</v>
      </c>
      <c r="B26" s="176" t="str">
        <f>VLOOKUP(Ruimtestaat[[#This Row],[Code]],Locaties[[Code]:[Locatie]],2,FALSE)</f>
        <v xml:space="preserve">OBS Molenbeek </v>
      </c>
      <c r="C26" s="176" t="str">
        <f>VLOOKUP(Ruimtestaat[[#This Row],[Code]],Locaties[[#All],[Code]:[Adres]],4,FALSE)</f>
        <v>Boekelerschoolpad 1</v>
      </c>
      <c r="D26" s="176" t="str">
        <f>VLOOKUP(Ruimtestaat[[#This Row],[Code]],Locaties[[#All],[Code]:[Postcode]],5,FALSE)</f>
        <v>7548 AH</v>
      </c>
      <c r="E26" s="176" t="str">
        <f>VLOOKUP(Ruimtestaat[[#This Row],[Code]],Locaties[#All],6,FALSE)</f>
        <v>Boekelo</v>
      </c>
      <c r="F26" s="149"/>
      <c r="G26" s="149" t="s">
        <v>1646</v>
      </c>
      <c r="H26" s="302" t="s">
        <v>1674</v>
      </c>
      <c r="I26" s="301" t="s">
        <v>1651</v>
      </c>
      <c r="J26" s="149">
        <v>16</v>
      </c>
      <c r="K26" s="183" t="str">
        <f>VLOOKUP(Ruimtestaat[[#This Row],[Ruimte code]],Ruimtegroepen[[#All],[Code]:[Ruimte omschrijving]],2,FALSE)</f>
        <v>Leslokalen</v>
      </c>
      <c r="L26" s="149" t="s">
        <v>102</v>
      </c>
      <c r="M26" s="301" t="s">
        <v>120</v>
      </c>
      <c r="N26" s="177">
        <v>58.4</v>
      </c>
      <c r="O26" s="177"/>
      <c r="P26" s="178" t="str">
        <f>VLOOKUP(Ruimtestaat[[#This Row],[Ruimte code]],Ruimtegroepen[],4,FALSE)</f>
        <v>Le</v>
      </c>
      <c r="Q26" s="149">
        <v>40</v>
      </c>
      <c r="R26" s="149" t="s">
        <v>2</v>
      </c>
      <c r="S26" s="149">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6" s="149">
        <f>IF(S26&gt;0,VLOOKUP($J26,Ruimtegroepen[],3,FALSE)*VLOOKUP($L26,Vloersoorten[],3,FALSE)*VLOOKUP($R26,Frequenties[],3,FALSE)*VLOOKUP($A26,Locaties[],3,FALSE),0)</f>
        <v>0</v>
      </c>
      <c r="U26" s="149">
        <f>Ruimtestaat[[#This Row],[Uitvoeringen werkdagen]]*Ruimtestaat[[#This Row],[Oppervlak (netto)]]</f>
        <v>11680</v>
      </c>
      <c r="V26" s="179">
        <f>IF(T26&gt;0,Ruimtestaat[[#This Row],[Prest. (m2 /jaar) werkdagen]]/Ruimtestaat[[#This Row],[Norm (m2/uur) werkdagen]],0)</f>
        <v>0</v>
      </c>
      <c r="W26" s="180">
        <f>Ruimtestaat[[#This Row],[uren / jaar werkdagen]]*Tariefsopbouw!$E$35</f>
        <v>0</v>
      </c>
      <c r="X26" s="149"/>
      <c r="Y26" s="149">
        <f>IF(Ruimtestaat[[#This Row],[Frequentie weekend]]&gt;0,VALUE(LEFT(X26,1))*Q26,0)</f>
        <v>0</v>
      </c>
      <c r="Z26" s="148">
        <f>IF($Y26&gt;0,VLOOKUP($J26,Ruimtegroepen[],3,FALSE)*VLOOKUP($L26,Vloersoorten[],3,FALSE)*VLOOKUP($X26,Frequenties[],3,FALSE)*VLOOKUP(#REF!,Locaties[],3,FALSE),0)</f>
        <v>0</v>
      </c>
      <c r="AA26" s="148">
        <f>Ruimtestaat[[#This Row],[Uitvoeringen weekend]]*Ruimtestaat[[#This Row],[Oppervlak (netto)]]</f>
        <v>0</v>
      </c>
      <c r="AB26" s="148">
        <f>IF(Z26&gt;0,Ruimtestaat[[#This Row],[Prest. (m2 /jaar) weekend]]/Ruimtestaat[[#This Row],[Norm (m2/uur) weekend]],0)</f>
        <v>0</v>
      </c>
      <c r="AC26" s="180">
        <f>Ruimtestaat[[#This Row],[uren / jaar weekend]]*Tariefsopbouw!$D$40</f>
        <v>0</v>
      </c>
      <c r="AD26" s="179">
        <f>Ruimtestaat[[#This Row],[Prest. (m2 /jaar) weekend]]+Ruimtestaat[[#This Row],[Prest. (m2 /jaar) werkdagen]]</f>
        <v>11680</v>
      </c>
      <c r="AE26" s="179">
        <f>Ruimtestaat[[#This Row],[uren / jaar weekend]]+Ruimtestaat[[#This Row],[uren / jaar werkdagen]]</f>
        <v>0</v>
      </c>
      <c r="AF26" s="174">
        <f>Ruimtestaat[[#This Row],[kosten / jaar weekend]]+Ruimtestaat[[#This Row],[kosten / jaar werkdagen]]</f>
        <v>0</v>
      </c>
      <c r="AG26" s="174"/>
      <c r="AH26" s="181" t="str">
        <f>IF(Ruimtestaat[[#This Row],[Frequentie werkdagen]]="","",_xlfn.CONCAT(Ruimtestaat[[#This Row],[Ruimte code]],"-",Ruimtestaat[[#This Row],[Frequentie werkdagen]]," ",Ruimtestaat[[#This Row],[Vloer code]]))</f>
        <v>16-5w P</v>
      </c>
      <c r="AI26" s="185" t="str">
        <f>_xlfn.IFNA(VLOOKUP($AH26,Programma!$F$3:$G$1101,2,0),"")</f>
        <v>_</v>
      </c>
      <c r="AJ26" s="185" t="str">
        <f>_xlfn.IFNA(VLOOKUP($AH26,Programma!$F$3:$H$1101,3,0),"")</f>
        <v>_</v>
      </c>
      <c r="AK26" s="185" t="str">
        <f>_xlfn.IFNA(VLOOKUP($AH26,Programma!$F$3:$I$1101,4,0),"")</f>
        <v>4w</v>
      </c>
      <c r="AL26" s="185" t="str">
        <f>_xlfn.IFNA(VLOOKUP($AH26,Programma!$F$3:$J$1101,5,0),"")</f>
        <v>1w</v>
      </c>
      <c r="AM26" s="185" t="str">
        <f>_xlfn.IFNA(VLOOKUP($AH26,Programma!$F$3:$K$1101,6,0),"")</f>
        <v>1m</v>
      </c>
      <c r="AN26" s="185" t="str">
        <f>_xlfn.IFNA(VLOOKUP($AH26,Programma!$F$3:$L$1101,7,0),"")</f>
        <v>_</v>
      </c>
      <c r="AO26" s="185" t="str">
        <f>_xlfn.IFNA(VLOOKUP($AH26,Programma!$F$3:$M$1101,8,0),"")</f>
        <v>_</v>
      </c>
      <c r="AP26" s="185" t="str">
        <f>_xlfn.IFNA(VLOOKUP($AH26,Programma!$F$3:$N$1101,9,0),"")</f>
        <v>_</v>
      </c>
      <c r="AQ26" s="185" t="str">
        <f>_xlfn.IFNA(VLOOKUP($AH26,Programma!$F$3:$O$1101,10,0),"")</f>
        <v>5w</v>
      </c>
      <c r="AR26" s="185" t="str">
        <f>_xlfn.IFNA(VLOOKUP($AH26,Programma!$F$3:$P$1101,11,0),"")</f>
        <v>5w</v>
      </c>
      <c r="AS26" s="185" t="str">
        <f>_xlfn.IFNA(VLOOKUP($AH26,Programma!$F$3:$Q$1101,12,0),"")</f>
        <v>1w</v>
      </c>
      <c r="AT26" s="185" t="str">
        <f>_xlfn.IFNA(VLOOKUP($AH26,Programma!$F$3:$R$1101,13,0),"")</f>
        <v>1w</v>
      </c>
      <c r="AU26" s="185" t="str">
        <f>_xlfn.IFNA(VLOOKUP($AH26,Programma!$F$3:$S$1101,14,0),"")</f>
        <v>1m</v>
      </c>
      <c r="AV26" s="185" t="str">
        <f>_xlfn.IFNA(VLOOKUP($AH26,Programma!$F$3:$T$1101,15,0),"")</f>
        <v>2j</v>
      </c>
      <c r="AW26" s="185" t="str">
        <f>_xlfn.IFNA(VLOOKUP($AH26,Programma!$F$3:$U$1101,16,0),"")</f>
        <v>1j</v>
      </c>
      <c r="AX26" s="185" t="str">
        <f>_xlfn.IFNA(VLOOKUP($AH26,Programma!$F$3:$V$1101,17,0),"")</f>
        <v>_</v>
      </c>
      <c r="AY26" s="185" t="str">
        <f>_xlfn.IFNA(VLOOKUP($AH26,Programma!$F$3:$W$1101,18,0),"")</f>
        <v>_</v>
      </c>
      <c r="AZ26" s="185" t="str">
        <f>_xlfn.IFNA(VLOOKUP($AH26,Programma!$F$3:$X$1101,19,0),"")</f>
        <v>_</v>
      </c>
      <c r="BA26" s="185" t="str">
        <f>_xlfn.IFNA(VLOOKUP($AH26,Programma!$F$3:$Y$1101,20,0),"")</f>
        <v>_</v>
      </c>
      <c r="BB26" s="182"/>
      <c r="BC26" s="181" t="str">
        <f>IF(Ruimtestaat[[#This Row],[Frequentie weekend]]="","",_xlfn.CONCAT(Ruimtestaat[[#This Row],[Ruimte code]],"-",Ruimtestaat[[#This Row],[Frequentie weekend]]," ",Ruimtestaat[[#This Row],[Vloer code]]))</f>
        <v/>
      </c>
      <c r="BD26" s="185" t="str">
        <f>_xlfn.IFNA(VLOOKUP($BC26,Programma!$F$3:$G$1101,2,0),"")</f>
        <v/>
      </c>
      <c r="BE26" s="185" t="str">
        <f>_xlfn.IFNA(VLOOKUP($BC26,Programma!$F$3:$H$1101,3,0),"")</f>
        <v/>
      </c>
      <c r="BF26" s="185" t="str">
        <f>_xlfn.IFNA(VLOOKUP($BC26,Programma!$F$3:$I$1101,4,0),"")</f>
        <v/>
      </c>
      <c r="BG26" s="185" t="str">
        <f>_xlfn.IFNA(VLOOKUP($BC26,Programma!$F$3:$J$1101,5,0),"")</f>
        <v/>
      </c>
      <c r="BH26" s="185" t="str">
        <f>_xlfn.IFNA(VLOOKUP($BC26,Programma!$F$3:$K$1101,6,0),"")</f>
        <v/>
      </c>
      <c r="BI26" s="185" t="str">
        <f>_xlfn.IFNA(VLOOKUP($BC26,Programma!$F$3:$L$1101,7,0),"")</f>
        <v/>
      </c>
      <c r="BJ26" s="185" t="str">
        <f>_xlfn.IFNA(VLOOKUP($BC26,Programma!$F$3:$M$1101,8,0),"")</f>
        <v/>
      </c>
      <c r="BK26" s="185" t="str">
        <f>_xlfn.IFNA(VLOOKUP($BC26,Programma!$F$3:$N$1101,9,0),"")</f>
        <v/>
      </c>
      <c r="BL26" s="185" t="str">
        <f>_xlfn.IFNA(VLOOKUP($BC26,Programma!$F$3:$O$1101,10,0),"")</f>
        <v/>
      </c>
      <c r="BM26" s="185" t="str">
        <f>_xlfn.IFNA(VLOOKUP($BC26,Programma!$F$3:$P$1101,11,0),"")</f>
        <v/>
      </c>
      <c r="BN26" s="185" t="str">
        <f>_xlfn.IFNA(VLOOKUP($BC26,Programma!$F$3:$Q$1101,12,0),"")</f>
        <v/>
      </c>
      <c r="BO26" s="185" t="str">
        <f>_xlfn.IFNA(VLOOKUP($BC26,Programma!$F$3:$R$1101,13,0),"")</f>
        <v/>
      </c>
      <c r="BP26" s="185" t="str">
        <f>_xlfn.IFNA(VLOOKUP($BC26,Programma!$F$3:$S$1101,14,0),"")</f>
        <v/>
      </c>
      <c r="BQ26" s="185" t="str">
        <f>_xlfn.IFNA(VLOOKUP($BC26,Programma!$F$3:$T$1101,15,0),"")</f>
        <v/>
      </c>
      <c r="BR26" s="185" t="str">
        <f>_xlfn.IFNA(VLOOKUP($BC26,Programma!$F$3:$U$1101,16,0),"")</f>
        <v/>
      </c>
      <c r="BS26" s="185" t="str">
        <f>_xlfn.IFNA(VLOOKUP($BC26,Programma!$F$3:$V$1101,17,0),"")</f>
        <v/>
      </c>
      <c r="BT26" s="185" t="str">
        <f>_xlfn.IFNA(VLOOKUP($BC26,Programma!$F$3:$W$1101,18,0),"")</f>
        <v/>
      </c>
      <c r="BU26" s="185" t="str">
        <f>_xlfn.IFNA(VLOOKUP($BC26,Programma!$F$3:$X$1101,19,0),"")</f>
        <v/>
      </c>
      <c r="BV26" s="185" t="str">
        <f>_xlfn.IFNA(VLOOKUP($BC26,Programma!$F$3:$Y$1101,20,0),"")</f>
        <v/>
      </c>
      <c r="BW26" s="78"/>
      <c r="BX26" s="78"/>
      <c r="BY26" s="78"/>
      <c r="BZ26" s="78"/>
      <c r="CA26" s="78"/>
      <c r="CB26" s="78"/>
      <c r="CC26" s="78"/>
      <c r="CD26" s="78"/>
      <c r="CE26" s="78"/>
      <c r="CF26" s="78"/>
      <c r="CG26" s="78"/>
      <c r="CH26" s="78"/>
      <c r="CI26" s="78"/>
      <c r="CJ26" s="78"/>
      <c r="CK26" s="78"/>
      <c r="CL26" s="78"/>
      <c r="CM26" s="78"/>
      <c r="CN26" s="78"/>
      <c r="CO26" s="78"/>
      <c r="CP26" s="78"/>
      <c r="CQ26" s="78"/>
      <c r="CR26" s="78"/>
      <c r="CS26" s="78"/>
      <c r="CT26" s="78"/>
      <c r="CU26" s="78"/>
      <c r="CV26" s="78"/>
      <c r="CW26" s="78"/>
      <c r="CX26" s="78"/>
      <c r="CY26" s="78"/>
      <c r="CZ26" s="78"/>
      <c r="DA26" s="78"/>
      <c r="DB26" s="78"/>
      <c r="DC26" s="78"/>
      <c r="DD26" s="78"/>
      <c r="DE26" s="78"/>
      <c r="DF26" s="78"/>
      <c r="DG26" s="78"/>
      <c r="DH26" s="78"/>
      <c r="DI26" s="78"/>
      <c r="DJ26" s="78"/>
      <c r="DK26" s="78"/>
      <c r="DL26" s="78"/>
      <c r="DM26" s="78"/>
      <c r="DN26" s="78"/>
      <c r="DO26" s="78"/>
      <c r="DP26" s="78"/>
      <c r="DQ26" s="78"/>
      <c r="DR26" s="78"/>
      <c r="DS26" s="78"/>
      <c r="DT26" s="78"/>
      <c r="DU26" s="78"/>
      <c r="DV26" s="78"/>
      <c r="DW26" s="78"/>
      <c r="DX26" s="78"/>
      <c r="DY26" s="78"/>
      <c r="DZ26" s="78"/>
      <c r="EA26" s="78"/>
      <c r="EB26" s="78"/>
      <c r="EC26" s="78"/>
      <c r="ED26" s="78"/>
      <c r="EE26" s="78"/>
      <c r="EF26" s="78"/>
      <c r="EG26" s="78"/>
      <c r="EH26" s="78"/>
      <c r="EI26" s="78"/>
      <c r="EJ26" s="78"/>
      <c r="EK26" s="78"/>
      <c r="EL26" s="78"/>
      <c r="EM26" s="78"/>
      <c r="EN26" s="78"/>
      <c r="EO26" s="78"/>
      <c r="EP26" s="78"/>
      <c r="EQ26" s="78"/>
      <c r="ER26" s="78"/>
      <c r="ES26" s="78"/>
      <c r="ET26" s="78"/>
      <c r="EU26" s="78"/>
      <c r="EV26" s="78"/>
      <c r="EW26" s="78"/>
      <c r="EX26" s="78"/>
      <c r="EY26" s="78"/>
      <c r="EZ26" s="78"/>
      <c r="FA26" s="78"/>
      <c r="FB26" s="78"/>
      <c r="FC26" s="78"/>
      <c r="FD26" s="78"/>
      <c r="FE26" s="78"/>
      <c r="FF26" s="78"/>
      <c r="FG26" s="78"/>
      <c r="FH26" s="78"/>
      <c r="FI26" s="78"/>
      <c r="FJ26" s="78"/>
      <c r="FK26" s="78"/>
      <c r="FL26" s="78"/>
      <c r="FM26" s="78"/>
      <c r="FN26" s="78"/>
      <c r="FO26" s="78"/>
      <c r="FP26" s="78"/>
      <c r="FQ26" s="78"/>
      <c r="FR26" s="78"/>
      <c r="FS26" s="78"/>
      <c r="FT26" s="78"/>
      <c r="FU26" s="78"/>
      <c r="FV26" s="78"/>
      <c r="FW26" s="78"/>
      <c r="FX26" s="78"/>
      <c r="FY26" s="78"/>
      <c r="FZ26" s="78"/>
      <c r="GA26" s="78"/>
      <c r="GB26" s="78"/>
      <c r="GC26" s="78"/>
      <c r="GD26" s="78"/>
      <c r="GE26" s="78"/>
      <c r="GF26" s="78"/>
      <c r="GG26" s="78"/>
      <c r="GH26" s="78"/>
      <c r="GI26" s="78"/>
      <c r="GJ26" s="78"/>
      <c r="GK26" s="78"/>
      <c r="GL26" s="78"/>
      <c r="GM26" s="78"/>
      <c r="GN26" s="78"/>
      <c r="GO26" s="78"/>
      <c r="GP26" s="78"/>
      <c r="GQ26" s="78"/>
      <c r="GR26" s="78"/>
      <c r="GS26" s="78"/>
      <c r="GT26" s="78"/>
      <c r="GU26" s="78"/>
      <c r="GV26" s="78"/>
      <c r="GW26" s="78"/>
      <c r="GX26" s="78"/>
      <c r="GY26" s="78"/>
      <c r="GZ26" s="78"/>
      <c r="HA26" s="78"/>
      <c r="HB26" s="78"/>
      <c r="HC26" s="78"/>
      <c r="HD26" s="78"/>
      <c r="HE26" s="78"/>
      <c r="HF26" s="78"/>
      <c r="HG26" s="78"/>
      <c r="HH26" s="78"/>
      <c r="HI26" s="78"/>
      <c r="HJ26" s="78"/>
      <c r="HK26" s="78"/>
    </row>
    <row r="27" spans="1:219" ht="15" customHeight="1">
      <c r="A27" s="149">
        <v>1</v>
      </c>
      <c r="B27" s="176" t="str">
        <f>VLOOKUP(Ruimtestaat[[#This Row],[Code]],Locaties[[Code]:[Locatie]],2,FALSE)</f>
        <v xml:space="preserve">OBS Molenbeek </v>
      </c>
      <c r="C27" s="176" t="str">
        <f>VLOOKUP(Ruimtestaat[[#This Row],[Code]],Locaties[[#All],[Code]:[Adres]],4,FALSE)</f>
        <v>Boekelerschoolpad 1</v>
      </c>
      <c r="D27" s="176" t="str">
        <f>VLOOKUP(Ruimtestaat[[#This Row],[Code]],Locaties[[#All],[Code]:[Postcode]],5,FALSE)</f>
        <v>7548 AH</v>
      </c>
      <c r="E27" s="176" t="str">
        <f>VLOOKUP(Ruimtestaat[[#This Row],[Code]],Locaties[#All],6,FALSE)</f>
        <v>Boekelo</v>
      </c>
      <c r="F27" s="149"/>
      <c r="G27" s="149" t="s">
        <v>1646</v>
      </c>
      <c r="H27" s="300" t="s">
        <v>1675</v>
      </c>
      <c r="I27" s="301" t="s">
        <v>1651</v>
      </c>
      <c r="J27" s="99">
        <v>16</v>
      </c>
      <c r="K27" s="183" t="str">
        <f>VLOOKUP(Ruimtestaat[[#This Row],[Ruimte code]],Ruimtegroepen[[#All],[Code]:[Ruimte omschrijving]],2,FALSE)</f>
        <v>Leslokalen</v>
      </c>
      <c r="L27" s="149" t="s">
        <v>102</v>
      </c>
      <c r="M27" s="301" t="s">
        <v>120</v>
      </c>
      <c r="N27" s="177">
        <v>58.1</v>
      </c>
      <c r="O27" s="177"/>
      <c r="P27" s="178" t="str">
        <f>VLOOKUP(Ruimtestaat[[#This Row],[Ruimte code]],Ruimtegroepen[],4,FALSE)</f>
        <v>Le</v>
      </c>
      <c r="Q27" s="149">
        <v>40</v>
      </c>
      <c r="R27" s="149" t="s">
        <v>2</v>
      </c>
      <c r="S27" s="149">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 s="149">
        <f>IF(S27&gt;0,VLOOKUP($J27,Ruimtegroepen[],3,FALSE)*VLOOKUP($L27,Vloersoorten[],3,FALSE)*VLOOKUP($R27,Frequenties[],3,FALSE)*VLOOKUP($A27,Locaties[],3,FALSE),0)</f>
        <v>0</v>
      </c>
      <c r="U27" s="149">
        <f>Ruimtestaat[[#This Row],[Uitvoeringen werkdagen]]*Ruimtestaat[[#This Row],[Oppervlak (netto)]]</f>
        <v>11620</v>
      </c>
      <c r="V27" s="179">
        <f>IF(T27&gt;0,Ruimtestaat[[#This Row],[Prest. (m2 /jaar) werkdagen]]/Ruimtestaat[[#This Row],[Norm (m2/uur) werkdagen]],0)</f>
        <v>0</v>
      </c>
      <c r="W27" s="180">
        <f>Ruimtestaat[[#This Row],[uren / jaar werkdagen]]*Tariefsopbouw!$E$35</f>
        <v>0</v>
      </c>
      <c r="X27" s="149"/>
      <c r="Y27" s="149">
        <f>IF(Ruimtestaat[[#This Row],[Frequentie weekend]]&gt;0,VALUE(LEFT(X27,1))*Q27,0)</f>
        <v>0</v>
      </c>
      <c r="Z27" s="148">
        <f>IF($Y27&gt;0,VLOOKUP($J27,Ruimtegroepen[],3,FALSE)*VLOOKUP($L27,Vloersoorten[],3,FALSE)*VLOOKUP($X27,Frequenties[],3,FALSE)*VLOOKUP(Ruimtestaat[[#This Row],[Code]],Locaties[],3,FALSE),0)</f>
        <v>0</v>
      </c>
      <c r="AA27" s="148">
        <f>Ruimtestaat[[#This Row],[Uitvoeringen weekend]]*Ruimtestaat[[#This Row],[Oppervlak (netto)]]</f>
        <v>0</v>
      </c>
      <c r="AB27" s="148">
        <f>IF(Z27&gt;0,Ruimtestaat[[#This Row],[Prest. (m2 /jaar) weekend]]/Ruimtestaat[[#This Row],[Norm (m2/uur) weekend]],0)</f>
        <v>0</v>
      </c>
      <c r="AC27" s="180">
        <f>Ruimtestaat[[#This Row],[uren / jaar weekend]]*Tariefsopbouw!$D$40</f>
        <v>0</v>
      </c>
      <c r="AD27" s="179">
        <f>Ruimtestaat[[#This Row],[Prest. (m2 /jaar) weekend]]+Ruimtestaat[[#This Row],[Prest. (m2 /jaar) werkdagen]]</f>
        <v>11620</v>
      </c>
      <c r="AE27" s="179">
        <f>Ruimtestaat[[#This Row],[uren / jaar weekend]]+Ruimtestaat[[#This Row],[uren / jaar werkdagen]]</f>
        <v>0</v>
      </c>
      <c r="AF27" s="174">
        <f>Ruimtestaat[[#This Row],[kosten / jaar weekend]]+Ruimtestaat[[#This Row],[kosten / jaar werkdagen]]</f>
        <v>0</v>
      </c>
      <c r="AG27" s="174"/>
      <c r="AH27" s="181" t="str">
        <f>IF(Ruimtestaat[[#This Row],[Frequentie werkdagen]]="","",_xlfn.CONCAT(Ruimtestaat[[#This Row],[Ruimte code]],"-",Ruimtestaat[[#This Row],[Frequentie werkdagen]]," ",Ruimtestaat[[#This Row],[Vloer code]]))</f>
        <v>16-5w P</v>
      </c>
      <c r="AI27" s="185" t="str">
        <f>_xlfn.IFNA(VLOOKUP($AH27,Programma!$F$3:$G$1101,2,0),"")</f>
        <v>_</v>
      </c>
      <c r="AJ27" s="185" t="str">
        <f>_xlfn.IFNA(VLOOKUP($AH27,Programma!$F$3:$H$1101,3,0),"")</f>
        <v>_</v>
      </c>
      <c r="AK27" s="185" t="str">
        <f>_xlfn.IFNA(VLOOKUP($AH27,Programma!$F$3:$I$1101,4,0),"")</f>
        <v>4w</v>
      </c>
      <c r="AL27" s="185" t="str">
        <f>_xlfn.IFNA(VLOOKUP($AH27,Programma!$F$3:$J$1101,5,0),"")</f>
        <v>1w</v>
      </c>
      <c r="AM27" s="185" t="str">
        <f>_xlfn.IFNA(VLOOKUP($AH27,Programma!$F$3:$K$1101,6,0),"")</f>
        <v>1m</v>
      </c>
      <c r="AN27" s="185" t="str">
        <f>_xlfn.IFNA(VLOOKUP($AH27,Programma!$F$3:$L$1101,7,0),"")</f>
        <v>_</v>
      </c>
      <c r="AO27" s="185" t="str">
        <f>_xlfn.IFNA(VLOOKUP($AH27,Programma!$F$3:$M$1101,8,0),"")</f>
        <v>_</v>
      </c>
      <c r="AP27" s="185" t="str">
        <f>_xlfn.IFNA(VLOOKUP($AH27,Programma!$F$3:$N$1101,9,0),"")</f>
        <v>_</v>
      </c>
      <c r="AQ27" s="185" t="str">
        <f>_xlfn.IFNA(VLOOKUP($AH27,Programma!$F$3:$O$1101,10,0),"")</f>
        <v>5w</v>
      </c>
      <c r="AR27" s="185" t="str">
        <f>_xlfn.IFNA(VLOOKUP($AH27,Programma!$F$3:$P$1101,11,0),"")</f>
        <v>5w</v>
      </c>
      <c r="AS27" s="185" t="str">
        <f>_xlfn.IFNA(VLOOKUP($AH27,Programma!$F$3:$Q$1101,12,0),"")</f>
        <v>1w</v>
      </c>
      <c r="AT27" s="185" t="str">
        <f>_xlfn.IFNA(VLOOKUP($AH27,Programma!$F$3:$R$1101,13,0),"")</f>
        <v>1w</v>
      </c>
      <c r="AU27" s="185" t="str">
        <f>_xlfn.IFNA(VLOOKUP($AH27,Programma!$F$3:$S$1101,14,0),"")</f>
        <v>1m</v>
      </c>
      <c r="AV27" s="185" t="str">
        <f>_xlfn.IFNA(VLOOKUP($AH27,Programma!$F$3:$T$1101,15,0),"")</f>
        <v>2j</v>
      </c>
      <c r="AW27" s="185" t="str">
        <f>_xlfn.IFNA(VLOOKUP($AH27,Programma!$F$3:$U$1101,16,0),"")</f>
        <v>1j</v>
      </c>
      <c r="AX27" s="185" t="str">
        <f>_xlfn.IFNA(VLOOKUP($AH27,Programma!$F$3:$V$1101,17,0),"")</f>
        <v>_</v>
      </c>
      <c r="AY27" s="185" t="str">
        <f>_xlfn.IFNA(VLOOKUP($AH27,Programma!$F$3:$W$1101,18,0),"")</f>
        <v>_</v>
      </c>
      <c r="AZ27" s="185" t="str">
        <f>_xlfn.IFNA(VLOOKUP($AH27,Programma!$F$3:$X$1101,19,0),"")</f>
        <v>_</v>
      </c>
      <c r="BA27" s="185" t="str">
        <f>_xlfn.IFNA(VLOOKUP($AH27,Programma!$F$3:$Y$1101,20,0),"")</f>
        <v>_</v>
      </c>
      <c r="BB27" s="182"/>
      <c r="BC27" s="181" t="str">
        <f>IF(Ruimtestaat[[#This Row],[Frequentie weekend]]="","",_xlfn.CONCAT(Ruimtestaat[[#This Row],[Ruimte code]],"-",Ruimtestaat[[#This Row],[Frequentie weekend]]," ",Ruimtestaat[[#This Row],[Vloer code]]))</f>
        <v/>
      </c>
      <c r="BD27" s="185" t="str">
        <f>_xlfn.IFNA(VLOOKUP($BC27,Programma!$F$3:$G$1101,2,0),"")</f>
        <v/>
      </c>
      <c r="BE27" s="185" t="str">
        <f>_xlfn.IFNA(VLOOKUP($BC27,Programma!$F$3:$H$1101,3,0),"")</f>
        <v/>
      </c>
      <c r="BF27" s="185" t="str">
        <f>_xlfn.IFNA(VLOOKUP($BC27,Programma!$F$3:$I$1101,4,0),"")</f>
        <v/>
      </c>
      <c r="BG27" s="185" t="str">
        <f>_xlfn.IFNA(VLOOKUP($BC27,Programma!$F$3:$J$1101,5,0),"")</f>
        <v/>
      </c>
      <c r="BH27" s="185" t="str">
        <f>_xlfn.IFNA(VLOOKUP($BC27,Programma!$F$3:$K$1101,6,0),"")</f>
        <v/>
      </c>
      <c r="BI27" s="185" t="str">
        <f>_xlfn.IFNA(VLOOKUP($BC27,Programma!$F$3:$L$1101,7,0),"")</f>
        <v/>
      </c>
      <c r="BJ27" s="185" t="str">
        <f>_xlfn.IFNA(VLOOKUP($BC27,Programma!$F$3:$M$1101,8,0),"")</f>
        <v/>
      </c>
      <c r="BK27" s="185" t="str">
        <f>_xlfn.IFNA(VLOOKUP($BC27,Programma!$F$3:$N$1101,9,0),"")</f>
        <v/>
      </c>
      <c r="BL27" s="185" t="str">
        <f>_xlfn.IFNA(VLOOKUP($BC27,Programma!$F$3:$O$1101,10,0),"")</f>
        <v/>
      </c>
      <c r="BM27" s="185" t="str">
        <f>_xlfn.IFNA(VLOOKUP($BC27,Programma!$F$3:$P$1101,11,0),"")</f>
        <v/>
      </c>
      <c r="BN27" s="185" t="str">
        <f>_xlfn.IFNA(VLOOKUP($BC27,Programma!$F$3:$Q$1101,12,0),"")</f>
        <v/>
      </c>
      <c r="BO27" s="185" t="str">
        <f>_xlfn.IFNA(VLOOKUP($BC27,Programma!$F$3:$R$1101,13,0),"")</f>
        <v/>
      </c>
      <c r="BP27" s="185" t="str">
        <f>_xlfn.IFNA(VLOOKUP($BC27,Programma!$F$3:$S$1101,14,0),"")</f>
        <v/>
      </c>
      <c r="BQ27" s="185" t="str">
        <f>_xlfn.IFNA(VLOOKUP($BC27,Programma!$F$3:$T$1101,15,0),"")</f>
        <v/>
      </c>
      <c r="BR27" s="185" t="str">
        <f>_xlfn.IFNA(VLOOKUP($BC27,Programma!$F$3:$U$1101,16,0),"")</f>
        <v/>
      </c>
      <c r="BS27" s="185" t="str">
        <f>_xlfn.IFNA(VLOOKUP($BC27,Programma!$F$3:$V$1101,17,0),"")</f>
        <v/>
      </c>
      <c r="BT27" s="185" t="str">
        <f>_xlfn.IFNA(VLOOKUP($BC27,Programma!$F$3:$W$1101,18,0),"")</f>
        <v/>
      </c>
      <c r="BU27" s="185" t="str">
        <f>_xlfn.IFNA(VLOOKUP($BC27,Programma!$F$3:$X$1101,19,0),"")</f>
        <v/>
      </c>
      <c r="BV27" s="185" t="str">
        <f>_xlfn.IFNA(VLOOKUP($BC27,Programma!$F$3:$Y$1101,20,0),"")</f>
        <v/>
      </c>
      <c r="BW27" s="78"/>
      <c r="BX27" s="78"/>
      <c r="BY27" s="78"/>
      <c r="BZ27" s="78"/>
      <c r="CA27" s="78"/>
      <c r="CB27" s="78"/>
      <c r="CC27" s="78"/>
      <c r="CD27" s="78"/>
      <c r="CE27" s="78"/>
      <c r="CF27" s="78"/>
      <c r="CG27" s="78"/>
      <c r="CH27" s="78"/>
      <c r="CI27" s="78"/>
      <c r="CJ27" s="78"/>
      <c r="CK27" s="78"/>
      <c r="CL27" s="78"/>
      <c r="CM27" s="78"/>
      <c r="CN27" s="78"/>
      <c r="CO27" s="78"/>
      <c r="CP27" s="78"/>
      <c r="CQ27" s="78"/>
      <c r="CR27" s="78"/>
      <c r="CS27" s="78"/>
      <c r="CT27" s="78"/>
      <c r="CU27" s="78"/>
      <c r="CV27" s="78"/>
      <c r="CW27" s="78"/>
      <c r="CX27" s="78"/>
      <c r="CY27" s="78"/>
      <c r="CZ27" s="78"/>
      <c r="DA27" s="78"/>
      <c r="DB27" s="78"/>
      <c r="DC27" s="78"/>
      <c r="DD27" s="78"/>
      <c r="DE27" s="78"/>
      <c r="DF27" s="78"/>
      <c r="DG27" s="78"/>
      <c r="DH27" s="78"/>
      <c r="DI27" s="78"/>
      <c r="DJ27" s="78"/>
      <c r="DK27" s="78"/>
      <c r="DL27" s="78"/>
      <c r="DM27" s="78"/>
      <c r="DN27" s="78"/>
      <c r="DO27" s="78"/>
      <c r="DP27" s="78"/>
      <c r="DQ27" s="78"/>
      <c r="DR27" s="78"/>
      <c r="DS27" s="78"/>
      <c r="DT27" s="78"/>
      <c r="DU27" s="78"/>
      <c r="DV27" s="78"/>
      <c r="DW27" s="78"/>
      <c r="DX27" s="78"/>
      <c r="DY27" s="78"/>
      <c r="DZ27" s="78"/>
      <c r="EA27" s="78"/>
      <c r="EB27" s="78"/>
      <c r="EC27" s="78"/>
      <c r="ED27" s="78"/>
      <c r="EE27" s="78"/>
      <c r="EF27" s="78"/>
      <c r="EG27" s="78"/>
      <c r="EH27" s="78"/>
      <c r="EI27" s="78"/>
      <c r="EJ27" s="78"/>
      <c r="EK27" s="78"/>
      <c r="EL27" s="78"/>
      <c r="EM27" s="78"/>
      <c r="EN27" s="78"/>
      <c r="EO27" s="78"/>
      <c r="EP27" s="78"/>
      <c r="EQ27" s="78"/>
      <c r="ER27" s="78"/>
      <c r="ES27" s="78"/>
      <c r="ET27" s="78"/>
      <c r="EU27" s="78"/>
      <c r="EV27" s="78"/>
      <c r="EW27" s="78"/>
      <c r="EX27" s="78"/>
      <c r="EY27" s="78"/>
      <c r="EZ27" s="78"/>
      <c r="FA27" s="78"/>
      <c r="FB27" s="78"/>
      <c r="FC27" s="78"/>
      <c r="FD27" s="78"/>
      <c r="FE27" s="78"/>
      <c r="FF27" s="78"/>
      <c r="FG27" s="78"/>
      <c r="FH27" s="78"/>
      <c r="FI27" s="78"/>
      <c r="FJ27" s="78"/>
      <c r="FK27" s="78"/>
      <c r="FL27" s="78"/>
      <c r="FM27" s="78"/>
      <c r="FN27" s="78"/>
      <c r="FO27" s="78"/>
      <c r="FP27" s="78"/>
      <c r="FQ27" s="78"/>
      <c r="FR27" s="78"/>
      <c r="FS27" s="78"/>
      <c r="FT27" s="78"/>
      <c r="FU27" s="78"/>
      <c r="FV27" s="78"/>
      <c r="FW27" s="78"/>
      <c r="FX27" s="78"/>
      <c r="FY27" s="78"/>
      <c r="FZ27" s="78"/>
      <c r="GA27" s="78"/>
      <c r="GB27" s="78"/>
      <c r="GC27" s="78"/>
      <c r="GD27" s="78"/>
      <c r="GE27" s="78"/>
      <c r="GF27" s="78"/>
      <c r="GG27" s="78"/>
      <c r="GH27" s="78"/>
      <c r="GI27" s="78"/>
      <c r="GJ27" s="78"/>
      <c r="GK27" s="78"/>
      <c r="GL27" s="78"/>
      <c r="GM27" s="78"/>
      <c r="GN27" s="78"/>
      <c r="GO27" s="78"/>
      <c r="GP27" s="78"/>
      <c r="GQ27" s="78"/>
      <c r="GR27" s="78"/>
      <c r="GS27" s="78"/>
      <c r="GT27" s="78"/>
      <c r="GU27" s="78"/>
      <c r="GV27" s="78"/>
      <c r="GW27" s="78"/>
      <c r="GX27" s="78"/>
      <c r="GY27" s="78"/>
      <c r="GZ27" s="78"/>
      <c r="HA27" s="78"/>
      <c r="HB27" s="78"/>
      <c r="HC27" s="78"/>
      <c r="HD27" s="78"/>
      <c r="HE27" s="78"/>
      <c r="HF27" s="78"/>
      <c r="HG27" s="78"/>
      <c r="HH27" s="78"/>
      <c r="HI27" s="78"/>
      <c r="HJ27" s="78"/>
      <c r="HK27" s="78"/>
    </row>
    <row r="28" spans="1:219" ht="15" customHeight="1">
      <c r="A28" s="149">
        <v>1</v>
      </c>
      <c r="B28" s="176" t="str">
        <f>VLOOKUP(Ruimtestaat[[#This Row],[Code]],Locaties[[Code]:[Locatie]],2,FALSE)</f>
        <v xml:space="preserve">OBS Molenbeek </v>
      </c>
      <c r="C28" s="176" t="str">
        <f>VLOOKUP(Ruimtestaat[[#This Row],[Code]],Locaties[[#All],[Code]:[Adres]],4,FALSE)</f>
        <v>Boekelerschoolpad 1</v>
      </c>
      <c r="D28" s="176" t="str">
        <f>VLOOKUP(Ruimtestaat[[#This Row],[Code]],Locaties[[#All],[Code]:[Postcode]],5,FALSE)</f>
        <v>7548 AH</v>
      </c>
      <c r="E28" s="176" t="str">
        <f>VLOOKUP(Ruimtestaat[[#This Row],[Code]],Locaties[#All],6,FALSE)</f>
        <v>Boekelo</v>
      </c>
      <c r="F28" s="149"/>
      <c r="G28" s="149" t="s">
        <v>1646</v>
      </c>
      <c r="H28" s="300" t="s">
        <v>1676</v>
      </c>
      <c r="I28" s="301" t="s">
        <v>1677</v>
      </c>
      <c r="J28" s="99">
        <v>3</v>
      </c>
      <c r="K28" s="183" t="str">
        <f>VLOOKUP(Ruimtestaat[[#This Row],[Ruimte code]],Ruimtegroepen[[#All],[Code]:[Ruimte omschrijving]],2,FALSE)</f>
        <v>Reproruimte</v>
      </c>
      <c r="L28" s="149" t="s">
        <v>102</v>
      </c>
      <c r="M28" s="301" t="s">
        <v>120</v>
      </c>
      <c r="N28" s="177">
        <v>6.4</v>
      </c>
      <c r="O28" s="177"/>
      <c r="P28" s="178" t="str">
        <f>VLOOKUP(Ruimtestaat[[#This Row],[Ruimte code]],Ruimtegroepen[],4,FALSE)</f>
        <v>Ve</v>
      </c>
      <c r="Q28" s="149">
        <v>40</v>
      </c>
      <c r="R28" s="149" t="s">
        <v>2</v>
      </c>
      <c r="S28" s="149">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 s="149">
        <f>IF(S28&gt;0,VLOOKUP($J28,Ruimtegroepen[],3,FALSE)*VLOOKUP($L28,Vloersoorten[],3,FALSE)*VLOOKUP($R28,Frequenties[],3,FALSE)*VLOOKUP($A28,Locaties[],3,FALSE),0)</f>
        <v>0</v>
      </c>
      <c r="U28" s="149">
        <f>Ruimtestaat[[#This Row],[Uitvoeringen werkdagen]]*Ruimtestaat[[#This Row],[Oppervlak (netto)]]</f>
        <v>1280</v>
      </c>
      <c r="V28" s="179">
        <f>IF(T28&gt;0,Ruimtestaat[[#This Row],[Prest. (m2 /jaar) werkdagen]]/Ruimtestaat[[#This Row],[Norm (m2/uur) werkdagen]],0)</f>
        <v>0</v>
      </c>
      <c r="W28" s="180">
        <f>Ruimtestaat[[#This Row],[uren / jaar werkdagen]]*Tariefsopbouw!$E$35</f>
        <v>0</v>
      </c>
      <c r="X28" s="149"/>
      <c r="Y28" s="149">
        <f>IF(Ruimtestaat[[#This Row],[Frequentie weekend]]&gt;0,VALUE(LEFT(X28,1))*Q28,0)</f>
        <v>0</v>
      </c>
      <c r="Z28" s="148">
        <f>IF($Y28&gt;0,VLOOKUP($J28,Ruimtegroepen[],3,FALSE)*VLOOKUP($L28,Vloersoorten[],3,FALSE)*VLOOKUP($X28,Frequenties[],3,FALSE)*VLOOKUP(Ruimtestaat[[#This Row],[Code]],Locaties[],3,FALSE),0)</f>
        <v>0</v>
      </c>
      <c r="AA28" s="148">
        <f>Ruimtestaat[[#This Row],[Uitvoeringen weekend]]*Ruimtestaat[[#This Row],[Oppervlak (netto)]]</f>
        <v>0</v>
      </c>
      <c r="AB28" s="148">
        <f>IF(Z28&gt;0,Ruimtestaat[[#This Row],[Prest. (m2 /jaar) weekend]]/Ruimtestaat[[#This Row],[Norm (m2/uur) weekend]],0)</f>
        <v>0</v>
      </c>
      <c r="AC28" s="180">
        <f>Ruimtestaat[[#This Row],[uren / jaar weekend]]*Tariefsopbouw!$D$40</f>
        <v>0</v>
      </c>
      <c r="AD28" s="179">
        <f>Ruimtestaat[[#This Row],[Prest. (m2 /jaar) weekend]]+Ruimtestaat[[#This Row],[Prest. (m2 /jaar) werkdagen]]</f>
        <v>1280</v>
      </c>
      <c r="AE28" s="179">
        <f>Ruimtestaat[[#This Row],[uren / jaar weekend]]+Ruimtestaat[[#This Row],[uren / jaar werkdagen]]</f>
        <v>0</v>
      </c>
      <c r="AF28" s="174">
        <f>Ruimtestaat[[#This Row],[kosten / jaar weekend]]+Ruimtestaat[[#This Row],[kosten / jaar werkdagen]]</f>
        <v>0</v>
      </c>
      <c r="AG28" s="174"/>
      <c r="AH28" s="181" t="str">
        <f>IF(Ruimtestaat[[#This Row],[Frequentie werkdagen]]="","",_xlfn.CONCAT(Ruimtestaat[[#This Row],[Ruimte code]],"-",Ruimtestaat[[#This Row],[Frequentie werkdagen]]," ",Ruimtestaat[[#This Row],[Vloer code]]))</f>
        <v>3-5w P</v>
      </c>
      <c r="AI28" s="185" t="str">
        <f>_xlfn.IFNA(VLOOKUP($AH28,Programma!$F$3:$G$1101,2,0),"")</f>
        <v>_</v>
      </c>
      <c r="AJ28" s="185" t="str">
        <f>_xlfn.IFNA(VLOOKUP($AH28,Programma!$F$3:$H$1101,3,0),"")</f>
        <v>_</v>
      </c>
      <c r="AK28" s="185" t="str">
        <f>_xlfn.IFNA(VLOOKUP($AH28,Programma!$F$3:$I$1101,4,0),"")</f>
        <v>4w</v>
      </c>
      <c r="AL28" s="185" t="str">
        <f>_xlfn.IFNA(VLOOKUP($AH28,Programma!$F$3:$J$1101,5,0),"")</f>
        <v>1w</v>
      </c>
      <c r="AM28" s="185" t="str">
        <f>_xlfn.IFNA(VLOOKUP($AH28,Programma!$F$3:$K$1101,6,0),"")</f>
        <v>2j</v>
      </c>
      <c r="AN28" s="185" t="str">
        <f>_xlfn.IFNA(VLOOKUP($AH28,Programma!$F$3:$L$1101,7,0),"")</f>
        <v>_</v>
      </c>
      <c r="AO28" s="185" t="str">
        <f>_xlfn.IFNA(VLOOKUP($AH28,Programma!$F$3:$M$1101,8,0),"")</f>
        <v>_</v>
      </c>
      <c r="AP28" s="185" t="str">
        <f>_xlfn.IFNA(VLOOKUP($AH28,Programma!$F$3:$N$1101,9,0),"")</f>
        <v>_</v>
      </c>
      <c r="AQ28" s="185" t="str">
        <f>_xlfn.IFNA(VLOOKUP($AH28,Programma!$F$3:$O$1101,10,0),"")</f>
        <v>5w</v>
      </c>
      <c r="AR28" s="185" t="str">
        <f>_xlfn.IFNA(VLOOKUP($AH28,Programma!$F$3:$P$1101,11,0),"")</f>
        <v>5w</v>
      </c>
      <c r="AS28" s="185" t="str">
        <f>_xlfn.IFNA(VLOOKUP($AH28,Programma!$F$3:$Q$1101,12,0),"")</f>
        <v>1w</v>
      </c>
      <c r="AT28" s="185" t="str">
        <f>_xlfn.IFNA(VLOOKUP($AH28,Programma!$F$3:$R$1101,13,0),"")</f>
        <v>1w</v>
      </c>
      <c r="AU28" s="185" t="str">
        <f>_xlfn.IFNA(VLOOKUP($AH28,Programma!$F$3:$S$1101,14,0),"")</f>
        <v>1m</v>
      </c>
      <c r="AV28" s="185" t="str">
        <f>_xlfn.IFNA(VLOOKUP($AH28,Programma!$F$3:$T$1101,15,0),"")</f>
        <v>4j</v>
      </c>
      <c r="AW28" s="185" t="str">
        <f>_xlfn.IFNA(VLOOKUP($AH28,Programma!$F$3:$U$1101,16,0),"")</f>
        <v>1j</v>
      </c>
      <c r="AX28" s="185" t="str">
        <f>_xlfn.IFNA(VLOOKUP($AH28,Programma!$F$3:$V$1101,17,0),"")</f>
        <v>_</v>
      </c>
      <c r="AY28" s="185" t="str">
        <f>_xlfn.IFNA(VLOOKUP($AH28,Programma!$F$3:$W$1101,18,0),"")</f>
        <v>_</v>
      </c>
      <c r="AZ28" s="185" t="str">
        <f>_xlfn.IFNA(VLOOKUP($AH28,Programma!$F$3:$X$1101,19,0),"")</f>
        <v>_</v>
      </c>
      <c r="BA28" s="185" t="str">
        <f>_xlfn.IFNA(VLOOKUP($AH28,Programma!$F$3:$Y$1101,20,0),"")</f>
        <v>_</v>
      </c>
      <c r="BB28" s="182"/>
      <c r="BC28" s="181" t="str">
        <f>IF(Ruimtestaat[[#This Row],[Frequentie weekend]]="","",_xlfn.CONCAT(Ruimtestaat[[#This Row],[Ruimte code]],"-",Ruimtestaat[[#This Row],[Frequentie weekend]]," ",Ruimtestaat[[#This Row],[Vloer code]]))</f>
        <v/>
      </c>
      <c r="BD28" s="185" t="str">
        <f>_xlfn.IFNA(VLOOKUP($BC28,Programma!$F$3:$G$1101,2,0),"")</f>
        <v/>
      </c>
      <c r="BE28" s="185" t="str">
        <f>_xlfn.IFNA(VLOOKUP($BC28,Programma!$F$3:$H$1101,3,0),"")</f>
        <v/>
      </c>
      <c r="BF28" s="185" t="str">
        <f>_xlfn.IFNA(VLOOKUP($BC28,Programma!$F$3:$I$1101,4,0),"")</f>
        <v/>
      </c>
      <c r="BG28" s="185" t="str">
        <f>_xlfn.IFNA(VLOOKUP($BC28,Programma!$F$3:$J$1101,5,0),"")</f>
        <v/>
      </c>
      <c r="BH28" s="185" t="str">
        <f>_xlfn.IFNA(VLOOKUP($BC28,Programma!$F$3:$K$1101,6,0),"")</f>
        <v/>
      </c>
      <c r="BI28" s="185" t="str">
        <f>_xlfn.IFNA(VLOOKUP($BC28,Programma!$F$3:$L$1101,7,0),"")</f>
        <v/>
      </c>
      <c r="BJ28" s="185" t="str">
        <f>_xlfn.IFNA(VLOOKUP($BC28,Programma!$F$3:$M$1101,8,0),"")</f>
        <v/>
      </c>
      <c r="BK28" s="185" t="str">
        <f>_xlfn.IFNA(VLOOKUP($BC28,Programma!$F$3:$N$1101,9,0),"")</f>
        <v/>
      </c>
      <c r="BL28" s="185" t="str">
        <f>_xlfn.IFNA(VLOOKUP($BC28,Programma!$F$3:$O$1101,10,0),"")</f>
        <v/>
      </c>
      <c r="BM28" s="185" t="str">
        <f>_xlfn.IFNA(VLOOKUP($BC28,Programma!$F$3:$P$1101,11,0),"")</f>
        <v/>
      </c>
      <c r="BN28" s="185" t="str">
        <f>_xlfn.IFNA(VLOOKUP($BC28,Programma!$F$3:$Q$1101,12,0),"")</f>
        <v/>
      </c>
      <c r="BO28" s="185" t="str">
        <f>_xlfn.IFNA(VLOOKUP($BC28,Programma!$F$3:$R$1101,13,0),"")</f>
        <v/>
      </c>
      <c r="BP28" s="185" t="str">
        <f>_xlfn.IFNA(VLOOKUP($BC28,Programma!$F$3:$S$1101,14,0),"")</f>
        <v/>
      </c>
      <c r="BQ28" s="185" t="str">
        <f>_xlfn.IFNA(VLOOKUP($BC28,Programma!$F$3:$T$1101,15,0),"")</f>
        <v/>
      </c>
      <c r="BR28" s="185" t="str">
        <f>_xlfn.IFNA(VLOOKUP($BC28,Programma!$F$3:$U$1101,16,0),"")</f>
        <v/>
      </c>
      <c r="BS28" s="185" t="str">
        <f>_xlfn.IFNA(VLOOKUP($BC28,Programma!$F$3:$V$1101,17,0),"")</f>
        <v/>
      </c>
      <c r="BT28" s="185" t="str">
        <f>_xlfn.IFNA(VLOOKUP($BC28,Programma!$F$3:$W$1101,18,0),"")</f>
        <v/>
      </c>
      <c r="BU28" s="185" t="str">
        <f>_xlfn.IFNA(VLOOKUP($BC28,Programma!$F$3:$X$1101,19,0),"")</f>
        <v/>
      </c>
      <c r="BV28" s="185" t="str">
        <f>_xlfn.IFNA(VLOOKUP($BC28,Programma!$F$3:$Y$1101,20,0),"")</f>
        <v/>
      </c>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c r="EO28" s="78"/>
      <c r="EP28" s="78"/>
      <c r="EQ28" s="78"/>
      <c r="ER28" s="78"/>
      <c r="ES28" s="78"/>
      <c r="ET28" s="78"/>
      <c r="EU28" s="78"/>
      <c r="EV28" s="78"/>
      <c r="EW28" s="78"/>
      <c r="EX28" s="78"/>
      <c r="EY28" s="78"/>
      <c r="EZ28" s="78"/>
      <c r="FA28" s="78"/>
      <c r="FB28" s="78"/>
      <c r="FC28" s="78"/>
      <c r="FD28" s="78"/>
      <c r="FE28" s="78"/>
      <c r="FF28" s="78"/>
      <c r="FG28" s="78"/>
      <c r="FH28" s="78"/>
      <c r="FI28" s="78"/>
      <c r="FJ28" s="78"/>
      <c r="FK28" s="78"/>
      <c r="FL28" s="78"/>
      <c r="FM28" s="78"/>
      <c r="FN28" s="78"/>
      <c r="FO28" s="78"/>
      <c r="FP28" s="78"/>
      <c r="FQ28" s="78"/>
      <c r="FR28" s="78"/>
      <c r="FS28" s="78"/>
      <c r="FT28" s="78"/>
      <c r="FU28" s="78"/>
      <c r="FV28" s="78"/>
      <c r="FW28" s="78"/>
      <c r="FX28" s="78"/>
      <c r="FY28" s="78"/>
      <c r="FZ28" s="78"/>
      <c r="GA28" s="78"/>
      <c r="GB28" s="78"/>
      <c r="GC28" s="78"/>
      <c r="GD28" s="78"/>
      <c r="GE28" s="78"/>
      <c r="GF28" s="78"/>
      <c r="GG28" s="78"/>
      <c r="GH28" s="78"/>
      <c r="GI28" s="78"/>
      <c r="GJ28" s="78"/>
      <c r="GK28" s="78"/>
      <c r="GL28" s="78"/>
      <c r="GM28" s="78"/>
      <c r="GN28" s="78"/>
      <c r="GO28" s="78"/>
      <c r="GP28" s="78"/>
      <c r="GQ28" s="78"/>
      <c r="GR28" s="78"/>
      <c r="GS28" s="78"/>
      <c r="GT28" s="78"/>
      <c r="GU28" s="78"/>
      <c r="GV28" s="78"/>
      <c r="GW28" s="78"/>
      <c r="GX28" s="78"/>
      <c r="GY28" s="78"/>
      <c r="GZ28" s="78"/>
      <c r="HA28" s="78"/>
      <c r="HB28" s="78"/>
      <c r="HC28" s="78"/>
      <c r="HD28" s="78"/>
      <c r="HE28" s="78"/>
      <c r="HF28" s="78"/>
      <c r="HG28" s="78"/>
      <c r="HH28" s="78"/>
      <c r="HI28" s="78"/>
      <c r="HJ28" s="78"/>
      <c r="HK28" s="78"/>
    </row>
    <row r="29" spans="1:219" ht="15" customHeight="1">
      <c r="A29" s="149">
        <v>1</v>
      </c>
      <c r="B29" s="176" t="str">
        <f>VLOOKUP(Ruimtestaat[[#This Row],[Code]],Locaties[[Code]:[Locatie]],2,FALSE)</f>
        <v xml:space="preserve">OBS Molenbeek </v>
      </c>
      <c r="C29" s="176" t="str">
        <f>VLOOKUP(Ruimtestaat[[#This Row],[Code]],Locaties[[#All],[Code]:[Adres]],4,FALSE)</f>
        <v>Boekelerschoolpad 1</v>
      </c>
      <c r="D29" s="176" t="str">
        <f>VLOOKUP(Ruimtestaat[[#This Row],[Code]],Locaties[[#All],[Code]:[Postcode]],5,FALSE)</f>
        <v>7548 AH</v>
      </c>
      <c r="E29" s="176" t="str">
        <f>VLOOKUP(Ruimtestaat[[#This Row],[Code]],Locaties[#All],6,FALSE)</f>
        <v>Boekelo</v>
      </c>
      <c r="F29" s="149"/>
      <c r="G29" s="149" t="s">
        <v>1646</v>
      </c>
      <c r="H29" s="300" t="s">
        <v>1678</v>
      </c>
      <c r="I29" s="301" t="s">
        <v>1679</v>
      </c>
      <c r="J29" s="99">
        <v>15</v>
      </c>
      <c r="K29" s="183" t="str">
        <f>VLOOKUP(Ruimtestaat[[#This Row],[Ruimte code]],Ruimtegroepen[[#All],[Code]:[Ruimte omschrijving]],2,FALSE)</f>
        <v>Keuken/pantry</v>
      </c>
      <c r="L29" s="149" t="s">
        <v>102</v>
      </c>
      <c r="M29" s="301" t="s">
        <v>120</v>
      </c>
      <c r="N29" s="177">
        <v>3.9</v>
      </c>
      <c r="O29" s="177"/>
      <c r="P29" s="178" t="str">
        <f>VLOOKUP(Ruimtestaat[[#This Row],[Ruimte code]],Ruimtegroepen[],4,FALSE)</f>
        <v>Ve</v>
      </c>
      <c r="Q29" s="149">
        <v>40</v>
      </c>
      <c r="R29" s="149" t="s">
        <v>2</v>
      </c>
      <c r="S29" s="149">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149">
        <f>IF(S29&gt;0,VLOOKUP($J29,Ruimtegroepen[],3,FALSE)*VLOOKUP($L29,Vloersoorten[],3,FALSE)*VLOOKUP($R29,Frequenties[],3,FALSE)*VLOOKUP($A29,Locaties[],3,FALSE),0)</f>
        <v>0</v>
      </c>
      <c r="U29" s="149">
        <f>Ruimtestaat[[#This Row],[Uitvoeringen werkdagen]]*Ruimtestaat[[#This Row],[Oppervlak (netto)]]</f>
        <v>780</v>
      </c>
      <c r="V29" s="179">
        <f>IF(T29&gt;0,Ruimtestaat[[#This Row],[Prest. (m2 /jaar) werkdagen]]/Ruimtestaat[[#This Row],[Norm (m2/uur) werkdagen]],0)</f>
        <v>0</v>
      </c>
      <c r="W29" s="180">
        <f>Ruimtestaat[[#This Row],[uren / jaar werkdagen]]*Tariefsopbouw!$E$35</f>
        <v>0</v>
      </c>
      <c r="X29" s="149"/>
      <c r="Y29" s="149">
        <f>IF(Ruimtestaat[[#This Row],[Frequentie weekend]]&gt;0,VALUE(LEFT(X29,1))*Q29,0)</f>
        <v>0</v>
      </c>
      <c r="Z29" s="148">
        <f>IF($Y29&gt;0,VLOOKUP($J29,Ruimtegroepen[],3,FALSE)*VLOOKUP($L29,Vloersoorten[],3,FALSE)*VLOOKUP($X29,Frequenties[],3,FALSE)*VLOOKUP(Ruimtestaat[[#This Row],[Code]],Locaties[],3,FALSE),0)</f>
        <v>0</v>
      </c>
      <c r="AA29" s="148">
        <f>Ruimtestaat[[#This Row],[Uitvoeringen weekend]]*Ruimtestaat[[#This Row],[Oppervlak (netto)]]</f>
        <v>0</v>
      </c>
      <c r="AB29" s="148">
        <f>IF(Z29&gt;0,Ruimtestaat[[#This Row],[Prest. (m2 /jaar) weekend]]/Ruimtestaat[[#This Row],[Norm (m2/uur) weekend]],0)</f>
        <v>0</v>
      </c>
      <c r="AC29" s="180">
        <f>Ruimtestaat[[#This Row],[uren / jaar weekend]]*Tariefsopbouw!$D$40</f>
        <v>0</v>
      </c>
      <c r="AD29" s="179">
        <f>Ruimtestaat[[#This Row],[Prest. (m2 /jaar) weekend]]+Ruimtestaat[[#This Row],[Prest. (m2 /jaar) werkdagen]]</f>
        <v>780</v>
      </c>
      <c r="AE29" s="179">
        <f>Ruimtestaat[[#This Row],[uren / jaar weekend]]+Ruimtestaat[[#This Row],[uren / jaar werkdagen]]</f>
        <v>0</v>
      </c>
      <c r="AF29" s="174">
        <f>Ruimtestaat[[#This Row],[kosten / jaar weekend]]+Ruimtestaat[[#This Row],[kosten / jaar werkdagen]]</f>
        <v>0</v>
      </c>
      <c r="AG29" s="174"/>
      <c r="AH29" s="181" t="str">
        <f>IF(Ruimtestaat[[#This Row],[Frequentie werkdagen]]="","",_xlfn.CONCAT(Ruimtestaat[[#This Row],[Ruimte code]],"-",Ruimtestaat[[#This Row],[Frequentie werkdagen]]," ",Ruimtestaat[[#This Row],[Vloer code]]))</f>
        <v>15-5w P</v>
      </c>
      <c r="AI29" s="185" t="str">
        <f>_xlfn.IFNA(VLOOKUP($AH29,Programma!$F$3:$G$1101,2,0),"")</f>
        <v>_</v>
      </c>
      <c r="AJ29" s="185" t="str">
        <f>_xlfn.IFNA(VLOOKUP($AH29,Programma!$F$3:$H$1101,3,0),"")</f>
        <v>_</v>
      </c>
      <c r="AK29" s="185" t="str">
        <f>_xlfn.IFNA(VLOOKUP($AH29,Programma!$F$3:$I$1101,4,0),"")</f>
        <v>5w</v>
      </c>
      <c r="AL29" s="185" t="str">
        <f>_xlfn.IFNA(VLOOKUP($AH29,Programma!$F$3:$J$1101,5,0),"")</f>
        <v>_</v>
      </c>
      <c r="AM29" s="185" t="str">
        <f>_xlfn.IFNA(VLOOKUP($AH29,Programma!$F$3:$K$1101,6,0),"")</f>
        <v>5w</v>
      </c>
      <c r="AN29" s="185" t="str">
        <f>_xlfn.IFNA(VLOOKUP($AH29,Programma!$F$3:$L$1101,7,0),"")</f>
        <v>_</v>
      </c>
      <c r="AO29" s="185" t="str">
        <f>_xlfn.IFNA(VLOOKUP($AH29,Programma!$F$3:$M$1101,8,0),"")</f>
        <v>_</v>
      </c>
      <c r="AP29" s="185" t="str">
        <f>_xlfn.IFNA(VLOOKUP($AH29,Programma!$F$3:$N$1101,9,0),"")</f>
        <v>_</v>
      </c>
      <c r="AQ29" s="185" t="str">
        <f>_xlfn.IFNA(VLOOKUP($AH29,Programma!$F$3:$O$1101,10,0),"")</f>
        <v>5w</v>
      </c>
      <c r="AR29" s="185" t="str">
        <f>_xlfn.IFNA(VLOOKUP($AH29,Programma!$F$3:$P$1101,11,0),"")</f>
        <v>5w</v>
      </c>
      <c r="AS29" s="185" t="str">
        <f>_xlfn.IFNA(VLOOKUP($AH29,Programma!$F$3:$Q$1101,12,0),"")</f>
        <v>1w</v>
      </c>
      <c r="AT29" s="185" t="str">
        <f>_xlfn.IFNA(VLOOKUP($AH29,Programma!$F$3:$R$1101,13,0),"")</f>
        <v>1w</v>
      </c>
      <c r="AU29" s="185" t="str">
        <f>_xlfn.IFNA(VLOOKUP($AH29,Programma!$F$3:$S$1101,14,0),"")</f>
        <v>1m</v>
      </c>
      <c r="AV29" s="185" t="str">
        <f>_xlfn.IFNA(VLOOKUP($AH29,Programma!$F$3:$T$1101,15,0),"")</f>
        <v>2j</v>
      </c>
      <c r="AW29" s="185" t="str">
        <f>_xlfn.IFNA(VLOOKUP($AH29,Programma!$F$3:$U$1101,16,0),"")</f>
        <v>1j</v>
      </c>
      <c r="AX29" s="185" t="str">
        <f>_xlfn.IFNA(VLOOKUP($AH29,Programma!$F$3:$V$1101,17,0),"")</f>
        <v>_</v>
      </c>
      <c r="AY29" s="185" t="str">
        <f>_xlfn.IFNA(VLOOKUP($AH29,Programma!$F$3:$W$1101,18,0),"")</f>
        <v>_</v>
      </c>
      <c r="AZ29" s="185" t="str">
        <f>_xlfn.IFNA(VLOOKUP($AH29,Programma!$F$3:$X$1101,19,0),"")</f>
        <v>_</v>
      </c>
      <c r="BA29" s="185" t="str">
        <f>_xlfn.IFNA(VLOOKUP($AH29,Programma!$F$3:$Y$1101,20,0),"")</f>
        <v>_</v>
      </c>
      <c r="BB29" s="182"/>
      <c r="BC29" s="181" t="str">
        <f>IF(Ruimtestaat[[#This Row],[Frequentie weekend]]="","",_xlfn.CONCAT(Ruimtestaat[[#This Row],[Ruimte code]],"-",Ruimtestaat[[#This Row],[Frequentie weekend]]," ",Ruimtestaat[[#This Row],[Vloer code]]))</f>
        <v/>
      </c>
      <c r="BD29" s="185" t="str">
        <f>_xlfn.IFNA(VLOOKUP($BC29,Programma!$F$3:$G$1101,2,0),"")</f>
        <v/>
      </c>
      <c r="BE29" s="185" t="str">
        <f>_xlfn.IFNA(VLOOKUP($BC29,Programma!$F$3:$H$1101,3,0),"")</f>
        <v/>
      </c>
      <c r="BF29" s="185" t="str">
        <f>_xlfn.IFNA(VLOOKUP($BC29,Programma!$F$3:$I$1101,4,0),"")</f>
        <v/>
      </c>
      <c r="BG29" s="185" t="str">
        <f>_xlfn.IFNA(VLOOKUP($BC29,Programma!$F$3:$J$1101,5,0),"")</f>
        <v/>
      </c>
      <c r="BH29" s="185" t="str">
        <f>_xlfn.IFNA(VLOOKUP($BC29,Programma!$F$3:$K$1101,6,0),"")</f>
        <v/>
      </c>
      <c r="BI29" s="185" t="str">
        <f>_xlfn.IFNA(VLOOKUP($BC29,Programma!$F$3:$L$1101,7,0),"")</f>
        <v/>
      </c>
      <c r="BJ29" s="185" t="str">
        <f>_xlfn.IFNA(VLOOKUP($BC29,Programma!$F$3:$M$1101,8,0),"")</f>
        <v/>
      </c>
      <c r="BK29" s="185" t="str">
        <f>_xlfn.IFNA(VLOOKUP($BC29,Programma!$F$3:$N$1101,9,0),"")</f>
        <v/>
      </c>
      <c r="BL29" s="185" t="str">
        <f>_xlfn.IFNA(VLOOKUP($BC29,Programma!$F$3:$O$1101,10,0),"")</f>
        <v/>
      </c>
      <c r="BM29" s="185" t="str">
        <f>_xlfn.IFNA(VLOOKUP($BC29,Programma!$F$3:$P$1101,11,0),"")</f>
        <v/>
      </c>
      <c r="BN29" s="185" t="str">
        <f>_xlfn.IFNA(VLOOKUP($BC29,Programma!$F$3:$Q$1101,12,0),"")</f>
        <v/>
      </c>
      <c r="BO29" s="185" t="str">
        <f>_xlfn.IFNA(VLOOKUP($BC29,Programma!$F$3:$R$1101,13,0),"")</f>
        <v/>
      </c>
      <c r="BP29" s="185" t="str">
        <f>_xlfn.IFNA(VLOOKUP($BC29,Programma!$F$3:$S$1101,14,0),"")</f>
        <v/>
      </c>
      <c r="BQ29" s="185" t="str">
        <f>_xlfn.IFNA(VLOOKUP($BC29,Programma!$F$3:$T$1101,15,0),"")</f>
        <v/>
      </c>
      <c r="BR29" s="185" t="str">
        <f>_xlfn.IFNA(VLOOKUP($BC29,Programma!$F$3:$U$1101,16,0),"")</f>
        <v/>
      </c>
      <c r="BS29" s="185" t="str">
        <f>_xlfn.IFNA(VLOOKUP($BC29,Programma!$F$3:$V$1101,17,0),"")</f>
        <v/>
      </c>
      <c r="BT29" s="185" t="str">
        <f>_xlfn.IFNA(VLOOKUP($BC29,Programma!$F$3:$W$1101,18,0),"")</f>
        <v/>
      </c>
      <c r="BU29" s="185" t="str">
        <f>_xlfn.IFNA(VLOOKUP($BC29,Programma!$F$3:$X$1101,19,0),"")</f>
        <v/>
      </c>
      <c r="BV29" s="185" t="str">
        <f>_xlfn.IFNA(VLOOKUP($BC29,Programma!$F$3:$Y$1101,20,0),"")</f>
        <v/>
      </c>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c r="EO29" s="78"/>
      <c r="EP29" s="78"/>
      <c r="EQ29" s="78"/>
      <c r="ER29" s="78"/>
      <c r="ES29" s="78"/>
      <c r="ET29" s="78"/>
      <c r="EU29" s="78"/>
      <c r="EV29" s="78"/>
      <c r="EW29" s="78"/>
      <c r="EX29" s="78"/>
      <c r="EY29" s="78"/>
      <c r="EZ29" s="78"/>
      <c r="FA29" s="78"/>
      <c r="FB29" s="78"/>
      <c r="FC29" s="78"/>
      <c r="FD29" s="78"/>
      <c r="FE29" s="78"/>
      <c r="FF29" s="78"/>
      <c r="FG29" s="78"/>
      <c r="FH29" s="78"/>
      <c r="FI29" s="78"/>
      <c r="FJ29" s="78"/>
      <c r="FK29" s="78"/>
      <c r="FL29" s="78"/>
      <c r="FM29" s="78"/>
      <c r="FN29" s="78"/>
      <c r="FO29" s="78"/>
      <c r="FP29" s="78"/>
      <c r="FQ29" s="78"/>
      <c r="FR29" s="78"/>
      <c r="FS29" s="78"/>
      <c r="FT29" s="78"/>
      <c r="FU29" s="78"/>
      <c r="FV29" s="78"/>
      <c r="FW29" s="78"/>
      <c r="FX29" s="78"/>
      <c r="FY29" s="78"/>
      <c r="FZ29" s="78"/>
      <c r="GA29" s="78"/>
      <c r="GB29" s="78"/>
      <c r="GC29" s="78"/>
      <c r="GD29" s="78"/>
      <c r="GE29" s="78"/>
      <c r="GF29" s="78"/>
      <c r="GG29" s="78"/>
      <c r="GH29" s="78"/>
      <c r="GI29" s="78"/>
      <c r="GJ29" s="78"/>
      <c r="GK29" s="78"/>
      <c r="GL29" s="78"/>
      <c r="GM29" s="78"/>
      <c r="GN29" s="78"/>
      <c r="GO29" s="78"/>
      <c r="GP29" s="78"/>
      <c r="GQ29" s="78"/>
      <c r="GR29" s="78"/>
      <c r="GS29" s="78"/>
      <c r="GT29" s="78"/>
      <c r="GU29" s="78"/>
      <c r="GV29" s="78"/>
      <c r="GW29" s="78"/>
      <c r="GX29" s="78"/>
      <c r="GY29" s="78"/>
      <c r="GZ29" s="78"/>
      <c r="HA29" s="78"/>
      <c r="HB29" s="78"/>
      <c r="HC29" s="78"/>
      <c r="HD29" s="78"/>
      <c r="HE29" s="78"/>
      <c r="HF29" s="78"/>
      <c r="HG29" s="78"/>
      <c r="HH29" s="78"/>
      <c r="HI29" s="78"/>
      <c r="HJ29" s="78"/>
      <c r="HK29" s="78"/>
    </row>
    <row r="30" spans="1:219" ht="15" customHeight="1">
      <c r="A30" s="149">
        <v>1</v>
      </c>
      <c r="B30" s="176" t="str">
        <f>VLOOKUP(Ruimtestaat[[#This Row],[Code]],Locaties[[Code]:[Locatie]],2,FALSE)</f>
        <v xml:space="preserve">OBS Molenbeek </v>
      </c>
      <c r="C30" s="176" t="str">
        <f>VLOOKUP(Ruimtestaat[[#This Row],[Code]],Locaties[[#All],[Code]:[Adres]],4,FALSE)</f>
        <v>Boekelerschoolpad 1</v>
      </c>
      <c r="D30" s="176" t="str">
        <f>VLOOKUP(Ruimtestaat[[#This Row],[Code]],Locaties[[#All],[Code]:[Postcode]],5,FALSE)</f>
        <v>7548 AH</v>
      </c>
      <c r="E30" s="176" t="str">
        <f>VLOOKUP(Ruimtestaat[[#This Row],[Code]],Locaties[#All],6,FALSE)</f>
        <v>Boekelo</v>
      </c>
      <c r="F30" s="149"/>
      <c r="G30" s="149" t="s">
        <v>1646</v>
      </c>
      <c r="H30" s="300" t="s">
        <v>1680</v>
      </c>
      <c r="I30" s="301" t="s">
        <v>1681</v>
      </c>
      <c r="J30" s="99">
        <v>8</v>
      </c>
      <c r="K30" s="183" t="str">
        <f>VLOOKUP(Ruimtestaat[[#This Row],[Ruimte code]],Ruimtegroepen[[#All],[Code]:[Ruimte omschrijving]],2,FALSE)</f>
        <v>Kinderopvang</v>
      </c>
      <c r="L30" s="149" t="s">
        <v>102</v>
      </c>
      <c r="M30" s="301" t="s">
        <v>120</v>
      </c>
      <c r="N30" s="177">
        <v>237.2</v>
      </c>
      <c r="O30" s="177"/>
      <c r="P30" s="178" t="str">
        <f>VLOOKUP(Ruimtestaat[[#This Row],[Ruimte code]],Ruimtegroepen[],4,FALSE)</f>
        <v>Le</v>
      </c>
      <c r="Q30" s="149">
        <v>40</v>
      </c>
      <c r="R30" s="149" t="s">
        <v>2</v>
      </c>
      <c r="S30" s="149">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 s="149">
        <f>IF(S30&gt;0,VLOOKUP($J30,Ruimtegroepen[],3,FALSE)*VLOOKUP($L30,Vloersoorten[],3,FALSE)*VLOOKUP($R30,Frequenties[],3,FALSE)*VLOOKUP($A30,Locaties[],3,FALSE),0)</f>
        <v>0</v>
      </c>
      <c r="U30" s="149">
        <f>Ruimtestaat[[#This Row],[Uitvoeringen werkdagen]]*Ruimtestaat[[#This Row],[Oppervlak (netto)]]</f>
        <v>47440</v>
      </c>
      <c r="V30" s="179">
        <f>IF(T30&gt;0,Ruimtestaat[[#This Row],[Prest. (m2 /jaar) werkdagen]]/Ruimtestaat[[#This Row],[Norm (m2/uur) werkdagen]],0)</f>
        <v>0</v>
      </c>
      <c r="W30" s="180">
        <f>Ruimtestaat[[#This Row],[uren / jaar werkdagen]]*Tariefsopbouw!$E$35</f>
        <v>0</v>
      </c>
      <c r="X30" s="149"/>
      <c r="Y30" s="149">
        <f>IF(Ruimtestaat[[#This Row],[Frequentie weekend]]&gt;0,VALUE(LEFT(X30,1))*Q30,0)</f>
        <v>0</v>
      </c>
      <c r="Z30" s="148">
        <f>IF($Y30&gt;0,VLOOKUP($J30,Ruimtegroepen[],3,FALSE)*VLOOKUP($L30,Vloersoorten[],3,FALSE)*VLOOKUP($X30,Frequenties[],3,FALSE)*VLOOKUP(Ruimtestaat[[#This Row],[Code]],Locaties[],3,FALSE),0)</f>
        <v>0</v>
      </c>
      <c r="AA30" s="148">
        <f>Ruimtestaat[[#This Row],[Uitvoeringen weekend]]*Ruimtestaat[[#This Row],[Oppervlak (netto)]]</f>
        <v>0</v>
      </c>
      <c r="AB30" s="148">
        <f>IF(Z30&gt;0,Ruimtestaat[[#This Row],[Prest. (m2 /jaar) weekend]]/Ruimtestaat[[#This Row],[Norm (m2/uur) weekend]],0)</f>
        <v>0</v>
      </c>
      <c r="AC30" s="180">
        <f>Ruimtestaat[[#This Row],[uren / jaar weekend]]*Tariefsopbouw!$D$40</f>
        <v>0</v>
      </c>
      <c r="AD30" s="179">
        <f>Ruimtestaat[[#This Row],[Prest. (m2 /jaar) weekend]]+Ruimtestaat[[#This Row],[Prest. (m2 /jaar) werkdagen]]</f>
        <v>47440</v>
      </c>
      <c r="AE30" s="179">
        <f>Ruimtestaat[[#This Row],[uren / jaar weekend]]+Ruimtestaat[[#This Row],[uren / jaar werkdagen]]</f>
        <v>0</v>
      </c>
      <c r="AF30" s="174">
        <f>Ruimtestaat[[#This Row],[kosten / jaar weekend]]+Ruimtestaat[[#This Row],[kosten / jaar werkdagen]]</f>
        <v>0</v>
      </c>
      <c r="AG30" s="174"/>
      <c r="AH30" s="181" t="str">
        <f>IF(Ruimtestaat[[#This Row],[Frequentie werkdagen]]="","",_xlfn.CONCAT(Ruimtestaat[[#This Row],[Ruimte code]],"-",Ruimtestaat[[#This Row],[Frequentie werkdagen]]," ",Ruimtestaat[[#This Row],[Vloer code]]))</f>
        <v>8-5w P</v>
      </c>
      <c r="AI30" s="185" t="str">
        <f>_xlfn.IFNA(VLOOKUP($AH30,Programma!$F$3:$G$1101,2,0),"")</f>
        <v>_</v>
      </c>
      <c r="AJ30" s="185" t="str">
        <f>_xlfn.IFNA(VLOOKUP($AH30,Programma!$F$3:$H$1101,3,0),"")</f>
        <v>_</v>
      </c>
      <c r="AK30" s="185" t="str">
        <f>_xlfn.IFNA(VLOOKUP($AH30,Programma!$F$3:$I$1101,4,0),"")</f>
        <v>5w</v>
      </c>
      <c r="AL30" s="185" t="str">
        <f>_xlfn.IFNA(VLOOKUP($AH30,Programma!$F$3:$J$1101,5,0),"")</f>
        <v>_</v>
      </c>
      <c r="AM30" s="185" t="str">
        <f>_xlfn.IFNA(VLOOKUP($AH30,Programma!$F$3:$K$1101,6,0),"")</f>
        <v>4j</v>
      </c>
      <c r="AN30" s="185" t="str">
        <f>_xlfn.IFNA(VLOOKUP($AH30,Programma!$F$3:$L$1101,7,0),"")</f>
        <v>_</v>
      </c>
      <c r="AO30" s="185" t="str">
        <f>_xlfn.IFNA(VLOOKUP($AH30,Programma!$F$3:$M$1101,8,0),"")</f>
        <v>_</v>
      </c>
      <c r="AP30" s="185" t="str">
        <f>_xlfn.IFNA(VLOOKUP($AH30,Programma!$F$3:$N$1101,9,0),"")</f>
        <v>_</v>
      </c>
      <c r="AQ30" s="185" t="str">
        <f>_xlfn.IFNA(VLOOKUP($AH30,Programma!$F$3:$O$1101,10,0),"")</f>
        <v>5w</v>
      </c>
      <c r="AR30" s="185" t="str">
        <f>_xlfn.IFNA(VLOOKUP($AH30,Programma!$F$3:$P$1101,11,0),"")</f>
        <v>5w</v>
      </c>
      <c r="AS30" s="185" t="str">
        <f>_xlfn.IFNA(VLOOKUP($AH30,Programma!$F$3:$Q$1101,12,0),"")</f>
        <v>1w</v>
      </c>
      <c r="AT30" s="185" t="str">
        <f>_xlfn.IFNA(VLOOKUP($AH30,Programma!$F$3:$R$1101,13,0),"")</f>
        <v>1w</v>
      </c>
      <c r="AU30" s="185" t="str">
        <f>_xlfn.IFNA(VLOOKUP($AH30,Programma!$F$3:$S$1101,14,0),"")</f>
        <v>1m</v>
      </c>
      <c r="AV30" s="185" t="str">
        <f>_xlfn.IFNA(VLOOKUP($AH30,Programma!$F$3:$T$1101,15,0),"")</f>
        <v>2j</v>
      </c>
      <c r="AW30" s="185" t="str">
        <f>_xlfn.IFNA(VLOOKUP($AH30,Programma!$F$3:$U$1101,16,0),"")</f>
        <v>1j</v>
      </c>
      <c r="AX30" s="185" t="str">
        <f>_xlfn.IFNA(VLOOKUP($AH30,Programma!$F$3:$V$1101,17,0),"")</f>
        <v>_</v>
      </c>
      <c r="AY30" s="185" t="str">
        <f>_xlfn.IFNA(VLOOKUP($AH30,Programma!$F$3:$W$1101,18,0),"")</f>
        <v>_</v>
      </c>
      <c r="AZ30" s="185" t="str">
        <f>_xlfn.IFNA(VLOOKUP($AH30,Programma!$F$3:$X$1101,19,0),"")</f>
        <v>_</v>
      </c>
      <c r="BA30" s="185" t="str">
        <f>_xlfn.IFNA(VLOOKUP($AH30,Programma!$F$3:$Y$1101,20,0),"")</f>
        <v>_</v>
      </c>
      <c r="BB30" s="182"/>
      <c r="BC30" s="181" t="str">
        <f>IF(Ruimtestaat[[#This Row],[Frequentie weekend]]="","",_xlfn.CONCAT(Ruimtestaat[[#This Row],[Ruimte code]],"-",Ruimtestaat[[#This Row],[Frequentie weekend]]," ",Ruimtestaat[[#This Row],[Vloer code]]))</f>
        <v/>
      </c>
      <c r="BD30" s="185" t="str">
        <f>_xlfn.IFNA(VLOOKUP($BC30,Programma!$F$3:$G$1101,2,0),"")</f>
        <v/>
      </c>
      <c r="BE30" s="185" t="str">
        <f>_xlfn.IFNA(VLOOKUP($BC30,Programma!$F$3:$H$1101,3,0),"")</f>
        <v/>
      </c>
      <c r="BF30" s="185" t="str">
        <f>_xlfn.IFNA(VLOOKUP($BC30,Programma!$F$3:$I$1101,4,0),"")</f>
        <v/>
      </c>
      <c r="BG30" s="185" t="str">
        <f>_xlfn.IFNA(VLOOKUP($BC30,Programma!$F$3:$J$1101,5,0),"")</f>
        <v/>
      </c>
      <c r="BH30" s="185" t="str">
        <f>_xlfn.IFNA(VLOOKUP($BC30,Programma!$F$3:$K$1101,6,0),"")</f>
        <v/>
      </c>
      <c r="BI30" s="185" t="str">
        <f>_xlfn.IFNA(VLOOKUP($BC30,Programma!$F$3:$L$1101,7,0),"")</f>
        <v/>
      </c>
      <c r="BJ30" s="185" t="str">
        <f>_xlfn.IFNA(VLOOKUP($BC30,Programma!$F$3:$M$1101,8,0),"")</f>
        <v/>
      </c>
      <c r="BK30" s="185" t="str">
        <f>_xlfn.IFNA(VLOOKUP($BC30,Programma!$F$3:$N$1101,9,0),"")</f>
        <v/>
      </c>
      <c r="BL30" s="185" t="str">
        <f>_xlfn.IFNA(VLOOKUP($BC30,Programma!$F$3:$O$1101,10,0),"")</f>
        <v/>
      </c>
      <c r="BM30" s="185" t="str">
        <f>_xlfn.IFNA(VLOOKUP($BC30,Programma!$F$3:$P$1101,11,0),"")</f>
        <v/>
      </c>
      <c r="BN30" s="185" t="str">
        <f>_xlfn.IFNA(VLOOKUP($BC30,Programma!$F$3:$Q$1101,12,0),"")</f>
        <v/>
      </c>
      <c r="BO30" s="185" t="str">
        <f>_xlfn.IFNA(VLOOKUP($BC30,Programma!$F$3:$R$1101,13,0),"")</f>
        <v/>
      </c>
      <c r="BP30" s="185" t="str">
        <f>_xlfn.IFNA(VLOOKUP($BC30,Programma!$F$3:$S$1101,14,0),"")</f>
        <v/>
      </c>
      <c r="BQ30" s="185" t="str">
        <f>_xlfn.IFNA(VLOOKUP($BC30,Programma!$F$3:$T$1101,15,0),"")</f>
        <v/>
      </c>
      <c r="BR30" s="185" t="str">
        <f>_xlfn.IFNA(VLOOKUP($BC30,Programma!$F$3:$U$1101,16,0),"")</f>
        <v/>
      </c>
      <c r="BS30" s="185" t="str">
        <f>_xlfn.IFNA(VLOOKUP($BC30,Programma!$F$3:$V$1101,17,0),"")</f>
        <v/>
      </c>
      <c r="BT30" s="185" t="str">
        <f>_xlfn.IFNA(VLOOKUP($BC30,Programma!$F$3:$W$1101,18,0),"")</f>
        <v/>
      </c>
      <c r="BU30" s="185" t="str">
        <f>_xlfn.IFNA(VLOOKUP($BC30,Programma!$F$3:$X$1101,19,0),"")</f>
        <v/>
      </c>
      <c r="BV30" s="185" t="str">
        <f>_xlfn.IFNA(VLOOKUP($BC30,Programma!$F$3:$Y$1101,20,0),"")</f>
        <v/>
      </c>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c r="EO30" s="78"/>
      <c r="EP30" s="78"/>
      <c r="EQ30" s="78"/>
      <c r="ER30" s="78"/>
      <c r="ES30" s="78"/>
      <c r="ET30" s="78"/>
      <c r="EU30" s="78"/>
      <c r="EV30" s="78"/>
      <c r="EW30" s="78"/>
      <c r="EX30" s="78"/>
      <c r="EY30" s="78"/>
      <c r="EZ30" s="78"/>
      <c r="FA30" s="78"/>
      <c r="FB30" s="78"/>
      <c r="FC30" s="78"/>
      <c r="FD30" s="78"/>
      <c r="FE30" s="78"/>
      <c r="FF30" s="78"/>
      <c r="FG30" s="78"/>
      <c r="FH30" s="78"/>
      <c r="FI30" s="78"/>
      <c r="FJ30" s="78"/>
      <c r="FK30" s="78"/>
      <c r="FL30" s="78"/>
      <c r="FM30" s="78"/>
      <c r="FN30" s="78"/>
      <c r="FO30" s="78"/>
      <c r="FP30" s="78"/>
      <c r="FQ30" s="78"/>
      <c r="FR30" s="78"/>
      <c r="FS30" s="78"/>
      <c r="FT30" s="78"/>
      <c r="FU30" s="78"/>
      <c r="FV30" s="78"/>
      <c r="FW30" s="78"/>
      <c r="FX30" s="78"/>
      <c r="FY30" s="78"/>
      <c r="FZ30" s="78"/>
      <c r="GA30" s="78"/>
      <c r="GB30" s="78"/>
      <c r="GC30" s="78"/>
      <c r="GD30" s="78"/>
      <c r="GE30" s="78"/>
      <c r="GF30" s="78"/>
      <c r="GG30" s="78"/>
      <c r="GH30" s="78"/>
      <c r="GI30" s="78"/>
      <c r="GJ30" s="78"/>
      <c r="GK30" s="78"/>
      <c r="GL30" s="78"/>
      <c r="GM30" s="78"/>
      <c r="GN30" s="78"/>
      <c r="GO30" s="78"/>
      <c r="GP30" s="78"/>
      <c r="GQ30" s="78"/>
      <c r="GR30" s="78"/>
      <c r="GS30" s="78"/>
      <c r="GT30" s="78"/>
      <c r="GU30" s="78"/>
      <c r="GV30" s="78"/>
      <c r="GW30" s="78"/>
      <c r="GX30" s="78"/>
      <c r="GY30" s="78"/>
      <c r="GZ30" s="78"/>
      <c r="HA30" s="78"/>
      <c r="HB30" s="78"/>
      <c r="HC30" s="78"/>
      <c r="HD30" s="78"/>
      <c r="HE30" s="78"/>
      <c r="HF30" s="78"/>
      <c r="HG30" s="78"/>
      <c r="HH30" s="78"/>
      <c r="HI30" s="78"/>
      <c r="HJ30" s="78"/>
      <c r="HK30" s="78"/>
    </row>
    <row r="31" spans="1:219" ht="15" customHeight="1">
      <c r="A31" s="149">
        <v>2</v>
      </c>
      <c r="B31" s="176" t="str">
        <f>VLOOKUP(Ruimtestaat[[#This Row],[Code]],Locaties[[Code]:[Locatie]],2,FALSE)</f>
        <v>IST Primary Campus</v>
      </c>
      <c r="C31" s="176" t="str">
        <f>VLOOKUP(Ruimtestaat[[#This Row],[Code]],Locaties[[#All],[Code]:[Adres]],4,FALSE)</f>
        <v>Joh. ter Horststraat 30</v>
      </c>
      <c r="D31" s="176" t="str">
        <f>VLOOKUP(Ruimtestaat[[#This Row],[Code]],Locaties[[#All],[Code]:[Postcode]],5,FALSE)</f>
        <v>7513 ZH</v>
      </c>
      <c r="E31" s="176" t="str">
        <f>VLOOKUP(Ruimtestaat[[#This Row],[Code]],Locaties[#All],6,FALSE)</f>
        <v>Enschede</v>
      </c>
      <c r="F31" s="149"/>
      <c r="G31" s="149"/>
      <c r="H31" s="300" t="s">
        <v>1647</v>
      </c>
      <c r="I31" s="301" t="s">
        <v>1683</v>
      </c>
      <c r="J31" s="99">
        <v>20</v>
      </c>
      <c r="K31" s="183" t="str">
        <f>VLOOKUP(Ruimtestaat[[#This Row],[Ruimte code]],Ruimtegroepen[[#All],[Code]:[Ruimte omschrijving]],2,FALSE)</f>
        <v>Niet in Onderhoud</v>
      </c>
      <c r="L31" s="149" t="s">
        <v>100</v>
      </c>
      <c r="M31" s="301" t="s">
        <v>1697</v>
      </c>
      <c r="N31" s="177"/>
      <c r="O31" s="177">
        <v>6</v>
      </c>
      <c r="P31" s="178">
        <f>VLOOKUP(Ruimtestaat[[#This Row],[Ruimte code]],Ruimtegroepen[],4,FALSE)</f>
        <v>0</v>
      </c>
      <c r="Q31" s="149"/>
      <c r="R31" s="149"/>
      <c r="S31" s="149">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1" s="149">
        <f>IF(S31&gt;0,VLOOKUP($J31,Ruimtegroepen[],3,FALSE)*VLOOKUP($L31,Vloersoorten[],3,FALSE)*VLOOKUP($R31,Frequenties[],3,FALSE)*VLOOKUP($A31,Locaties[],3,FALSE),0)</f>
        <v>0</v>
      </c>
      <c r="U31" s="149">
        <f>Ruimtestaat[[#This Row],[Uitvoeringen werkdagen]]*Ruimtestaat[[#This Row],[Oppervlak (netto)]]</f>
        <v>0</v>
      </c>
      <c r="V31" s="179">
        <f>IF(T31&gt;0,Ruimtestaat[[#This Row],[Prest. (m2 /jaar) werkdagen]]/Ruimtestaat[[#This Row],[Norm (m2/uur) werkdagen]],0)</f>
        <v>0</v>
      </c>
      <c r="W31" s="180">
        <f>Ruimtestaat[[#This Row],[uren / jaar werkdagen]]*Tariefsopbouw!$E$35</f>
        <v>0</v>
      </c>
      <c r="X31" s="149"/>
      <c r="Y31" s="149">
        <f>IF(Ruimtestaat[[#This Row],[Frequentie weekend]]&gt;0,VALUE(LEFT(X31,1))*Q31,0)</f>
        <v>0</v>
      </c>
      <c r="Z31" s="148">
        <f>IF($Y31&gt;0,VLOOKUP($J31,Ruimtegroepen[],3,FALSE)*VLOOKUP($L31,Vloersoorten[],3,FALSE)*VLOOKUP($X31,Frequenties[],3,FALSE)*VLOOKUP(Ruimtestaat[[#This Row],[Code]],Locaties[],3,FALSE),0)</f>
        <v>0</v>
      </c>
      <c r="AA31" s="148">
        <f>Ruimtestaat[[#This Row],[Uitvoeringen weekend]]*Ruimtestaat[[#This Row],[Oppervlak (netto)]]</f>
        <v>0</v>
      </c>
      <c r="AB31" s="148">
        <f>IF(Z31&gt;0,Ruimtestaat[[#This Row],[Prest. (m2 /jaar) weekend]]/Ruimtestaat[[#This Row],[Norm (m2/uur) weekend]],0)</f>
        <v>0</v>
      </c>
      <c r="AC31" s="180">
        <f>Ruimtestaat[[#This Row],[uren / jaar weekend]]*Tariefsopbouw!$D$40</f>
        <v>0</v>
      </c>
      <c r="AD31" s="179">
        <f>Ruimtestaat[[#This Row],[Prest. (m2 /jaar) weekend]]+Ruimtestaat[[#This Row],[Prest. (m2 /jaar) werkdagen]]</f>
        <v>0</v>
      </c>
      <c r="AE31" s="179">
        <f>Ruimtestaat[[#This Row],[uren / jaar weekend]]+Ruimtestaat[[#This Row],[uren / jaar werkdagen]]</f>
        <v>0</v>
      </c>
      <c r="AF31" s="174">
        <f>Ruimtestaat[[#This Row],[kosten / jaar weekend]]+Ruimtestaat[[#This Row],[kosten / jaar werkdagen]]</f>
        <v>0</v>
      </c>
      <c r="AG31" s="174"/>
      <c r="AH31" s="181" t="str">
        <f>IF(Ruimtestaat[[#This Row],[Frequentie werkdagen]]="","",_xlfn.CONCAT(Ruimtestaat[[#This Row],[Ruimte code]],"-",Ruimtestaat[[#This Row],[Frequentie werkdagen]]," ",Ruimtestaat[[#This Row],[Vloer code]]))</f>
        <v/>
      </c>
      <c r="AI31" s="185" t="str">
        <f>_xlfn.IFNA(VLOOKUP($AH31,Programma!$F$3:$G$1101,2,0),"")</f>
        <v/>
      </c>
      <c r="AJ31" s="185" t="str">
        <f>_xlfn.IFNA(VLOOKUP($AH31,Programma!$F$3:$H$1101,3,0),"")</f>
        <v/>
      </c>
      <c r="AK31" s="185" t="str">
        <f>_xlfn.IFNA(VLOOKUP($AH31,Programma!$F$3:$I$1101,4,0),"")</f>
        <v/>
      </c>
      <c r="AL31" s="185" t="str">
        <f>_xlfn.IFNA(VLOOKUP($AH31,Programma!$F$3:$J$1101,5,0),"")</f>
        <v/>
      </c>
      <c r="AM31" s="185" t="str">
        <f>_xlfn.IFNA(VLOOKUP($AH31,Programma!$F$3:$K$1101,6,0),"")</f>
        <v/>
      </c>
      <c r="AN31" s="185" t="str">
        <f>_xlfn.IFNA(VLOOKUP($AH31,Programma!$F$3:$L$1101,7,0),"")</f>
        <v/>
      </c>
      <c r="AO31" s="185" t="str">
        <f>_xlfn.IFNA(VLOOKUP($AH31,Programma!$F$3:$M$1101,8,0),"")</f>
        <v/>
      </c>
      <c r="AP31" s="185" t="str">
        <f>_xlfn.IFNA(VLOOKUP($AH31,Programma!$F$3:$N$1101,9,0),"")</f>
        <v/>
      </c>
      <c r="AQ31" s="185" t="str">
        <f>_xlfn.IFNA(VLOOKUP($AH31,Programma!$F$3:$O$1101,10,0),"")</f>
        <v/>
      </c>
      <c r="AR31" s="185" t="str">
        <f>_xlfn.IFNA(VLOOKUP($AH31,Programma!$F$3:$P$1101,11,0),"")</f>
        <v/>
      </c>
      <c r="AS31" s="185" t="str">
        <f>_xlfn.IFNA(VLOOKUP($AH31,Programma!$F$3:$Q$1101,12,0),"")</f>
        <v/>
      </c>
      <c r="AT31" s="185" t="str">
        <f>_xlfn.IFNA(VLOOKUP($AH31,Programma!$F$3:$R$1101,13,0),"")</f>
        <v/>
      </c>
      <c r="AU31" s="185" t="str">
        <f>_xlfn.IFNA(VLOOKUP($AH31,Programma!$F$3:$S$1101,14,0),"")</f>
        <v/>
      </c>
      <c r="AV31" s="185" t="str">
        <f>_xlfn.IFNA(VLOOKUP($AH31,Programma!$F$3:$T$1101,15,0),"")</f>
        <v/>
      </c>
      <c r="AW31" s="185" t="str">
        <f>_xlfn.IFNA(VLOOKUP($AH31,Programma!$F$3:$U$1101,16,0),"")</f>
        <v/>
      </c>
      <c r="AX31" s="185" t="str">
        <f>_xlfn.IFNA(VLOOKUP($AH31,Programma!$F$3:$V$1101,17,0),"")</f>
        <v/>
      </c>
      <c r="AY31" s="185" t="str">
        <f>_xlfn.IFNA(VLOOKUP($AH31,Programma!$F$3:$W$1101,18,0),"")</f>
        <v/>
      </c>
      <c r="AZ31" s="185" t="str">
        <f>_xlfn.IFNA(VLOOKUP($AH31,Programma!$F$3:$X$1101,19,0),"")</f>
        <v/>
      </c>
      <c r="BA31" s="185" t="str">
        <f>_xlfn.IFNA(VLOOKUP($AH31,Programma!$F$3:$Y$1101,20,0),"")</f>
        <v/>
      </c>
      <c r="BB31" s="182"/>
      <c r="BC31" s="181" t="str">
        <f>IF(Ruimtestaat[[#This Row],[Frequentie weekend]]="","",_xlfn.CONCAT(Ruimtestaat[[#This Row],[Ruimte code]],"-",Ruimtestaat[[#This Row],[Frequentie weekend]]," ",Ruimtestaat[[#This Row],[Vloer code]]))</f>
        <v/>
      </c>
      <c r="BD31" s="185" t="str">
        <f>_xlfn.IFNA(VLOOKUP($BC31,Programma!$F$3:$G$1101,2,0),"")</f>
        <v/>
      </c>
      <c r="BE31" s="185" t="str">
        <f>_xlfn.IFNA(VLOOKUP($BC31,Programma!$F$3:$H$1101,3,0),"")</f>
        <v/>
      </c>
      <c r="BF31" s="185" t="str">
        <f>_xlfn.IFNA(VLOOKUP($BC31,Programma!$F$3:$I$1101,4,0),"")</f>
        <v/>
      </c>
      <c r="BG31" s="185" t="str">
        <f>_xlfn.IFNA(VLOOKUP($BC31,Programma!$F$3:$J$1101,5,0),"")</f>
        <v/>
      </c>
      <c r="BH31" s="185" t="str">
        <f>_xlfn.IFNA(VLOOKUP($BC31,Programma!$F$3:$K$1101,6,0),"")</f>
        <v/>
      </c>
      <c r="BI31" s="185" t="str">
        <f>_xlfn.IFNA(VLOOKUP($BC31,Programma!$F$3:$L$1101,7,0),"")</f>
        <v/>
      </c>
      <c r="BJ31" s="185" t="str">
        <f>_xlfn.IFNA(VLOOKUP($BC31,Programma!$F$3:$M$1101,8,0),"")</f>
        <v/>
      </c>
      <c r="BK31" s="185" t="str">
        <f>_xlfn.IFNA(VLOOKUP($BC31,Programma!$F$3:$N$1101,9,0),"")</f>
        <v/>
      </c>
      <c r="BL31" s="185" t="str">
        <f>_xlfn.IFNA(VLOOKUP($BC31,Programma!$F$3:$O$1101,10,0),"")</f>
        <v/>
      </c>
      <c r="BM31" s="185" t="str">
        <f>_xlfn.IFNA(VLOOKUP($BC31,Programma!$F$3:$P$1101,11,0),"")</f>
        <v/>
      </c>
      <c r="BN31" s="185" t="str">
        <f>_xlfn.IFNA(VLOOKUP($BC31,Programma!$F$3:$Q$1101,12,0),"")</f>
        <v/>
      </c>
      <c r="BO31" s="185" t="str">
        <f>_xlfn.IFNA(VLOOKUP($BC31,Programma!$F$3:$R$1101,13,0),"")</f>
        <v/>
      </c>
      <c r="BP31" s="185" t="str">
        <f>_xlfn.IFNA(VLOOKUP($BC31,Programma!$F$3:$S$1101,14,0),"")</f>
        <v/>
      </c>
      <c r="BQ31" s="185" t="str">
        <f>_xlfn.IFNA(VLOOKUP($BC31,Programma!$F$3:$T$1101,15,0),"")</f>
        <v/>
      </c>
      <c r="BR31" s="185" t="str">
        <f>_xlfn.IFNA(VLOOKUP($BC31,Programma!$F$3:$U$1101,16,0),"")</f>
        <v/>
      </c>
      <c r="BS31" s="185" t="str">
        <f>_xlfn.IFNA(VLOOKUP($BC31,Programma!$F$3:$V$1101,17,0),"")</f>
        <v/>
      </c>
      <c r="BT31" s="185" t="str">
        <f>_xlfn.IFNA(VLOOKUP($BC31,Programma!$F$3:$W$1101,18,0),"")</f>
        <v/>
      </c>
      <c r="BU31" s="185" t="str">
        <f>_xlfn.IFNA(VLOOKUP($BC31,Programma!$F$3:$X$1101,19,0),"")</f>
        <v/>
      </c>
      <c r="BV31" s="185" t="str">
        <f>_xlfn.IFNA(VLOOKUP($BC31,Programma!$F$3:$Y$1101,20,0),"")</f>
        <v/>
      </c>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c r="EO31" s="78"/>
      <c r="EP31" s="78"/>
      <c r="EQ31" s="78"/>
      <c r="ER31" s="78"/>
      <c r="ES31" s="78"/>
      <c r="ET31" s="78"/>
      <c r="EU31" s="78"/>
      <c r="EV31" s="78"/>
      <c r="EW31" s="78"/>
      <c r="EX31" s="78"/>
      <c r="EY31" s="78"/>
      <c r="EZ31" s="78"/>
      <c r="FA31" s="78"/>
      <c r="FB31" s="78"/>
      <c r="FC31" s="78"/>
      <c r="FD31" s="78"/>
      <c r="FE31" s="78"/>
      <c r="FF31" s="78"/>
      <c r="FG31" s="78"/>
      <c r="FH31" s="78"/>
      <c r="FI31" s="78"/>
      <c r="FJ31" s="78"/>
      <c r="FK31" s="78"/>
      <c r="FL31" s="78"/>
      <c r="FM31" s="78"/>
      <c r="FN31" s="78"/>
      <c r="FO31" s="78"/>
      <c r="FP31" s="78"/>
      <c r="FQ31" s="78"/>
      <c r="FR31" s="78"/>
      <c r="FS31" s="78"/>
      <c r="FT31" s="78"/>
      <c r="FU31" s="78"/>
      <c r="FV31" s="78"/>
      <c r="FW31" s="78"/>
      <c r="FX31" s="78"/>
      <c r="FY31" s="78"/>
      <c r="FZ31" s="78"/>
      <c r="GA31" s="78"/>
      <c r="GB31" s="78"/>
      <c r="GC31" s="78"/>
      <c r="GD31" s="78"/>
      <c r="GE31" s="78"/>
      <c r="GF31" s="78"/>
      <c r="GG31" s="78"/>
      <c r="GH31" s="78"/>
      <c r="GI31" s="78"/>
      <c r="GJ31" s="78"/>
      <c r="GK31" s="78"/>
      <c r="GL31" s="78"/>
      <c r="GM31" s="78"/>
      <c r="GN31" s="78"/>
      <c r="GO31" s="78"/>
      <c r="GP31" s="78"/>
      <c r="GQ31" s="78"/>
      <c r="GR31" s="78"/>
      <c r="GS31" s="78"/>
      <c r="GT31" s="78"/>
      <c r="GU31" s="78"/>
      <c r="GV31" s="78"/>
      <c r="GW31" s="78"/>
      <c r="GX31" s="78"/>
      <c r="GY31" s="78"/>
      <c r="GZ31" s="78"/>
      <c r="HA31" s="78"/>
      <c r="HB31" s="78"/>
      <c r="HC31" s="78"/>
      <c r="HD31" s="78"/>
      <c r="HE31" s="78"/>
      <c r="HF31" s="78"/>
      <c r="HG31" s="78"/>
      <c r="HH31" s="78"/>
      <c r="HI31" s="78"/>
      <c r="HJ31" s="78"/>
      <c r="HK31" s="78"/>
    </row>
    <row r="32" spans="1:219" ht="15" customHeight="1">
      <c r="A32" s="149">
        <v>2</v>
      </c>
      <c r="B32" s="176" t="str">
        <f>VLOOKUP(Ruimtestaat[[#This Row],[Code]],Locaties[[Code]:[Locatie]],2,FALSE)</f>
        <v>IST Primary Campus</v>
      </c>
      <c r="C32" s="176" t="str">
        <f>VLOOKUP(Ruimtestaat[[#This Row],[Code]],Locaties[[#All],[Code]:[Adres]],4,FALSE)</f>
        <v>Joh. ter Horststraat 30</v>
      </c>
      <c r="D32" s="176" t="str">
        <f>VLOOKUP(Ruimtestaat[[#This Row],[Code]],Locaties[[#All],[Code]:[Postcode]],5,FALSE)</f>
        <v>7513 ZH</v>
      </c>
      <c r="E32" s="176" t="str">
        <f>VLOOKUP(Ruimtestaat[[#This Row],[Code]],Locaties[#All],6,FALSE)</f>
        <v>Enschede</v>
      </c>
      <c r="F32" s="149"/>
      <c r="G32" s="149"/>
      <c r="H32" s="300" t="s">
        <v>1648</v>
      </c>
      <c r="I32" s="301" t="s">
        <v>1719</v>
      </c>
      <c r="J32" s="99">
        <v>8</v>
      </c>
      <c r="K32" s="183" t="str">
        <f>VLOOKUP(Ruimtestaat[[#This Row],[Ruimte code]],Ruimtegroepen[[#All],[Code]:[Ruimte omschrijving]],2,FALSE)</f>
        <v>Kinderopvang</v>
      </c>
      <c r="L32" s="149" t="s">
        <v>100</v>
      </c>
      <c r="M32" s="301" t="s">
        <v>1697</v>
      </c>
      <c r="N32" s="177">
        <v>58</v>
      </c>
      <c r="O32" s="177"/>
      <c r="P32" s="178" t="str">
        <f>VLOOKUP(Ruimtestaat[[#This Row],[Ruimte code]],Ruimtegroepen[],4,FALSE)</f>
        <v>Le</v>
      </c>
      <c r="Q32" s="149">
        <v>40</v>
      </c>
      <c r="R32" s="149" t="s">
        <v>2</v>
      </c>
      <c r="S32" s="149">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 s="149">
        <f>IF(S32&gt;0,VLOOKUP($J32,Ruimtegroepen[],3,FALSE)*VLOOKUP($L32,Vloersoorten[],3,FALSE)*VLOOKUP($R32,Frequenties[],3,FALSE)*VLOOKUP($A32,Locaties[],3,FALSE),0)</f>
        <v>0</v>
      </c>
      <c r="U32" s="149">
        <f>Ruimtestaat[[#This Row],[Uitvoeringen werkdagen]]*Ruimtestaat[[#This Row],[Oppervlak (netto)]]</f>
        <v>11600</v>
      </c>
      <c r="V32" s="179">
        <f>IF(T32&gt;0,Ruimtestaat[[#This Row],[Prest. (m2 /jaar) werkdagen]]/Ruimtestaat[[#This Row],[Norm (m2/uur) werkdagen]],0)</f>
        <v>0</v>
      </c>
      <c r="W32" s="180">
        <f>Ruimtestaat[[#This Row],[uren / jaar werkdagen]]*Tariefsopbouw!$E$35</f>
        <v>0</v>
      </c>
      <c r="X32" s="149"/>
      <c r="Y32" s="149">
        <f>IF(Ruimtestaat[[#This Row],[Frequentie weekend]]&gt;0,VALUE(LEFT(X32,1))*Q32,0)</f>
        <v>0</v>
      </c>
      <c r="Z32" s="148">
        <f>IF($Y32&gt;0,VLOOKUP($J32,Ruimtegroepen[],3,FALSE)*VLOOKUP($L32,Vloersoorten[],3,FALSE)*VLOOKUP($X32,Frequenties[],3,FALSE)*VLOOKUP(Ruimtestaat[[#This Row],[Code]],Locaties[],3,FALSE),0)</f>
        <v>0</v>
      </c>
      <c r="AA32" s="148">
        <f>Ruimtestaat[[#This Row],[Uitvoeringen weekend]]*Ruimtestaat[[#This Row],[Oppervlak (netto)]]</f>
        <v>0</v>
      </c>
      <c r="AB32" s="148">
        <f>IF(Z32&gt;0,Ruimtestaat[[#This Row],[Prest. (m2 /jaar) weekend]]/Ruimtestaat[[#This Row],[Norm (m2/uur) weekend]],0)</f>
        <v>0</v>
      </c>
      <c r="AC32" s="180">
        <f>Ruimtestaat[[#This Row],[uren / jaar weekend]]*Tariefsopbouw!$D$40</f>
        <v>0</v>
      </c>
      <c r="AD32" s="179">
        <f>Ruimtestaat[[#This Row],[Prest. (m2 /jaar) weekend]]+Ruimtestaat[[#This Row],[Prest. (m2 /jaar) werkdagen]]</f>
        <v>11600</v>
      </c>
      <c r="AE32" s="179">
        <f>Ruimtestaat[[#This Row],[uren / jaar weekend]]+Ruimtestaat[[#This Row],[uren / jaar werkdagen]]</f>
        <v>0</v>
      </c>
      <c r="AF32" s="174">
        <f>Ruimtestaat[[#This Row],[kosten / jaar weekend]]+Ruimtestaat[[#This Row],[kosten / jaar werkdagen]]</f>
        <v>0</v>
      </c>
      <c r="AG32" s="174"/>
      <c r="AH32" s="181" t="str">
        <f>IF(Ruimtestaat[[#This Row],[Frequentie werkdagen]]="","",_xlfn.CONCAT(Ruimtestaat[[#This Row],[Ruimte code]],"-",Ruimtestaat[[#This Row],[Frequentie werkdagen]]," ",Ruimtestaat[[#This Row],[Vloer code]]))</f>
        <v>8-5w L</v>
      </c>
      <c r="AI32" s="185" t="str">
        <f>_xlfn.IFNA(VLOOKUP($AH32,Programma!$F$3:$G$1101,2,0),"")</f>
        <v>_</v>
      </c>
      <c r="AJ32" s="185" t="str">
        <f>_xlfn.IFNA(VLOOKUP($AH32,Programma!$F$3:$H$1101,3,0),"")</f>
        <v>_</v>
      </c>
      <c r="AK32" s="185" t="str">
        <f>_xlfn.IFNA(VLOOKUP($AH32,Programma!$F$3:$I$1101,4,0),"")</f>
        <v>4w</v>
      </c>
      <c r="AL32" s="185" t="str">
        <f>_xlfn.IFNA(VLOOKUP($AH32,Programma!$F$3:$J$1101,5,0),"")</f>
        <v>1w</v>
      </c>
      <c r="AM32" s="185" t="str">
        <f>_xlfn.IFNA(VLOOKUP($AH32,Programma!$F$3:$K$1101,6,0),"")</f>
        <v>_</v>
      </c>
      <c r="AN32" s="185" t="str">
        <f>_xlfn.IFNA(VLOOKUP($AH32,Programma!$F$3:$L$1101,7,0),"")</f>
        <v>_</v>
      </c>
      <c r="AO32" s="185" t="str">
        <f>_xlfn.IFNA(VLOOKUP($AH32,Programma!$F$3:$M$1101,8,0),"")</f>
        <v>_</v>
      </c>
      <c r="AP32" s="185" t="str">
        <f>_xlfn.IFNA(VLOOKUP($AH32,Programma!$F$3:$N$1101,9,0),"")</f>
        <v>_</v>
      </c>
      <c r="AQ32" s="185" t="str">
        <f>_xlfn.IFNA(VLOOKUP($AH32,Programma!$F$3:$O$1101,10,0),"")</f>
        <v>5w</v>
      </c>
      <c r="AR32" s="185" t="str">
        <f>_xlfn.IFNA(VLOOKUP($AH32,Programma!$F$3:$P$1101,11,0),"")</f>
        <v>5w</v>
      </c>
      <c r="AS32" s="185" t="str">
        <f>_xlfn.IFNA(VLOOKUP($AH32,Programma!$F$3:$Q$1101,12,0),"")</f>
        <v>1w</v>
      </c>
      <c r="AT32" s="185" t="str">
        <f>_xlfn.IFNA(VLOOKUP($AH32,Programma!$F$3:$R$1101,13,0),"")</f>
        <v>1w</v>
      </c>
      <c r="AU32" s="185" t="str">
        <f>_xlfn.IFNA(VLOOKUP($AH32,Programma!$F$3:$S$1101,14,0),"")</f>
        <v>1m</v>
      </c>
      <c r="AV32" s="185" t="str">
        <f>_xlfn.IFNA(VLOOKUP($AH32,Programma!$F$3:$T$1101,15,0),"")</f>
        <v>2j</v>
      </c>
      <c r="AW32" s="185" t="str">
        <f>_xlfn.IFNA(VLOOKUP($AH32,Programma!$F$3:$U$1101,16,0),"")</f>
        <v>1j</v>
      </c>
      <c r="AX32" s="185" t="str">
        <f>_xlfn.IFNA(VLOOKUP($AH32,Programma!$F$3:$V$1101,17,0),"")</f>
        <v>_</v>
      </c>
      <c r="AY32" s="185" t="str">
        <f>_xlfn.IFNA(VLOOKUP($AH32,Programma!$F$3:$W$1101,18,0),"")</f>
        <v>_</v>
      </c>
      <c r="AZ32" s="185" t="str">
        <f>_xlfn.IFNA(VLOOKUP($AH32,Programma!$F$3:$X$1101,19,0),"")</f>
        <v>_</v>
      </c>
      <c r="BA32" s="185" t="str">
        <f>_xlfn.IFNA(VLOOKUP($AH32,Programma!$F$3:$Y$1101,20,0),"")</f>
        <v>_</v>
      </c>
      <c r="BB32" s="182"/>
      <c r="BC32" s="181" t="str">
        <f>IF(Ruimtestaat[[#This Row],[Frequentie weekend]]="","",_xlfn.CONCAT(Ruimtestaat[[#This Row],[Ruimte code]],"-",Ruimtestaat[[#This Row],[Frequentie weekend]]," ",Ruimtestaat[[#This Row],[Vloer code]]))</f>
        <v/>
      </c>
      <c r="BD32" s="185" t="str">
        <f>_xlfn.IFNA(VLOOKUP($BC32,Programma!$F$3:$G$1101,2,0),"")</f>
        <v/>
      </c>
      <c r="BE32" s="185" t="str">
        <f>_xlfn.IFNA(VLOOKUP($BC32,Programma!$F$3:$H$1101,3,0),"")</f>
        <v/>
      </c>
      <c r="BF32" s="185" t="str">
        <f>_xlfn.IFNA(VLOOKUP($BC32,Programma!$F$3:$I$1101,4,0),"")</f>
        <v/>
      </c>
      <c r="BG32" s="185" t="str">
        <f>_xlfn.IFNA(VLOOKUP($BC32,Programma!$F$3:$J$1101,5,0),"")</f>
        <v/>
      </c>
      <c r="BH32" s="185" t="str">
        <f>_xlfn.IFNA(VLOOKUP($BC32,Programma!$F$3:$K$1101,6,0),"")</f>
        <v/>
      </c>
      <c r="BI32" s="185" t="str">
        <f>_xlfn.IFNA(VLOOKUP($BC32,Programma!$F$3:$L$1101,7,0),"")</f>
        <v/>
      </c>
      <c r="BJ32" s="185" t="str">
        <f>_xlfn.IFNA(VLOOKUP($BC32,Programma!$F$3:$M$1101,8,0),"")</f>
        <v/>
      </c>
      <c r="BK32" s="185" t="str">
        <f>_xlfn.IFNA(VLOOKUP($BC32,Programma!$F$3:$N$1101,9,0),"")</f>
        <v/>
      </c>
      <c r="BL32" s="185" t="str">
        <f>_xlfn.IFNA(VLOOKUP($BC32,Programma!$F$3:$O$1101,10,0),"")</f>
        <v/>
      </c>
      <c r="BM32" s="185" t="str">
        <f>_xlfn.IFNA(VLOOKUP($BC32,Programma!$F$3:$P$1101,11,0),"")</f>
        <v/>
      </c>
      <c r="BN32" s="185" t="str">
        <f>_xlfn.IFNA(VLOOKUP($BC32,Programma!$F$3:$Q$1101,12,0),"")</f>
        <v/>
      </c>
      <c r="BO32" s="185" t="str">
        <f>_xlfn.IFNA(VLOOKUP($BC32,Programma!$F$3:$R$1101,13,0),"")</f>
        <v/>
      </c>
      <c r="BP32" s="185" t="str">
        <f>_xlfn.IFNA(VLOOKUP($BC32,Programma!$F$3:$S$1101,14,0),"")</f>
        <v/>
      </c>
      <c r="BQ32" s="185" t="str">
        <f>_xlfn.IFNA(VLOOKUP($BC32,Programma!$F$3:$T$1101,15,0),"")</f>
        <v/>
      </c>
      <c r="BR32" s="185" t="str">
        <f>_xlfn.IFNA(VLOOKUP($BC32,Programma!$F$3:$U$1101,16,0),"")</f>
        <v/>
      </c>
      <c r="BS32" s="185" t="str">
        <f>_xlfn.IFNA(VLOOKUP($BC32,Programma!$F$3:$V$1101,17,0),"")</f>
        <v/>
      </c>
      <c r="BT32" s="185" t="str">
        <f>_xlfn.IFNA(VLOOKUP($BC32,Programma!$F$3:$W$1101,18,0),"")</f>
        <v/>
      </c>
      <c r="BU32" s="185" t="str">
        <f>_xlfn.IFNA(VLOOKUP($BC32,Programma!$F$3:$X$1101,19,0),"")</f>
        <v/>
      </c>
      <c r="BV32" s="185" t="str">
        <f>_xlfn.IFNA(VLOOKUP($BC32,Programma!$F$3:$Y$1101,20,0),"")</f>
        <v/>
      </c>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row>
    <row r="33" spans="1:219" ht="15" customHeight="1">
      <c r="A33" s="149">
        <v>2</v>
      </c>
      <c r="B33" s="176" t="str">
        <f>VLOOKUP(Ruimtestaat[[#This Row],[Code]],Locaties[[Code]:[Locatie]],2,FALSE)</f>
        <v>IST Primary Campus</v>
      </c>
      <c r="C33" s="176" t="str">
        <f>VLOOKUP(Ruimtestaat[[#This Row],[Code]],Locaties[[#All],[Code]:[Adres]],4,FALSE)</f>
        <v>Joh. ter Horststraat 30</v>
      </c>
      <c r="D33" s="176" t="str">
        <f>VLOOKUP(Ruimtestaat[[#This Row],[Code]],Locaties[[#All],[Code]:[Postcode]],5,FALSE)</f>
        <v>7513 ZH</v>
      </c>
      <c r="E33" s="176" t="str">
        <f>VLOOKUP(Ruimtestaat[[#This Row],[Code]],Locaties[#All],6,FALSE)</f>
        <v>Enschede</v>
      </c>
      <c r="F33" s="149"/>
      <c r="G33" s="149"/>
      <c r="H33" s="300" t="s">
        <v>1650</v>
      </c>
      <c r="I33" s="301" t="s">
        <v>38</v>
      </c>
      <c r="J33" s="99">
        <v>7</v>
      </c>
      <c r="K33" s="183" t="str">
        <f>VLOOKUP(Ruimtestaat[[#This Row],[Ruimte code]],Ruimtegroepen[[#All],[Code]:[Ruimte omschrijving]],2,FALSE)</f>
        <v>Entree</v>
      </c>
      <c r="L33" s="149" t="s">
        <v>99</v>
      </c>
      <c r="M33" s="301" t="s">
        <v>36</v>
      </c>
      <c r="N33" s="177">
        <v>6.6</v>
      </c>
      <c r="O33" s="177"/>
      <c r="P33" s="178" t="str">
        <f>VLOOKUP(Ruimtestaat[[#This Row],[Ruimte code]],Ruimtegroepen[],4,FALSE)</f>
        <v>Ve</v>
      </c>
      <c r="Q33" s="149">
        <v>40</v>
      </c>
      <c r="R33" s="149" t="s">
        <v>2</v>
      </c>
      <c r="S33" s="149">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 s="149">
        <f>IF(S33&gt;0,VLOOKUP($J33,Ruimtegroepen[],3,FALSE)*VLOOKUP($L33,Vloersoorten[],3,FALSE)*VLOOKUP($R33,Frequenties[],3,FALSE)*VLOOKUP($A33,Locaties[],3,FALSE),0)</f>
        <v>0</v>
      </c>
      <c r="U33" s="149">
        <f>Ruimtestaat[[#This Row],[Uitvoeringen werkdagen]]*Ruimtestaat[[#This Row],[Oppervlak (netto)]]</f>
        <v>1320</v>
      </c>
      <c r="V33" s="179">
        <f>IF(T33&gt;0,Ruimtestaat[[#This Row],[Prest. (m2 /jaar) werkdagen]]/Ruimtestaat[[#This Row],[Norm (m2/uur) werkdagen]],0)</f>
        <v>0</v>
      </c>
      <c r="W33" s="180">
        <f>Ruimtestaat[[#This Row],[uren / jaar werkdagen]]*Tariefsopbouw!$E$35</f>
        <v>0</v>
      </c>
      <c r="X33" s="149"/>
      <c r="Y33" s="149">
        <f>IF(Ruimtestaat[[#This Row],[Frequentie weekend]]&gt;0,VALUE(LEFT(X33,1))*Q33,0)</f>
        <v>0</v>
      </c>
      <c r="Z33" s="148">
        <f>IF($Y33&gt;0,VLOOKUP($J33,Ruimtegroepen[],3,FALSE)*VLOOKUP($L33,Vloersoorten[],3,FALSE)*VLOOKUP($X33,Frequenties[],3,FALSE)*VLOOKUP(Ruimtestaat[[#This Row],[Code]],Locaties[],3,FALSE),0)</f>
        <v>0</v>
      </c>
      <c r="AA33" s="148">
        <f>Ruimtestaat[[#This Row],[Uitvoeringen weekend]]*Ruimtestaat[[#This Row],[Oppervlak (netto)]]</f>
        <v>0</v>
      </c>
      <c r="AB33" s="148">
        <f>IF(Z33&gt;0,Ruimtestaat[[#This Row],[Prest. (m2 /jaar) weekend]]/Ruimtestaat[[#This Row],[Norm (m2/uur) weekend]],0)</f>
        <v>0</v>
      </c>
      <c r="AC33" s="180">
        <f>Ruimtestaat[[#This Row],[uren / jaar weekend]]*Tariefsopbouw!$D$40</f>
        <v>0</v>
      </c>
      <c r="AD33" s="179">
        <f>Ruimtestaat[[#This Row],[Prest. (m2 /jaar) weekend]]+Ruimtestaat[[#This Row],[Prest. (m2 /jaar) werkdagen]]</f>
        <v>1320</v>
      </c>
      <c r="AE33" s="179">
        <f>Ruimtestaat[[#This Row],[uren / jaar weekend]]+Ruimtestaat[[#This Row],[uren / jaar werkdagen]]</f>
        <v>0</v>
      </c>
      <c r="AF33" s="174">
        <f>Ruimtestaat[[#This Row],[kosten / jaar weekend]]+Ruimtestaat[[#This Row],[kosten / jaar werkdagen]]</f>
        <v>0</v>
      </c>
      <c r="AG33" s="174"/>
      <c r="AH33" s="181" t="str">
        <f>IF(Ruimtestaat[[#This Row],[Frequentie werkdagen]]="","",_xlfn.CONCAT(Ruimtestaat[[#This Row],[Ruimte code]],"-",Ruimtestaat[[#This Row],[Frequentie werkdagen]]," ",Ruimtestaat[[#This Row],[Vloer code]]))</f>
        <v>7-5w T</v>
      </c>
      <c r="AI33" s="185" t="str">
        <f>_xlfn.IFNA(VLOOKUP($AH33,Programma!$F$3:$G$1101,2,0),"")</f>
        <v>_</v>
      </c>
      <c r="AJ33" s="185" t="str">
        <f>_xlfn.IFNA(VLOOKUP($AH33,Programma!$F$3:$H$1101,3,0),"")</f>
        <v>5w</v>
      </c>
      <c r="AK33" s="185" t="str">
        <f>_xlfn.IFNA(VLOOKUP($AH33,Programma!$F$3:$I$1101,4,0),"")</f>
        <v>_</v>
      </c>
      <c r="AL33" s="185" t="str">
        <f>_xlfn.IFNA(VLOOKUP($AH33,Programma!$F$3:$J$1101,5,0),"")</f>
        <v>_</v>
      </c>
      <c r="AM33" s="185" t="str">
        <f>_xlfn.IFNA(VLOOKUP($AH33,Programma!$F$3:$K$1101,6,0),"")</f>
        <v>_</v>
      </c>
      <c r="AN33" s="185" t="str">
        <f>_xlfn.IFNA(VLOOKUP($AH33,Programma!$F$3:$L$1101,7,0),"")</f>
        <v>_</v>
      </c>
      <c r="AO33" s="185" t="str">
        <f>_xlfn.IFNA(VLOOKUP($AH33,Programma!$F$3:$M$1101,8,0),"")</f>
        <v>_</v>
      </c>
      <c r="AP33" s="185" t="str">
        <f>_xlfn.IFNA(VLOOKUP($AH33,Programma!$F$3:$N$1101,9,0),"")</f>
        <v>_</v>
      </c>
      <c r="AQ33" s="185" t="str">
        <f>_xlfn.IFNA(VLOOKUP($AH33,Programma!$F$3:$O$1101,10,0),"")</f>
        <v>5w</v>
      </c>
      <c r="AR33" s="185" t="str">
        <f>_xlfn.IFNA(VLOOKUP($AH33,Programma!$F$3:$P$1101,11,0),"")</f>
        <v>5w</v>
      </c>
      <c r="AS33" s="185" t="str">
        <f>_xlfn.IFNA(VLOOKUP($AH33,Programma!$F$3:$Q$1101,12,0),"")</f>
        <v>1w</v>
      </c>
      <c r="AT33" s="185" t="str">
        <f>_xlfn.IFNA(VLOOKUP($AH33,Programma!$F$3:$R$1101,13,0),"")</f>
        <v>1w</v>
      </c>
      <c r="AU33" s="185" t="str">
        <f>_xlfn.IFNA(VLOOKUP($AH33,Programma!$F$3:$S$1101,14,0),"")</f>
        <v>1m</v>
      </c>
      <c r="AV33" s="185" t="str">
        <f>_xlfn.IFNA(VLOOKUP($AH33,Programma!$F$3:$T$1101,15,0),"")</f>
        <v>2j</v>
      </c>
      <c r="AW33" s="185" t="str">
        <f>_xlfn.IFNA(VLOOKUP($AH33,Programma!$F$3:$U$1101,16,0),"")</f>
        <v>1j</v>
      </c>
      <c r="AX33" s="185" t="str">
        <f>_xlfn.IFNA(VLOOKUP($AH33,Programma!$F$3:$V$1101,17,0),"")</f>
        <v>_</v>
      </c>
      <c r="AY33" s="185" t="str">
        <f>_xlfn.IFNA(VLOOKUP($AH33,Programma!$F$3:$W$1101,18,0),"")</f>
        <v>_</v>
      </c>
      <c r="AZ33" s="185" t="str">
        <f>_xlfn.IFNA(VLOOKUP($AH33,Programma!$F$3:$X$1101,19,0),"")</f>
        <v>_</v>
      </c>
      <c r="BA33" s="185" t="str">
        <f>_xlfn.IFNA(VLOOKUP($AH33,Programma!$F$3:$Y$1101,20,0),"")</f>
        <v>_</v>
      </c>
      <c r="BB33" s="182"/>
      <c r="BC33" s="181" t="str">
        <f>IF(Ruimtestaat[[#This Row],[Frequentie weekend]]="","",_xlfn.CONCAT(Ruimtestaat[[#This Row],[Ruimte code]],"-",Ruimtestaat[[#This Row],[Frequentie weekend]]," ",Ruimtestaat[[#This Row],[Vloer code]]))</f>
        <v/>
      </c>
      <c r="BD33" s="185" t="str">
        <f>_xlfn.IFNA(VLOOKUP($BC33,Programma!$F$3:$G$1101,2,0),"")</f>
        <v/>
      </c>
      <c r="BE33" s="185" t="str">
        <f>_xlfn.IFNA(VLOOKUP($BC33,Programma!$F$3:$H$1101,3,0),"")</f>
        <v/>
      </c>
      <c r="BF33" s="185" t="str">
        <f>_xlfn.IFNA(VLOOKUP($BC33,Programma!$F$3:$I$1101,4,0),"")</f>
        <v/>
      </c>
      <c r="BG33" s="185" t="str">
        <f>_xlfn.IFNA(VLOOKUP($BC33,Programma!$F$3:$J$1101,5,0),"")</f>
        <v/>
      </c>
      <c r="BH33" s="185" t="str">
        <f>_xlfn.IFNA(VLOOKUP($BC33,Programma!$F$3:$K$1101,6,0),"")</f>
        <v/>
      </c>
      <c r="BI33" s="185" t="str">
        <f>_xlfn.IFNA(VLOOKUP($BC33,Programma!$F$3:$L$1101,7,0),"")</f>
        <v/>
      </c>
      <c r="BJ33" s="185" t="str">
        <f>_xlfn.IFNA(VLOOKUP($BC33,Programma!$F$3:$M$1101,8,0),"")</f>
        <v/>
      </c>
      <c r="BK33" s="185" t="str">
        <f>_xlfn.IFNA(VLOOKUP($BC33,Programma!$F$3:$N$1101,9,0),"")</f>
        <v/>
      </c>
      <c r="BL33" s="185" t="str">
        <f>_xlfn.IFNA(VLOOKUP($BC33,Programma!$F$3:$O$1101,10,0),"")</f>
        <v/>
      </c>
      <c r="BM33" s="185" t="str">
        <f>_xlfn.IFNA(VLOOKUP($BC33,Programma!$F$3:$P$1101,11,0),"")</f>
        <v/>
      </c>
      <c r="BN33" s="185" t="str">
        <f>_xlfn.IFNA(VLOOKUP($BC33,Programma!$F$3:$Q$1101,12,0),"")</f>
        <v/>
      </c>
      <c r="BO33" s="185" t="str">
        <f>_xlfn.IFNA(VLOOKUP($BC33,Programma!$F$3:$R$1101,13,0),"")</f>
        <v/>
      </c>
      <c r="BP33" s="185" t="str">
        <f>_xlfn.IFNA(VLOOKUP($BC33,Programma!$F$3:$S$1101,14,0),"")</f>
        <v/>
      </c>
      <c r="BQ33" s="185" t="str">
        <f>_xlfn.IFNA(VLOOKUP($BC33,Programma!$F$3:$T$1101,15,0),"")</f>
        <v/>
      </c>
      <c r="BR33" s="185" t="str">
        <f>_xlfn.IFNA(VLOOKUP($BC33,Programma!$F$3:$U$1101,16,0),"")</f>
        <v/>
      </c>
      <c r="BS33" s="185" t="str">
        <f>_xlfn.IFNA(VLOOKUP($BC33,Programma!$F$3:$V$1101,17,0),"")</f>
        <v/>
      </c>
      <c r="BT33" s="185" t="str">
        <f>_xlfn.IFNA(VLOOKUP($BC33,Programma!$F$3:$W$1101,18,0),"")</f>
        <v/>
      </c>
      <c r="BU33" s="185" t="str">
        <f>_xlfn.IFNA(VLOOKUP($BC33,Programma!$F$3:$X$1101,19,0),"")</f>
        <v/>
      </c>
      <c r="BV33" s="185" t="str">
        <f>_xlfn.IFNA(VLOOKUP($BC33,Programma!$F$3:$Y$1101,20,0),"")</f>
        <v/>
      </c>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row>
    <row r="34" spans="1:219" ht="15" customHeight="1">
      <c r="A34" s="149">
        <v>2</v>
      </c>
      <c r="B34" s="176" t="str">
        <f>VLOOKUP(Ruimtestaat[[#This Row],[Code]],Locaties[[Code]:[Locatie]],2,FALSE)</f>
        <v>IST Primary Campus</v>
      </c>
      <c r="C34" s="176" t="str">
        <f>VLOOKUP(Ruimtestaat[[#This Row],[Code]],Locaties[[#All],[Code]:[Adres]],4,FALSE)</f>
        <v>Joh. ter Horststraat 30</v>
      </c>
      <c r="D34" s="176" t="str">
        <f>VLOOKUP(Ruimtestaat[[#This Row],[Code]],Locaties[[#All],[Code]:[Postcode]],5,FALSE)</f>
        <v>7513 ZH</v>
      </c>
      <c r="E34" s="176" t="str">
        <f>VLOOKUP(Ruimtestaat[[#This Row],[Code]],Locaties[#All],6,FALSE)</f>
        <v>Enschede</v>
      </c>
      <c r="F34" s="149"/>
      <c r="G34" s="149"/>
      <c r="H34" s="300" t="s">
        <v>1720</v>
      </c>
      <c r="I34" s="301" t="s">
        <v>1684</v>
      </c>
      <c r="J34" s="99">
        <v>5</v>
      </c>
      <c r="K34" s="183" t="str">
        <f>VLOOKUP(Ruimtestaat[[#This Row],[Ruimte code]],Ruimtegroepen[[#All],[Code]:[Ruimte omschrijving]],2,FALSE)</f>
        <v>Sanitair</v>
      </c>
      <c r="L34" s="149" t="s">
        <v>101</v>
      </c>
      <c r="M34" s="301" t="s">
        <v>1682</v>
      </c>
      <c r="N34" s="177">
        <v>8.8000000000000007</v>
      </c>
      <c r="O34" s="177"/>
      <c r="P34" s="178" t="str">
        <f>VLOOKUP(Ruimtestaat[[#This Row],[Ruimte code]],Ruimtegroepen[],4,FALSE)</f>
        <v>Sa</v>
      </c>
      <c r="Q34" s="149">
        <v>40</v>
      </c>
      <c r="R34" s="149" t="s">
        <v>2</v>
      </c>
      <c r="S34" s="149">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 s="149">
        <f>IF(S34&gt;0,VLOOKUP($J34,Ruimtegroepen[],3,FALSE)*VLOOKUP($L34,Vloersoorten[],3,FALSE)*VLOOKUP($R34,Frequenties[],3,FALSE)*VLOOKUP($A34,Locaties[],3,FALSE),0)</f>
        <v>0</v>
      </c>
      <c r="U34" s="149">
        <f>Ruimtestaat[[#This Row],[Uitvoeringen werkdagen]]*Ruimtestaat[[#This Row],[Oppervlak (netto)]]</f>
        <v>1760.0000000000002</v>
      </c>
      <c r="V34" s="179">
        <f>IF(T34&gt;0,Ruimtestaat[[#This Row],[Prest. (m2 /jaar) werkdagen]]/Ruimtestaat[[#This Row],[Norm (m2/uur) werkdagen]],0)</f>
        <v>0</v>
      </c>
      <c r="W34" s="180">
        <f>Ruimtestaat[[#This Row],[uren / jaar werkdagen]]*Tariefsopbouw!$E$35</f>
        <v>0</v>
      </c>
      <c r="X34" s="149"/>
      <c r="Y34" s="149">
        <f>IF(Ruimtestaat[[#This Row],[Frequentie weekend]]&gt;0,VALUE(LEFT(X34,1))*Q34,0)</f>
        <v>0</v>
      </c>
      <c r="Z34" s="148">
        <f>IF($Y34&gt;0,VLOOKUP($J34,Ruimtegroepen[],3,FALSE)*VLOOKUP($L34,Vloersoorten[],3,FALSE)*VLOOKUP($X34,Frequenties[],3,FALSE)*VLOOKUP(Ruimtestaat[[#This Row],[Code]],Locaties[],3,FALSE),0)</f>
        <v>0</v>
      </c>
      <c r="AA34" s="148">
        <f>Ruimtestaat[[#This Row],[Uitvoeringen weekend]]*Ruimtestaat[[#This Row],[Oppervlak (netto)]]</f>
        <v>0</v>
      </c>
      <c r="AB34" s="148">
        <f>IF(Z34&gt;0,Ruimtestaat[[#This Row],[Prest. (m2 /jaar) weekend]]/Ruimtestaat[[#This Row],[Norm (m2/uur) weekend]],0)</f>
        <v>0</v>
      </c>
      <c r="AC34" s="180">
        <f>Ruimtestaat[[#This Row],[uren / jaar weekend]]*Tariefsopbouw!$D$40</f>
        <v>0</v>
      </c>
      <c r="AD34" s="179">
        <f>Ruimtestaat[[#This Row],[Prest. (m2 /jaar) weekend]]+Ruimtestaat[[#This Row],[Prest. (m2 /jaar) werkdagen]]</f>
        <v>1760.0000000000002</v>
      </c>
      <c r="AE34" s="179">
        <f>Ruimtestaat[[#This Row],[uren / jaar weekend]]+Ruimtestaat[[#This Row],[uren / jaar werkdagen]]</f>
        <v>0</v>
      </c>
      <c r="AF34" s="174">
        <f>Ruimtestaat[[#This Row],[kosten / jaar weekend]]+Ruimtestaat[[#This Row],[kosten / jaar werkdagen]]</f>
        <v>0</v>
      </c>
      <c r="AG34" s="174"/>
      <c r="AH34" s="181" t="str">
        <f>IF(Ruimtestaat[[#This Row],[Frequentie werkdagen]]="","",_xlfn.CONCAT(Ruimtestaat[[#This Row],[Ruimte code]],"-",Ruimtestaat[[#This Row],[Frequentie werkdagen]]," ",Ruimtestaat[[#This Row],[Vloer code]]))</f>
        <v>5-5w S</v>
      </c>
      <c r="AI34" s="185" t="str">
        <f>_xlfn.IFNA(VLOOKUP($AH34,Programma!$F$3:$G$1101,2,0),"")</f>
        <v>_</v>
      </c>
      <c r="AJ34" s="185" t="str">
        <f>_xlfn.IFNA(VLOOKUP($AH34,Programma!$F$3:$H$1101,3,0),"")</f>
        <v>_</v>
      </c>
      <c r="AK34" s="185" t="str">
        <f>_xlfn.IFNA(VLOOKUP($AH34,Programma!$F$3:$I$1101,4,0),"")</f>
        <v>_</v>
      </c>
      <c r="AL34" s="185" t="str">
        <f>_xlfn.IFNA(VLOOKUP($AH34,Programma!$F$3:$J$1101,5,0),"")</f>
        <v>4w</v>
      </c>
      <c r="AM34" s="185" t="str">
        <f>_xlfn.IFNA(VLOOKUP($AH34,Programma!$F$3:$K$1101,6,0),"")</f>
        <v>1w</v>
      </c>
      <c r="AN34" s="185" t="str">
        <f>_xlfn.IFNA(VLOOKUP($AH34,Programma!$F$3:$L$1101,7,0),"")</f>
        <v>_</v>
      </c>
      <c r="AO34" s="185" t="str">
        <f>_xlfn.IFNA(VLOOKUP($AH34,Programma!$F$3:$M$1101,8,0),"")</f>
        <v>_</v>
      </c>
      <c r="AP34" s="185" t="str">
        <f>_xlfn.IFNA(VLOOKUP($AH34,Programma!$F$3:$N$1101,9,0),"")</f>
        <v>_</v>
      </c>
      <c r="AQ34" s="185" t="str">
        <f>_xlfn.IFNA(VLOOKUP($AH34,Programma!$F$3:$O$1101,10,0),"")</f>
        <v>_</v>
      </c>
      <c r="AR34" s="185" t="str">
        <f>_xlfn.IFNA(VLOOKUP($AH34,Programma!$F$3:$P$1101,11,0),"")</f>
        <v>_</v>
      </c>
      <c r="AS34" s="185" t="str">
        <f>_xlfn.IFNA(VLOOKUP($AH34,Programma!$F$3:$Q$1101,12,0),"")</f>
        <v>_</v>
      </c>
      <c r="AT34" s="185" t="str">
        <f>_xlfn.IFNA(VLOOKUP($AH34,Programma!$F$3:$R$1101,13,0),"")</f>
        <v>_</v>
      </c>
      <c r="AU34" s="185" t="str">
        <f>_xlfn.IFNA(VLOOKUP($AH34,Programma!$F$3:$S$1101,14,0),"")</f>
        <v>_</v>
      </c>
      <c r="AV34" s="185" t="str">
        <f>_xlfn.IFNA(VLOOKUP($AH34,Programma!$F$3:$T$1101,15,0),"")</f>
        <v>_</v>
      </c>
      <c r="AW34" s="185" t="str">
        <f>_xlfn.IFNA(VLOOKUP($AH34,Programma!$F$3:$U$1101,16,0),"")</f>
        <v>_</v>
      </c>
      <c r="AX34" s="185" t="str">
        <f>_xlfn.IFNA(VLOOKUP($AH34,Programma!$F$3:$V$1101,17,0),"")</f>
        <v>_</v>
      </c>
      <c r="AY34" s="185" t="str">
        <f>_xlfn.IFNA(VLOOKUP($AH34,Programma!$F$3:$W$1101,18,0),"")</f>
        <v>4w</v>
      </c>
      <c r="AZ34" s="185" t="str">
        <f>_xlfn.IFNA(VLOOKUP($AH34,Programma!$F$3:$X$1101,19,0),"")</f>
        <v>1w</v>
      </c>
      <c r="BA34" s="185" t="str">
        <f>_xlfn.IFNA(VLOOKUP($AH34,Programma!$F$3:$Y$1101,20,0),"")</f>
        <v>_</v>
      </c>
      <c r="BB34" s="182"/>
      <c r="BC34" s="181" t="str">
        <f>IF(Ruimtestaat[[#This Row],[Frequentie weekend]]="","",_xlfn.CONCAT(Ruimtestaat[[#This Row],[Ruimte code]],"-",Ruimtestaat[[#This Row],[Frequentie weekend]]," ",Ruimtestaat[[#This Row],[Vloer code]]))</f>
        <v/>
      </c>
      <c r="BD34" s="185" t="str">
        <f>_xlfn.IFNA(VLOOKUP($BC34,Programma!$F$3:$G$1101,2,0),"")</f>
        <v/>
      </c>
      <c r="BE34" s="185" t="str">
        <f>_xlfn.IFNA(VLOOKUP($BC34,Programma!$F$3:$H$1101,3,0),"")</f>
        <v/>
      </c>
      <c r="BF34" s="185" t="str">
        <f>_xlfn.IFNA(VLOOKUP($BC34,Programma!$F$3:$I$1101,4,0),"")</f>
        <v/>
      </c>
      <c r="BG34" s="185" t="str">
        <f>_xlfn.IFNA(VLOOKUP($BC34,Programma!$F$3:$J$1101,5,0),"")</f>
        <v/>
      </c>
      <c r="BH34" s="185" t="str">
        <f>_xlfn.IFNA(VLOOKUP($BC34,Programma!$F$3:$K$1101,6,0),"")</f>
        <v/>
      </c>
      <c r="BI34" s="185" t="str">
        <f>_xlfn.IFNA(VLOOKUP($BC34,Programma!$F$3:$L$1101,7,0),"")</f>
        <v/>
      </c>
      <c r="BJ34" s="185" t="str">
        <f>_xlfn.IFNA(VLOOKUP($BC34,Programma!$F$3:$M$1101,8,0),"")</f>
        <v/>
      </c>
      <c r="BK34" s="185" t="str">
        <f>_xlfn.IFNA(VLOOKUP($BC34,Programma!$F$3:$N$1101,9,0),"")</f>
        <v/>
      </c>
      <c r="BL34" s="185" t="str">
        <f>_xlfn.IFNA(VLOOKUP($BC34,Programma!$F$3:$O$1101,10,0),"")</f>
        <v/>
      </c>
      <c r="BM34" s="185" t="str">
        <f>_xlfn.IFNA(VLOOKUP($BC34,Programma!$F$3:$P$1101,11,0),"")</f>
        <v/>
      </c>
      <c r="BN34" s="185" t="str">
        <f>_xlfn.IFNA(VLOOKUP($BC34,Programma!$F$3:$Q$1101,12,0),"")</f>
        <v/>
      </c>
      <c r="BO34" s="185" t="str">
        <f>_xlfn.IFNA(VLOOKUP($BC34,Programma!$F$3:$R$1101,13,0),"")</f>
        <v/>
      </c>
      <c r="BP34" s="185" t="str">
        <f>_xlfn.IFNA(VLOOKUP($BC34,Programma!$F$3:$S$1101,14,0),"")</f>
        <v/>
      </c>
      <c r="BQ34" s="185" t="str">
        <f>_xlfn.IFNA(VLOOKUP($BC34,Programma!$F$3:$T$1101,15,0),"")</f>
        <v/>
      </c>
      <c r="BR34" s="185" t="str">
        <f>_xlfn.IFNA(VLOOKUP($BC34,Programma!$F$3:$U$1101,16,0),"")</f>
        <v/>
      </c>
      <c r="BS34" s="185" t="str">
        <f>_xlfn.IFNA(VLOOKUP($BC34,Programma!$F$3:$V$1101,17,0),"")</f>
        <v/>
      </c>
      <c r="BT34" s="185" t="str">
        <f>_xlfn.IFNA(VLOOKUP($BC34,Programma!$F$3:$W$1101,18,0),"")</f>
        <v/>
      </c>
      <c r="BU34" s="185" t="str">
        <f>_xlfn.IFNA(VLOOKUP($BC34,Programma!$F$3:$X$1101,19,0),"")</f>
        <v/>
      </c>
      <c r="BV34" s="185" t="str">
        <f>_xlfn.IFNA(VLOOKUP($BC34,Programma!$F$3:$Y$1101,20,0),"")</f>
        <v/>
      </c>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8"/>
      <c r="FZ34" s="78"/>
      <c r="GA34" s="78"/>
      <c r="GB34" s="78"/>
      <c r="GC34" s="78"/>
      <c r="GD34" s="78"/>
      <c r="GE34" s="78"/>
      <c r="GF34" s="78"/>
      <c r="GG34" s="78"/>
      <c r="GH34" s="78"/>
      <c r="GI34" s="78"/>
      <c r="GJ34" s="78"/>
      <c r="GK34" s="78"/>
      <c r="GL34" s="78"/>
      <c r="GM34" s="78"/>
      <c r="GN34" s="78"/>
      <c r="GO34" s="78"/>
      <c r="GP34" s="78"/>
      <c r="GQ34" s="78"/>
      <c r="GR34" s="78"/>
      <c r="GS34" s="78"/>
      <c r="GT34" s="78"/>
      <c r="GU34" s="78"/>
      <c r="GV34" s="78"/>
      <c r="GW34" s="78"/>
      <c r="GX34" s="78"/>
      <c r="GY34" s="78"/>
      <c r="GZ34" s="78"/>
      <c r="HA34" s="78"/>
      <c r="HB34" s="78"/>
      <c r="HC34" s="78"/>
      <c r="HD34" s="78"/>
      <c r="HE34" s="78"/>
      <c r="HF34" s="78"/>
      <c r="HG34" s="78"/>
      <c r="HH34" s="78"/>
      <c r="HI34" s="78"/>
      <c r="HJ34" s="78"/>
      <c r="HK34" s="78"/>
    </row>
    <row r="35" spans="1:219" ht="15" customHeight="1">
      <c r="A35" s="149">
        <v>2</v>
      </c>
      <c r="B35" s="176" t="str">
        <f>VLOOKUP(Ruimtestaat[[#This Row],[Code]],Locaties[[Code]:[Locatie]],2,FALSE)</f>
        <v>IST Primary Campus</v>
      </c>
      <c r="C35" s="176" t="str">
        <f>VLOOKUP(Ruimtestaat[[#This Row],[Code]],Locaties[[#All],[Code]:[Adres]],4,FALSE)</f>
        <v>Joh. ter Horststraat 30</v>
      </c>
      <c r="D35" s="176" t="str">
        <f>VLOOKUP(Ruimtestaat[[#This Row],[Code]],Locaties[[#All],[Code]:[Postcode]],5,FALSE)</f>
        <v>7513 ZH</v>
      </c>
      <c r="E35" s="176" t="str">
        <f>VLOOKUP(Ruimtestaat[[#This Row],[Code]],Locaties[#All],6,FALSE)</f>
        <v>Enschede</v>
      </c>
      <c r="F35" s="149"/>
      <c r="G35" s="149"/>
      <c r="H35" s="300" t="s">
        <v>1652</v>
      </c>
      <c r="I35" s="301" t="s">
        <v>1721</v>
      </c>
      <c r="J35" s="99">
        <v>18</v>
      </c>
      <c r="K35" s="183" t="str">
        <f>VLOOKUP(Ruimtestaat[[#This Row],[Ruimte code]],Ruimtegroepen[[#All],[Code]:[Ruimte omschrijving]],2,FALSE)</f>
        <v>Gymzaal</v>
      </c>
      <c r="L35" s="149" t="s">
        <v>100</v>
      </c>
      <c r="M35" s="301" t="s">
        <v>1697</v>
      </c>
      <c r="N35" s="177">
        <v>74.599999999999994</v>
      </c>
      <c r="O35" s="177"/>
      <c r="P35" s="178" t="str">
        <f>VLOOKUP(Ruimtestaat[[#This Row],[Ruimte code]],Ruimtegroepen[],4,FALSE)</f>
        <v>Sp</v>
      </c>
      <c r="Q35" s="149">
        <v>40</v>
      </c>
      <c r="R35" s="149" t="s">
        <v>2</v>
      </c>
      <c r="S35" s="149">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 s="149">
        <f>IF(S35&gt;0,VLOOKUP($J35,Ruimtegroepen[],3,FALSE)*VLOOKUP($L35,Vloersoorten[],3,FALSE)*VLOOKUP($R35,Frequenties[],3,FALSE)*VLOOKUP($A35,Locaties[],3,FALSE),0)</f>
        <v>0</v>
      </c>
      <c r="U35" s="149">
        <f>Ruimtestaat[[#This Row],[Uitvoeringen werkdagen]]*Ruimtestaat[[#This Row],[Oppervlak (netto)]]</f>
        <v>14919.999999999998</v>
      </c>
      <c r="V35" s="179">
        <f>IF(T35&gt;0,Ruimtestaat[[#This Row],[Prest. (m2 /jaar) werkdagen]]/Ruimtestaat[[#This Row],[Norm (m2/uur) werkdagen]],0)</f>
        <v>0</v>
      </c>
      <c r="W35" s="180">
        <f>Ruimtestaat[[#This Row],[uren / jaar werkdagen]]*Tariefsopbouw!$E$35</f>
        <v>0</v>
      </c>
      <c r="X35" s="149"/>
      <c r="Y35" s="149">
        <f>IF(Ruimtestaat[[#This Row],[Frequentie weekend]]&gt;0,VALUE(LEFT(X35,1))*Q35,0)</f>
        <v>0</v>
      </c>
      <c r="Z35" s="148">
        <f>IF($Y35&gt;0,VLOOKUP($J35,Ruimtegroepen[],3,FALSE)*VLOOKUP($L35,Vloersoorten[],3,FALSE)*VLOOKUP($X35,Frequenties[],3,FALSE)*VLOOKUP(Ruimtestaat[[#This Row],[Code]],Locaties[],3,FALSE),0)</f>
        <v>0</v>
      </c>
      <c r="AA35" s="148">
        <f>Ruimtestaat[[#This Row],[Uitvoeringen weekend]]*Ruimtestaat[[#This Row],[Oppervlak (netto)]]</f>
        <v>0</v>
      </c>
      <c r="AB35" s="148">
        <f>IF(Z35&gt;0,Ruimtestaat[[#This Row],[Prest. (m2 /jaar) weekend]]/Ruimtestaat[[#This Row],[Norm (m2/uur) weekend]],0)</f>
        <v>0</v>
      </c>
      <c r="AC35" s="180">
        <f>Ruimtestaat[[#This Row],[uren / jaar weekend]]*Tariefsopbouw!$D$40</f>
        <v>0</v>
      </c>
      <c r="AD35" s="179">
        <f>Ruimtestaat[[#This Row],[Prest. (m2 /jaar) weekend]]+Ruimtestaat[[#This Row],[Prest. (m2 /jaar) werkdagen]]</f>
        <v>14919.999999999998</v>
      </c>
      <c r="AE35" s="179">
        <f>Ruimtestaat[[#This Row],[uren / jaar weekend]]+Ruimtestaat[[#This Row],[uren / jaar werkdagen]]</f>
        <v>0</v>
      </c>
      <c r="AF35" s="174">
        <f>Ruimtestaat[[#This Row],[kosten / jaar weekend]]+Ruimtestaat[[#This Row],[kosten / jaar werkdagen]]</f>
        <v>0</v>
      </c>
      <c r="AG35" s="174"/>
      <c r="AH35" s="181" t="str">
        <f>IF(Ruimtestaat[[#This Row],[Frequentie werkdagen]]="","",_xlfn.CONCAT(Ruimtestaat[[#This Row],[Ruimte code]],"-",Ruimtestaat[[#This Row],[Frequentie werkdagen]]," ",Ruimtestaat[[#This Row],[Vloer code]]))</f>
        <v>18-5w L</v>
      </c>
      <c r="AI35" s="185" t="str">
        <f>_xlfn.IFNA(VLOOKUP($AH35,Programma!$F$3:$G$1101,2,0),"")</f>
        <v>_</v>
      </c>
      <c r="AJ35" s="185" t="str">
        <f>_xlfn.IFNA(VLOOKUP($AH35,Programma!$F$3:$H$1101,3,0),"")</f>
        <v>_</v>
      </c>
      <c r="AK35" s="185" t="str">
        <f>_xlfn.IFNA(VLOOKUP($AH35,Programma!$F$3:$I$1101,4,0),"")</f>
        <v>4w</v>
      </c>
      <c r="AL35" s="185" t="str">
        <f>_xlfn.IFNA(VLOOKUP($AH35,Programma!$F$3:$J$1101,5,0),"")</f>
        <v>1w</v>
      </c>
      <c r="AM35" s="185" t="str">
        <f>_xlfn.IFNA(VLOOKUP($AH35,Programma!$F$3:$K$1101,6,0),"")</f>
        <v>_</v>
      </c>
      <c r="AN35" s="185" t="str">
        <f>_xlfn.IFNA(VLOOKUP($AH35,Programma!$F$3:$L$1101,7,0),"")</f>
        <v>_</v>
      </c>
      <c r="AO35" s="185" t="str">
        <f>_xlfn.IFNA(VLOOKUP($AH35,Programma!$F$3:$M$1101,8,0),"")</f>
        <v>_</v>
      </c>
      <c r="AP35" s="185" t="str">
        <f>_xlfn.IFNA(VLOOKUP($AH35,Programma!$F$3:$N$1101,9,0),"")</f>
        <v>_</v>
      </c>
      <c r="AQ35" s="185" t="str">
        <f>_xlfn.IFNA(VLOOKUP($AH35,Programma!$F$3:$O$1101,10,0),"")</f>
        <v>5w</v>
      </c>
      <c r="AR35" s="185" t="str">
        <f>_xlfn.IFNA(VLOOKUP($AH35,Programma!$F$3:$P$1101,11,0),"")</f>
        <v>5w</v>
      </c>
      <c r="AS35" s="185" t="str">
        <f>_xlfn.IFNA(VLOOKUP($AH35,Programma!$F$3:$Q$1101,12,0),"")</f>
        <v>5w</v>
      </c>
      <c r="AT35" s="185" t="str">
        <f>_xlfn.IFNA(VLOOKUP($AH35,Programma!$F$3:$R$1101,13,0),"")</f>
        <v>5w</v>
      </c>
      <c r="AU35" s="185" t="str">
        <f>_xlfn.IFNA(VLOOKUP($AH35,Programma!$F$3:$S$1101,14,0),"")</f>
        <v>1m</v>
      </c>
      <c r="AV35" s="185" t="str">
        <f>_xlfn.IFNA(VLOOKUP($AH35,Programma!$F$3:$T$1101,15,0),"")</f>
        <v>2j</v>
      </c>
      <c r="AW35" s="185" t="str">
        <f>_xlfn.IFNA(VLOOKUP($AH35,Programma!$F$3:$U$1101,16,0),"")</f>
        <v>1j</v>
      </c>
      <c r="AX35" s="185" t="str">
        <f>_xlfn.IFNA(VLOOKUP($AH35,Programma!$F$3:$V$1101,17,0),"")</f>
        <v>_</v>
      </c>
      <c r="AY35" s="185" t="str">
        <f>_xlfn.IFNA(VLOOKUP($AH35,Programma!$F$3:$W$1101,18,0),"")</f>
        <v>_</v>
      </c>
      <c r="AZ35" s="185" t="str">
        <f>_xlfn.IFNA(VLOOKUP($AH35,Programma!$F$3:$X$1101,19,0),"")</f>
        <v>_</v>
      </c>
      <c r="BA35" s="185" t="str">
        <f>_xlfn.IFNA(VLOOKUP($AH35,Programma!$F$3:$Y$1101,20,0),"")</f>
        <v>_</v>
      </c>
      <c r="BB35" s="182"/>
      <c r="BC35" s="181" t="str">
        <f>IF(Ruimtestaat[[#This Row],[Frequentie weekend]]="","",_xlfn.CONCAT(Ruimtestaat[[#This Row],[Ruimte code]],"-",Ruimtestaat[[#This Row],[Frequentie weekend]]," ",Ruimtestaat[[#This Row],[Vloer code]]))</f>
        <v/>
      </c>
      <c r="BD35" s="185" t="str">
        <f>_xlfn.IFNA(VLOOKUP($BC35,Programma!$F$3:$G$1101,2,0),"")</f>
        <v/>
      </c>
      <c r="BE35" s="185" t="str">
        <f>_xlfn.IFNA(VLOOKUP($BC35,Programma!$F$3:$H$1101,3,0),"")</f>
        <v/>
      </c>
      <c r="BF35" s="185" t="str">
        <f>_xlfn.IFNA(VLOOKUP($BC35,Programma!$F$3:$I$1101,4,0),"")</f>
        <v/>
      </c>
      <c r="BG35" s="185" t="str">
        <f>_xlfn.IFNA(VLOOKUP($BC35,Programma!$F$3:$J$1101,5,0),"")</f>
        <v/>
      </c>
      <c r="BH35" s="185" t="str">
        <f>_xlfn.IFNA(VLOOKUP($BC35,Programma!$F$3:$K$1101,6,0),"")</f>
        <v/>
      </c>
      <c r="BI35" s="185" t="str">
        <f>_xlfn.IFNA(VLOOKUP($BC35,Programma!$F$3:$L$1101,7,0),"")</f>
        <v/>
      </c>
      <c r="BJ35" s="185" t="str">
        <f>_xlfn.IFNA(VLOOKUP($BC35,Programma!$F$3:$M$1101,8,0),"")</f>
        <v/>
      </c>
      <c r="BK35" s="185" t="str">
        <f>_xlfn.IFNA(VLOOKUP($BC35,Programma!$F$3:$N$1101,9,0),"")</f>
        <v/>
      </c>
      <c r="BL35" s="185" t="str">
        <f>_xlfn.IFNA(VLOOKUP($BC35,Programma!$F$3:$O$1101,10,0),"")</f>
        <v/>
      </c>
      <c r="BM35" s="185" t="str">
        <f>_xlfn.IFNA(VLOOKUP($BC35,Programma!$F$3:$P$1101,11,0),"")</f>
        <v/>
      </c>
      <c r="BN35" s="185" t="str">
        <f>_xlfn.IFNA(VLOOKUP($BC35,Programma!$F$3:$Q$1101,12,0),"")</f>
        <v/>
      </c>
      <c r="BO35" s="185" t="str">
        <f>_xlfn.IFNA(VLOOKUP($BC35,Programma!$F$3:$R$1101,13,0),"")</f>
        <v/>
      </c>
      <c r="BP35" s="185" t="str">
        <f>_xlfn.IFNA(VLOOKUP($BC35,Programma!$F$3:$S$1101,14,0),"")</f>
        <v/>
      </c>
      <c r="BQ35" s="185" t="str">
        <f>_xlfn.IFNA(VLOOKUP($BC35,Programma!$F$3:$T$1101,15,0),"")</f>
        <v/>
      </c>
      <c r="BR35" s="185" t="str">
        <f>_xlfn.IFNA(VLOOKUP($BC35,Programma!$F$3:$U$1101,16,0),"")</f>
        <v/>
      </c>
      <c r="BS35" s="185" t="str">
        <f>_xlfn.IFNA(VLOOKUP($BC35,Programma!$F$3:$V$1101,17,0),"")</f>
        <v/>
      </c>
      <c r="BT35" s="185" t="str">
        <f>_xlfn.IFNA(VLOOKUP($BC35,Programma!$F$3:$W$1101,18,0),"")</f>
        <v/>
      </c>
      <c r="BU35" s="185" t="str">
        <f>_xlfn.IFNA(VLOOKUP($BC35,Programma!$F$3:$X$1101,19,0),"")</f>
        <v/>
      </c>
      <c r="BV35" s="185" t="str">
        <f>_xlfn.IFNA(VLOOKUP($BC35,Programma!$F$3:$Y$1101,20,0),"")</f>
        <v/>
      </c>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c r="EO35" s="78"/>
      <c r="EP35" s="78"/>
      <c r="EQ35" s="78"/>
      <c r="ER35" s="78"/>
      <c r="ES35" s="78"/>
      <c r="ET35" s="78"/>
      <c r="EU35" s="78"/>
      <c r="EV35" s="78"/>
      <c r="EW35" s="78"/>
      <c r="EX35" s="78"/>
      <c r="EY35" s="78"/>
      <c r="EZ35" s="78"/>
      <c r="FA35" s="78"/>
      <c r="FB35" s="78"/>
      <c r="FC35" s="78"/>
      <c r="FD35" s="78"/>
      <c r="FE35" s="78"/>
      <c r="FF35" s="78"/>
      <c r="FG35" s="78"/>
      <c r="FH35" s="78"/>
      <c r="FI35" s="78"/>
      <c r="FJ35" s="78"/>
      <c r="FK35" s="78"/>
      <c r="FL35" s="78"/>
      <c r="FM35" s="78"/>
      <c r="FN35" s="78"/>
      <c r="FO35" s="78"/>
      <c r="FP35" s="78"/>
      <c r="FQ35" s="78"/>
      <c r="FR35" s="78"/>
      <c r="FS35" s="78"/>
      <c r="FT35" s="78"/>
      <c r="FU35" s="78"/>
      <c r="FV35" s="78"/>
      <c r="FW35" s="78"/>
      <c r="FX35" s="78"/>
      <c r="FY35" s="78"/>
      <c r="FZ35" s="78"/>
      <c r="GA35" s="78"/>
      <c r="GB35" s="78"/>
      <c r="GC35" s="78"/>
      <c r="GD35" s="78"/>
      <c r="GE35" s="78"/>
      <c r="GF35" s="78"/>
      <c r="GG35" s="78"/>
      <c r="GH35" s="78"/>
      <c r="GI35" s="78"/>
      <c r="GJ35" s="78"/>
      <c r="GK35" s="78"/>
      <c r="GL35" s="78"/>
      <c r="GM35" s="78"/>
      <c r="GN35" s="78"/>
      <c r="GO35" s="78"/>
      <c r="GP35" s="78"/>
      <c r="GQ35" s="78"/>
      <c r="GR35" s="78"/>
      <c r="GS35" s="78"/>
      <c r="GT35" s="78"/>
      <c r="GU35" s="78"/>
      <c r="GV35" s="78"/>
      <c r="GW35" s="78"/>
      <c r="GX35" s="78"/>
      <c r="GY35" s="78"/>
      <c r="GZ35" s="78"/>
      <c r="HA35" s="78"/>
      <c r="HB35" s="78"/>
      <c r="HC35" s="78"/>
      <c r="HD35" s="78"/>
      <c r="HE35" s="78"/>
      <c r="HF35" s="78"/>
      <c r="HG35" s="78"/>
      <c r="HH35" s="78"/>
      <c r="HI35" s="78"/>
      <c r="HJ35" s="78"/>
      <c r="HK35" s="78"/>
    </row>
    <row r="36" spans="1:219" ht="15" customHeight="1">
      <c r="A36" s="149">
        <v>2</v>
      </c>
      <c r="B36" s="176" t="str">
        <f>VLOOKUP(Ruimtestaat[[#This Row],[Code]],Locaties[[Code]:[Locatie]],2,FALSE)</f>
        <v>IST Primary Campus</v>
      </c>
      <c r="C36" s="176" t="str">
        <f>VLOOKUP(Ruimtestaat[[#This Row],[Code]],Locaties[[#All],[Code]:[Adres]],4,FALSE)</f>
        <v>Joh. ter Horststraat 30</v>
      </c>
      <c r="D36" s="176" t="str">
        <f>VLOOKUP(Ruimtestaat[[#This Row],[Code]],Locaties[[#All],[Code]:[Postcode]],5,FALSE)</f>
        <v>7513 ZH</v>
      </c>
      <c r="E36" s="176" t="str">
        <f>VLOOKUP(Ruimtestaat[[#This Row],[Code]],Locaties[#All],6,FALSE)</f>
        <v>Enschede</v>
      </c>
      <c r="F36" s="149"/>
      <c r="G36" s="149"/>
      <c r="H36" s="300" t="s">
        <v>1653</v>
      </c>
      <c r="I36" s="301" t="s">
        <v>1649</v>
      </c>
      <c r="J36" s="99">
        <v>2</v>
      </c>
      <c r="K36" s="183" t="str">
        <f>VLOOKUP(Ruimtestaat[[#This Row],[Ruimte code]],Ruimtegroepen[[#All],[Code]:[Ruimte omschrijving]],2,FALSE)</f>
        <v>Kantoren</v>
      </c>
      <c r="L36" s="149" t="s">
        <v>100</v>
      </c>
      <c r="M36" s="301" t="s">
        <v>1697</v>
      </c>
      <c r="N36" s="177">
        <v>13.9</v>
      </c>
      <c r="O36" s="177"/>
      <c r="P36" s="178" t="str">
        <f>VLOOKUP(Ruimtestaat[[#This Row],[Ruimte code]],Ruimtegroepen[],4,FALSE)</f>
        <v>Bu</v>
      </c>
      <c r="Q36" s="149">
        <v>40</v>
      </c>
      <c r="R36" s="149" t="s">
        <v>18</v>
      </c>
      <c r="S36" s="149">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6" s="149">
        <f>IF(S36&gt;0,VLOOKUP($J36,Ruimtegroepen[],3,FALSE)*VLOOKUP($L36,Vloersoorten[],3,FALSE)*VLOOKUP($R36,Frequenties[],3,FALSE)*VLOOKUP($A36,Locaties[],3,FALSE),0)</f>
        <v>0</v>
      </c>
      <c r="U36" s="149">
        <f>Ruimtestaat[[#This Row],[Uitvoeringen werkdagen]]*Ruimtestaat[[#This Row],[Oppervlak (netto)]]</f>
        <v>1668</v>
      </c>
      <c r="V36" s="179">
        <f>IF(T36&gt;0,Ruimtestaat[[#This Row],[Prest. (m2 /jaar) werkdagen]]/Ruimtestaat[[#This Row],[Norm (m2/uur) werkdagen]],0)</f>
        <v>0</v>
      </c>
      <c r="W36" s="180">
        <f>Ruimtestaat[[#This Row],[uren / jaar werkdagen]]*Tariefsopbouw!$E$35</f>
        <v>0</v>
      </c>
      <c r="X36" s="149"/>
      <c r="Y36" s="149">
        <f>IF(Ruimtestaat[[#This Row],[Frequentie weekend]]&gt;0,VALUE(LEFT(X36,1))*Q36,0)</f>
        <v>0</v>
      </c>
      <c r="Z36" s="148">
        <f>IF($Y36&gt;0,VLOOKUP($J36,Ruimtegroepen[],3,FALSE)*VLOOKUP($L36,Vloersoorten[],3,FALSE)*VLOOKUP($X36,Frequenties[],3,FALSE)*VLOOKUP(Ruimtestaat[[#This Row],[Code]],Locaties[],3,FALSE),0)</f>
        <v>0</v>
      </c>
      <c r="AA36" s="148">
        <f>Ruimtestaat[[#This Row],[Uitvoeringen weekend]]*Ruimtestaat[[#This Row],[Oppervlak (netto)]]</f>
        <v>0</v>
      </c>
      <c r="AB36" s="148">
        <f>IF(Z36&gt;0,Ruimtestaat[[#This Row],[Prest. (m2 /jaar) weekend]]/Ruimtestaat[[#This Row],[Norm (m2/uur) weekend]],0)</f>
        <v>0</v>
      </c>
      <c r="AC36" s="180">
        <f>Ruimtestaat[[#This Row],[uren / jaar weekend]]*Tariefsopbouw!$D$40</f>
        <v>0</v>
      </c>
      <c r="AD36" s="179">
        <f>Ruimtestaat[[#This Row],[Prest. (m2 /jaar) weekend]]+Ruimtestaat[[#This Row],[Prest. (m2 /jaar) werkdagen]]</f>
        <v>1668</v>
      </c>
      <c r="AE36" s="179">
        <f>Ruimtestaat[[#This Row],[uren / jaar weekend]]+Ruimtestaat[[#This Row],[uren / jaar werkdagen]]</f>
        <v>0</v>
      </c>
      <c r="AF36" s="174">
        <f>Ruimtestaat[[#This Row],[kosten / jaar weekend]]+Ruimtestaat[[#This Row],[kosten / jaar werkdagen]]</f>
        <v>0</v>
      </c>
      <c r="AG36" s="174"/>
      <c r="AH36" s="181" t="str">
        <f>IF(Ruimtestaat[[#This Row],[Frequentie werkdagen]]="","",_xlfn.CONCAT(Ruimtestaat[[#This Row],[Ruimte code]],"-",Ruimtestaat[[#This Row],[Frequentie werkdagen]]," ",Ruimtestaat[[#This Row],[Vloer code]]))</f>
        <v>2-3w L</v>
      </c>
      <c r="AI36" s="185" t="str">
        <f>_xlfn.IFNA(VLOOKUP($AH36,Programma!$F$3:$G$1101,2,0),"")</f>
        <v>_</v>
      </c>
      <c r="AJ36" s="185" t="str">
        <f>_xlfn.IFNA(VLOOKUP($AH36,Programma!$F$3:$H$1101,3,0),"")</f>
        <v>_</v>
      </c>
      <c r="AK36" s="185" t="str">
        <f>_xlfn.IFNA(VLOOKUP($AH36,Programma!$F$3:$I$1101,4,0),"")</f>
        <v>2w</v>
      </c>
      <c r="AL36" s="185" t="str">
        <f>_xlfn.IFNA(VLOOKUP($AH36,Programma!$F$3:$J$1101,5,0),"")</f>
        <v>1w</v>
      </c>
      <c r="AM36" s="185" t="str">
        <f>_xlfn.IFNA(VLOOKUP($AH36,Programma!$F$3:$K$1101,6,0),"")</f>
        <v>_</v>
      </c>
      <c r="AN36" s="185" t="str">
        <f>_xlfn.IFNA(VLOOKUP($AH36,Programma!$F$3:$L$1101,7,0),"")</f>
        <v>_</v>
      </c>
      <c r="AO36" s="185" t="str">
        <f>_xlfn.IFNA(VLOOKUP($AH36,Programma!$F$3:$M$1101,8,0),"")</f>
        <v>_</v>
      </c>
      <c r="AP36" s="185" t="str">
        <f>_xlfn.IFNA(VLOOKUP($AH36,Programma!$F$3:$N$1101,9,0),"")</f>
        <v>_</v>
      </c>
      <c r="AQ36" s="185" t="str">
        <f>_xlfn.IFNA(VLOOKUP($AH36,Programma!$F$3:$O$1101,10,0),"")</f>
        <v>3w</v>
      </c>
      <c r="AR36" s="185" t="str">
        <f>_xlfn.IFNA(VLOOKUP($AH36,Programma!$F$3:$P$1101,11,0),"")</f>
        <v>3w</v>
      </c>
      <c r="AS36" s="185" t="str">
        <f>_xlfn.IFNA(VLOOKUP($AH36,Programma!$F$3:$Q$1101,12,0),"")</f>
        <v>1w</v>
      </c>
      <c r="AT36" s="185" t="str">
        <f>_xlfn.IFNA(VLOOKUP($AH36,Programma!$F$3:$R$1101,13,0),"")</f>
        <v>1w</v>
      </c>
      <c r="AU36" s="185" t="str">
        <f>_xlfn.IFNA(VLOOKUP($AH36,Programma!$F$3:$S$1101,14,0),"")</f>
        <v>1m</v>
      </c>
      <c r="AV36" s="185" t="str">
        <f>_xlfn.IFNA(VLOOKUP($AH36,Programma!$F$3:$T$1101,15,0),"")</f>
        <v>2j</v>
      </c>
      <c r="AW36" s="185" t="str">
        <f>_xlfn.IFNA(VLOOKUP($AH36,Programma!$F$3:$U$1101,16,0),"")</f>
        <v>1j</v>
      </c>
      <c r="AX36" s="185" t="str">
        <f>_xlfn.IFNA(VLOOKUP($AH36,Programma!$F$3:$V$1101,17,0),"")</f>
        <v>_</v>
      </c>
      <c r="AY36" s="185" t="str">
        <f>_xlfn.IFNA(VLOOKUP($AH36,Programma!$F$3:$W$1101,18,0),"")</f>
        <v>_</v>
      </c>
      <c r="AZ36" s="185" t="str">
        <f>_xlfn.IFNA(VLOOKUP($AH36,Programma!$F$3:$X$1101,19,0),"")</f>
        <v>_</v>
      </c>
      <c r="BA36" s="185" t="str">
        <f>_xlfn.IFNA(VLOOKUP($AH36,Programma!$F$3:$Y$1101,20,0),"")</f>
        <v>_</v>
      </c>
      <c r="BB36" s="182"/>
      <c r="BC36" s="181" t="str">
        <f>IF(Ruimtestaat[[#This Row],[Frequentie weekend]]="","",_xlfn.CONCAT(Ruimtestaat[[#This Row],[Ruimte code]],"-",Ruimtestaat[[#This Row],[Frequentie weekend]]," ",Ruimtestaat[[#This Row],[Vloer code]]))</f>
        <v/>
      </c>
      <c r="BD36" s="185" t="str">
        <f>_xlfn.IFNA(VLOOKUP($BC36,Programma!$F$3:$G$1101,2,0),"")</f>
        <v/>
      </c>
      <c r="BE36" s="185" t="str">
        <f>_xlfn.IFNA(VLOOKUP($BC36,Programma!$F$3:$H$1101,3,0),"")</f>
        <v/>
      </c>
      <c r="BF36" s="185" t="str">
        <f>_xlfn.IFNA(VLOOKUP($BC36,Programma!$F$3:$I$1101,4,0),"")</f>
        <v/>
      </c>
      <c r="BG36" s="185" t="str">
        <f>_xlfn.IFNA(VLOOKUP($BC36,Programma!$F$3:$J$1101,5,0),"")</f>
        <v/>
      </c>
      <c r="BH36" s="185" t="str">
        <f>_xlfn.IFNA(VLOOKUP($BC36,Programma!$F$3:$K$1101,6,0),"")</f>
        <v/>
      </c>
      <c r="BI36" s="185" t="str">
        <f>_xlfn.IFNA(VLOOKUP($BC36,Programma!$F$3:$L$1101,7,0),"")</f>
        <v/>
      </c>
      <c r="BJ36" s="185" t="str">
        <f>_xlfn.IFNA(VLOOKUP($BC36,Programma!$F$3:$M$1101,8,0),"")</f>
        <v/>
      </c>
      <c r="BK36" s="185" t="str">
        <f>_xlfn.IFNA(VLOOKUP($BC36,Programma!$F$3:$N$1101,9,0),"")</f>
        <v/>
      </c>
      <c r="BL36" s="185" t="str">
        <f>_xlfn.IFNA(VLOOKUP($BC36,Programma!$F$3:$O$1101,10,0),"")</f>
        <v/>
      </c>
      <c r="BM36" s="185" t="str">
        <f>_xlfn.IFNA(VLOOKUP($BC36,Programma!$F$3:$P$1101,11,0),"")</f>
        <v/>
      </c>
      <c r="BN36" s="185" t="str">
        <f>_xlfn.IFNA(VLOOKUP($BC36,Programma!$F$3:$Q$1101,12,0),"")</f>
        <v/>
      </c>
      <c r="BO36" s="185" t="str">
        <f>_xlfn.IFNA(VLOOKUP($BC36,Programma!$F$3:$R$1101,13,0),"")</f>
        <v/>
      </c>
      <c r="BP36" s="185" t="str">
        <f>_xlfn.IFNA(VLOOKUP($BC36,Programma!$F$3:$S$1101,14,0),"")</f>
        <v/>
      </c>
      <c r="BQ36" s="185" t="str">
        <f>_xlfn.IFNA(VLOOKUP($BC36,Programma!$F$3:$T$1101,15,0),"")</f>
        <v/>
      </c>
      <c r="BR36" s="185" t="str">
        <f>_xlfn.IFNA(VLOOKUP($BC36,Programma!$F$3:$U$1101,16,0),"")</f>
        <v/>
      </c>
      <c r="BS36" s="185" t="str">
        <f>_xlfn.IFNA(VLOOKUP($BC36,Programma!$F$3:$V$1101,17,0),"")</f>
        <v/>
      </c>
      <c r="BT36" s="185" t="str">
        <f>_xlfn.IFNA(VLOOKUP($BC36,Programma!$F$3:$W$1101,18,0),"")</f>
        <v/>
      </c>
      <c r="BU36" s="185" t="str">
        <f>_xlfn.IFNA(VLOOKUP($BC36,Programma!$F$3:$X$1101,19,0),"")</f>
        <v/>
      </c>
      <c r="BV36" s="185" t="str">
        <f>_xlfn.IFNA(VLOOKUP($BC36,Programma!$F$3:$Y$1101,20,0),"")</f>
        <v/>
      </c>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78"/>
      <c r="GE36" s="78"/>
      <c r="GF36" s="78"/>
      <c r="GG36" s="78"/>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row>
    <row r="37" spans="1:219" ht="15" customHeight="1">
      <c r="A37" s="149">
        <v>2</v>
      </c>
      <c r="B37" s="176" t="str">
        <f>VLOOKUP(Ruimtestaat[[#This Row],[Code]],Locaties[[Code]:[Locatie]],2,FALSE)</f>
        <v>IST Primary Campus</v>
      </c>
      <c r="C37" s="176" t="str">
        <f>VLOOKUP(Ruimtestaat[[#This Row],[Code]],Locaties[[#All],[Code]:[Adres]],4,FALSE)</f>
        <v>Joh. ter Horststraat 30</v>
      </c>
      <c r="D37" s="176" t="str">
        <f>VLOOKUP(Ruimtestaat[[#This Row],[Code]],Locaties[[#All],[Code]:[Postcode]],5,FALSE)</f>
        <v>7513 ZH</v>
      </c>
      <c r="E37" s="176" t="str">
        <f>VLOOKUP(Ruimtestaat[[#This Row],[Code]],Locaties[#All],6,FALSE)</f>
        <v>Enschede</v>
      </c>
      <c r="F37" s="149"/>
      <c r="G37" s="149"/>
      <c r="H37" s="300" t="s">
        <v>1654</v>
      </c>
      <c r="I37" s="301" t="s">
        <v>1683</v>
      </c>
      <c r="J37" s="99">
        <v>20</v>
      </c>
      <c r="K37" s="183" t="str">
        <f>VLOOKUP(Ruimtestaat[[#This Row],[Ruimte code]],Ruimtegroepen[[#All],[Code]:[Ruimte omschrijving]],2,FALSE)</f>
        <v>Niet in Onderhoud</v>
      </c>
      <c r="L37" s="149" t="s">
        <v>100</v>
      </c>
      <c r="M37" s="301" t="s">
        <v>1697</v>
      </c>
      <c r="N37" s="177"/>
      <c r="O37" s="177">
        <v>11</v>
      </c>
      <c r="P37" s="178">
        <f>VLOOKUP(Ruimtestaat[[#This Row],[Ruimte code]],Ruimtegroepen[],4,FALSE)</f>
        <v>0</v>
      </c>
      <c r="Q37" s="149"/>
      <c r="R37" s="149"/>
      <c r="S37" s="149">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7" s="149">
        <f>IF(S37&gt;0,VLOOKUP($J37,Ruimtegroepen[],3,FALSE)*VLOOKUP($L37,Vloersoorten[],3,FALSE)*VLOOKUP($R37,Frequenties[],3,FALSE)*VLOOKUP($A37,Locaties[],3,FALSE),0)</f>
        <v>0</v>
      </c>
      <c r="U37" s="149">
        <f>Ruimtestaat[[#This Row],[Uitvoeringen werkdagen]]*Ruimtestaat[[#This Row],[Oppervlak (netto)]]</f>
        <v>0</v>
      </c>
      <c r="V37" s="179">
        <f>IF(T37&gt;0,Ruimtestaat[[#This Row],[Prest. (m2 /jaar) werkdagen]]/Ruimtestaat[[#This Row],[Norm (m2/uur) werkdagen]],0)</f>
        <v>0</v>
      </c>
      <c r="W37" s="180">
        <f>Ruimtestaat[[#This Row],[uren / jaar werkdagen]]*Tariefsopbouw!$E$35</f>
        <v>0</v>
      </c>
      <c r="X37" s="149"/>
      <c r="Y37" s="149">
        <f>IF(Ruimtestaat[[#This Row],[Frequentie weekend]]&gt;0,VALUE(LEFT(X37,1))*Q37,0)</f>
        <v>0</v>
      </c>
      <c r="Z37" s="148">
        <f>IF($Y37&gt;0,VLOOKUP($J37,Ruimtegroepen[],3,FALSE)*VLOOKUP($L37,Vloersoorten[],3,FALSE)*VLOOKUP($X37,Frequenties[],3,FALSE)*VLOOKUP(Ruimtestaat[[#This Row],[Code]],Locaties[],3,FALSE),0)</f>
        <v>0</v>
      </c>
      <c r="AA37" s="148">
        <f>Ruimtestaat[[#This Row],[Uitvoeringen weekend]]*Ruimtestaat[[#This Row],[Oppervlak (netto)]]</f>
        <v>0</v>
      </c>
      <c r="AB37" s="148">
        <f>IF(Z37&gt;0,Ruimtestaat[[#This Row],[Prest. (m2 /jaar) weekend]]/Ruimtestaat[[#This Row],[Norm (m2/uur) weekend]],0)</f>
        <v>0</v>
      </c>
      <c r="AC37" s="180">
        <f>Ruimtestaat[[#This Row],[uren / jaar weekend]]*Tariefsopbouw!$D$40</f>
        <v>0</v>
      </c>
      <c r="AD37" s="179">
        <f>Ruimtestaat[[#This Row],[Prest. (m2 /jaar) weekend]]+Ruimtestaat[[#This Row],[Prest. (m2 /jaar) werkdagen]]</f>
        <v>0</v>
      </c>
      <c r="AE37" s="179">
        <f>Ruimtestaat[[#This Row],[uren / jaar weekend]]+Ruimtestaat[[#This Row],[uren / jaar werkdagen]]</f>
        <v>0</v>
      </c>
      <c r="AF37" s="174">
        <f>Ruimtestaat[[#This Row],[kosten / jaar weekend]]+Ruimtestaat[[#This Row],[kosten / jaar werkdagen]]</f>
        <v>0</v>
      </c>
      <c r="AG37" s="174"/>
      <c r="AH37" s="181" t="str">
        <f>IF(Ruimtestaat[[#This Row],[Frequentie werkdagen]]="","",_xlfn.CONCAT(Ruimtestaat[[#This Row],[Ruimte code]],"-",Ruimtestaat[[#This Row],[Frequentie werkdagen]]," ",Ruimtestaat[[#This Row],[Vloer code]]))</f>
        <v/>
      </c>
      <c r="AI37" s="185" t="str">
        <f>_xlfn.IFNA(VLOOKUP($AH37,Programma!$F$3:$G$1101,2,0),"")</f>
        <v/>
      </c>
      <c r="AJ37" s="185" t="str">
        <f>_xlfn.IFNA(VLOOKUP($AH37,Programma!$F$3:$H$1101,3,0),"")</f>
        <v/>
      </c>
      <c r="AK37" s="185" t="str">
        <f>_xlfn.IFNA(VLOOKUP($AH37,Programma!$F$3:$I$1101,4,0),"")</f>
        <v/>
      </c>
      <c r="AL37" s="185" t="str">
        <f>_xlfn.IFNA(VLOOKUP($AH37,Programma!$F$3:$J$1101,5,0),"")</f>
        <v/>
      </c>
      <c r="AM37" s="185" t="str">
        <f>_xlfn.IFNA(VLOOKUP($AH37,Programma!$F$3:$K$1101,6,0),"")</f>
        <v/>
      </c>
      <c r="AN37" s="185" t="str">
        <f>_xlfn.IFNA(VLOOKUP($AH37,Programma!$F$3:$L$1101,7,0),"")</f>
        <v/>
      </c>
      <c r="AO37" s="185" t="str">
        <f>_xlfn.IFNA(VLOOKUP($AH37,Programma!$F$3:$M$1101,8,0),"")</f>
        <v/>
      </c>
      <c r="AP37" s="185" t="str">
        <f>_xlfn.IFNA(VLOOKUP($AH37,Programma!$F$3:$N$1101,9,0),"")</f>
        <v/>
      </c>
      <c r="AQ37" s="185" t="str">
        <f>_xlfn.IFNA(VLOOKUP($AH37,Programma!$F$3:$O$1101,10,0),"")</f>
        <v/>
      </c>
      <c r="AR37" s="185" t="str">
        <f>_xlfn.IFNA(VLOOKUP($AH37,Programma!$F$3:$P$1101,11,0),"")</f>
        <v/>
      </c>
      <c r="AS37" s="185" t="str">
        <f>_xlfn.IFNA(VLOOKUP($AH37,Programma!$F$3:$Q$1101,12,0),"")</f>
        <v/>
      </c>
      <c r="AT37" s="185" t="str">
        <f>_xlfn.IFNA(VLOOKUP($AH37,Programma!$F$3:$R$1101,13,0),"")</f>
        <v/>
      </c>
      <c r="AU37" s="185" t="str">
        <f>_xlfn.IFNA(VLOOKUP($AH37,Programma!$F$3:$S$1101,14,0),"")</f>
        <v/>
      </c>
      <c r="AV37" s="185" t="str">
        <f>_xlfn.IFNA(VLOOKUP($AH37,Programma!$F$3:$T$1101,15,0),"")</f>
        <v/>
      </c>
      <c r="AW37" s="185" t="str">
        <f>_xlfn.IFNA(VLOOKUP($AH37,Programma!$F$3:$U$1101,16,0),"")</f>
        <v/>
      </c>
      <c r="AX37" s="185" t="str">
        <f>_xlfn.IFNA(VLOOKUP($AH37,Programma!$F$3:$V$1101,17,0),"")</f>
        <v/>
      </c>
      <c r="AY37" s="185" t="str">
        <f>_xlfn.IFNA(VLOOKUP($AH37,Programma!$F$3:$W$1101,18,0),"")</f>
        <v/>
      </c>
      <c r="AZ37" s="185" t="str">
        <f>_xlfn.IFNA(VLOOKUP($AH37,Programma!$F$3:$X$1101,19,0),"")</f>
        <v/>
      </c>
      <c r="BA37" s="185" t="str">
        <f>_xlfn.IFNA(VLOOKUP($AH37,Programma!$F$3:$Y$1101,20,0),"")</f>
        <v/>
      </c>
      <c r="BB37" s="182"/>
      <c r="BC37" s="181" t="str">
        <f>IF(Ruimtestaat[[#This Row],[Frequentie weekend]]="","",_xlfn.CONCAT(Ruimtestaat[[#This Row],[Ruimte code]],"-",Ruimtestaat[[#This Row],[Frequentie weekend]]," ",Ruimtestaat[[#This Row],[Vloer code]]))</f>
        <v/>
      </c>
      <c r="BD37" s="185" t="str">
        <f>_xlfn.IFNA(VLOOKUP($BC37,Programma!$F$3:$G$1101,2,0),"")</f>
        <v/>
      </c>
      <c r="BE37" s="185" t="str">
        <f>_xlfn.IFNA(VLOOKUP($BC37,Programma!$F$3:$H$1101,3,0),"")</f>
        <v/>
      </c>
      <c r="BF37" s="185" t="str">
        <f>_xlfn.IFNA(VLOOKUP($BC37,Programma!$F$3:$I$1101,4,0),"")</f>
        <v/>
      </c>
      <c r="BG37" s="185" t="str">
        <f>_xlfn.IFNA(VLOOKUP($BC37,Programma!$F$3:$J$1101,5,0),"")</f>
        <v/>
      </c>
      <c r="BH37" s="185" t="str">
        <f>_xlfn.IFNA(VLOOKUP($BC37,Programma!$F$3:$K$1101,6,0),"")</f>
        <v/>
      </c>
      <c r="BI37" s="185" t="str">
        <f>_xlfn.IFNA(VLOOKUP($BC37,Programma!$F$3:$L$1101,7,0),"")</f>
        <v/>
      </c>
      <c r="BJ37" s="185" t="str">
        <f>_xlfn.IFNA(VLOOKUP($BC37,Programma!$F$3:$M$1101,8,0),"")</f>
        <v/>
      </c>
      <c r="BK37" s="185" t="str">
        <f>_xlfn.IFNA(VLOOKUP($BC37,Programma!$F$3:$N$1101,9,0),"")</f>
        <v/>
      </c>
      <c r="BL37" s="185" t="str">
        <f>_xlfn.IFNA(VLOOKUP($BC37,Programma!$F$3:$O$1101,10,0),"")</f>
        <v/>
      </c>
      <c r="BM37" s="185" t="str">
        <f>_xlfn.IFNA(VLOOKUP($BC37,Programma!$F$3:$P$1101,11,0),"")</f>
        <v/>
      </c>
      <c r="BN37" s="185" t="str">
        <f>_xlfn.IFNA(VLOOKUP($BC37,Programma!$F$3:$Q$1101,12,0),"")</f>
        <v/>
      </c>
      <c r="BO37" s="185" t="str">
        <f>_xlfn.IFNA(VLOOKUP($BC37,Programma!$F$3:$R$1101,13,0),"")</f>
        <v/>
      </c>
      <c r="BP37" s="185" t="str">
        <f>_xlfn.IFNA(VLOOKUP($BC37,Programma!$F$3:$S$1101,14,0),"")</f>
        <v/>
      </c>
      <c r="BQ37" s="185" t="str">
        <f>_xlfn.IFNA(VLOOKUP($BC37,Programma!$F$3:$T$1101,15,0),"")</f>
        <v/>
      </c>
      <c r="BR37" s="185" t="str">
        <f>_xlfn.IFNA(VLOOKUP($BC37,Programma!$F$3:$U$1101,16,0),"")</f>
        <v/>
      </c>
      <c r="BS37" s="185" t="str">
        <f>_xlfn.IFNA(VLOOKUP($BC37,Programma!$F$3:$V$1101,17,0),"")</f>
        <v/>
      </c>
      <c r="BT37" s="185" t="str">
        <f>_xlfn.IFNA(VLOOKUP($BC37,Programma!$F$3:$W$1101,18,0),"")</f>
        <v/>
      </c>
      <c r="BU37" s="185" t="str">
        <f>_xlfn.IFNA(VLOOKUP($BC37,Programma!$F$3:$X$1101,19,0),"")</f>
        <v/>
      </c>
      <c r="BV37" s="185" t="str">
        <f>_xlfn.IFNA(VLOOKUP($BC37,Programma!$F$3:$Y$1101,20,0),"")</f>
        <v/>
      </c>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78"/>
      <c r="GE37" s="78"/>
      <c r="GF37" s="78"/>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c r="HH37" s="78"/>
      <c r="HI37" s="78"/>
      <c r="HJ37" s="78"/>
      <c r="HK37" s="78"/>
    </row>
    <row r="38" spans="1:219" ht="15" customHeight="1">
      <c r="A38" s="149">
        <v>2</v>
      </c>
      <c r="B38" s="176" t="str">
        <f>VLOOKUP(Ruimtestaat[[#This Row],[Code]],Locaties[[Code]:[Locatie]],2,FALSE)</f>
        <v>IST Primary Campus</v>
      </c>
      <c r="C38" s="176" t="str">
        <f>VLOOKUP(Ruimtestaat[[#This Row],[Code]],Locaties[[#All],[Code]:[Adres]],4,FALSE)</f>
        <v>Joh. ter Horststraat 30</v>
      </c>
      <c r="D38" s="176" t="str">
        <f>VLOOKUP(Ruimtestaat[[#This Row],[Code]],Locaties[[#All],[Code]:[Postcode]],5,FALSE)</f>
        <v>7513 ZH</v>
      </c>
      <c r="E38" s="176" t="str">
        <f>VLOOKUP(Ruimtestaat[[#This Row],[Code]],Locaties[#All],6,FALSE)</f>
        <v>Enschede</v>
      </c>
      <c r="F38" s="149"/>
      <c r="G38" s="149"/>
      <c r="H38" s="300" t="s">
        <v>1656</v>
      </c>
      <c r="I38" s="301" t="s">
        <v>1683</v>
      </c>
      <c r="J38" s="99">
        <v>20</v>
      </c>
      <c r="K38" s="183" t="str">
        <f>VLOOKUP(Ruimtestaat[[#This Row],[Ruimte code]],Ruimtegroepen[[#All],[Code]:[Ruimte omschrijving]],2,FALSE)</f>
        <v>Niet in Onderhoud</v>
      </c>
      <c r="L38" s="149" t="s">
        <v>101</v>
      </c>
      <c r="M38" s="301" t="s">
        <v>1698</v>
      </c>
      <c r="N38" s="177"/>
      <c r="O38" s="177">
        <v>1</v>
      </c>
      <c r="P38" s="178">
        <f>VLOOKUP(Ruimtestaat[[#This Row],[Ruimte code]],Ruimtegroepen[],4,FALSE)</f>
        <v>0</v>
      </c>
      <c r="Q38" s="149"/>
      <c r="R38" s="149"/>
      <c r="S38" s="149">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8" s="149">
        <f>IF(S38&gt;0,VLOOKUP($J38,Ruimtegroepen[],3,FALSE)*VLOOKUP($L38,Vloersoorten[],3,FALSE)*VLOOKUP($R38,Frequenties[],3,FALSE)*VLOOKUP($A38,Locaties[],3,FALSE),0)</f>
        <v>0</v>
      </c>
      <c r="U38" s="149">
        <f>Ruimtestaat[[#This Row],[Uitvoeringen werkdagen]]*Ruimtestaat[[#This Row],[Oppervlak (netto)]]</f>
        <v>0</v>
      </c>
      <c r="V38" s="179">
        <f>IF(T38&gt;0,Ruimtestaat[[#This Row],[Prest. (m2 /jaar) werkdagen]]/Ruimtestaat[[#This Row],[Norm (m2/uur) werkdagen]],0)</f>
        <v>0</v>
      </c>
      <c r="W38" s="180">
        <f>Ruimtestaat[[#This Row],[uren / jaar werkdagen]]*Tariefsopbouw!$E$35</f>
        <v>0</v>
      </c>
      <c r="X38" s="149"/>
      <c r="Y38" s="149">
        <f>IF(Ruimtestaat[[#This Row],[Frequentie weekend]]&gt;0,VALUE(LEFT(X38,1))*Q38,0)</f>
        <v>0</v>
      </c>
      <c r="Z38" s="148">
        <f>IF($Y38&gt;0,VLOOKUP($J38,Ruimtegroepen[],3,FALSE)*VLOOKUP($L38,Vloersoorten[],3,FALSE)*VLOOKUP($X38,Frequenties[],3,FALSE)*VLOOKUP(Ruimtestaat[[#This Row],[Code]],Locaties[],3,FALSE),0)</f>
        <v>0</v>
      </c>
      <c r="AA38" s="148">
        <f>Ruimtestaat[[#This Row],[Uitvoeringen weekend]]*Ruimtestaat[[#This Row],[Oppervlak (netto)]]</f>
        <v>0</v>
      </c>
      <c r="AB38" s="148">
        <f>IF(Z38&gt;0,Ruimtestaat[[#This Row],[Prest. (m2 /jaar) weekend]]/Ruimtestaat[[#This Row],[Norm (m2/uur) weekend]],0)</f>
        <v>0</v>
      </c>
      <c r="AC38" s="180">
        <f>Ruimtestaat[[#This Row],[uren / jaar weekend]]*Tariefsopbouw!$D$40</f>
        <v>0</v>
      </c>
      <c r="AD38" s="179">
        <f>Ruimtestaat[[#This Row],[Prest. (m2 /jaar) weekend]]+Ruimtestaat[[#This Row],[Prest. (m2 /jaar) werkdagen]]</f>
        <v>0</v>
      </c>
      <c r="AE38" s="179">
        <f>Ruimtestaat[[#This Row],[uren / jaar weekend]]+Ruimtestaat[[#This Row],[uren / jaar werkdagen]]</f>
        <v>0</v>
      </c>
      <c r="AF38" s="174">
        <f>Ruimtestaat[[#This Row],[kosten / jaar weekend]]+Ruimtestaat[[#This Row],[kosten / jaar werkdagen]]</f>
        <v>0</v>
      </c>
      <c r="AG38" s="174"/>
      <c r="AH38" s="181" t="str">
        <f>IF(Ruimtestaat[[#This Row],[Frequentie werkdagen]]="","",_xlfn.CONCAT(Ruimtestaat[[#This Row],[Ruimte code]],"-",Ruimtestaat[[#This Row],[Frequentie werkdagen]]," ",Ruimtestaat[[#This Row],[Vloer code]]))</f>
        <v/>
      </c>
      <c r="AI38" s="185" t="str">
        <f>_xlfn.IFNA(VLOOKUP($AH38,Programma!$F$3:$G$1101,2,0),"")</f>
        <v/>
      </c>
      <c r="AJ38" s="185" t="str">
        <f>_xlfn.IFNA(VLOOKUP($AH38,Programma!$F$3:$H$1101,3,0),"")</f>
        <v/>
      </c>
      <c r="AK38" s="185" t="str">
        <f>_xlfn.IFNA(VLOOKUP($AH38,Programma!$F$3:$I$1101,4,0),"")</f>
        <v/>
      </c>
      <c r="AL38" s="185" t="str">
        <f>_xlfn.IFNA(VLOOKUP($AH38,Programma!$F$3:$J$1101,5,0),"")</f>
        <v/>
      </c>
      <c r="AM38" s="185" t="str">
        <f>_xlfn.IFNA(VLOOKUP($AH38,Programma!$F$3:$K$1101,6,0),"")</f>
        <v/>
      </c>
      <c r="AN38" s="185" t="str">
        <f>_xlfn.IFNA(VLOOKUP($AH38,Programma!$F$3:$L$1101,7,0),"")</f>
        <v/>
      </c>
      <c r="AO38" s="185" t="str">
        <f>_xlfn.IFNA(VLOOKUP($AH38,Programma!$F$3:$M$1101,8,0),"")</f>
        <v/>
      </c>
      <c r="AP38" s="185" t="str">
        <f>_xlfn.IFNA(VLOOKUP($AH38,Programma!$F$3:$N$1101,9,0),"")</f>
        <v/>
      </c>
      <c r="AQ38" s="185" t="str">
        <f>_xlfn.IFNA(VLOOKUP($AH38,Programma!$F$3:$O$1101,10,0),"")</f>
        <v/>
      </c>
      <c r="AR38" s="185" t="str">
        <f>_xlfn.IFNA(VLOOKUP($AH38,Programma!$F$3:$P$1101,11,0),"")</f>
        <v/>
      </c>
      <c r="AS38" s="185" t="str">
        <f>_xlfn.IFNA(VLOOKUP($AH38,Programma!$F$3:$Q$1101,12,0),"")</f>
        <v/>
      </c>
      <c r="AT38" s="185" t="str">
        <f>_xlfn.IFNA(VLOOKUP($AH38,Programma!$F$3:$R$1101,13,0),"")</f>
        <v/>
      </c>
      <c r="AU38" s="185" t="str">
        <f>_xlfn.IFNA(VLOOKUP($AH38,Programma!$F$3:$S$1101,14,0),"")</f>
        <v/>
      </c>
      <c r="AV38" s="185" t="str">
        <f>_xlfn.IFNA(VLOOKUP($AH38,Programma!$F$3:$T$1101,15,0),"")</f>
        <v/>
      </c>
      <c r="AW38" s="185" t="str">
        <f>_xlfn.IFNA(VLOOKUP($AH38,Programma!$F$3:$U$1101,16,0),"")</f>
        <v/>
      </c>
      <c r="AX38" s="185" t="str">
        <f>_xlfn.IFNA(VLOOKUP($AH38,Programma!$F$3:$V$1101,17,0),"")</f>
        <v/>
      </c>
      <c r="AY38" s="185" t="str">
        <f>_xlfn.IFNA(VLOOKUP($AH38,Programma!$F$3:$W$1101,18,0),"")</f>
        <v/>
      </c>
      <c r="AZ38" s="185" t="str">
        <f>_xlfn.IFNA(VLOOKUP($AH38,Programma!$F$3:$X$1101,19,0),"")</f>
        <v/>
      </c>
      <c r="BA38" s="185" t="str">
        <f>_xlfn.IFNA(VLOOKUP($AH38,Programma!$F$3:$Y$1101,20,0),"")</f>
        <v/>
      </c>
      <c r="BB38" s="182"/>
      <c r="BC38" s="181" t="str">
        <f>IF(Ruimtestaat[[#This Row],[Frequentie weekend]]="","",_xlfn.CONCAT(Ruimtestaat[[#This Row],[Ruimte code]],"-",Ruimtestaat[[#This Row],[Frequentie weekend]]," ",Ruimtestaat[[#This Row],[Vloer code]]))</f>
        <v/>
      </c>
      <c r="BD38" s="185" t="str">
        <f>_xlfn.IFNA(VLOOKUP($BC38,Programma!$F$3:$G$1101,2,0),"")</f>
        <v/>
      </c>
      <c r="BE38" s="185" t="str">
        <f>_xlfn.IFNA(VLOOKUP($BC38,Programma!$F$3:$H$1101,3,0),"")</f>
        <v/>
      </c>
      <c r="BF38" s="185" t="str">
        <f>_xlfn.IFNA(VLOOKUP($BC38,Programma!$F$3:$I$1101,4,0),"")</f>
        <v/>
      </c>
      <c r="BG38" s="185" t="str">
        <f>_xlfn.IFNA(VLOOKUP($BC38,Programma!$F$3:$J$1101,5,0),"")</f>
        <v/>
      </c>
      <c r="BH38" s="185" t="str">
        <f>_xlfn.IFNA(VLOOKUP($BC38,Programma!$F$3:$K$1101,6,0),"")</f>
        <v/>
      </c>
      <c r="BI38" s="185" t="str">
        <f>_xlfn.IFNA(VLOOKUP($BC38,Programma!$F$3:$L$1101,7,0),"")</f>
        <v/>
      </c>
      <c r="BJ38" s="185" t="str">
        <f>_xlfn.IFNA(VLOOKUP($BC38,Programma!$F$3:$M$1101,8,0),"")</f>
        <v/>
      </c>
      <c r="BK38" s="185" t="str">
        <f>_xlfn.IFNA(VLOOKUP($BC38,Programma!$F$3:$N$1101,9,0),"")</f>
        <v/>
      </c>
      <c r="BL38" s="185" t="str">
        <f>_xlfn.IFNA(VLOOKUP($BC38,Programma!$F$3:$O$1101,10,0),"")</f>
        <v/>
      </c>
      <c r="BM38" s="185" t="str">
        <f>_xlfn.IFNA(VLOOKUP($BC38,Programma!$F$3:$P$1101,11,0),"")</f>
        <v/>
      </c>
      <c r="BN38" s="185" t="str">
        <f>_xlfn.IFNA(VLOOKUP($BC38,Programma!$F$3:$Q$1101,12,0),"")</f>
        <v/>
      </c>
      <c r="BO38" s="185" t="str">
        <f>_xlfn.IFNA(VLOOKUP($BC38,Programma!$F$3:$R$1101,13,0),"")</f>
        <v/>
      </c>
      <c r="BP38" s="185" t="str">
        <f>_xlfn.IFNA(VLOOKUP($BC38,Programma!$F$3:$S$1101,14,0),"")</f>
        <v/>
      </c>
      <c r="BQ38" s="185" t="str">
        <f>_xlfn.IFNA(VLOOKUP($BC38,Programma!$F$3:$T$1101,15,0),"")</f>
        <v/>
      </c>
      <c r="BR38" s="185" t="str">
        <f>_xlfn.IFNA(VLOOKUP($BC38,Programma!$F$3:$U$1101,16,0),"")</f>
        <v/>
      </c>
      <c r="BS38" s="185" t="str">
        <f>_xlfn.IFNA(VLOOKUP($BC38,Programma!$F$3:$V$1101,17,0),"")</f>
        <v/>
      </c>
      <c r="BT38" s="185" t="str">
        <f>_xlfn.IFNA(VLOOKUP($BC38,Programma!$F$3:$W$1101,18,0),"")</f>
        <v/>
      </c>
      <c r="BU38" s="185" t="str">
        <f>_xlfn.IFNA(VLOOKUP($BC38,Programma!$F$3:$X$1101,19,0),"")</f>
        <v/>
      </c>
      <c r="BV38" s="185" t="str">
        <f>_xlfn.IFNA(VLOOKUP($BC38,Programma!$F$3:$Y$1101,20,0),"")</f>
        <v/>
      </c>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c r="EO38" s="78"/>
      <c r="EP38" s="78"/>
      <c r="EQ38" s="78"/>
      <c r="ER38" s="78"/>
      <c r="ES38" s="78"/>
      <c r="ET38" s="78"/>
      <c r="EU38" s="78"/>
      <c r="EV38" s="78"/>
      <c r="EW38" s="78"/>
      <c r="EX38" s="78"/>
      <c r="EY38" s="78"/>
      <c r="EZ38" s="78"/>
      <c r="FA38" s="78"/>
      <c r="FB38" s="78"/>
      <c r="FC38" s="78"/>
      <c r="FD38" s="78"/>
      <c r="FE38" s="78"/>
      <c r="FF38" s="78"/>
      <c r="FG38" s="78"/>
      <c r="FH38" s="78"/>
      <c r="FI38" s="78"/>
      <c r="FJ38" s="78"/>
      <c r="FK38" s="78"/>
      <c r="FL38" s="78"/>
      <c r="FM38" s="78"/>
      <c r="FN38" s="78"/>
      <c r="FO38" s="78"/>
      <c r="FP38" s="78"/>
      <c r="FQ38" s="78"/>
      <c r="FR38" s="78"/>
      <c r="FS38" s="78"/>
      <c r="FT38" s="78"/>
      <c r="FU38" s="78"/>
      <c r="FV38" s="78"/>
      <c r="FW38" s="78"/>
      <c r="FX38" s="78"/>
      <c r="FY38" s="78"/>
      <c r="FZ38" s="78"/>
      <c r="GA38" s="78"/>
      <c r="GB38" s="78"/>
      <c r="GC38" s="78"/>
      <c r="GD38" s="78"/>
      <c r="GE38" s="78"/>
      <c r="GF38" s="78"/>
      <c r="GG38" s="78"/>
      <c r="GH38" s="78"/>
      <c r="GI38" s="78"/>
      <c r="GJ38" s="78"/>
      <c r="GK38" s="78"/>
      <c r="GL38" s="78"/>
      <c r="GM38" s="78"/>
      <c r="GN38" s="78"/>
      <c r="GO38" s="78"/>
      <c r="GP38" s="78"/>
      <c r="GQ38" s="78"/>
      <c r="GR38" s="78"/>
      <c r="GS38" s="78"/>
      <c r="GT38" s="78"/>
      <c r="GU38" s="78"/>
      <c r="GV38" s="78"/>
      <c r="GW38" s="78"/>
      <c r="GX38" s="78"/>
      <c r="GY38" s="78"/>
      <c r="GZ38" s="78"/>
      <c r="HA38" s="78"/>
      <c r="HB38" s="78"/>
      <c r="HC38" s="78"/>
      <c r="HD38" s="78"/>
      <c r="HE38" s="78"/>
      <c r="HF38" s="78"/>
      <c r="HG38" s="78"/>
      <c r="HH38" s="78"/>
      <c r="HI38" s="78"/>
      <c r="HJ38" s="78"/>
      <c r="HK38" s="78"/>
    </row>
    <row r="39" spans="1:219" ht="15" customHeight="1">
      <c r="A39" s="149">
        <v>2</v>
      </c>
      <c r="B39" s="176" t="str">
        <f>VLOOKUP(Ruimtestaat[[#This Row],[Code]],Locaties[[Code]:[Locatie]],2,FALSE)</f>
        <v>IST Primary Campus</v>
      </c>
      <c r="C39" s="176" t="str">
        <f>VLOOKUP(Ruimtestaat[[#This Row],[Code]],Locaties[[#All],[Code]:[Adres]],4,FALSE)</f>
        <v>Joh. ter Horststraat 30</v>
      </c>
      <c r="D39" s="176" t="str">
        <f>VLOOKUP(Ruimtestaat[[#This Row],[Code]],Locaties[[#All],[Code]:[Postcode]],5,FALSE)</f>
        <v>7513 ZH</v>
      </c>
      <c r="E39" s="176" t="str">
        <f>VLOOKUP(Ruimtestaat[[#This Row],[Code]],Locaties[#All],6,FALSE)</f>
        <v>Enschede</v>
      </c>
      <c r="F39" s="149"/>
      <c r="G39" s="149"/>
      <c r="H39" s="300" t="s">
        <v>1657</v>
      </c>
      <c r="I39" s="301" t="s">
        <v>1683</v>
      </c>
      <c r="J39" s="99">
        <v>20</v>
      </c>
      <c r="K39" s="183" t="str">
        <f>VLOOKUP(Ruimtestaat[[#This Row],[Ruimte code]],Ruimtegroepen[[#All],[Code]:[Ruimte omschrijving]],2,FALSE)</f>
        <v>Niet in Onderhoud</v>
      </c>
      <c r="L39" s="149" t="s">
        <v>101</v>
      </c>
      <c r="M39" s="301" t="s">
        <v>1698</v>
      </c>
      <c r="N39" s="177"/>
      <c r="O39" s="177">
        <v>0</v>
      </c>
      <c r="P39" s="178">
        <f>VLOOKUP(Ruimtestaat[[#This Row],[Ruimte code]],Ruimtegroepen[],4,FALSE)</f>
        <v>0</v>
      </c>
      <c r="Q39" s="149"/>
      <c r="R39" s="149"/>
      <c r="S39" s="149">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9" s="149">
        <f>IF(S39&gt;0,VLOOKUP($J39,Ruimtegroepen[],3,FALSE)*VLOOKUP($L39,Vloersoorten[],3,FALSE)*VLOOKUP($R39,Frequenties[],3,FALSE)*VLOOKUP($A39,Locaties[],3,FALSE),0)</f>
        <v>0</v>
      </c>
      <c r="U39" s="149">
        <f>Ruimtestaat[[#This Row],[Uitvoeringen werkdagen]]*Ruimtestaat[[#This Row],[Oppervlak (netto)]]</f>
        <v>0</v>
      </c>
      <c r="V39" s="179">
        <f>IF(T39&gt;0,Ruimtestaat[[#This Row],[Prest. (m2 /jaar) werkdagen]]/Ruimtestaat[[#This Row],[Norm (m2/uur) werkdagen]],0)</f>
        <v>0</v>
      </c>
      <c r="W39" s="180">
        <f>Ruimtestaat[[#This Row],[uren / jaar werkdagen]]*Tariefsopbouw!$E$35</f>
        <v>0</v>
      </c>
      <c r="X39" s="149"/>
      <c r="Y39" s="149">
        <f>IF(Ruimtestaat[[#This Row],[Frequentie weekend]]&gt;0,VALUE(LEFT(X39,1))*Q39,0)</f>
        <v>0</v>
      </c>
      <c r="Z39" s="148">
        <f>IF($Y39&gt;0,VLOOKUP($J39,Ruimtegroepen[],3,FALSE)*VLOOKUP($L39,Vloersoorten[],3,FALSE)*VLOOKUP($X39,Frequenties[],3,FALSE)*VLOOKUP(Ruimtestaat[[#This Row],[Code]],Locaties[],3,FALSE),0)</f>
        <v>0</v>
      </c>
      <c r="AA39" s="148">
        <f>Ruimtestaat[[#This Row],[Uitvoeringen weekend]]*Ruimtestaat[[#This Row],[Oppervlak (netto)]]</f>
        <v>0</v>
      </c>
      <c r="AB39" s="148">
        <f>IF(Z39&gt;0,Ruimtestaat[[#This Row],[Prest. (m2 /jaar) weekend]]/Ruimtestaat[[#This Row],[Norm (m2/uur) weekend]],0)</f>
        <v>0</v>
      </c>
      <c r="AC39" s="180">
        <f>Ruimtestaat[[#This Row],[uren / jaar weekend]]*Tariefsopbouw!$D$40</f>
        <v>0</v>
      </c>
      <c r="AD39" s="179">
        <f>Ruimtestaat[[#This Row],[Prest. (m2 /jaar) weekend]]+Ruimtestaat[[#This Row],[Prest. (m2 /jaar) werkdagen]]</f>
        <v>0</v>
      </c>
      <c r="AE39" s="179">
        <f>Ruimtestaat[[#This Row],[uren / jaar weekend]]+Ruimtestaat[[#This Row],[uren / jaar werkdagen]]</f>
        <v>0</v>
      </c>
      <c r="AF39" s="174">
        <f>Ruimtestaat[[#This Row],[kosten / jaar weekend]]+Ruimtestaat[[#This Row],[kosten / jaar werkdagen]]</f>
        <v>0</v>
      </c>
      <c r="AG39" s="174"/>
      <c r="AH39" s="181" t="str">
        <f>IF(Ruimtestaat[[#This Row],[Frequentie werkdagen]]="","",_xlfn.CONCAT(Ruimtestaat[[#This Row],[Ruimte code]],"-",Ruimtestaat[[#This Row],[Frequentie werkdagen]]," ",Ruimtestaat[[#This Row],[Vloer code]]))</f>
        <v/>
      </c>
      <c r="AI39" s="185" t="str">
        <f>_xlfn.IFNA(VLOOKUP($AH39,Programma!$F$3:$G$1101,2,0),"")</f>
        <v/>
      </c>
      <c r="AJ39" s="185" t="str">
        <f>_xlfn.IFNA(VLOOKUP($AH39,Programma!$F$3:$H$1101,3,0),"")</f>
        <v/>
      </c>
      <c r="AK39" s="185" t="str">
        <f>_xlfn.IFNA(VLOOKUP($AH39,Programma!$F$3:$I$1101,4,0),"")</f>
        <v/>
      </c>
      <c r="AL39" s="185" t="str">
        <f>_xlfn.IFNA(VLOOKUP($AH39,Programma!$F$3:$J$1101,5,0),"")</f>
        <v/>
      </c>
      <c r="AM39" s="185" t="str">
        <f>_xlfn.IFNA(VLOOKUP($AH39,Programma!$F$3:$K$1101,6,0),"")</f>
        <v/>
      </c>
      <c r="AN39" s="185" t="str">
        <f>_xlfn.IFNA(VLOOKUP($AH39,Programma!$F$3:$L$1101,7,0),"")</f>
        <v/>
      </c>
      <c r="AO39" s="185" t="str">
        <f>_xlfn.IFNA(VLOOKUP($AH39,Programma!$F$3:$M$1101,8,0),"")</f>
        <v/>
      </c>
      <c r="AP39" s="185" t="str">
        <f>_xlfn.IFNA(VLOOKUP($AH39,Programma!$F$3:$N$1101,9,0),"")</f>
        <v/>
      </c>
      <c r="AQ39" s="185" t="str">
        <f>_xlfn.IFNA(VLOOKUP($AH39,Programma!$F$3:$O$1101,10,0),"")</f>
        <v/>
      </c>
      <c r="AR39" s="185" t="str">
        <f>_xlfn.IFNA(VLOOKUP($AH39,Programma!$F$3:$P$1101,11,0),"")</f>
        <v/>
      </c>
      <c r="AS39" s="185" t="str">
        <f>_xlfn.IFNA(VLOOKUP($AH39,Programma!$F$3:$Q$1101,12,0),"")</f>
        <v/>
      </c>
      <c r="AT39" s="185" t="str">
        <f>_xlfn.IFNA(VLOOKUP($AH39,Programma!$F$3:$R$1101,13,0),"")</f>
        <v/>
      </c>
      <c r="AU39" s="185" t="str">
        <f>_xlfn.IFNA(VLOOKUP($AH39,Programma!$F$3:$S$1101,14,0),"")</f>
        <v/>
      </c>
      <c r="AV39" s="185" t="str">
        <f>_xlfn.IFNA(VLOOKUP($AH39,Programma!$F$3:$T$1101,15,0),"")</f>
        <v/>
      </c>
      <c r="AW39" s="185" t="str">
        <f>_xlfn.IFNA(VLOOKUP($AH39,Programma!$F$3:$U$1101,16,0),"")</f>
        <v/>
      </c>
      <c r="AX39" s="185" t="str">
        <f>_xlfn.IFNA(VLOOKUP($AH39,Programma!$F$3:$V$1101,17,0),"")</f>
        <v/>
      </c>
      <c r="AY39" s="185" t="str">
        <f>_xlfn.IFNA(VLOOKUP($AH39,Programma!$F$3:$W$1101,18,0),"")</f>
        <v/>
      </c>
      <c r="AZ39" s="185" t="str">
        <f>_xlfn.IFNA(VLOOKUP($AH39,Programma!$F$3:$X$1101,19,0),"")</f>
        <v/>
      </c>
      <c r="BA39" s="185" t="str">
        <f>_xlfn.IFNA(VLOOKUP($AH39,Programma!$F$3:$Y$1101,20,0),"")</f>
        <v/>
      </c>
      <c r="BB39" s="182"/>
      <c r="BC39" s="181" t="str">
        <f>IF(Ruimtestaat[[#This Row],[Frequentie weekend]]="","",_xlfn.CONCAT(Ruimtestaat[[#This Row],[Ruimte code]],"-",Ruimtestaat[[#This Row],[Frequentie weekend]]," ",Ruimtestaat[[#This Row],[Vloer code]]))</f>
        <v/>
      </c>
      <c r="BD39" s="185" t="str">
        <f>_xlfn.IFNA(VLOOKUP($BC39,Programma!$F$3:$G$1101,2,0),"")</f>
        <v/>
      </c>
      <c r="BE39" s="185" t="str">
        <f>_xlfn.IFNA(VLOOKUP($BC39,Programma!$F$3:$H$1101,3,0),"")</f>
        <v/>
      </c>
      <c r="BF39" s="185" t="str">
        <f>_xlfn.IFNA(VLOOKUP($BC39,Programma!$F$3:$I$1101,4,0),"")</f>
        <v/>
      </c>
      <c r="BG39" s="185" t="str">
        <f>_xlfn.IFNA(VLOOKUP($BC39,Programma!$F$3:$J$1101,5,0),"")</f>
        <v/>
      </c>
      <c r="BH39" s="185" t="str">
        <f>_xlfn.IFNA(VLOOKUP($BC39,Programma!$F$3:$K$1101,6,0),"")</f>
        <v/>
      </c>
      <c r="BI39" s="185" t="str">
        <f>_xlfn.IFNA(VLOOKUP($BC39,Programma!$F$3:$L$1101,7,0),"")</f>
        <v/>
      </c>
      <c r="BJ39" s="185" t="str">
        <f>_xlfn.IFNA(VLOOKUP($BC39,Programma!$F$3:$M$1101,8,0),"")</f>
        <v/>
      </c>
      <c r="BK39" s="185" t="str">
        <f>_xlfn.IFNA(VLOOKUP($BC39,Programma!$F$3:$N$1101,9,0),"")</f>
        <v/>
      </c>
      <c r="BL39" s="185" t="str">
        <f>_xlfn.IFNA(VLOOKUP($BC39,Programma!$F$3:$O$1101,10,0),"")</f>
        <v/>
      </c>
      <c r="BM39" s="185" t="str">
        <f>_xlfn.IFNA(VLOOKUP($BC39,Programma!$F$3:$P$1101,11,0),"")</f>
        <v/>
      </c>
      <c r="BN39" s="185" t="str">
        <f>_xlfn.IFNA(VLOOKUP($BC39,Programma!$F$3:$Q$1101,12,0),"")</f>
        <v/>
      </c>
      <c r="BO39" s="185" t="str">
        <f>_xlfn.IFNA(VLOOKUP($BC39,Programma!$F$3:$R$1101,13,0),"")</f>
        <v/>
      </c>
      <c r="BP39" s="185" t="str">
        <f>_xlfn.IFNA(VLOOKUP($BC39,Programma!$F$3:$S$1101,14,0),"")</f>
        <v/>
      </c>
      <c r="BQ39" s="185" t="str">
        <f>_xlfn.IFNA(VLOOKUP($BC39,Programma!$F$3:$T$1101,15,0),"")</f>
        <v/>
      </c>
      <c r="BR39" s="185" t="str">
        <f>_xlfn.IFNA(VLOOKUP($BC39,Programma!$F$3:$U$1101,16,0),"")</f>
        <v/>
      </c>
      <c r="BS39" s="185" t="str">
        <f>_xlfn.IFNA(VLOOKUP($BC39,Programma!$F$3:$V$1101,17,0),"")</f>
        <v/>
      </c>
      <c r="BT39" s="185" t="str">
        <f>_xlfn.IFNA(VLOOKUP($BC39,Programma!$F$3:$W$1101,18,0),"")</f>
        <v/>
      </c>
      <c r="BU39" s="185" t="str">
        <f>_xlfn.IFNA(VLOOKUP($BC39,Programma!$F$3:$X$1101,19,0),"")</f>
        <v/>
      </c>
      <c r="BV39" s="185" t="str">
        <f>_xlfn.IFNA(VLOOKUP($BC39,Programma!$F$3:$Y$1101,20,0),"")</f>
        <v/>
      </c>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c r="EO39" s="78"/>
      <c r="EP39" s="78"/>
      <c r="EQ39" s="78"/>
      <c r="ER39" s="78"/>
      <c r="ES39" s="78"/>
      <c r="ET39" s="78"/>
      <c r="EU39" s="78"/>
      <c r="EV39" s="78"/>
      <c r="EW39" s="78"/>
      <c r="EX39" s="78"/>
      <c r="EY39" s="78"/>
      <c r="EZ39" s="78"/>
      <c r="FA39" s="78"/>
      <c r="FB39" s="78"/>
      <c r="FC39" s="78"/>
      <c r="FD39" s="78"/>
      <c r="FE39" s="78"/>
      <c r="FF39" s="78"/>
      <c r="FG39" s="78"/>
      <c r="FH39" s="78"/>
      <c r="FI39" s="78"/>
      <c r="FJ39" s="78"/>
      <c r="FK39" s="78"/>
      <c r="FL39" s="78"/>
      <c r="FM39" s="78"/>
      <c r="FN39" s="78"/>
      <c r="FO39" s="78"/>
      <c r="FP39" s="78"/>
      <c r="FQ39" s="78"/>
      <c r="FR39" s="78"/>
      <c r="FS39" s="78"/>
      <c r="FT39" s="78"/>
      <c r="FU39" s="78"/>
      <c r="FV39" s="78"/>
      <c r="FW39" s="78"/>
      <c r="FX39" s="78"/>
      <c r="FY39" s="78"/>
      <c r="FZ39" s="78"/>
      <c r="GA39" s="78"/>
      <c r="GB39" s="78"/>
      <c r="GC39" s="78"/>
      <c r="GD39" s="78"/>
      <c r="GE39" s="78"/>
      <c r="GF39" s="78"/>
      <c r="GG39" s="78"/>
      <c r="GH39" s="78"/>
      <c r="GI39" s="78"/>
      <c r="GJ39" s="78"/>
      <c r="GK39" s="78"/>
      <c r="GL39" s="78"/>
      <c r="GM39" s="78"/>
      <c r="GN39" s="78"/>
      <c r="GO39" s="78"/>
      <c r="GP39" s="78"/>
      <c r="GQ39" s="78"/>
      <c r="GR39" s="78"/>
      <c r="GS39" s="78"/>
      <c r="GT39" s="78"/>
      <c r="GU39" s="78"/>
      <c r="GV39" s="78"/>
      <c r="GW39" s="78"/>
      <c r="GX39" s="78"/>
      <c r="GY39" s="78"/>
      <c r="GZ39" s="78"/>
      <c r="HA39" s="78"/>
      <c r="HB39" s="78"/>
      <c r="HC39" s="78"/>
      <c r="HD39" s="78"/>
      <c r="HE39" s="78"/>
      <c r="HF39" s="78"/>
      <c r="HG39" s="78"/>
      <c r="HH39" s="78"/>
      <c r="HI39" s="78"/>
      <c r="HJ39" s="78"/>
      <c r="HK39" s="78"/>
    </row>
    <row r="40" spans="1:219" ht="15" customHeight="1">
      <c r="A40" s="149">
        <v>2</v>
      </c>
      <c r="B40" s="176" t="str">
        <f>VLOOKUP(Ruimtestaat[[#This Row],[Code]],Locaties[[Code]:[Locatie]],2,FALSE)</f>
        <v>IST Primary Campus</v>
      </c>
      <c r="C40" s="176" t="str">
        <f>VLOOKUP(Ruimtestaat[[#This Row],[Code]],Locaties[[#All],[Code]:[Adres]],4,FALSE)</f>
        <v>Joh. ter Horststraat 30</v>
      </c>
      <c r="D40" s="176" t="str">
        <f>VLOOKUP(Ruimtestaat[[#This Row],[Code]],Locaties[[#All],[Code]:[Postcode]],5,FALSE)</f>
        <v>7513 ZH</v>
      </c>
      <c r="E40" s="176" t="str">
        <f>VLOOKUP(Ruimtestaat[[#This Row],[Code]],Locaties[#All],6,FALSE)</f>
        <v>Enschede</v>
      </c>
      <c r="F40" s="149"/>
      <c r="G40" s="149"/>
      <c r="H40" s="300" t="s">
        <v>1659</v>
      </c>
      <c r="I40" s="301" t="s">
        <v>1683</v>
      </c>
      <c r="J40" s="99">
        <v>20</v>
      </c>
      <c r="K40" s="183" t="str">
        <f>VLOOKUP(Ruimtestaat[[#This Row],[Ruimte code]],Ruimtegroepen[[#All],[Code]:[Ruimte omschrijving]],2,FALSE)</f>
        <v>Niet in Onderhoud</v>
      </c>
      <c r="L40" s="149" t="s">
        <v>101</v>
      </c>
      <c r="M40" s="301" t="s">
        <v>1698</v>
      </c>
      <c r="N40" s="177"/>
      <c r="O40" s="177">
        <v>0</v>
      </c>
      <c r="P40" s="178">
        <f>VLOOKUP(Ruimtestaat[[#This Row],[Ruimte code]],Ruimtegroepen[],4,FALSE)</f>
        <v>0</v>
      </c>
      <c r="Q40" s="149"/>
      <c r="R40" s="149"/>
      <c r="S40" s="149">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0" s="149">
        <f>IF(S40&gt;0,VLOOKUP($J40,Ruimtegroepen[],3,FALSE)*VLOOKUP($L40,Vloersoorten[],3,FALSE)*VLOOKUP($R40,Frequenties[],3,FALSE)*VLOOKUP($A40,Locaties[],3,FALSE),0)</f>
        <v>0</v>
      </c>
      <c r="U40" s="149">
        <f>Ruimtestaat[[#This Row],[Uitvoeringen werkdagen]]*Ruimtestaat[[#This Row],[Oppervlak (netto)]]</f>
        <v>0</v>
      </c>
      <c r="V40" s="179">
        <f>IF(T40&gt;0,Ruimtestaat[[#This Row],[Prest. (m2 /jaar) werkdagen]]/Ruimtestaat[[#This Row],[Norm (m2/uur) werkdagen]],0)</f>
        <v>0</v>
      </c>
      <c r="W40" s="180">
        <f>Ruimtestaat[[#This Row],[uren / jaar werkdagen]]*Tariefsopbouw!$E$35</f>
        <v>0</v>
      </c>
      <c r="X40" s="149"/>
      <c r="Y40" s="149">
        <f>IF(Ruimtestaat[[#This Row],[Frequentie weekend]]&gt;0,VALUE(LEFT(X40,1))*Q40,0)</f>
        <v>0</v>
      </c>
      <c r="Z40" s="148">
        <f>IF($Y40&gt;0,VLOOKUP($J40,Ruimtegroepen[],3,FALSE)*VLOOKUP($L40,Vloersoorten[],3,FALSE)*VLOOKUP($X40,Frequenties[],3,FALSE)*VLOOKUP(Ruimtestaat[[#This Row],[Code]],Locaties[],3,FALSE),0)</f>
        <v>0</v>
      </c>
      <c r="AA40" s="148">
        <f>Ruimtestaat[[#This Row],[Uitvoeringen weekend]]*Ruimtestaat[[#This Row],[Oppervlak (netto)]]</f>
        <v>0</v>
      </c>
      <c r="AB40" s="148">
        <f>IF(Z40&gt;0,Ruimtestaat[[#This Row],[Prest. (m2 /jaar) weekend]]/Ruimtestaat[[#This Row],[Norm (m2/uur) weekend]],0)</f>
        <v>0</v>
      </c>
      <c r="AC40" s="180">
        <f>Ruimtestaat[[#This Row],[uren / jaar weekend]]*Tariefsopbouw!$D$40</f>
        <v>0</v>
      </c>
      <c r="AD40" s="179">
        <f>Ruimtestaat[[#This Row],[Prest. (m2 /jaar) weekend]]+Ruimtestaat[[#This Row],[Prest. (m2 /jaar) werkdagen]]</f>
        <v>0</v>
      </c>
      <c r="AE40" s="179">
        <f>Ruimtestaat[[#This Row],[uren / jaar weekend]]+Ruimtestaat[[#This Row],[uren / jaar werkdagen]]</f>
        <v>0</v>
      </c>
      <c r="AF40" s="174">
        <f>Ruimtestaat[[#This Row],[kosten / jaar weekend]]+Ruimtestaat[[#This Row],[kosten / jaar werkdagen]]</f>
        <v>0</v>
      </c>
      <c r="AG40" s="174"/>
      <c r="AH40" s="181" t="str">
        <f>IF(Ruimtestaat[[#This Row],[Frequentie werkdagen]]="","",_xlfn.CONCAT(Ruimtestaat[[#This Row],[Ruimte code]],"-",Ruimtestaat[[#This Row],[Frequentie werkdagen]]," ",Ruimtestaat[[#This Row],[Vloer code]]))</f>
        <v/>
      </c>
      <c r="AI40" s="185" t="str">
        <f>_xlfn.IFNA(VLOOKUP($AH40,Programma!$F$3:$G$1101,2,0),"")</f>
        <v/>
      </c>
      <c r="AJ40" s="185" t="str">
        <f>_xlfn.IFNA(VLOOKUP($AH40,Programma!$F$3:$H$1101,3,0),"")</f>
        <v/>
      </c>
      <c r="AK40" s="185" t="str">
        <f>_xlfn.IFNA(VLOOKUP($AH40,Programma!$F$3:$I$1101,4,0),"")</f>
        <v/>
      </c>
      <c r="AL40" s="185" t="str">
        <f>_xlfn.IFNA(VLOOKUP($AH40,Programma!$F$3:$J$1101,5,0),"")</f>
        <v/>
      </c>
      <c r="AM40" s="185" t="str">
        <f>_xlfn.IFNA(VLOOKUP($AH40,Programma!$F$3:$K$1101,6,0),"")</f>
        <v/>
      </c>
      <c r="AN40" s="185" t="str">
        <f>_xlfn.IFNA(VLOOKUP($AH40,Programma!$F$3:$L$1101,7,0),"")</f>
        <v/>
      </c>
      <c r="AO40" s="185" t="str">
        <f>_xlfn.IFNA(VLOOKUP($AH40,Programma!$F$3:$M$1101,8,0),"")</f>
        <v/>
      </c>
      <c r="AP40" s="185" t="str">
        <f>_xlfn.IFNA(VLOOKUP($AH40,Programma!$F$3:$N$1101,9,0),"")</f>
        <v/>
      </c>
      <c r="AQ40" s="185" t="str">
        <f>_xlfn.IFNA(VLOOKUP($AH40,Programma!$F$3:$O$1101,10,0),"")</f>
        <v/>
      </c>
      <c r="AR40" s="185" t="str">
        <f>_xlfn.IFNA(VLOOKUP($AH40,Programma!$F$3:$P$1101,11,0),"")</f>
        <v/>
      </c>
      <c r="AS40" s="185" t="str">
        <f>_xlfn.IFNA(VLOOKUP($AH40,Programma!$F$3:$Q$1101,12,0),"")</f>
        <v/>
      </c>
      <c r="AT40" s="185" t="str">
        <f>_xlfn.IFNA(VLOOKUP($AH40,Programma!$F$3:$R$1101,13,0),"")</f>
        <v/>
      </c>
      <c r="AU40" s="185" t="str">
        <f>_xlfn.IFNA(VLOOKUP($AH40,Programma!$F$3:$S$1101,14,0),"")</f>
        <v/>
      </c>
      <c r="AV40" s="185" t="str">
        <f>_xlfn.IFNA(VLOOKUP($AH40,Programma!$F$3:$T$1101,15,0),"")</f>
        <v/>
      </c>
      <c r="AW40" s="185" t="str">
        <f>_xlfn.IFNA(VLOOKUP($AH40,Programma!$F$3:$U$1101,16,0),"")</f>
        <v/>
      </c>
      <c r="AX40" s="185" t="str">
        <f>_xlfn.IFNA(VLOOKUP($AH40,Programma!$F$3:$V$1101,17,0),"")</f>
        <v/>
      </c>
      <c r="AY40" s="185" t="str">
        <f>_xlfn.IFNA(VLOOKUP($AH40,Programma!$F$3:$W$1101,18,0),"")</f>
        <v/>
      </c>
      <c r="AZ40" s="185" t="str">
        <f>_xlfn.IFNA(VLOOKUP($AH40,Programma!$F$3:$X$1101,19,0),"")</f>
        <v/>
      </c>
      <c r="BA40" s="185" t="str">
        <f>_xlfn.IFNA(VLOOKUP($AH40,Programma!$F$3:$Y$1101,20,0),"")</f>
        <v/>
      </c>
      <c r="BB40" s="182"/>
      <c r="BC40" s="181" t="str">
        <f>IF(Ruimtestaat[[#This Row],[Frequentie weekend]]="","",_xlfn.CONCAT(Ruimtestaat[[#This Row],[Ruimte code]],"-",Ruimtestaat[[#This Row],[Frequentie weekend]]," ",Ruimtestaat[[#This Row],[Vloer code]]))</f>
        <v/>
      </c>
      <c r="BD40" s="185" t="str">
        <f>_xlfn.IFNA(VLOOKUP($BC40,Programma!$F$3:$G$1101,2,0),"")</f>
        <v/>
      </c>
      <c r="BE40" s="185" t="str">
        <f>_xlfn.IFNA(VLOOKUP($BC40,Programma!$F$3:$H$1101,3,0),"")</f>
        <v/>
      </c>
      <c r="BF40" s="185" t="str">
        <f>_xlfn.IFNA(VLOOKUP($BC40,Programma!$F$3:$I$1101,4,0),"")</f>
        <v/>
      </c>
      <c r="BG40" s="185" t="str">
        <f>_xlfn.IFNA(VLOOKUP($BC40,Programma!$F$3:$J$1101,5,0),"")</f>
        <v/>
      </c>
      <c r="BH40" s="185" t="str">
        <f>_xlfn.IFNA(VLOOKUP($BC40,Programma!$F$3:$K$1101,6,0),"")</f>
        <v/>
      </c>
      <c r="BI40" s="185" t="str">
        <f>_xlfn.IFNA(VLOOKUP($BC40,Programma!$F$3:$L$1101,7,0),"")</f>
        <v/>
      </c>
      <c r="BJ40" s="185" t="str">
        <f>_xlfn.IFNA(VLOOKUP($BC40,Programma!$F$3:$M$1101,8,0),"")</f>
        <v/>
      </c>
      <c r="BK40" s="185" t="str">
        <f>_xlfn.IFNA(VLOOKUP($BC40,Programma!$F$3:$N$1101,9,0),"")</f>
        <v/>
      </c>
      <c r="BL40" s="185" t="str">
        <f>_xlfn.IFNA(VLOOKUP($BC40,Programma!$F$3:$O$1101,10,0),"")</f>
        <v/>
      </c>
      <c r="BM40" s="185" t="str">
        <f>_xlfn.IFNA(VLOOKUP($BC40,Programma!$F$3:$P$1101,11,0),"")</f>
        <v/>
      </c>
      <c r="BN40" s="185" t="str">
        <f>_xlfn.IFNA(VLOOKUP($BC40,Programma!$F$3:$Q$1101,12,0),"")</f>
        <v/>
      </c>
      <c r="BO40" s="185" t="str">
        <f>_xlfn.IFNA(VLOOKUP($BC40,Programma!$F$3:$R$1101,13,0),"")</f>
        <v/>
      </c>
      <c r="BP40" s="185" t="str">
        <f>_xlfn.IFNA(VLOOKUP($BC40,Programma!$F$3:$S$1101,14,0),"")</f>
        <v/>
      </c>
      <c r="BQ40" s="185" t="str">
        <f>_xlfn.IFNA(VLOOKUP($BC40,Programma!$F$3:$T$1101,15,0),"")</f>
        <v/>
      </c>
      <c r="BR40" s="185" t="str">
        <f>_xlfn.IFNA(VLOOKUP($BC40,Programma!$F$3:$U$1101,16,0),"")</f>
        <v/>
      </c>
      <c r="BS40" s="185" t="str">
        <f>_xlfn.IFNA(VLOOKUP($BC40,Programma!$F$3:$V$1101,17,0),"")</f>
        <v/>
      </c>
      <c r="BT40" s="185" t="str">
        <f>_xlfn.IFNA(VLOOKUP($BC40,Programma!$F$3:$W$1101,18,0),"")</f>
        <v/>
      </c>
      <c r="BU40" s="185" t="str">
        <f>_xlfn.IFNA(VLOOKUP($BC40,Programma!$F$3:$X$1101,19,0),"")</f>
        <v/>
      </c>
      <c r="BV40" s="185" t="str">
        <f>_xlfn.IFNA(VLOOKUP($BC40,Programma!$F$3:$Y$1101,20,0),"")</f>
        <v/>
      </c>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c r="FB40" s="78"/>
      <c r="FC40" s="78"/>
      <c r="FD40" s="78"/>
      <c r="FE40" s="78"/>
      <c r="FF40" s="78"/>
      <c r="FG40" s="78"/>
      <c r="FH40" s="78"/>
      <c r="FI40" s="78"/>
      <c r="FJ40" s="78"/>
      <c r="FK40" s="78"/>
      <c r="FL40" s="78"/>
      <c r="FM40" s="78"/>
      <c r="FN40" s="78"/>
      <c r="FO40" s="78"/>
      <c r="FP40" s="78"/>
      <c r="FQ40" s="78"/>
      <c r="FR40" s="78"/>
      <c r="FS40" s="78"/>
      <c r="FT40" s="78"/>
      <c r="FU40" s="78"/>
      <c r="FV40" s="78"/>
      <c r="FW40" s="78"/>
      <c r="FX40" s="78"/>
      <c r="FY40" s="78"/>
      <c r="FZ40" s="78"/>
      <c r="GA40" s="78"/>
      <c r="GB40" s="78"/>
      <c r="GC40" s="78"/>
      <c r="GD40" s="78"/>
      <c r="GE40" s="78"/>
      <c r="GF40" s="78"/>
      <c r="GG40" s="78"/>
      <c r="GH40" s="78"/>
      <c r="GI40" s="78"/>
      <c r="GJ40" s="78"/>
      <c r="GK40" s="78"/>
      <c r="GL40" s="78"/>
      <c r="GM40" s="78"/>
      <c r="GN40" s="78"/>
      <c r="GO40" s="78"/>
      <c r="GP40" s="78"/>
      <c r="GQ40" s="78"/>
      <c r="GR40" s="78"/>
      <c r="GS40" s="78"/>
      <c r="GT40" s="78"/>
      <c r="GU40" s="78"/>
      <c r="GV40" s="78"/>
      <c r="GW40" s="78"/>
      <c r="GX40" s="78"/>
      <c r="GY40" s="78"/>
      <c r="GZ40" s="78"/>
      <c r="HA40" s="78"/>
      <c r="HB40" s="78"/>
      <c r="HC40" s="78"/>
      <c r="HD40" s="78"/>
      <c r="HE40" s="78"/>
      <c r="HF40" s="78"/>
      <c r="HG40" s="78"/>
      <c r="HH40" s="78"/>
      <c r="HI40" s="78"/>
      <c r="HJ40" s="78"/>
      <c r="HK40" s="78"/>
    </row>
    <row r="41" spans="1:219" ht="15" customHeight="1">
      <c r="A41" s="149">
        <v>2</v>
      </c>
      <c r="B41" s="176" t="str">
        <f>VLOOKUP(Ruimtestaat[[#This Row],[Code]],Locaties[[Code]:[Locatie]],2,FALSE)</f>
        <v>IST Primary Campus</v>
      </c>
      <c r="C41" s="176" t="str">
        <f>VLOOKUP(Ruimtestaat[[#This Row],[Code]],Locaties[[#All],[Code]:[Adres]],4,FALSE)</f>
        <v>Joh. ter Horststraat 30</v>
      </c>
      <c r="D41" s="176" t="str">
        <f>VLOOKUP(Ruimtestaat[[#This Row],[Code]],Locaties[[#All],[Code]:[Postcode]],5,FALSE)</f>
        <v>7513 ZH</v>
      </c>
      <c r="E41" s="176" t="str">
        <f>VLOOKUP(Ruimtestaat[[#This Row],[Code]],Locaties[#All],6,FALSE)</f>
        <v>Enschede</v>
      </c>
      <c r="F41" s="149"/>
      <c r="G41" s="149"/>
      <c r="H41" s="300" t="s">
        <v>1660</v>
      </c>
      <c r="I41" s="301" t="s">
        <v>1681</v>
      </c>
      <c r="J41" s="99">
        <v>6</v>
      </c>
      <c r="K41" s="183" t="str">
        <f>VLOOKUP(Ruimtestaat[[#This Row],[Ruimte code]],Ruimtegroepen[[#All],[Code]:[Ruimte omschrijving]],2,FALSE)</f>
        <v>Gangen/hallen</v>
      </c>
      <c r="L41" s="149" t="s">
        <v>100</v>
      </c>
      <c r="M41" s="301" t="s">
        <v>1697</v>
      </c>
      <c r="N41" s="177">
        <v>93.5</v>
      </c>
      <c r="O41" s="177"/>
      <c r="P41" s="178" t="str">
        <f>VLOOKUP(Ruimtestaat[[#This Row],[Ruimte code]],Ruimtegroepen[],4,FALSE)</f>
        <v>Ve</v>
      </c>
      <c r="Q41" s="149">
        <v>40</v>
      </c>
      <c r="R41" s="149" t="s">
        <v>2</v>
      </c>
      <c r="S41" s="149">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 s="149">
        <f>IF(S41&gt;0,VLOOKUP($J41,Ruimtegroepen[],3,FALSE)*VLOOKUP($L41,Vloersoorten[],3,FALSE)*VLOOKUP($R41,Frequenties[],3,FALSE)*VLOOKUP($A41,Locaties[],3,FALSE),0)</f>
        <v>0</v>
      </c>
      <c r="U41" s="149">
        <f>Ruimtestaat[[#This Row],[Uitvoeringen werkdagen]]*Ruimtestaat[[#This Row],[Oppervlak (netto)]]</f>
        <v>18700</v>
      </c>
      <c r="V41" s="179">
        <f>IF(T41&gt;0,Ruimtestaat[[#This Row],[Prest. (m2 /jaar) werkdagen]]/Ruimtestaat[[#This Row],[Norm (m2/uur) werkdagen]],0)</f>
        <v>0</v>
      </c>
      <c r="W41" s="180">
        <f>Ruimtestaat[[#This Row],[uren / jaar werkdagen]]*Tariefsopbouw!$E$35</f>
        <v>0</v>
      </c>
      <c r="X41" s="149"/>
      <c r="Y41" s="149">
        <f>IF(Ruimtestaat[[#This Row],[Frequentie weekend]]&gt;0,VALUE(LEFT(X41,1))*Q41,0)</f>
        <v>0</v>
      </c>
      <c r="Z41" s="148">
        <f>IF($Y41&gt;0,VLOOKUP($J41,Ruimtegroepen[],3,FALSE)*VLOOKUP($L41,Vloersoorten[],3,FALSE)*VLOOKUP($X41,Frequenties[],3,FALSE)*VLOOKUP(Ruimtestaat[[#This Row],[Code]],Locaties[],3,FALSE),0)</f>
        <v>0</v>
      </c>
      <c r="AA41" s="148">
        <f>Ruimtestaat[[#This Row],[Uitvoeringen weekend]]*Ruimtestaat[[#This Row],[Oppervlak (netto)]]</f>
        <v>0</v>
      </c>
      <c r="AB41" s="148">
        <f>IF(Z41&gt;0,Ruimtestaat[[#This Row],[Prest. (m2 /jaar) weekend]]/Ruimtestaat[[#This Row],[Norm (m2/uur) weekend]],0)</f>
        <v>0</v>
      </c>
      <c r="AC41" s="180">
        <f>Ruimtestaat[[#This Row],[uren / jaar weekend]]*Tariefsopbouw!$D$40</f>
        <v>0</v>
      </c>
      <c r="AD41" s="179">
        <f>Ruimtestaat[[#This Row],[Prest. (m2 /jaar) weekend]]+Ruimtestaat[[#This Row],[Prest. (m2 /jaar) werkdagen]]</f>
        <v>18700</v>
      </c>
      <c r="AE41" s="179">
        <f>Ruimtestaat[[#This Row],[uren / jaar weekend]]+Ruimtestaat[[#This Row],[uren / jaar werkdagen]]</f>
        <v>0</v>
      </c>
      <c r="AF41" s="174">
        <f>Ruimtestaat[[#This Row],[kosten / jaar weekend]]+Ruimtestaat[[#This Row],[kosten / jaar werkdagen]]</f>
        <v>0</v>
      </c>
      <c r="AG41" s="174"/>
      <c r="AH41" s="181" t="str">
        <f>IF(Ruimtestaat[[#This Row],[Frequentie werkdagen]]="","",_xlfn.CONCAT(Ruimtestaat[[#This Row],[Ruimte code]],"-",Ruimtestaat[[#This Row],[Frequentie werkdagen]]," ",Ruimtestaat[[#This Row],[Vloer code]]))</f>
        <v>6-5w L</v>
      </c>
      <c r="AI41" s="185" t="str">
        <f>_xlfn.IFNA(VLOOKUP($AH41,Programma!$F$3:$G$1101,2,0),"")</f>
        <v>_</v>
      </c>
      <c r="AJ41" s="185" t="str">
        <f>_xlfn.IFNA(VLOOKUP($AH41,Programma!$F$3:$H$1101,3,0),"")</f>
        <v>_</v>
      </c>
      <c r="AK41" s="185" t="str">
        <f>_xlfn.IFNA(VLOOKUP($AH41,Programma!$F$3:$I$1101,4,0),"")</f>
        <v>_</v>
      </c>
      <c r="AL41" s="185" t="str">
        <f>_xlfn.IFNA(VLOOKUP($AH41,Programma!$F$3:$J$1101,5,0),"")</f>
        <v>5w</v>
      </c>
      <c r="AM41" s="185" t="str">
        <f>_xlfn.IFNA(VLOOKUP($AH41,Programma!$F$3:$K$1101,6,0),"")</f>
        <v>_</v>
      </c>
      <c r="AN41" s="185" t="str">
        <f>_xlfn.IFNA(VLOOKUP($AH41,Programma!$F$3:$L$1101,7,0),"")</f>
        <v>_</v>
      </c>
      <c r="AO41" s="185" t="str">
        <f>_xlfn.IFNA(VLOOKUP($AH41,Programma!$F$3:$M$1101,8,0),"")</f>
        <v>_</v>
      </c>
      <c r="AP41" s="185" t="str">
        <f>_xlfn.IFNA(VLOOKUP($AH41,Programma!$F$3:$N$1101,9,0),"")</f>
        <v>_</v>
      </c>
      <c r="AQ41" s="185" t="str">
        <f>_xlfn.IFNA(VLOOKUP($AH41,Programma!$F$3:$O$1101,10,0),"")</f>
        <v>5w</v>
      </c>
      <c r="AR41" s="185" t="str">
        <f>_xlfn.IFNA(VLOOKUP($AH41,Programma!$F$3:$P$1101,11,0),"")</f>
        <v>5w</v>
      </c>
      <c r="AS41" s="185" t="str">
        <f>_xlfn.IFNA(VLOOKUP($AH41,Programma!$F$3:$Q$1101,12,0),"")</f>
        <v>1w</v>
      </c>
      <c r="AT41" s="185" t="str">
        <f>_xlfn.IFNA(VLOOKUP($AH41,Programma!$F$3:$R$1101,13,0),"")</f>
        <v>1w</v>
      </c>
      <c r="AU41" s="185" t="str">
        <f>_xlfn.IFNA(VLOOKUP($AH41,Programma!$F$3:$S$1101,14,0),"")</f>
        <v>1m</v>
      </c>
      <c r="AV41" s="185" t="str">
        <f>_xlfn.IFNA(VLOOKUP($AH41,Programma!$F$3:$T$1101,15,0),"")</f>
        <v>2j</v>
      </c>
      <c r="AW41" s="185" t="str">
        <f>_xlfn.IFNA(VLOOKUP($AH41,Programma!$F$3:$U$1101,16,0),"")</f>
        <v>1j</v>
      </c>
      <c r="AX41" s="185" t="str">
        <f>_xlfn.IFNA(VLOOKUP($AH41,Programma!$F$3:$V$1101,17,0),"")</f>
        <v>_</v>
      </c>
      <c r="AY41" s="185" t="str">
        <f>_xlfn.IFNA(VLOOKUP($AH41,Programma!$F$3:$W$1101,18,0),"")</f>
        <v>_</v>
      </c>
      <c r="AZ41" s="185" t="str">
        <f>_xlfn.IFNA(VLOOKUP($AH41,Programma!$F$3:$X$1101,19,0),"")</f>
        <v>_</v>
      </c>
      <c r="BA41" s="185" t="str">
        <f>_xlfn.IFNA(VLOOKUP($AH41,Programma!$F$3:$Y$1101,20,0),"")</f>
        <v>_</v>
      </c>
      <c r="BB41" s="182"/>
      <c r="BC41" s="181" t="str">
        <f>IF(Ruimtestaat[[#This Row],[Frequentie weekend]]="","",_xlfn.CONCAT(Ruimtestaat[[#This Row],[Ruimte code]],"-",Ruimtestaat[[#This Row],[Frequentie weekend]]," ",Ruimtestaat[[#This Row],[Vloer code]]))</f>
        <v/>
      </c>
      <c r="BD41" s="185" t="str">
        <f>_xlfn.IFNA(VLOOKUP($BC41,Programma!$F$3:$G$1101,2,0),"")</f>
        <v/>
      </c>
      <c r="BE41" s="185" t="str">
        <f>_xlfn.IFNA(VLOOKUP($BC41,Programma!$F$3:$H$1101,3,0),"")</f>
        <v/>
      </c>
      <c r="BF41" s="185" t="str">
        <f>_xlfn.IFNA(VLOOKUP($BC41,Programma!$F$3:$I$1101,4,0),"")</f>
        <v/>
      </c>
      <c r="BG41" s="185" t="str">
        <f>_xlfn.IFNA(VLOOKUP($BC41,Programma!$F$3:$J$1101,5,0),"")</f>
        <v/>
      </c>
      <c r="BH41" s="185" t="str">
        <f>_xlfn.IFNA(VLOOKUP($BC41,Programma!$F$3:$K$1101,6,0),"")</f>
        <v/>
      </c>
      <c r="BI41" s="185" t="str">
        <f>_xlfn.IFNA(VLOOKUP($BC41,Programma!$F$3:$L$1101,7,0),"")</f>
        <v/>
      </c>
      <c r="BJ41" s="185" t="str">
        <f>_xlfn.IFNA(VLOOKUP($BC41,Programma!$F$3:$M$1101,8,0),"")</f>
        <v/>
      </c>
      <c r="BK41" s="185" t="str">
        <f>_xlfn.IFNA(VLOOKUP($BC41,Programma!$F$3:$N$1101,9,0),"")</f>
        <v/>
      </c>
      <c r="BL41" s="185" t="str">
        <f>_xlfn.IFNA(VLOOKUP($BC41,Programma!$F$3:$O$1101,10,0),"")</f>
        <v/>
      </c>
      <c r="BM41" s="185" t="str">
        <f>_xlfn.IFNA(VLOOKUP($BC41,Programma!$F$3:$P$1101,11,0),"")</f>
        <v/>
      </c>
      <c r="BN41" s="185" t="str">
        <f>_xlfn.IFNA(VLOOKUP($BC41,Programma!$F$3:$Q$1101,12,0),"")</f>
        <v/>
      </c>
      <c r="BO41" s="185" t="str">
        <f>_xlfn.IFNA(VLOOKUP($BC41,Programma!$F$3:$R$1101,13,0),"")</f>
        <v/>
      </c>
      <c r="BP41" s="185" t="str">
        <f>_xlfn.IFNA(VLOOKUP($BC41,Programma!$F$3:$S$1101,14,0),"")</f>
        <v/>
      </c>
      <c r="BQ41" s="185" t="str">
        <f>_xlfn.IFNA(VLOOKUP($BC41,Programma!$F$3:$T$1101,15,0),"")</f>
        <v/>
      </c>
      <c r="BR41" s="185" t="str">
        <f>_xlfn.IFNA(VLOOKUP($BC41,Programma!$F$3:$U$1101,16,0),"")</f>
        <v/>
      </c>
      <c r="BS41" s="185" t="str">
        <f>_xlfn.IFNA(VLOOKUP($BC41,Programma!$F$3:$V$1101,17,0),"")</f>
        <v/>
      </c>
      <c r="BT41" s="185" t="str">
        <f>_xlfn.IFNA(VLOOKUP($BC41,Programma!$F$3:$W$1101,18,0),"")</f>
        <v/>
      </c>
      <c r="BU41" s="185" t="str">
        <f>_xlfn.IFNA(VLOOKUP($BC41,Programma!$F$3:$X$1101,19,0),"")</f>
        <v/>
      </c>
      <c r="BV41" s="185" t="str">
        <f>_xlfn.IFNA(VLOOKUP($BC41,Programma!$F$3:$Y$1101,20,0),"")</f>
        <v/>
      </c>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c r="EO41" s="78"/>
      <c r="EP41" s="78"/>
      <c r="EQ41" s="78"/>
      <c r="ER41" s="78"/>
      <c r="ES41" s="78"/>
      <c r="ET41" s="78"/>
      <c r="EU41" s="78"/>
      <c r="EV41" s="78"/>
      <c r="EW41" s="78"/>
      <c r="EX41" s="78"/>
      <c r="EY41" s="78"/>
      <c r="EZ41" s="78"/>
      <c r="FA41" s="78"/>
      <c r="FB41" s="78"/>
      <c r="FC41" s="78"/>
      <c r="FD41" s="78"/>
      <c r="FE41" s="78"/>
      <c r="FF41" s="78"/>
      <c r="FG41" s="78"/>
      <c r="FH41" s="78"/>
      <c r="FI41" s="78"/>
      <c r="FJ41" s="78"/>
      <c r="FK41" s="78"/>
      <c r="FL41" s="78"/>
      <c r="FM41" s="78"/>
      <c r="FN41" s="78"/>
      <c r="FO41" s="78"/>
      <c r="FP41" s="78"/>
      <c r="FQ41" s="78"/>
      <c r="FR41" s="78"/>
      <c r="FS41" s="78"/>
      <c r="FT41" s="78"/>
      <c r="FU41" s="78"/>
      <c r="FV41" s="78"/>
      <c r="FW41" s="78"/>
      <c r="FX41" s="78"/>
      <c r="FY41" s="78"/>
      <c r="FZ41" s="78"/>
      <c r="GA41" s="78"/>
      <c r="GB41" s="78"/>
      <c r="GC41" s="78"/>
      <c r="GD41" s="78"/>
      <c r="GE41" s="78"/>
      <c r="GF41" s="78"/>
      <c r="GG41" s="78"/>
      <c r="GH41" s="78"/>
      <c r="GI41" s="78"/>
      <c r="GJ41" s="78"/>
      <c r="GK41" s="78"/>
      <c r="GL41" s="78"/>
      <c r="GM41" s="78"/>
      <c r="GN41" s="78"/>
      <c r="GO41" s="78"/>
      <c r="GP41" s="78"/>
      <c r="GQ41" s="78"/>
      <c r="GR41" s="78"/>
      <c r="GS41" s="78"/>
      <c r="GT41" s="78"/>
      <c r="GU41" s="78"/>
      <c r="GV41" s="78"/>
      <c r="GW41" s="78"/>
      <c r="GX41" s="78"/>
      <c r="GY41" s="78"/>
      <c r="GZ41" s="78"/>
      <c r="HA41" s="78"/>
      <c r="HB41" s="78"/>
      <c r="HC41" s="78"/>
      <c r="HD41" s="78"/>
      <c r="HE41" s="78"/>
      <c r="HF41" s="78"/>
      <c r="HG41" s="78"/>
      <c r="HH41" s="78"/>
      <c r="HI41" s="78"/>
      <c r="HJ41" s="78"/>
      <c r="HK41" s="78"/>
    </row>
    <row r="42" spans="1:219" ht="15" customHeight="1">
      <c r="A42" s="149">
        <v>2</v>
      </c>
      <c r="B42" s="176" t="str">
        <f>VLOOKUP(Ruimtestaat[[#This Row],[Code]],Locaties[[Code]:[Locatie]],2,FALSE)</f>
        <v>IST Primary Campus</v>
      </c>
      <c r="C42" s="176" t="str">
        <f>VLOOKUP(Ruimtestaat[[#This Row],[Code]],Locaties[[#All],[Code]:[Adres]],4,FALSE)</f>
        <v>Joh. ter Horststraat 30</v>
      </c>
      <c r="D42" s="176" t="str">
        <f>VLOOKUP(Ruimtestaat[[#This Row],[Code]],Locaties[[#All],[Code]:[Postcode]],5,FALSE)</f>
        <v>7513 ZH</v>
      </c>
      <c r="E42" s="176" t="str">
        <f>VLOOKUP(Ruimtestaat[[#This Row],[Code]],Locaties[#All],6,FALSE)</f>
        <v>Enschede</v>
      </c>
      <c r="F42" s="149"/>
      <c r="G42" s="149"/>
      <c r="H42" s="300" t="s">
        <v>1661</v>
      </c>
      <c r="I42" s="301" t="s">
        <v>1686</v>
      </c>
      <c r="J42" s="99">
        <v>16</v>
      </c>
      <c r="K42" s="183" t="str">
        <f>VLOOKUP(Ruimtestaat[[#This Row],[Ruimte code]],Ruimtegroepen[[#All],[Code]:[Ruimte omschrijving]],2,FALSE)</f>
        <v>Leslokalen</v>
      </c>
      <c r="L42" s="149" t="s">
        <v>100</v>
      </c>
      <c r="M42" s="301" t="s">
        <v>1697</v>
      </c>
      <c r="N42" s="177">
        <v>57.5</v>
      </c>
      <c r="O42" s="177"/>
      <c r="P42" s="178" t="str">
        <f>VLOOKUP(Ruimtestaat[[#This Row],[Ruimte code]],Ruimtegroepen[],4,FALSE)</f>
        <v>Le</v>
      </c>
      <c r="Q42" s="149">
        <v>40</v>
      </c>
      <c r="R42" s="149" t="s">
        <v>2</v>
      </c>
      <c r="S42" s="149">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149">
        <f>IF(S42&gt;0,VLOOKUP($J42,Ruimtegroepen[],3,FALSE)*VLOOKUP($L42,Vloersoorten[],3,FALSE)*VLOOKUP($R42,Frequenties[],3,FALSE)*VLOOKUP($A42,Locaties[],3,FALSE),0)</f>
        <v>0</v>
      </c>
      <c r="U42" s="149">
        <f>Ruimtestaat[[#This Row],[Uitvoeringen werkdagen]]*Ruimtestaat[[#This Row],[Oppervlak (netto)]]</f>
        <v>11500</v>
      </c>
      <c r="V42" s="179">
        <f>IF(T42&gt;0,Ruimtestaat[[#This Row],[Prest. (m2 /jaar) werkdagen]]/Ruimtestaat[[#This Row],[Norm (m2/uur) werkdagen]],0)</f>
        <v>0</v>
      </c>
      <c r="W42" s="180">
        <f>Ruimtestaat[[#This Row],[uren / jaar werkdagen]]*Tariefsopbouw!$E$35</f>
        <v>0</v>
      </c>
      <c r="X42" s="149"/>
      <c r="Y42" s="149">
        <f>IF(Ruimtestaat[[#This Row],[Frequentie weekend]]&gt;0,VALUE(LEFT(X42,1))*Q42,0)</f>
        <v>0</v>
      </c>
      <c r="Z42" s="148">
        <f>IF($Y42&gt;0,VLOOKUP($J42,Ruimtegroepen[],3,FALSE)*VLOOKUP($L42,Vloersoorten[],3,FALSE)*VLOOKUP($X42,Frequenties[],3,FALSE)*VLOOKUP(Ruimtestaat[[#This Row],[Code]],Locaties[],3,FALSE),0)</f>
        <v>0</v>
      </c>
      <c r="AA42" s="148">
        <f>Ruimtestaat[[#This Row],[Uitvoeringen weekend]]*Ruimtestaat[[#This Row],[Oppervlak (netto)]]</f>
        <v>0</v>
      </c>
      <c r="AB42" s="148">
        <f>IF(Z42&gt;0,Ruimtestaat[[#This Row],[Prest. (m2 /jaar) weekend]]/Ruimtestaat[[#This Row],[Norm (m2/uur) weekend]],0)</f>
        <v>0</v>
      </c>
      <c r="AC42" s="180">
        <f>Ruimtestaat[[#This Row],[uren / jaar weekend]]*Tariefsopbouw!$D$40</f>
        <v>0</v>
      </c>
      <c r="AD42" s="179">
        <f>Ruimtestaat[[#This Row],[Prest. (m2 /jaar) weekend]]+Ruimtestaat[[#This Row],[Prest. (m2 /jaar) werkdagen]]</f>
        <v>11500</v>
      </c>
      <c r="AE42" s="179">
        <f>Ruimtestaat[[#This Row],[uren / jaar weekend]]+Ruimtestaat[[#This Row],[uren / jaar werkdagen]]</f>
        <v>0</v>
      </c>
      <c r="AF42" s="174">
        <f>Ruimtestaat[[#This Row],[kosten / jaar weekend]]+Ruimtestaat[[#This Row],[kosten / jaar werkdagen]]</f>
        <v>0</v>
      </c>
      <c r="AG42" s="174"/>
      <c r="AH42" s="181" t="str">
        <f>IF(Ruimtestaat[[#This Row],[Frequentie werkdagen]]="","",_xlfn.CONCAT(Ruimtestaat[[#This Row],[Ruimte code]],"-",Ruimtestaat[[#This Row],[Frequentie werkdagen]]," ",Ruimtestaat[[#This Row],[Vloer code]]))</f>
        <v>16-5w L</v>
      </c>
      <c r="AI42" s="185" t="str">
        <f>_xlfn.IFNA(VLOOKUP($AH42,Programma!$F$3:$G$1101,2,0),"")</f>
        <v>_</v>
      </c>
      <c r="AJ42" s="185" t="str">
        <f>_xlfn.IFNA(VLOOKUP($AH42,Programma!$F$3:$H$1101,3,0),"")</f>
        <v>_</v>
      </c>
      <c r="AK42" s="185" t="str">
        <f>_xlfn.IFNA(VLOOKUP($AH42,Programma!$F$3:$I$1101,4,0),"")</f>
        <v>4w</v>
      </c>
      <c r="AL42" s="185" t="str">
        <f>_xlfn.IFNA(VLOOKUP($AH42,Programma!$F$3:$J$1101,5,0),"")</f>
        <v>1w</v>
      </c>
      <c r="AM42" s="185" t="str">
        <f>_xlfn.IFNA(VLOOKUP($AH42,Programma!$F$3:$K$1101,6,0),"")</f>
        <v>_</v>
      </c>
      <c r="AN42" s="185" t="str">
        <f>_xlfn.IFNA(VLOOKUP($AH42,Programma!$F$3:$L$1101,7,0),"")</f>
        <v>_</v>
      </c>
      <c r="AO42" s="185" t="str">
        <f>_xlfn.IFNA(VLOOKUP($AH42,Programma!$F$3:$M$1101,8,0),"")</f>
        <v>_</v>
      </c>
      <c r="AP42" s="185" t="str">
        <f>_xlfn.IFNA(VLOOKUP($AH42,Programma!$F$3:$N$1101,9,0),"")</f>
        <v>_</v>
      </c>
      <c r="AQ42" s="185" t="str">
        <f>_xlfn.IFNA(VLOOKUP($AH42,Programma!$F$3:$O$1101,10,0),"")</f>
        <v>5w</v>
      </c>
      <c r="AR42" s="185" t="str">
        <f>_xlfn.IFNA(VLOOKUP($AH42,Programma!$F$3:$P$1101,11,0),"")</f>
        <v>5w</v>
      </c>
      <c r="AS42" s="185" t="str">
        <f>_xlfn.IFNA(VLOOKUP($AH42,Programma!$F$3:$Q$1101,12,0),"")</f>
        <v>1w</v>
      </c>
      <c r="AT42" s="185" t="str">
        <f>_xlfn.IFNA(VLOOKUP($AH42,Programma!$F$3:$R$1101,13,0),"")</f>
        <v>1w</v>
      </c>
      <c r="AU42" s="185" t="str">
        <f>_xlfn.IFNA(VLOOKUP($AH42,Programma!$F$3:$S$1101,14,0),"")</f>
        <v>1m</v>
      </c>
      <c r="AV42" s="185" t="str">
        <f>_xlfn.IFNA(VLOOKUP($AH42,Programma!$F$3:$T$1101,15,0),"")</f>
        <v>2j</v>
      </c>
      <c r="AW42" s="185" t="str">
        <f>_xlfn.IFNA(VLOOKUP($AH42,Programma!$F$3:$U$1101,16,0),"")</f>
        <v>1j</v>
      </c>
      <c r="AX42" s="185" t="str">
        <f>_xlfn.IFNA(VLOOKUP($AH42,Programma!$F$3:$V$1101,17,0),"")</f>
        <v>_</v>
      </c>
      <c r="AY42" s="185" t="str">
        <f>_xlfn.IFNA(VLOOKUP($AH42,Programma!$F$3:$W$1101,18,0),"")</f>
        <v>_</v>
      </c>
      <c r="AZ42" s="185" t="str">
        <f>_xlfn.IFNA(VLOOKUP($AH42,Programma!$F$3:$X$1101,19,0),"")</f>
        <v>_</v>
      </c>
      <c r="BA42" s="185" t="str">
        <f>_xlfn.IFNA(VLOOKUP($AH42,Programma!$F$3:$Y$1101,20,0),"")</f>
        <v>_</v>
      </c>
      <c r="BB42" s="182"/>
      <c r="BC42" s="181" t="str">
        <f>IF(Ruimtestaat[[#This Row],[Frequentie weekend]]="","",_xlfn.CONCAT(Ruimtestaat[[#This Row],[Ruimte code]],"-",Ruimtestaat[[#This Row],[Frequentie weekend]]," ",Ruimtestaat[[#This Row],[Vloer code]]))</f>
        <v/>
      </c>
      <c r="BD42" s="185" t="str">
        <f>_xlfn.IFNA(VLOOKUP($BC42,Programma!$F$3:$G$1101,2,0),"")</f>
        <v/>
      </c>
      <c r="BE42" s="185" t="str">
        <f>_xlfn.IFNA(VLOOKUP($BC42,Programma!$F$3:$H$1101,3,0),"")</f>
        <v/>
      </c>
      <c r="BF42" s="185" t="str">
        <f>_xlfn.IFNA(VLOOKUP($BC42,Programma!$F$3:$I$1101,4,0),"")</f>
        <v/>
      </c>
      <c r="BG42" s="185" t="str">
        <f>_xlfn.IFNA(VLOOKUP($BC42,Programma!$F$3:$J$1101,5,0),"")</f>
        <v/>
      </c>
      <c r="BH42" s="185" t="str">
        <f>_xlfn.IFNA(VLOOKUP($BC42,Programma!$F$3:$K$1101,6,0),"")</f>
        <v/>
      </c>
      <c r="BI42" s="185" t="str">
        <f>_xlfn.IFNA(VLOOKUP($BC42,Programma!$F$3:$L$1101,7,0),"")</f>
        <v/>
      </c>
      <c r="BJ42" s="185" t="str">
        <f>_xlfn.IFNA(VLOOKUP($BC42,Programma!$F$3:$M$1101,8,0),"")</f>
        <v/>
      </c>
      <c r="BK42" s="185" t="str">
        <f>_xlfn.IFNA(VLOOKUP($BC42,Programma!$F$3:$N$1101,9,0),"")</f>
        <v/>
      </c>
      <c r="BL42" s="185" t="str">
        <f>_xlfn.IFNA(VLOOKUP($BC42,Programma!$F$3:$O$1101,10,0),"")</f>
        <v/>
      </c>
      <c r="BM42" s="185" t="str">
        <f>_xlfn.IFNA(VLOOKUP($BC42,Programma!$F$3:$P$1101,11,0),"")</f>
        <v/>
      </c>
      <c r="BN42" s="185" t="str">
        <f>_xlfn.IFNA(VLOOKUP($BC42,Programma!$F$3:$Q$1101,12,0),"")</f>
        <v/>
      </c>
      <c r="BO42" s="185" t="str">
        <f>_xlfn.IFNA(VLOOKUP($BC42,Programma!$F$3:$R$1101,13,0),"")</f>
        <v/>
      </c>
      <c r="BP42" s="185" t="str">
        <f>_xlfn.IFNA(VLOOKUP($BC42,Programma!$F$3:$S$1101,14,0),"")</f>
        <v/>
      </c>
      <c r="BQ42" s="185" t="str">
        <f>_xlfn.IFNA(VLOOKUP($BC42,Programma!$F$3:$T$1101,15,0),"")</f>
        <v/>
      </c>
      <c r="BR42" s="185" t="str">
        <f>_xlfn.IFNA(VLOOKUP($BC42,Programma!$F$3:$U$1101,16,0),"")</f>
        <v/>
      </c>
      <c r="BS42" s="185" t="str">
        <f>_xlfn.IFNA(VLOOKUP($BC42,Programma!$F$3:$V$1101,17,0),"")</f>
        <v/>
      </c>
      <c r="BT42" s="185" t="str">
        <f>_xlfn.IFNA(VLOOKUP($BC42,Programma!$F$3:$W$1101,18,0),"")</f>
        <v/>
      </c>
      <c r="BU42" s="185" t="str">
        <f>_xlfn.IFNA(VLOOKUP($BC42,Programma!$F$3:$X$1101,19,0),"")</f>
        <v/>
      </c>
      <c r="BV42" s="185" t="str">
        <f>_xlfn.IFNA(VLOOKUP($BC42,Programma!$F$3:$Y$1101,20,0),"")</f>
        <v/>
      </c>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c r="EO42" s="78"/>
      <c r="EP42" s="78"/>
      <c r="EQ42" s="78"/>
      <c r="ER42" s="78"/>
      <c r="ES42" s="78"/>
      <c r="ET42" s="78"/>
      <c r="EU42" s="78"/>
      <c r="EV42" s="78"/>
      <c r="EW42" s="78"/>
      <c r="EX42" s="78"/>
      <c r="EY42" s="78"/>
      <c r="EZ42" s="78"/>
      <c r="FA42" s="78"/>
      <c r="FB42" s="78"/>
      <c r="FC42" s="78"/>
      <c r="FD42" s="78"/>
      <c r="FE42" s="78"/>
      <c r="FF42" s="78"/>
      <c r="FG42" s="78"/>
      <c r="FH42" s="78"/>
      <c r="FI42" s="78"/>
      <c r="FJ42" s="78"/>
      <c r="FK42" s="78"/>
      <c r="FL42" s="78"/>
      <c r="FM42" s="78"/>
      <c r="FN42" s="78"/>
      <c r="FO42" s="78"/>
      <c r="FP42" s="78"/>
      <c r="FQ42" s="78"/>
      <c r="FR42" s="78"/>
      <c r="FS42" s="78"/>
      <c r="FT42" s="78"/>
      <c r="FU42" s="78"/>
      <c r="FV42" s="78"/>
      <c r="FW42" s="78"/>
      <c r="FX42" s="78"/>
      <c r="FY42" s="78"/>
      <c r="FZ42" s="78"/>
      <c r="GA42" s="78"/>
      <c r="GB42" s="78"/>
      <c r="GC42" s="78"/>
      <c r="GD42" s="78"/>
      <c r="GE42" s="78"/>
      <c r="GF42" s="78"/>
      <c r="GG42" s="78"/>
      <c r="GH42" s="78"/>
      <c r="GI42" s="78"/>
      <c r="GJ42" s="78"/>
      <c r="GK42" s="78"/>
      <c r="GL42" s="78"/>
      <c r="GM42" s="78"/>
      <c r="GN42" s="78"/>
      <c r="GO42" s="78"/>
      <c r="GP42" s="78"/>
      <c r="GQ42" s="78"/>
      <c r="GR42" s="78"/>
      <c r="GS42" s="78"/>
      <c r="GT42" s="78"/>
      <c r="GU42" s="78"/>
      <c r="GV42" s="78"/>
      <c r="GW42" s="78"/>
      <c r="GX42" s="78"/>
      <c r="GY42" s="78"/>
      <c r="GZ42" s="78"/>
      <c r="HA42" s="78"/>
      <c r="HB42" s="78"/>
      <c r="HC42" s="78"/>
      <c r="HD42" s="78"/>
      <c r="HE42" s="78"/>
      <c r="HF42" s="78"/>
      <c r="HG42" s="78"/>
      <c r="HH42" s="78"/>
      <c r="HI42" s="78"/>
      <c r="HJ42" s="78"/>
      <c r="HK42" s="78"/>
    </row>
    <row r="43" spans="1:219" ht="15" customHeight="1">
      <c r="A43" s="149">
        <v>2</v>
      </c>
      <c r="B43" s="176" t="str">
        <f>VLOOKUP(Ruimtestaat[[#This Row],[Code]],Locaties[[Code]:[Locatie]],2,FALSE)</f>
        <v>IST Primary Campus</v>
      </c>
      <c r="C43" s="176" t="str">
        <f>VLOOKUP(Ruimtestaat[[#This Row],[Code]],Locaties[[#All],[Code]:[Adres]],4,FALSE)</f>
        <v>Joh. ter Horststraat 30</v>
      </c>
      <c r="D43" s="176" t="str">
        <f>VLOOKUP(Ruimtestaat[[#This Row],[Code]],Locaties[[#All],[Code]:[Postcode]],5,FALSE)</f>
        <v>7513 ZH</v>
      </c>
      <c r="E43" s="176" t="str">
        <f>VLOOKUP(Ruimtestaat[[#This Row],[Code]],Locaties[#All],6,FALSE)</f>
        <v>Enschede</v>
      </c>
      <c r="F43" s="149"/>
      <c r="G43" s="149"/>
      <c r="H43" s="300" t="s">
        <v>1662</v>
      </c>
      <c r="I43" s="301" t="s">
        <v>1684</v>
      </c>
      <c r="J43" s="99">
        <v>5</v>
      </c>
      <c r="K43" s="183" t="str">
        <f>VLOOKUP(Ruimtestaat[[#This Row],[Ruimte code]],Ruimtegroepen[[#All],[Code]:[Ruimte omschrijving]],2,FALSE)</f>
        <v>Sanitair</v>
      </c>
      <c r="L43" s="149" t="s">
        <v>101</v>
      </c>
      <c r="M43" s="301" t="s">
        <v>1682</v>
      </c>
      <c r="N43" s="177">
        <v>7.4</v>
      </c>
      <c r="O43" s="177"/>
      <c r="P43" s="178" t="str">
        <f>VLOOKUP(Ruimtestaat[[#This Row],[Ruimte code]],Ruimtegroepen[],4,FALSE)</f>
        <v>Sa</v>
      </c>
      <c r="Q43" s="149">
        <v>40</v>
      </c>
      <c r="R43" s="149" t="s">
        <v>2</v>
      </c>
      <c r="S43" s="149">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 s="149">
        <f>IF(S43&gt;0,VLOOKUP($J43,Ruimtegroepen[],3,FALSE)*VLOOKUP($L43,Vloersoorten[],3,FALSE)*VLOOKUP($R43,Frequenties[],3,FALSE)*VLOOKUP($A43,Locaties[],3,FALSE),0)</f>
        <v>0</v>
      </c>
      <c r="U43" s="149">
        <f>Ruimtestaat[[#This Row],[Uitvoeringen werkdagen]]*Ruimtestaat[[#This Row],[Oppervlak (netto)]]</f>
        <v>1480</v>
      </c>
      <c r="V43" s="179">
        <f>IF(T43&gt;0,Ruimtestaat[[#This Row],[Prest. (m2 /jaar) werkdagen]]/Ruimtestaat[[#This Row],[Norm (m2/uur) werkdagen]],0)</f>
        <v>0</v>
      </c>
      <c r="W43" s="180">
        <f>Ruimtestaat[[#This Row],[uren / jaar werkdagen]]*Tariefsopbouw!$E$35</f>
        <v>0</v>
      </c>
      <c r="X43" s="149"/>
      <c r="Y43" s="149">
        <f>IF(Ruimtestaat[[#This Row],[Frequentie weekend]]&gt;0,VALUE(LEFT(X43,1))*Q43,0)</f>
        <v>0</v>
      </c>
      <c r="Z43" s="148">
        <f>IF($Y43&gt;0,VLOOKUP($J43,Ruimtegroepen[],3,FALSE)*VLOOKUP($L43,Vloersoorten[],3,FALSE)*VLOOKUP($X43,Frequenties[],3,FALSE)*VLOOKUP(Ruimtestaat[[#This Row],[Code]],Locaties[],3,FALSE),0)</f>
        <v>0</v>
      </c>
      <c r="AA43" s="148">
        <f>Ruimtestaat[[#This Row],[Uitvoeringen weekend]]*Ruimtestaat[[#This Row],[Oppervlak (netto)]]</f>
        <v>0</v>
      </c>
      <c r="AB43" s="148">
        <f>IF(Z43&gt;0,Ruimtestaat[[#This Row],[Prest. (m2 /jaar) weekend]]/Ruimtestaat[[#This Row],[Norm (m2/uur) weekend]],0)</f>
        <v>0</v>
      </c>
      <c r="AC43" s="180">
        <f>Ruimtestaat[[#This Row],[uren / jaar weekend]]*Tariefsopbouw!$D$40</f>
        <v>0</v>
      </c>
      <c r="AD43" s="179">
        <f>Ruimtestaat[[#This Row],[Prest. (m2 /jaar) weekend]]+Ruimtestaat[[#This Row],[Prest. (m2 /jaar) werkdagen]]</f>
        <v>1480</v>
      </c>
      <c r="AE43" s="179">
        <f>Ruimtestaat[[#This Row],[uren / jaar weekend]]+Ruimtestaat[[#This Row],[uren / jaar werkdagen]]</f>
        <v>0</v>
      </c>
      <c r="AF43" s="174">
        <f>Ruimtestaat[[#This Row],[kosten / jaar weekend]]+Ruimtestaat[[#This Row],[kosten / jaar werkdagen]]</f>
        <v>0</v>
      </c>
      <c r="AG43" s="174"/>
      <c r="AH43" s="181" t="str">
        <f>IF(Ruimtestaat[[#This Row],[Frequentie werkdagen]]="","",_xlfn.CONCAT(Ruimtestaat[[#This Row],[Ruimte code]],"-",Ruimtestaat[[#This Row],[Frequentie werkdagen]]," ",Ruimtestaat[[#This Row],[Vloer code]]))</f>
        <v>5-5w S</v>
      </c>
      <c r="AI43" s="185" t="str">
        <f>_xlfn.IFNA(VLOOKUP($AH43,Programma!$F$3:$G$1101,2,0),"")</f>
        <v>_</v>
      </c>
      <c r="AJ43" s="185" t="str">
        <f>_xlfn.IFNA(VLOOKUP($AH43,Programma!$F$3:$H$1101,3,0),"")</f>
        <v>_</v>
      </c>
      <c r="AK43" s="185" t="str">
        <f>_xlfn.IFNA(VLOOKUP($AH43,Programma!$F$3:$I$1101,4,0),"")</f>
        <v>_</v>
      </c>
      <c r="AL43" s="185" t="str">
        <f>_xlfn.IFNA(VLOOKUP($AH43,Programma!$F$3:$J$1101,5,0),"")</f>
        <v>4w</v>
      </c>
      <c r="AM43" s="185" t="str">
        <f>_xlfn.IFNA(VLOOKUP($AH43,Programma!$F$3:$K$1101,6,0),"")</f>
        <v>1w</v>
      </c>
      <c r="AN43" s="185" t="str">
        <f>_xlfn.IFNA(VLOOKUP($AH43,Programma!$F$3:$L$1101,7,0),"")</f>
        <v>_</v>
      </c>
      <c r="AO43" s="185" t="str">
        <f>_xlfn.IFNA(VLOOKUP($AH43,Programma!$F$3:$M$1101,8,0),"")</f>
        <v>_</v>
      </c>
      <c r="AP43" s="185" t="str">
        <f>_xlfn.IFNA(VLOOKUP($AH43,Programma!$F$3:$N$1101,9,0),"")</f>
        <v>_</v>
      </c>
      <c r="AQ43" s="185" t="str">
        <f>_xlfn.IFNA(VLOOKUP($AH43,Programma!$F$3:$O$1101,10,0),"")</f>
        <v>_</v>
      </c>
      <c r="AR43" s="185" t="str">
        <f>_xlfn.IFNA(VLOOKUP($AH43,Programma!$F$3:$P$1101,11,0),"")</f>
        <v>_</v>
      </c>
      <c r="AS43" s="185" t="str">
        <f>_xlfn.IFNA(VLOOKUP($AH43,Programma!$F$3:$Q$1101,12,0),"")</f>
        <v>_</v>
      </c>
      <c r="AT43" s="185" t="str">
        <f>_xlfn.IFNA(VLOOKUP($AH43,Programma!$F$3:$R$1101,13,0),"")</f>
        <v>_</v>
      </c>
      <c r="AU43" s="185" t="str">
        <f>_xlfn.IFNA(VLOOKUP($AH43,Programma!$F$3:$S$1101,14,0),"")</f>
        <v>_</v>
      </c>
      <c r="AV43" s="185" t="str">
        <f>_xlfn.IFNA(VLOOKUP($AH43,Programma!$F$3:$T$1101,15,0),"")</f>
        <v>_</v>
      </c>
      <c r="AW43" s="185" t="str">
        <f>_xlfn.IFNA(VLOOKUP($AH43,Programma!$F$3:$U$1101,16,0),"")</f>
        <v>_</v>
      </c>
      <c r="AX43" s="185" t="str">
        <f>_xlfn.IFNA(VLOOKUP($AH43,Programma!$F$3:$V$1101,17,0),"")</f>
        <v>_</v>
      </c>
      <c r="AY43" s="185" t="str">
        <f>_xlfn.IFNA(VLOOKUP($AH43,Programma!$F$3:$W$1101,18,0),"")</f>
        <v>4w</v>
      </c>
      <c r="AZ43" s="185" t="str">
        <f>_xlfn.IFNA(VLOOKUP($AH43,Programma!$F$3:$X$1101,19,0),"")</f>
        <v>1w</v>
      </c>
      <c r="BA43" s="185" t="str">
        <f>_xlfn.IFNA(VLOOKUP($AH43,Programma!$F$3:$Y$1101,20,0),"")</f>
        <v>_</v>
      </c>
      <c r="BB43" s="182"/>
      <c r="BC43" s="181" t="str">
        <f>IF(Ruimtestaat[[#This Row],[Frequentie weekend]]="","",_xlfn.CONCAT(Ruimtestaat[[#This Row],[Ruimte code]],"-",Ruimtestaat[[#This Row],[Frequentie weekend]]," ",Ruimtestaat[[#This Row],[Vloer code]]))</f>
        <v/>
      </c>
      <c r="BD43" s="185" t="str">
        <f>_xlfn.IFNA(VLOOKUP($BC43,Programma!$F$3:$G$1101,2,0),"")</f>
        <v/>
      </c>
      <c r="BE43" s="185" t="str">
        <f>_xlfn.IFNA(VLOOKUP($BC43,Programma!$F$3:$H$1101,3,0),"")</f>
        <v/>
      </c>
      <c r="BF43" s="185" t="str">
        <f>_xlfn.IFNA(VLOOKUP($BC43,Programma!$F$3:$I$1101,4,0),"")</f>
        <v/>
      </c>
      <c r="BG43" s="185" t="str">
        <f>_xlfn.IFNA(VLOOKUP($BC43,Programma!$F$3:$J$1101,5,0),"")</f>
        <v/>
      </c>
      <c r="BH43" s="185" t="str">
        <f>_xlfn.IFNA(VLOOKUP($BC43,Programma!$F$3:$K$1101,6,0),"")</f>
        <v/>
      </c>
      <c r="BI43" s="185" t="str">
        <f>_xlfn.IFNA(VLOOKUP($BC43,Programma!$F$3:$L$1101,7,0),"")</f>
        <v/>
      </c>
      <c r="BJ43" s="185" t="str">
        <f>_xlfn.IFNA(VLOOKUP($BC43,Programma!$F$3:$M$1101,8,0),"")</f>
        <v/>
      </c>
      <c r="BK43" s="185" t="str">
        <f>_xlfn.IFNA(VLOOKUP($BC43,Programma!$F$3:$N$1101,9,0),"")</f>
        <v/>
      </c>
      <c r="BL43" s="185" t="str">
        <f>_xlfn.IFNA(VLOOKUP($BC43,Programma!$F$3:$O$1101,10,0),"")</f>
        <v/>
      </c>
      <c r="BM43" s="185" t="str">
        <f>_xlfn.IFNA(VLOOKUP($BC43,Programma!$F$3:$P$1101,11,0),"")</f>
        <v/>
      </c>
      <c r="BN43" s="185" t="str">
        <f>_xlfn.IFNA(VLOOKUP($BC43,Programma!$F$3:$Q$1101,12,0),"")</f>
        <v/>
      </c>
      <c r="BO43" s="185" t="str">
        <f>_xlfn.IFNA(VLOOKUP($BC43,Programma!$F$3:$R$1101,13,0),"")</f>
        <v/>
      </c>
      <c r="BP43" s="185" t="str">
        <f>_xlfn.IFNA(VLOOKUP($BC43,Programma!$F$3:$S$1101,14,0),"")</f>
        <v/>
      </c>
      <c r="BQ43" s="185" t="str">
        <f>_xlfn.IFNA(VLOOKUP($BC43,Programma!$F$3:$T$1101,15,0),"")</f>
        <v/>
      </c>
      <c r="BR43" s="185" t="str">
        <f>_xlfn.IFNA(VLOOKUP($BC43,Programma!$F$3:$U$1101,16,0),"")</f>
        <v/>
      </c>
      <c r="BS43" s="185" t="str">
        <f>_xlfn.IFNA(VLOOKUP($BC43,Programma!$F$3:$V$1101,17,0),"")</f>
        <v/>
      </c>
      <c r="BT43" s="185" t="str">
        <f>_xlfn.IFNA(VLOOKUP($BC43,Programma!$F$3:$W$1101,18,0),"")</f>
        <v/>
      </c>
      <c r="BU43" s="185" t="str">
        <f>_xlfn.IFNA(VLOOKUP($BC43,Programma!$F$3:$X$1101,19,0),"")</f>
        <v/>
      </c>
      <c r="BV43" s="185" t="str">
        <f>_xlfn.IFNA(VLOOKUP($BC43,Programma!$F$3:$Y$1101,20,0),"")</f>
        <v/>
      </c>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c r="EO43" s="78"/>
      <c r="EP43" s="78"/>
      <c r="EQ43" s="78"/>
      <c r="ER43" s="78"/>
      <c r="ES43" s="78"/>
      <c r="ET43" s="78"/>
      <c r="EU43" s="78"/>
      <c r="EV43" s="78"/>
      <c r="EW43" s="78"/>
      <c r="EX43" s="78"/>
      <c r="EY43" s="78"/>
      <c r="EZ43" s="78"/>
      <c r="FA43" s="78"/>
      <c r="FB43" s="78"/>
      <c r="FC43" s="78"/>
      <c r="FD43" s="78"/>
      <c r="FE43" s="78"/>
      <c r="FF43" s="78"/>
      <c r="FG43" s="78"/>
      <c r="FH43" s="78"/>
      <c r="FI43" s="78"/>
      <c r="FJ43" s="78"/>
      <c r="FK43" s="78"/>
      <c r="FL43" s="78"/>
      <c r="FM43" s="78"/>
      <c r="FN43" s="78"/>
      <c r="FO43" s="78"/>
      <c r="FP43" s="78"/>
      <c r="FQ43" s="78"/>
      <c r="FR43" s="78"/>
      <c r="FS43" s="78"/>
      <c r="FT43" s="78"/>
      <c r="FU43" s="78"/>
      <c r="FV43" s="78"/>
      <c r="FW43" s="78"/>
      <c r="FX43" s="78"/>
      <c r="FY43" s="78"/>
      <c r="FZ43" s="78"/>
      <c r="GA43" s="78"/>
      <c r="GB43" s="78"/>
      <c r="GC43" s="78"/>
      <c r="GD43" s="78"/>
      <c r="GE43" s="78"/>
      <c r="GF43" s="78"/>
      <c r="GG43" s="78"/>
      <c r="GH43" s="78"/>
      <c r="GI43" s="78"/>
      <c r="GJ43" s="78"/>
      <c r="GK43" s="78"/>
      <c r="GL43" s="78"/>
      <c r="GM43" s="78"/>
      <c r="GN43" s="78"/>
      <c r="GO43" s="78"/>
      <c r="GP43" s="78"/>
      <c r="GQ43" s="78"/>
      <c r="GR43" s="78"/>
      <c r="GS43" s="78"/>
      <c r="GT43" s="78"/>
      <c r="GU43" s="78"/>
      <c r="GV43" s="78"/>
      <c r="GW43" s="78"/>
      <c r="GX43" s="78"/>
      <c r="GY43" s="78"/>
      <c r="GZ43" s="78"/>
      <c r="HA43" s="78"/>
      <c r="HB43" s="78"/>
      <c r="HC43" s="78"/>
      <c r="HD43" s="78"/>
      <c r="HE43" s="78"/>
      <c r="HF43" s="78"/>
      <c r="HG43" s="78"/>
      <c r="HH43" s="78"/>
      <c r="HI43" s="78"/>
      <c r="HJ43" s="78"/>
      <c r="HK43" s="78"/>
    </row>
    <row r="44" spans="1:219" ht="15" customHeight="1">
      <c r="A44" s="149">
        <v>2</v>
      </c>
      <c r="B44" s="176" t="str">
        <f>VLOOKUP(Ruimtestaat[[#This Row],[Code]],Locaties[[Code]:[Locatie]],2,FALSE)</f>
        <v>IST Primary Campus</v>
      </c>
      <c r="C44" s="176" t="str">
        <f>VLOOKUP(Ruimtestaat[[#This Row],[Code]],Locaties[[#All],[Code]:[Adres]],4,FALSE)</f>
        <v>Joh. ter Horststraat 30</v>
      </c>
      <c r="D44" s="176" t="str">
        <f>VLOOKUP(Ruimtestaat[[#This Row],[Code]],Locaties[[#All],[Code]:[Postcode]],5,FALSE)</f>
        <v>7513 ZH</v>
      </c>
      <c r="E44" s="176" t="str">
        <f>VLOOKUP(Ruimtestaat[[#This Row],[Code]],Locaties[#All],6,FALSE)</f>
        <v>Enschede</v>
      </c>
      <c r="F44" s="149"/>
      <c r="G44" s="149"/>
      <c r="H44" s="300" t="s">
        <v>1663</v>
      </c>
      <c r="I44" s="301" t="s">
        <v>1686</v>
      </c>
      <c r="J44" s="99">
        <v>16</v>
      </c>
      <c r="K44" s="183" t="str">
        <f>VLOOKUP(Ruimtestaat[[#This Row],[Ruimte code]],Ruimtegroepen[[#All],[Code]:[Ruimte omschrijving]],2,FALSE)</f>
        <v>Leslokalen</v>
      </c>
      <c r="L44" s="149" t="s">
        <v>100</v>
      </c>
      <c r="M44" s="301" t="s">
        <v>1697</v>
      </c>
      <c r="N44" s="177">
        <v>57.3</v>
      </c>
      <c r="O44" s="177"/>
      <c r="P44" s="178" t="str">
        <f>VLOOKUP(Ruimtestaat[[#This Row],[Ruimte code]],Ruimtegroepen[],4,FALSE)</f>
        <v>Le</v>
      </c>
      <c r="Q44" s="149">
        <v>40</v>
      </c>
      <c r="R44" s="149" t="s">
        <v>2</v>
      </c>
      <c r="S44" s="149">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 s="149">
        <f>IF(S44&gt;0,VLOOKUP($J44,Ruimtegroepen[],3,FALSE)*VLOOKUP($L44,Vloersoorten[],3,FALSE)*VLOOKUP($R44,Frequenties[],3,FALSE)*VLOOKUP($A44,Locaties[],3,FALSE),0)</f>
        <v>0</v>
      </c>
      <c r="U44" s="149">
        <f>Ruimtestaat[[#This Row],[Uitvoeringen werkdagen]]*Ruimtestaat[[#This Row],[Oppervlak (netto)]]</f>
        <v>11460</v>
      </c>
      <c r="V44" s="179">
        <f>IF(T44&gt;0,Ruimtestaat[[#This Row],[Prest. (m2 /jaar) werkdagen]]/Ruimtestaat[[#This Row],[Norm (m2/uur) werkdagen]],0)</f>
        <v>0</v>
      </c>
      <c r="W44" s="180">
        <f>Ruimtestaat[[#This Row],[uren / jaar werkdagen]]*Tariefsopbouw!$E$35</f>
        <v>0</v>
      </c>
      <c r="X44" s="149"/>
      <c r="Y44" s="149">
        <f>IF(Ruimtestaat[[#This Row],[Frequentie weekend]]&gt;0,VALUE(LEFT(X44,1))*Q44,0)</f>
        <v>0</v>
      </c>
      <c r="Z44" s="148">
        <f>IF($Y44&gt;0,VLOOKUP($J44,Ruimtegroepen[],3,FALSE)*VLOOKUP($L44,Vloersoorten[],3,FALSE)*VLOOKUP($X44,Frequenties[],3,FALSE)*VLOOKUP(Ruimtestaat[[#This Row],[Code]],Locaties[],3,FALSE),0)</f>
        <v>0</v>
      </c>
      <c r="AA44" s="148">
        <f>Ruimtestaat[[#This Row],[Uitvoeringen weekend]]*Ruimtestaat[[#This Row],[Oppervlak (netto)]]</f>
        <v>0</v>
      </c>
      <c r="AB44" s="148">
        <f>IF(Z44&gt;0,Ruimtestaat[[#This Row],[Prest. (m2 /jaar) weekend]]/Ruimtestaat[[#This Row],[Norm (m2/uur) weekend]],0)</f>
        <v>0</v>
      </c>
      <c r="AC44" s="180">
        <f>Ruimtestaat[[#This Row],[uren / jaar weekend]]*Tariefsopbouw!$D$40</f>
        <v>0</v>
      </c>
      <c r="AD44" s="179">
        <f>Ruimtestaat[[#This Row],[Prest. (m2 /jaar) weekend]]+Ruimtestaat[[#This Row],[Prest. (m2 /jaar) werkdagen]]</f>
        <v>11460</v>
      </c>
      <c r="AE44" s="179">
        <f>Ruimtestaat[[#This Row],[uren / jaar weekend]]+Ruimtestaat[[#This Row],[uren / jaar werkdagen]]</f>
        <v>0</v>
      </c>
      <c r="AF44" s="174">
        <f>Ruimtestaat[[#This Row],[kosten / jaar weekend]]+Ruimtestaat[[#This Row],[kosten / jaar werkdagen]]</f>
        <v>0</v>
      </c>
      <c r="AG44" s="174"/>
      <c r="AH44" s="181" t="str">
        <f>IF(Ruimtestaat[[#This Row],[Frequentie werkdagen]]="","",_xlfn.CONCAT(Ruimtestaat[[#This Row],[Ruimte code]],"-",Ruimtestaat[[#This Row],[Frequentie werkdagen]]," ",Ruimtestaat[[#This Row],[Vloer code]]))</f>
        <v>16-5w L</v>
      </c>
      <c r="AI44" s="185" t="str">
        <f>_xlfn.IFNA(VLOOKUP($AH44,Programma!$F$3:$G$1101,2,0),"")</f>
        <v>_</v>
      </c>
      <c r="AJ44" s="185" t="str">
        <f>_xlfn.IFNA(VLOOKUP($AH44,Programma!$F$3:$H$1101,3,0),"")</f>
        <v>_</v>
      </c>
      <c r="AK44" s="185" t="str">
        <f>_xlfn.IFNA(VLOOKUP($AH44,Programma!$F$3:$I$1101,4,0),"")</f>
        <v>4w</v>
      </c>
      <c r="AL44" s="185" t="str">
        <f>_xlfn.IFNA(VLOOKUP($AH44,Programma!$F$3:$J$1101,5,0),"")</f>
        <v>1w</v>
      </c>
      <c r="AM44" s="185" t="str">
        <f>_xlfn.IFNA(VLOOKUP($AH44,Programma!$F$3:$K$1101,6,0),"")</f>
        <v>_</v>
      </c>
      <c r="AN44" s="185" t="str">
        <f>_xlfn.IFNA(VLOOKUP($AH44,Programma!$F$3:$L$1101,7,0),"")</f>
        <v>_</v>
      </c>
      <c r="AO44" s="185" t="str">
        <f>_xlfn.IFNA(VLOOKUP($AH44,Programma!$F$3:$M$1101,8,0),"")</f>
        <v>_</v>
      </c>
      <c r="AP44" s="185" t="str">
        <f>_xlfn.IFNA(VLOOKUP($AH44,Programma!$F$3:$N$1101,9,0),"")</f>
        <v>_</v>
      </c>
      <c r="AQ44" s="185" t="str">
        <f>_xlfn.IFNA(VLOOKUP($AH44,Programma!$F$3:$O$1101,10,0),"")</f>
        <v>5w</v>
      </c>
      <c r="AR44" s="185" t="str">
        <f>_xlfn.IFNA(VLOOKUP($AH44,Programma!$F$3:$P$1101,11,0),"")</f>
        <v>5w</v>
      </c>
      <c r="AS44" s="185" t="str">
        <f>_xlfn.IFNA(VLOOKUP($AH44,Programma!$F$3:$Q$1101,12,0),"")</f>
        <v>1w</v>
      </c>
      <c r="AT44" s="185" t="str">
        <f>_xlfn.IFNA(VLOOKUP($AH44,Programma!$F$3:$R$1101,13,0),"")</f>
        <v>1w</v>
      </c>
      <c r="AU44" s="185" t="str">
        <f>_xlfn.IFNA(VLOOKUP($AH44,Programma!$F$3:$S$1101,14,0),"")</f>
        <v>1m</v>
      </c>
      <c r="AV44" s="185" t="str">
        <f>_xlfn.IFNA(VLOOKUP($AH44,Programma!$F$3:$T$1101,15,0),"")</f>
        <v>2j</v>
      </c>
      <c r="AW44" s="185" t="str">
        <f>_xlfn.IFNA(VLOOKUP($AH44,Programma!$F$3:$U$1101,16,0),"")</f>
        <v>1j</v>
      </c>
      <c r="AX44" s="185" t="str">
        <f>_xlfn.IFNA(VLOOKUP($AH44,Programma!$F$3:$V$1101,17,0),"")</f>
        <v>_</v>
      </c>
      <c r="AY44" s="185" t="str">
        <f>_xlfn.IFNA(VLOOKUP($AH44,Programma!$F$3:$W$1101,18,0),"")</f>
        <v>_</v>
      </c>
      <c r="AZ44" s="185" t="str">
        <f>_xlfn.IFNA(VLOOKUP($AH44,Programma!$F$3:$X$1101,19,0),"")</f>
        <v>_</v>
      </c>
      <c r="BA44" s="185" t="str">
        <f>_xlfn.IFNA(VLOOKUP($AH44,Programma!$F$3:$Y$1101,20,0),"")</f>
        <v>_</v>
      </c>
      <c r="BB44" s="182"/>
      <c r="BC44" s="181" t="str">
        <f>IF(Ruimtestaat[[#This Row],[Frequentie weekend]]="","",_xlfn.CONCAT(Ruimtestaat[[#This Row],[Ruimte code]],"-",Ruimtestaat[[#This Row],[Frequentie weekend]]," ",Ruimtestaat[[#This Row],[Vloer code]]))</f>
        <v/>
      </c>
      <c r="BD44" s="185" t="str">
        <f>_xlfn.IFNA(VLOOKUP($BC44,Programma!$F$3:$G$1101,2,0),"")</f>
        <v/>
      </c>
      <c r="BE44" s="185" t="str">
        <f>_xlfn.IFNA(VLOOKUP($BC44,Programma!$F$3:$H$1101,3,0),"")</f>
        <v/>
      </c>
      <c r="BF44" s="185" t="str">
        <f>_xlfn.IFNA(VLOOKUP($BC44,Programma!$F$3:$I$1101,4,0),"")</f>
        <v/>
      </c>
      <c r="BG44" s="185" t="str">
        <f>_xlfn.IFNA(VLOOKUP($BC44,Programma!$F$3:$J$1101,5,0),"")</f>
        <v/>
      </c>
      <c r="BH44" s="185" t="str">
        <f>_xlfn.IFNA(VLOOKUP($BC44,Programma!$F$3:$K$1101,6,0),"")</f>
        <v/>
      </c>
      <c r="BI44" s="185" t="str">
        <f>_xlfn.IFNA(VLOOKUP($BC44,Programma!$F$3:$L$1101,7,0),"")</f>
        <v/>
      </c>
      <c r="BJ44" s="185" t="str">
        <f>_xlfn.IFNA(VLOOKUP($BC44,Programma!$F$3:$M$1101,8,0),"")</f>
        <v/>
      </c>
      <c r="BK44" s="185" t="str">
        <f>_xlfn.IFNA(VLOOKUP($BC44,Programma!$F$3:$N$1101,9,0),"")</f>
        <v/>
      </c>
      <c r="BL44" s="185" t="str">
        <f>_xlfn.IFNA(VLOOKUP($BC44,Programma!$F$3:$O$1101,10,0),"")</f>
        <v/>
      </c>
      <c r="BM44" s="185" t="str">
        <f>_xlfn.IFNA(VLOOKUP($BC44,Programma!$F$3:$P$1101,11,0),"")</f>
        <v/>
      </c>
      <c r="BN44" s="185" t="str">
        <f>_xlfn.IFNA(VLOOKUP($BC44,Programma!$F$3:$Q$1101,12,0),"")</f>
        <v/>
      </c>
      <c r="BO44" s="185" t="str">
        <f>_xlfn.IFNA(VLOOKUP($BC44,Programma!$F$3:$R$1101,13,0),"")</f>
        <v/>
      </c>
      <c r="BP44" s="185" t="str">
        <f>_xlfn.IFNA(VLOOKUP($BC44,Programma!$F$3:$S$1101,14,0),"")</f>
        <v/>
      </c>
      <c r="BQ44" s="185" t="str">
        <f>_xlfn.IFNA(VLOOKUP($BC44,Programma!$F$3:$T$1101,15,0),"")</f>
        <v/>
      </c>
      <c r="BR44" s="185" t="str">
        <f>_xlfn.IFNA(VLOOKUP($BC44,Programma!$F$3:$U$1101,16,0),"")</f>
        <v/>
      </c>
      <c r="BS44" s="185" t="str">
        <f>_xlfn.IFNA(VLOOKUP($BC44,Programma!$F$3:$V$1101,17,0),"")</f>
        <v/>
      </c>
      <c r="BT44" s="185" t="str">
        <f>_xlfn.IFNA(VLOOKUP($BC44,Programma!$F$3:$W$1101,18,0),"")</f>
        <v/>
      </c>
      <c r="BU44" s="185" t="str">
        <f>_xlfn.IFNA(VLOOKUP($BC44,Programma!$F$3:$X$1101,19,0),"")</f>
        <v/>
      </c>
      <c r="BV44" s="185" t="str">
        <f>_xlfn.IFNA(VLOOKUP($BC44,Programma!$F$3:$Y$1101,20,0),"")</f>
        <v/>
      </c>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c r="EO44" s="78"/>
      <c r="EP44" s="78"/>
      <c r="EQ44" s="78"/>
      <c r="ER44" s="78"/>
      <c r="ES44" s="78"/>
      <c r="ET44" s="78"/>
      <c r="EU44" s="78"/>
      <c r="EV44" s="78"/>
      <c r="EW44" s="78"/>
      <c r="EX44" s="78"/>
      <c r="EY44" s="78"/>
      <c r="EZ44" s="78"/>
      <c r="FA44" s="78"/>
      <c r="FB44" s="78"/>
      <c r="FC44" s="78"/>
      <c r="FD44" s="78"/>
      <c r="FE44" s="78"/>
      <c r="FF44" s="78"/>
      <c r="FG44" s="78"/>
      <c r="FH44" s="78"/>
      <c r="FI44" s="78"/>
      <c r="FJ44" s="78"/>
      <c r="FK44" s="78"/>
      <c r="FL44" s="78"/>
      <c r="FM44" s="78"/>
      <c r="FN44" s="78"/>
      <c r="FO44" s="78"/>
      <c r="FP44" s="78"/>
      <c r="FQ44" s="78"/>
      <c r="FR44" s="78"/>
      <c r="FS44" s="78"/>
      <c r="FT44" s="78"/>
      <c r="FU44" s="78"/>
      <c r="FV44" s="78"/>
      <c r="FW44" s="78"/>
      <c r="FX44" s="78"/>
      <c r="FY44" s="78"/>
      <c r="FZ44" s="78"/>
      <c r="GA44" s="78"/>
      <c r="GB44" s="78"/>
      <c r="GC44" s="78"/>
      <c r="GD44" s="78"/>
      <c r="GE44" s="78"/>
      <c r="GF44" s="78"/>
      <c r="GG44" s="78"/>
      <c r="GH44" s="78"/>
      <c r="GI44" s="78"/>
      <c r="GJ44" s="78"/>
      <c r="GK44" s="78"/>
      <c r="GL44" s="78"/>
      <c r="GM44" s="78"/>
      <c r="GN44" s="78"/>
      <c r="GO44" s="78"/>
      <c r="GP44" s="78"/>
      <c r="GQ44" s="78"/>
      <c r="GR44" s="78"/>
      <c r="GS44" s="78"/>
      <c r="GT44" s="78"/>
      <c r="GU44" s="78"/>
      <c r="GV44" s="78"/>
      <c r="GW44" s="78"/>
      <c r="GX44" s="78"/>
      <c r="GY44" s="78"/>
      <c r="GZ44" s="78"/>
      <c r="HA44" s="78"/>
      <c r="HB44" s="78"/>
      <c r="HC44" s="78"/>
      <c r="HD44" s="78"/>
      <c r="HE44" s="78"/>
      <c r="HF44" s="78"/>
      <c r="HG44" s="78"/>
      <c r="HH44" s="78"/>
      <c r="HI44" s="78"/>
      <c r="HJ44" s="78"/>
      <c r="HK44" s="78"/>
    </row>
    <row r="45" spans="1:219" ht="15" customHeight="1">
      <c r="A45" s="149">
        <v>2</v>
      </c>
      <c r="B45" s="176" t="str">
        <f>VLOOKUP(Ruimtestaat[[#This Row],[Code]],Locaties[[Code]:[Locatie]],2,FALSE)</f>
        <v>IST Primary Campus</v>
      </c>
      <c r="C45" s="176" t="str">
        <f>VLOOKUP(Ruimtestaat[[#This Row],[Code]],Locaties[[#All],[Code]:[Adres]],4,FALSE)</f>
        <v>Joh. ter Horststraat 30</v>
      </c>
      <c r="D45" s="176" t="str">
        <f>VLOOKUP(Ruimtestaat[[#This Row],[Code]],Locaties[[#All],[Code]:[Postcode]],5,FALSE)</f>
        <v>7513 ZH</v>
      </c>
      <c r="E45" s="176" t="str">
        <f>VLOOKUP(Ruimtestaat[[#This Row],[Code]],Locaties[#All],6,FALSE)</f>
        <v>Enschede</v>
      </c>
      <c r="F45" s="149"/>
      <c r="G45" s="149"/>
      <c r="H45" s="300" t="s">
        <v>1664</v>
      </c>
      <c r="I45" s="301" t="s">
        <v>1686</v>
      </c>
      <c r="J45" s="99">
        <v>16</v>
      </c>
      <c r="K45" s="183" t="str">
        <f>VLOOKUP(Ruimtestaat[[#This Row],[Ruimte code]],Ruimtegroepen[[#All],[Code]:[Ruimte omschrijving]],2,FALSE)</f>
        <v>Leslokalen</v>
      </c>
      <c r="L45" s="149" t="s">
        <v>100</v>
      </c>
      <c r="M45" s="301" t="s">
        <v>1697</v>
      </c>
      <c r="N45" s="177">
        <v>57.9</v>
      </c>
      <c r="O45" s="177"/>
      <c r="P45" s="178" t="str">
        <f>VLOOKUP(Ruimtestaat[[#This Row],[Ruimte code]],Ruimtegroepen[],4,FALSE)</f>
        <v>Le</v>
      </c>
      <c r="Q45" s="149">
        <v>40</v>
      </c>
      <c r="R45" s="149" t="s">
        <v>2</v>
      </c>
      <c r="S45" s="149">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 s="149">
        <f>IF(S45&gt;0,VLOOKUP($J45,Ruimtegroepen[],3,FALSE)*VLOOKUP($L45,Vloersoorten[],3,FALSE)*VLOOKUP($R45,Frequenties[],3,FALSE)*VLOOKUP($A45,Locaties[],3,FALSE),0)</f>
        <v>0</v>
      </c>
      <c r="U45" s="149">
        <f>Ruimtestaat[[#This Row],[Uitvoeringen werkdagen]]*Ruimtestaat[[#This Row],[Oppervlak (netto)]]</f>
        <v>11580</v>
      </c>
      <c r="V45" s="179">
        <f>IF(T45&gt;0,Ruimtestaat[[#This Row],[Prest. (m2 /jaar) werkdagen]]/Ruimtestaat[[#This Row],[Norm (m2/uur) werkdagen]],0)</f>
        <v>0</v>
      </c>
      <c r="W45" s="180">
        <f>Ruimtestaat[[#This Row],[uren / jaar werkdagen]]*Tariefsopbouw!$E$35</f>
        <v>0</v>
      </c>
      <c r="X45" s="149"/>
      <c r="Y45" s="149">
        <f>IF(Ruimtestaat[[#This Row],[Frequentie weekend]]&gt;0,VALUE(LEFT(X45,1))*Q45,0)</f>
        <v>0</v>
      </c>
      <c r="Z45" s="148">
        <f>IF($Y45&gt;0,VLOOKUP($J45,Ruimtegroepen[],3,FALSE)*VLOOKUP($L45,Vloersoorten[],3,FALSE)*VLOOKUP($X45,Frequenties[],3,FALSE)*VLOOKUP(Ruimtestaat[[#This Row],[Code]],Locaties[],3,FALSE),0)</f>
        <v>0</v>
      </c>
      <c r="AA45" s="148">
        <f>Ruimtestaat[[#This Row],[Uitvoeringen weekend]]*Ruimtestaat[[#This Row],[Oppervlak (netto)]]</f>
        <v>0</v>
      </c>
      <c r="AB45" s="148">
        <f>IF(Z45&gt;0,Ruimtestaat[[#This Row],[Prest. (m2 /jaar) weekend]]/Ruimtestaat[[#This Row],[Norm (m2/uur) weekend]],0)</f>
        <v>0</v>
      </c>
      <c r="AC45" s="180">
        <f>Ruimtestaat[[#This Row],[uren / jaar weekend]]*Tariefsopbouw!$D$40</f>
        <v>0</v>
      </c>
      <c r="AD45" s="179">
        <f>Ruimtestaat[[#This Row],[Prest. (m2 /jaar) weekend]]+Ruimtestaat[[#This Row],[Prest. (m2 /jaar) werkdagen]]</f>
        <v>11580</v>
      </c>
      <c r="AE45" s="179">
        <f>Ruimtestaat[[#This Row],[uren / jaar weekend]]+Ruimtestaat[[#This Row],[uren / jaar werkdagen]]</f>
        <v>0</v>
      </c>
      <c r="AF45" s="174">
        <f>Ruimtestaat[[#This Row],[kosten / jaar weekend]]+Ruimtestaat[[#This Row],[kosten / jaar werkdagen]]</f>
        <v>0</v>
      </c>
      <c r="AG45" s="174"/>
      <c r="AH45" s="181" t="str">
        <f>IF(Ruimtestaat[[#This Row],[Frequentie werkdagen]]="","",_xlfn.CONCAT(Ruimtestaat[[#This Row],[Ruimte code]],"-",Ruimtestaat[[#This Row],[Frequentie werkdagen]]," ",Ruimtestaat[[#This Row],[Vloer code]]))</f>
        <v>16-5w L</v>
      </c>
      <c r="AI45" s="185" t="str">
        <f>_xlfn.IFNA(VLOOKUP($AH45,Programma!$F$3:$G$1101,2,0),"")</f>
        <v>_</v>
      </c>
      <c r="AJ45" s="185" t="str">
        <f>_xlfn.IFNA(VLOOKUP($AH45,Programma!$F$3:$H$1101,3,0),"")</f>
        <v>_</v>
      </c>
      <c r="AK45" s="185" t="str">
        <f>_xlfn.IFNA(VLOOKUP($AH45,Programma!$F$3:$I$1101,4,0),"")</f>
        <v>4w</v>
      </c>
      <c r="AL45" s="185" t="str">
        <f>_xlfn.IFNA(VLOOKUP($AH45,Programma!$F$3:$J$1101,5,0),"")</f>
        <v>1w</v>
      </c>
      <c r="AM45" s="185" t="str">
        <f>_xlfn.IFNA(VLOOKUP($AH45,Programma!$F$3:$K$1101,6,0),"")</f>
        <v>_</v>
      </c>
      <c r="AN45" s="185" t="str">
        <f>_xlfn.IFNA(VLOOKUP($AH45,Programma!$F$3:$L$1101,7,0),"")</f>
        <v>_</v>
      </c>
      <c r="AO45" s="185" t="str">
        <f>_xlfn.IFNA(VLOOKUP($AH45,Programma!$F$3:$M$1101,8,0),"")</f>
        <v>_</v>
      </c>
      <c r="AP45" s="185" t="str">
        <f>_xlfn.IFNA(VLOOKUP($AH45,Programma!$F$3:$N$1101,9,0),"")</f>
        <v>_</v>
      </c>
      <c r="AQ45" s="185" t="str">
        <f>_xlfn.IFNA(VLOOKUP($AH45,Programma!$F$3:$O$1101,10,0),"")</f>
        <v>5w</v>
      </c>
      <c r="AR45" s="185" t="str">
        <f>_xlfn.IFNA(VLOOKUP($AH45,Programma!$F$3:$P$1101,11,0),"")</f>
        <v>5w</v>
      </c>
      <c r="AS45" s="185" t="str">
        <f>_xlfn.IFNA(VLOOKUP($AH45,Programma!$F$3:$Q$1101,12,0),"")</f>
        <v>1w</v>
      </c>
      <c r="AT45" s="185" t="str">
        <f>_xlfn.IFNA(VLOOKUP($AH45,Programma!$F$3:$R$1101,13,0),"")</f>
        <v>1w</v>
      </c>
      <c r="AU45" s="185" t="str">
        <f>_xlfn.IFNA(VLOOKUP($AH45,Programma!$F$3:$S$1101,14,0),"")</f>
        <v>1m</v>
      </c>
      <c r="AV45" s="185" t="str">
        <f>_xlfn.IFNA(VLOOKUP($AH45,Programma!$F$3:$T$1101,15,0),"")</f>
        <v>2j</v>
      </c>
      <c r="AW45" s="185" t="str">
        <f>_xlfn.IFNA(VLOOKUP($AH45,Programma!$F$3:$U$1101,16,0),"")</f>
        <v>1j</v>
      </c>
      <c r="AX45" s="185" t="str">
        <f>_xlfn.IFNA(VLOOKUP($AH45,Programma!$F$3:$V$1101,17,0),"")</f>
        <v>_</v>
      </c>
      <c r="AY45" s="185" t="str">
        <f>_xlfn.IFNA(VLOOKUP($AH45,Programma!$F$3:$W$1101,18,0),"")</f>
        <v>_</v>
      </c>
      <c r="AZ45" s="185" t="str">
        <f>_xlfn.IFNA(VLOOKUP($AH45,Programma!$F$3:$X$1101,19,0),"")</f>
        <v>_</v>
      </c>
      <c r="BA45" s="185" t="str">
        <f>_xlfn.IFNA(VLOOKUP($AH45,Programma!$F$3:$Y$1101,20,0),"")</f>
        <v>_</v>
      </c>
      <c r="BB45" s="182"/>
      <c r="BC45" s="181" t="str">
        <f>IF(Ruimtestaat[[#This Row],[Frequentie weekend]]="","",_xlfn.CONCAT(Ruimtestaat[[#This Row],[Ruimte code]],"-",Ruimtestaat[[#This Row],[Frequentie weekend]]," ",Ruimtestaat[[#This Row],[Vloer code]]))</f>
        <v/>
      </c>
      <c r="BD45" s="185" t="str">
        <f>_xlfn.IFNA(VLOOKUP($BC45,Programma!$F$3:$G$1101,2,0),"")</f>
        <v/>
      </c>
      <c r="BE45" s="185" t="str">
        <f>_xlfn.IFNA(VLOOKUP($BC45,Programma!$F$3:$H$1101,3,0),"")</f>
        <v/>
      </c>
      <c r="BF45" s="185" t="str">
        <f>_xlfn.IFNA(VLOOKUP($BC45,Programma!$F$3:$I$1101,4,0),"")</f>
        <v/>
      </c>
      <c r="BG45" s="185" t="str">
        <f>_xlfn.IFNA(VLOOKUP($BC45,Programma!$F$3:$J$1101,5,0),"")</f>
        <v/>
      </c>
      <c r="BH45" s="185" t="str">
        <f>_xlfn.IFNA(VLOOKUP($BC45,Programma!$F$3:$K$1101,6,0),"")</f>
        <v/>
      </c>
      <c r="BI45" s="185" t="str">
        <f>_xlfn.IFNA(VLOOKUP($BC45,Programma!$F$3:$L$1101,7,0),"")</f>
        <v/>
      </c>
      <c r="BJ45" s="185" t="str">
        <f>_xlfn.IFNA(VLOOKUP($BC45,Programma!$F$3:$M$1101,8,0),"")</f>
        <v/>
      </c>
      <c r="BK45" s="185" t="str">
        <f>_xlfn.IFNA(VLOOKUP($BC45,Programma!$F$3:$N$1101,9,0),"")</f>
        <v/>
      </c>
      <c r="BL45" s="185" t="str">
        <f>_xlfn.IFNA(VLOOKUP($BC45,Programma!$F$3:$O$1101,10,0),"")</f>
        <v/>
      </c>
      <c r="BM45" s="185" t="str">
        <f>_xlfn.IFNA(VLOOKUP($BC45,Programma!$F$3:$P$1101,11,0),"")</f>
        <v/>
      </c>
      <c r="BN45" s="185" t="str">
        <f>_xlfn.IFNA(VLOOKUP($BC45,Programma!$F$3:$Q$1101,12,0),"")</f>
        <v/>
      </c>
      <c r="BO45" s="185" t="str">
        <f>_xlfn.IFNA(VLOOKUP($BC45,Programma!$F$3:$R$1101,13,0),"")</f>
        <v/>
      </c>
      <c r="BP45" s="185" t="str">
        <f>_xlfn.IFNA(VLOOKUP($BC45,Programma!$F$3:$S$1101,14,0),"")</f>
        <v/>
      </c>
      <c r="BQ45" s="185" t="str">
        <f>_xlfn.IFNA(VLOOKUP($BC45,Programma!$F$3:$T$1101,15,0),"")</f>
        <v/>
      </c>
      <c r="BR45" s="185" t="str">
        <f>_xlfn.IFNA(VLOOKUP($BC45,Programma!$F$3:$U$1101,16,0),"")</f>
        <v/>
      </c>
      <c r="BS45" s="185" t="str">
        <f>_xlfn.IFNA(VLOOKUP($BC45,Programma!$F$3:$V$1101,17,0),"")</f>
        <v/>
      </c>
      <c r="BT45" s="185" t="str">
        <f>_xlfn.IFNA(VLOOKUP($BC45,Programma!$F$3:$W$1101,18,0),"")</f>
        <v/>
      </c>
      <c r="BU45" s="185" t="str">
        <f>_xlfn.IFNA(VLOOKUP($BC45,Programma!$F$3:$X$1101,19,0),"")</f>
        <v/>
      </c>
      <c r="BV45" s="185" t="str">
        <f>_xlfn.IFNA(VLOOKUP($BC45,Programma!$F$3:$Y$1101,20,0),"")</f>
        <v/>
      </c>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c r="EO45" s="78"/>
      <c r="EP45" s="78"/>
      <c r="EQ45" s="78"/>
      <c r="ER45" s="78"/>
      <c r="ES45" s="78"/>
      <c r="ET45" s="78"/>
      <c r="EU45" s="78"/>
      <c r="EV45" s="78"/>
      <c r="EW45" s="78"/>
      <c r="EX45" s="78"/>
      <c r="EY45" s="78"/>
      <c r="EZ45" s="78"/>
      <c r="FA45" s="78"/>
      <c r="FB45" s="78"/>
      <c r="FC45" s="78"/>
      <c r="FD45" s="78"/>
      <c r="FE45" s="78"/>
      <c r="FF45" s="78"/>
      <c r="FG45" s="78"/>
      <c r="FH45" s="78"/>
      <c r="FI45" s="78"/>
      <c r="FJ45" s="78"/>
      <c r="FK45" s="78"/>
      <c r="FL45" s="78"/>
      <c r="FM45" s="78"/>
      <c r="FN45" s="78"/>
      <c r="FO45" s="78"/>
      <c r="FP45" s="78"/>
      <c r="FQ45" s="78"/>
      <c r="FR45" s="78"/>
      <c r="FS45" s="78"/>
      <c r="FT45" s="78"/>
      <c r="FU45" s="78"/>
      <c r="FV45" s="78"/>
      <c r="FW45" s="78"/>
      <c r="FX45" s="78"/>
      <c r="FY45" s="78"/>
      <c r="FZ45" s="78"/>
      <c r="GA45" s="78"/>
      <c r="GB45" s="78"/>
      <c r="GC45" s="78"/>
      <c r="GD45" s="78"/>
      <c r="GE45" s="78"/>
      <c r="GF45" s="78"/>
      <c r="GG45" s="78"/>
      <c r="GH45" s="78"/>
      <c r="GI45" s="78"/>
      <c r="GJ45" s="78"/>
      <c r="GK45" s="78"/>
      <c r="GL45" s="78"/>
      <c r="GM45" s="78"/>
      <c r="GN45" s="78"/>
      <c r="GO45" s="78"/>
      <c r="GP45" s="78"/>
      <c r="GQ45" s="78"/>
      <c r="GR45" s="78"/>
      <c r="GS45" s="78"/>
      <c r="GT45" s="78"/>
      <c r="GU45" s="78"/>
      <c r="GV45" s="78"/>
      <c r="GW45" s="78"/>
      <c r="GX45" s="78"/>
      <c r="GY45" s="78"/>
      <c r="GZ45" s="78"/>
      <c r="HA45" s="78"/>
      <c r="HB45" s="78"/>
      <c r="HC45" s="78"/>
      <c r="HD45" s="78"/>
      <c r="HE45" s="78"/>
      <c r="HF45" s="78"/>
      <c r="HG45" s="78"/>
      <c r="HH45" s="78"/>
      <c r="HI45" s="78"/>
      <c r="HJ45" s="78"/>
      <c r="HK45" s="78"/>
    </row>
    <row r="46" spans="1:219" ht="15" customHeight="1">
      <c r="A46" s="149">
        <v>2</v>
      </c>
      <c r="B46" s="176" t="str">
        <f>VLOOKUP(Ruimtestaat[[#This Row],[Code]],Locaties[[Code]:[Locatie]],2,FALSE)</f>
        <v>IST Primary Campus</v>
      </c>
      <c r="C46" s="176" t="str">
        <f>VLOOKUP(Ruimtestaat[[#This Row],[Code]],Locaties[[#All],[Code]:[Adres]],4,FALSE)</f>
        <v>Joh. ter Horststraat 30</v>
      </c>
      <c r="D46" s="176" t="str">
        <f>VLOOKUP(Ruimtestaat[[#This Row],[Code]],Locaties[[#All],[Code]:[Postcode]],5,FALSE)</f>
        <v>7513 ZH</v>
      </c>
      <c r="E46" s="176" t="str">
        <f>VLOOKUP(Ruimtestaat[[#This Row],[Code]],Locaties[#All],6,FALSE)</f>
        <v>Enschede</v>
      </c>
      <c r="F46" s="149"/>
      <c r="G46" s="149"/>
      <c r="H46" s="300" t="s">
        <v>1666</v>
      </c>
      <c r="I46" s="301" t="s">
        <v>1686</v>
      </c>
      <c r="J46" s="99">
        <v>16</v>
      </c>
      <c r="K46" s="183" t="str">
        <f>VLOOKUP(Ruimtestaat[[#This Row],[Ruimte code]],Ruimtegroepen[[#All],[Code]:[Ruimte omschrijving]],2,FALSE)</f>
        <v>Leslokalen</v>
      </c>
      <c r="L46" s="149" t="s">
        <v>100</v>
      </c>
      <c r="M46" s="301" t="s">
        <v>1697</v>
      </c>
      <c r="N46" s="177">
        <v>58.5</v>
      </c>
      <c r="O46" s="177"/>
      <c r="P46" s="178" t="str">
        <f>VLOOKUP(Ruimtestaat[[#This Row],[Ruimte code]],Ruimtegroepen[],4,FALSE)</f>
        <v>Le</v>
      </c>
      <c r="Q46" s="149">
        <v>40</v>
      </c>
      <c r="R46" s="149" t="s">
        <v>2</v>
      </c>
      <c r="S46" s="149">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149">
        <f>IF(S46&gt;0,VLOOKUP($J46,Ruimtegroepen[],3,FALSE)*VLOOKUP($L46,Vloersoorten[],3,FALSE)*VLOOKUP($R46,Frequenties[],3,FALSE)*VLOOKUP($A46,Locaties[],3,FALSE),0)</f>
        <v>0</v>
      </c>
      <c r="U46" s="149">
        <f>Ruimtestaat[[#This Row],[Uitvoeringen werkdagen]]*Ruimtestaat[[#This Row],[Oppervlak (netto)]]</f>
        <v>11700</v>
      </c>
      <c r="V46" s="179">
        <f>IF(T46&gt;0,Ruimtestaat[[#This Row],[Prest. (m2 /jaar) werkdagen]]/Ruimtestaat[[#This Row],[Norm (m2/uur) werkdagen]],0)</f>
        <v>0</v>
      </c>
      <c r="W46" s="180">
        <f>Ruimtestaat[[#This Row],[uren / jaar werkdagen]]*Tariefsopbouw!$E$35</f>
        <v>0</v>
      </c>
      <c r="X46" s="149"/>
      <c r="Y46" s="149">
        <f>IF(Ruimtestaat[[#This Row],[Frequentie weekend]]&gt;0,VALUE(LEFT(X46,1))*Q46,0)</f>
        <v>0</v>
      </c>
      <c r="Z46" s="148">
        <f>IF($Y46&gt;0,VLOOKUP($J46,Ruimtegroepen[],3,FALSE)*VLOOKUP($L46,Vloersoorten[],3,FALSE)*VLOOKUP($X46,Frequenties[],3,FALSE)*VLOOKUP(Ruimtestaat[[#This Row],[Code]],Locaties[],3,FALSE),0)</f>
        <v>0</v>
      </c>
      <c r="AA46" s="148">
        <f>Ruimtestaat[[#This Row],[Uitvoeringen weekend]]*Ruimtestaat[[#This Row],[Oppervlak (netto)]]</f>
        <v>0</v>
      </c>
      <c r="AB46" s="148">
        <f>IF(Z46&gt;0,Ruimtestaat[[#This Row],[Prest. (m2 /jaar) weekend]]/Ruimtestaat[[#This Row],[Norm (m2/uur) weekend]],0)</f>
        <v>0</v>
      </c>
      <c r="AC46" s="180">
        <f>Ruimtestaat[[#This Row],[uren / jaar weekend]]*Tariefsopbouw!$D$40</f>
        <v>0</v>
      </c>
      <c r="AD46" s="179">
        <f>Ruimtestaat[[#This Row],[Prest. (m2 /jaar) weekend]]+Ruimtestaat[[#This Row],[Prest. (m2 /jaar) werkdagen]]</f>
        <v>11700</v>
      </c>
      <c r="AE46" s="179">
        <f>Ruimtestaat[[#This Row],[uren / jaar weekend]]+Ruimtestaat[[#This Row],[uren / jaar werkdagen]]</f>
        <v>0</v>
      </c>
      <c r="AF46" s="174">
        <f>Ruimtestaat[[#This Row],[kosten / jaar weekend]]+Ruimtestaat[[#This Row],[kosten / jaar werkdagen]]</f>
        <v>0</v>
      </c>
      <c r="AG46" s="174"/>
      <c r="AH46" s="181" t="str">
        <f>IF(Ruimtestaat[[#This Row],[Frequentie werkdagen]]="","",_xlfn.CONCAT(Ruimtestaat[[#This Row],[Ruimte code]],"-",Ruimtestaat[[#This Row],[Frequentie werkdagen]]," ",Ruimtestaat[[#This Row],[Vloer code]]))</f>
        <v>16-5w L</v>
      </c>
      <c r="AI46" s="185" t="str">
        <f>_xlfn.IFNA(VLOOKUP($AH46,Programma!$F$3:$G$1101,2,0),"")</f>
        <v>_</v>
      </c>
      <c r="AJ46" s="185" t="str">
        <f>_xlfn.IFNA(VLOOKUP($AH46,Programma!$F$3:$H$1101,3,0),"")</f>
        <v>_</v>
      </c>
      <c r="AK46" s="185" t="str">
        <f>_xlfn.IFNA(VLOOKUP($AH46,Programma!$F$3:$I$1101,4,0),"")</f>
        <v>4w</v>
      </c>
      <c r="AL46" s="185" t="str">
        <f>_xlfn.IFNA(VLOOKUP($AH46,Programma!$F$3:$J$1101,5,0),"")</f>
        <v>1w</v>
      </c>
      <c r="AM46" s="185" t="str">
        <f>_xlfn.IFNA(VLOOKUP($AH46,Programma!$F$3:$K$1101,6,0),"")</f>
        <v>_</v>
      </c>
      <c r="AN46" s="185" t="str">
        <f>_xlfn.IFNA(VLOOKUP($AH46,Programma!$F$3:$L$1101,7,0),"")</f>
        <v>_</v>
      </c>
      <c r="AO46" s="185" t="str">
        <f>_xlfn.IFNA(VLOOKUP($AH46,Programma!$F$3:$M$1101,8,0),"")</f>
        <v>_</v>
      </c>
      <c r="AP46" s="185" t="str">
        <f>_xlfn.IFNA(VLOOKUP($AH46,Programma!$F$3:$N$1101,9,0),"")</f>
        <v>_</v>
      </c>
      <c r="AQ46" s="185" t="str">
        <f>_xlfn.IFNA(VLOOKUP($AH46,Programma!$F$3:$O$1101,10,0),"")</f>
        <v>5w</v>
      </c>
      <c r="AR46" s="185" t="str">
        <f>_xlfn.IFNA(VLOOKUP($AH46,Programma!$F$3:$P$1101,11,0),"")</f>
        <v>5w</v>
      </c>
      <c r="AS46" s="185" t="str">
        <f>_xlfn.IFNA(VLOOKUP($AH46,Programma!$F$3:$Q$1101,12,0),"")</f>
        <v>1w</v>
      </c>
      <c r="AT46" s="185" t="str">
        <f>_xlfn.IFNA(VLOOKUP($AH46,Programma!$F$3:$R$1101,13,0),"")</f>
        <v>1w</v>
      </c>
      <c r="AU46" s="185" t="str">
        <f>_xlfn.IFNA(VLOOKUP($AH46,Programma!$F$3:$S$1101,14,0),"")</f>
        <v>1m</v>
      </c>
      <c r="AV46" s="185" t="str">
        <f>_xlfn.IFNA(VLOOKUP($AH46,Programma!$F$3:$T$1101,15,0),"")</f>
        <v>2j</v>
      </c>
      <c r="AW46" s="185" t="str">
        <f>_xlfn.IFNA(VLOOKUP($AH46,Programma!$F$3:$U$1101,16,0),"")</f>
        <v>1j</v>
      </c>
      <c r="AX46" s="185" t="str">
        <f>_xlfn.IFNA(VLOOKUP($AH46,Programma!$F$3:$V$1101,17,0),"")</f>
        <v>_</v>
      </c>
      <c r="AY46" s="185" t="str">
        <f>_xlfn.IFNA(VLOOKUP($AH46,Programma!$F$3:$W$1101,18,0),"")</f>
        <v>_</v>
      </c>
      <c r="AZ46" s="185" t="str">
        <f>_xlfn.IFNA(VLOOKUP($AH46,Programma!$F$3:$X$1101,19,0),"")</f>
        <v>_</v>
      </c>
      <c r="BA46" s="185" t="str">
        <f>_xlfn.IFNA(VLOOKUP($AH46,Programma!$F$3:$Y$1101,20,0),"")</f>
        <v>_</v>
      </c>
      <c r="BB46" s="182"/>
      <c r="BC46" s="181" t="str">
        <f>IF(Ruimtestaat[[#This Row],[Frequentie weekend]]="","",_xlfn.CONCAT(Ruimtestaat[[#This Row],[Ruimte code]],"-",Ruimtestaat[[#This Row],[Frequentie weekend]]," ",Ruimtestaat[[#This Row],[Vloer code]]))</f>
        <v/>
      </c>
      <c r="BD46" s="185" t="str">
        <f>_xlfn.IFNA(VLOOKUP($BC46,Programma!$F$3:$G$1101,2,0),"")</f>
        <v/>
      </c>
      <c r="BE46" s="185" t="str">
        <f>_xlfn.IFNA(VLOOKUP($BC46,Programma!$F$3:$H$1101,3,0),"")</f>
        <v/>
      </c>
      <c r="BF46" s="185" t="str">
        <f>_xlfn.IFNA(VLOOKUP($BC46,Programma!$F$3:$I$1101,4,0),"")</f>
        <v/>
      </c>
      <c r="BG46" s="185" t="str">
        <f>_xlfn.IFNA(VLOOKUP($BC46,Programma!$F$3:$J$1101,5,0),"")</f>
        <v/>
      </c>
      <c r="BH46" s="185" t="str">
        <f>_xlfn.IFNA(VLOOKUP($BC46,Programma!$F$3:$K$1101,6,0),"")</f>
        <v/>
      </c>
      <c r="BI46" s="185" t="str">
        <f>_xlfn.IFNA(VLOOKUP($BC46,Programma!$F$3:$L$1101,7,0),"")</f>
        <v/>
      </c>
      <c r="BJ46" s="185" t="str">
        <f>_xlfn.IFNA(VLOOKUP($BC46,Programma!$F$3:$M$1101,8,0),"")</f>
        <v/>
      </c>
      <c r="BK46" s="185" t="str">
        <f>_xlfn.IFNA(VLOOKUP($BC46,Programma!$F$3:$N$1101,9,0),"")</f>
        <v/>
      </c>
      <c r="BL46" s="185" t="str">
        <f>_xlfn.IFNA(VLOOKUP($BC46,Programma!$F$3:$O$1101,10,0),"")</f>
        <v/>
      </c>
      <c r="BM46" s="185" t="str">
        <f>_xlfn.IFNA(VLOOKUP($BC46,Programma!$F$3:$P$1101,11,0),"")</f>
        <v/>
      </c>
      <c r="BN46" s="185" t="str">
        <f>_xlfn.IFNA(VLOOKUP($BC46,Programma!$F$3:$Q$1101,12,0),"")</f>
        <v/>
      </c>
      <c r="BO46" s="185" t="str">
        <f>_xlfn.IFNA(VLOOKUP($BC46,Programma!$F$3:$R$1101,13,0),"")</f>
        <v/>
      </c>
      <c r="BP46" s="185" t="str">
        <f>_xlfn.IFNA(VLOOKUP($BC46,Programma!$F$3:$S$1101,14,0),"")</f>
        <v/>
      </c>
      <c r="BQ46" s="185" t="str">
        <f>_xlfn.IFNA(VLOOKUP($BC46,Programma!$F$3:$T$1101,15,0),"")</f>
        <v/>
      </c>
      <c r="BR46" s="185" t="str">
        <f>_xlfn.IFNA(VLOOKUP($BC46,Programma!$F$3:$U$1101,16,0),"")</f>
        <v/>
      </c>
      <c r="BS46" s="185" t="str">
        <f>_xlfn.IFNA(VLOOKUP($BC46,Programma!$F$3:$V$1101,17,0),"")</f>
        <v/>
      </c>
      <c r="BT46" s="185" t="str">
        <f>_xlfn.IFNA(VLOOKUP($BC46,Programma!$F$3:$W$1101,18,0),"")</f>
        <v/>
      </c>
      <c r="BU46" s="185" t="str">
        <f>_xlfn.IFNA(VLOOKUP($BC46,Programma!$F$3:$X$1101,19,0),"")</f>
        <v/>
      </c>
      <c r="BV46" s="185" t="str">
        <f>_xlfn.IFNA(VLOOKUP($BC46,Programma!$F$3:$Y$1101,20,0),"")</f>
        <v/>
      </c>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c r="EO46" s="78"/>
      <c r="EP46" s="78"/>
      <c r="EQ46" s="78"/>
      <c r="ER46" s="78"/>
      <c r="ES46" s="78"/>
      <c r="ET46" s="78"/>
      <c r="EU46" s="78"/>
      <c r="EV46" s="78"/>
      <c r="EW46" s="78"/>
      <c r="EX46" s="78"/>
      <c r="EY46" s="78"/>
      <c r="EZ46" s="78"/>
      <c r="FA46" s="78"/>
      <c r="FB46" s="78"/>
      <c r="FC46" s="78"/>
      <c r="FD46" s="78"/>
      <c r="FE46" s="78"/>
      <c r="FF46" s="78"/>
      <c r="FG46" s="78"/>
      <c r="FH46" s="78"/>
      <c r="FI46" s="78"/>
      <c r="FJ46" s="78"/>
      <c r="FK46" s="78"/>
      <c r="FL46" s="78"/>
      <c r="FM46" s="78"/>
      <c r="FN46" s="78"/>
      <c r="FO46" s="78"/>
      <c r="FP46" s="78"/>
      <c r="FQ46" s="78"/>
      <c r="FR46" s="78"/>
      <c r="FS46" s="78"/>
      <c r="FT46" s="78"/>
      <c r="FU46" s="78"/>
      <c r="FV46" s="78"/>
      <c r="FW46" s="78"/>
      <c r="FX46" s="78"/>
      <c r="FY46" s="78"/>
      <c r="FZ46" s="78"/>
      <c r="GA46" s="78"/>
      <c r="GB46" s="78"/>
      <c r="GC46" s="78"/>
      <c r="GD46" s="78"/>
      <c r="GE46" s="78"/>
      <c r="GF46" s="78"/>
      <c r="GG46" s="78"/>
      <c r="GH46" s="78"/>
      <c r="GI46" s="78"/>
      <c r="GJ46" s="78"/>
      <c r="GK46" s="78"/>
      <c r="GL46" s="78"/>
      <c r="GM46" s="78"/>
      <c r="GN46" s="78"/>
      <c r="GO46" s="78"/>
      <c r="GP46" s="78"/>
      <c r="GQ46" s="78"/>
      <c r="GR46" s="78"/>
      <c r="GS46" s="78"/>
      <c r="GT46" s="78"/>
      <c r="GU46" s="78"/>
      <c r="GV46" s="78"/>
      <c r="GW46" s="78"/>
      <c r="GX46" s="78"/>
      <c r="GY46" s="78"/>
      <c r="GZ46" s="78"/>
      <c r="HA46" s="78"/>
      <c r="HB46" s="78"/>
      <c r="HC46" s="78"/>
      <c r="HD46" s="78"/>
      <c r="HE46" s="78"/>
      <c r="HF46" s="78"/>
      <c r="HG46" s="78"/>
      <c r="HH46" s="78"/>
      <c r="HI46" s="78"/>
      <c r="HJ46" s="78"/>
      <c r="HK46" s="78"/>
    </row>
    <row r="47" spans="1:219" ht="15" customHeight="1">
      <c r="A47" s="149">
        <v>2</v>
      </c>
      <c r="B47" s="176" t="str">
        <f>VLOOKUP(Ruimtestaat[[#This Row],[Code]],Locaties[[Code]:[Locatie]],2,FALSE)</f>
        <v>IST Primary Campus</v>
      </c>
      <c r="C47" s="176" t="str">
        <f>VLOOKUP(Ruimtestaat[[#This Row],[Code]],Locaties[[#All],[Code]:[Adres]],4,FALSE)</f>
        <v>Joh. ter Horststraat 30</v>
      </c>
      <c r="D47" s="176" t="str">
        <f>VLOOKUP(Ruimtestaat[[#This Row],[Code]],Locaties[[#All],[Code]:[Postcode]],5,FALSE)</f>
        <v>7513 ZH</v>
      </c>
      <c r="E47" s="176" t="str">
        <f>VLOOKUP(Ruimtestaat[[#This Row],[Code]],Locaties[#All],6,FALSE)</f>
        <v>Enschede</v>
      </c>
      <c r="F47" s="149"/>
      <c r="G47" s="149"/>
      <c r="H47" s="300" t="s">
        <v>1668</v>
      </c>
      <c r="I47" s="301" t="s">
        <v>1722</v>
      </c>
      <c r="J47" s="99">
        <v>20</v>
      </c>
      <c r="K47" s="183" t="str">
        <f>VLOOKUP(Ruimtestaat[[#This Row],[Ruimte code]],Ruimtegroepen[[#All],[Code]:[Ruimte omschrijving]],2,FALSE)</f>
        <v>Niet in Onderhoud</v>
      </c>
      <c r="L47" s="149" t="s">
        <v>101</v>
      </c>
      <c r="M47" s="301" t="s">
        <v>1698</v>
      </c>
      <c r="N47" s="177"/>
      <c r="O47" s="177">
        <v>1</v>
      </c>
      <c r="P47" s="178">
        <f>VLOOKUP(Ruimtestaat[[#This Row],[Ruimte code]],Ruimtegroepen[],4,FALSE)</f>
        <v>0</v>
      </c>
      <c r="Q47" s="149"/>
      <c r="R47" s="149"/>
      <c r="S47" s="149">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7" s="149">
        <f>IF(S47&gt;0,VLOOKUP($J47,Ruimtegroepen[],3,FALSE)*VLOOKUP($L47,Vloersoorten[],3,FALSE)*VLOOKUP($R47,Frequenties[],3,FALSE)*VLOOKUP($A47,Locaties[],3,FALSE),0)</f>
        <v>0</v>
      </c>
      <c r="U47" s="149">
        <f>Ruimtestaat[[#This Row],[Uitvoeringen werkdagen]]*Ruimtestaat[[#This Row],[Oppervlak (netto)]]</f>
        <v>0</v>
      </c>
      <c r="V47" s="179">
        <f>IF(T47&gt;0,Ruimtestaat[[#This Row],[Prest. (m2 /jaar) werkdagen]]/Ruimtestaat[[#This Row],[Norm (m2/uur) werkdagen]],0)</f>
        <v>0</v>
      </c>
      <c r="W47" s="180">
        <f>Ruimtestaat[[#This Row],[uren / jaar werkdagen]]*Tariefsopbouw!$E$35</f>
        <v>0</v>
      </c>
      <c r="X47" s="149"/>
      <c r="Y47" s="149">
        <f>IF(Ruimtestaat[[#This Row],[Frequentie weekend]]&gt;0,VALUE(LEFT(X47,1))*Q47,0)</f>
        <v>0</v>
      </c>
      <c r="Z47" s="148">
        <f>IF($Y47&gt;0,VLOOKUP($J47,Ruimtegroepen[],3,FALSE)*VLOOKUP($L47,Vloersoorten[],3,FALSE)*VLOOKUP($X47,Frequenties[],3,FALSE)*VLOOKUP(Ruimtestaat[[#This Row],[Code]],Locaties[],3,FALSE),0)</f>
        <v>0</v>
      </c>
      <c r="AA47" s="148">
        <f>Ruimtestaat[[#This Row],[Uitvoeringen weekend]]*Ruimtestaat[[#This Row],[Oppervlak (netto)]]</f>
        <v>0</v>
      </c>
      <c r="AB47" s="148">
        <f>IF(Z47&gt;0,Ruimtestaat[[#This Row],[Prest. (m2 /jaar) weekend]]/Ruimtestaat[[#This Row],[Norm (m2/uur) weekend]],0)</f>
        <v>0</v>
      </c>
      <c r="AC47" s="180">
        <f>Ruimtestaat[[#This Row],[uren / jaar weekend]]*Tariefsopbouw!$D$40</f>
        <v>0</v>
      </c>
      <c r="AD47" s="179">
        <f>Ruimtestaat[[#This Row],[Prest. (m2 /jaar) weekend]]+Ruimtestaat[[#This Row],[Prest. (m2 /jaar) werkdagen]]</f>
        <v>0</v>
      </c>
      <c r="AE47" s="179">
        <f>Ruimtestaat[[#This Row],[uren / jaar weekend]]+Ruimtestaat[[#This Row],[uren / jaar werkdagen]]</f>
        <v>0</v>
      </c>
      <c r="AF47" s="174">
        <f>Ruimtestaat[[#This Row],[kosten / jaar weekend]]+Ruimtestaat[[#This Row],[kosten / jaar werkdagen]]</f>
        <v>0</v>
      </c>
      <c r="AG47" s="174"/>
      <c r="AH47" s="181" t="str">
        <f>IF(Ruimtestaat[[#This Row],[Frequentie werkdagen]]="","",_xlfn.CONCAT(Ruimtestaat[[#This Row],[Ruimte code]],"-",Ruimtestaat[[#This Row],[Frequentie werkdagen]]," ",Ruimtestaat[[#This Row],[Vloer code]]))</f>
        <v/>
      </c>
      <c r="AI47" s="185" t="str">
        <f>_xlfn.IFNA(VLOOKUP($AH47,Programma!$F$3:$G$1101,2,0),"")</f>
        <v/>
      </c>
      <c r="AJ47" s="185" t="str">
        <f>_xlfn.IFNA(VLOOKUP($AH47,Programma!$F$3:$H$1101,3,0),"")</f>
        <v/>
      </c>
      <c r="AK47" s="185" t="str">
        <f>_xlfn.IFNA(VLOOKUP($AH47,Programma!$F$3:$I$1101,4,0),"")</f>
        <v/>
      </c>
      <c r="AL47" s="185" t="str">
        <f>_xlfn.IFNA(VLOOKUP($AH47,Programma!$F$3:$J$1101,5,0),"")</f>
        <v/>
      </c>
      <c r="AM47" s="185" t="str">
        <f>_xlfn.IFNA(VLOOKUP($AH47,Programma!$F$3:$K$1101,6,0),"")</f>
        <v/>
      </c>
      <c r="AN47" s="185" t="str">
        <f>_xlfn.IFNA(VLOOKUP($AH47,Programma!$F$3:$L$1101,7,0),"")</f>
        <v/>
      </c>
      <c r="AO47" s="185" t="str">
        <f>_xlfn.IFNA(VLOOKUP($AH47,Programma!$F$3:$M$1101,8,0),"")</f>
        <v/>
      </c>
      <c r="AP47" s="185" t="str">
        <f>_xlfn.IFNA(VLOOKUP($AH47,Programma!$F$3:$N$1101,9,0),"")</f>
        <v/>
      </c>
      <c r="AQ47" s="185" t="str">
        <f>_xlfn.IFNA(VLOOKUP($AH47,Programma!$F$3:$O$1101,10,0),"")</f>
        <v/>
      </c>
      <c r="AR47" s="185" t="str">
        <f>_xlfn.IFNA(VLOOKUP($AH47,Programma!$F$3:$P$1101,11,0),"")</f>
        <v/>
      </c>
      <c r="AS47" s="185" t="str">
        <f>_xlfn.IFNA(VLOOKUP($AH47,Programma!$F$3:$Q$1101,12,0),"")</f>
        <v/>
      </c>
      <c r="AT47" s="185" t="str">
        <f>_xlfn.IFNA(VLOOKUP($AH47,Programma!$F$3:$R$1101,13,0),"")</f>
        <v/>
      </c>
      <c r="AU47" s="185" t="str">
        <f>_xlfn.IFNA(VLOOKUP($AH47,Programma!$F$3:$S$1101,14,0),"")</f>
        <v/>
      </c>
      <c r="AV47" s="185" t="str">
        <f>_xlfn.IFNA(VLOOKUP($AH47,Programma!$F$3:$T$1101,15,0),"")</f>
        <v/>
      </c>
      <c r="AW47" s="185" t="str">
        <f>_xlfn.IFNA(VLOOKUP($AH47,Programma!$F$3:$U$1101,16,0),"")</f>
        <v/>
      </c>
      <c r="AX47" s="185" t="str">
        <f>_xlfn.IFNA(VLOOKUP($AH47,Programma!$F$3:$V$1101,17,0),"")</f>
        <v/>
      </c>
      <c r="AY47" s="185" t="str">
        <f>_xlfn.IFNA(VLOOKUP($AH47,Programma!$F$3:$W$1101,18,0),"")</f>
        <v/>
      </c>
      <c r="AZ47" s="185" t="str">
        <f>_xlfn.IFNA(VLOOKUP($AH47,Programma!$F$3:$X$1101,19,0),"")</f>
        <v/>
      </c>
      <c r="BA47" s="185" t="str">
        <f>_xlfn.IFNA(VLOOKUP($AH47,Programma!$F$3:$Y$1101,20,0),"")</f>
        <v/>
      </c>
      <c r="BB47" s="182"/>
      <c r="BC47" s="181" t="str">
        <f>IF(Ruimtestaat[[#This Row],[Frequentie weekend]]="","",_xlfn.CONCAT(Ruimtestaat[[#This Row],[Ruimte code]],"-",Ruimtestaat[[#This Row],[Frequentie weekend]]," ",Ruimtestaat[[#This Row],[Vloer code]]))</f>
        <v/>
      </c>
      <c r="BD47" s="185" t="str">
        <f>_xlfn.IFNA(VLOOKUP($BC47,Programma!$F$3:$G$1101,2,0),"")</f>
        <v/>
      </c>
      <c r="BE47" s="185" t="str">
        <f>_xlfn.IFNA(VLOOKUP($BC47,Programma!$F$3:$H$1101,3,0),"")</f>
        <v/>
      </c>
      <c r="BF47" s="185" t="str">
        <f>_xlfn.IFNA(VLOOKUP($BC47,Programma!$F$3:$I$1101,4,0),"")</f>
        <v/>
      </c>
      <c r="BG47" s="185" t="str">
        <f>_xlfn.IFNA(VLOOKUP($BC47,Programma!$F$3:$J$1101,5,0),"")</f>
        <v/>
      </c>
      <c r="BH47" s="185" t="str">
        <f>_xlfn.IFNA(VLOOKUP($BC47,Programma!$F$3:$K$1101,6,0),"")</f>
        <v/>
      </c>
      <c r="BI47" s="185" t="str">
        <f>_xlfn.IFNA(VLOOKUP($BC47,Programma!$F$3:$L$1101,7,0),"")</f>
        <v/>
      </c>
      <c r="BJ47" s="185" t="str">
        <f>_xlfn.IFNA(VLOOKUP($BC47,Programma!$F$3:$M$1101,8,0),"")</f>
        <v/>
      </c>
      <c r="BK47" s="185" t="str">
        <f>_xlfn.IFNA(VLOOKUP($BC47,Programma!$F$3:$N$1101,9,0),"")</f>
        <v/>
      </c>
      <c r="BL47" s="185" t="str">
        <f>_xlfn.IFNA(VLOOKUP($BC47,Programma!$F$3:$O$1101,10,0),"")</f>
        <v/>
      </c>
      <c r="BM47" s="185" t="str">
        <f>_xlfn.IFNA(VLOOKUP($BC47,Programma!$F$3:$P$1101,11,0),"")</f>
        <v/>
      </c>
      <c r="BN47" s="185" t="str">
        <f>_xlfn.IFNA(VLOOKUP($BC47,Programma!$F$3:$Q$1101,12,0),"")</f>
        <v/>
      </c>
      <c r="BO47" s="185" t="str">
        <f>_xlfn.IFNA(VLOOKUP($BC47,Programma!$F$3:$R$1101,13,0),"")</f>
        <v/>
      </c>
      <c r="BP47" s="185" t="str">
        <f>_xlfn.IFNA(VLOOKUP($BC47,Programma!$F$3:$S$1101,14,0),"")</f>
        <v/>
      </c>
      <c r="BQ47" s="185" t="str">
        <f>_xlfn.IFNA(VLOOKUP($BC47,Programma!$F$3:$T$1101,15,0),"")</f>
        <v/>
      </c>
      <c r="BR47" s="185" t="str">
        <f>_xlfn.IFNA(VLOOKUP($BC47,Programma!$F$3:$U$1101,16,0),"")</f>
        <v/>
      </c>
      <c r="BS47" s="185" t="str">
        <f>_xlfn.IFNA(VLOOKUP($BC47,Programma!$F$3:$V$1101,17,0),"")</f>
        <v/>
      </c>
      <c r="BT47" s="185" t="str">
        <f>_xlfn.IFNA(VLOOKUP($BC47,Programma!$F$3:$W$1101,18,0),"")</f>
        <v/>
      </c>
      <c r="BU47" s="185" t="str">
        <f>_xlfn.IFNA(VLOOKUP($BC47,Programma!$F$3:$X$1101,19,0),"")</f>
        <v/>
      </c>
      <c r="BV47" s="185" t="str">
        <f>_xlfn.IFNA(VLOOKUP($BC47,Programma!$F$3:$Y$1101,20,0),"")</f>
        <v/>
      </c>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c r="EO47" s="78"/>
      <c r="EP47" s="78"/>
      <c r="EQ47" s="78"/>
      <c r="ER47" s="78"/>
      <c r="ES47" s="78"/>
      <c r="ET47" s="78"/>
      <c r="EU47" s="78"/>
      <c r="EV47" s="78"/>
      <c r="EW47" s="78"/>
      <c r="EX47" s="78"/>
      <c r="EY47" s="78"/>
      <c r="EZ47" s="78"/>
      <c r="FA47" s="78"/>
      <c r="FB47" s="78"/>
      <c r="FC47" s="78"/>
      <c r="FD47" s="78"/>
      <c r="FE47" s="78"/>
      <c r="FF47" s="78"/>
      <c r="FG47" s="78"/>
      <c r="FH47" s="78"/>
      <c r="FI47" s="78"/>
      <c r="FJ47" s="78"/>
      <c r="FK47" s="78"/>
      <c r="FL47" s="78"/>
      <c r="FM47" s="78"/>
      <c r="FN47" s="78"/>
      <c r="FO47" s="78"/>
      <c r="FP47" s="78"/>
      <c r="FQ47" s="78"/>
      <c r="FR47" s="78"/>
      <c r="FS47" s="78"/>
      <c r="FT47" s="78"/>
      <c r="FU47" s="78"/>
      <c r="FV47" s="78"/>
      <c r="FW47" s="78"/>
      <c r="FX47" s="78"/>
      <c r="FY47" s="78"/>
      <c r="FZ47" s="78"/>
      <c r="GA47" s="78"/>
      <c r="GB47" s="78"/>
      <c r="GC47" s="78"/>
      <c r="GD47" s="78"/>
      <c r="GE47" s="78"/>
      <c r="GF47" s="78"/>
      <c r="GG47" s="78"/>
      <c r="GH47" s="78"/>
      <c r="GI47" s="78"/>
      <c r="GJ47" s="78"/>
      <c r="GK47" s="78"/>
      <c r="GL47" s="78"/>
      <c r="GM47" s="78"/>
      <c r="GN47" s="78"/>
      <c r="GO47" s="78"/>
      <c r="GP47" s="78"/>
      <c r="GQ47" s="78"/>
      <c r="GR47" s="78"/>
      <c r="GS47" s="78"/>
      <c r="GT47" s="78"/>
      <c r="GU47" s="78"/>
      <c r="GV47" s="78"/>
      <c r="GW47" s="78"/>
      <c r="GX47" s="78"/>
      <c r="GY47" s="78"/>
      <c r="GZ47" s="78"/>
      <c r="HA47" s="78"/>
      <c r="HB47" s="78"/>
      <c r="HC47" s="78"/>
      <c r="HD47" s="78"/>
      <c r="HE47" s="78"/>
      <c r="HF47" s="78"/>
      <c r="HG47" s="78"/>
      <c r="HH47" s="78"/>
      <c r="HI47" s="78"/>
      <c r="HJ47" s="78"/>
      <c r="HK47" s="78"/>
    </row>
    <row r="48" spans="1:219" ht="15" customHeight="1">
      <c r="A48" s="149">
        <v>2</v>
      </c>
      <c r="B48" s="176" t="str">
        <f>VLOOKUP(Ruimtestaat[[#This Row],[Code]],Locaties[[Code]:[Locatie]],2,FALSE)</f>
        <v>IST Primary Campus</v>
      </c>
      <c r="C48" s="176" t="str">
        <f>VLOOKUP(Ruimtestaat[[#This Row],[Code]],Locaties[[#All],[Code]:[Adres]],4,FALSE)</f>
        <v>Joh. ter Horststraat 30</v>
      </c>
      <c r="D48" s="176" t="str">
        <f>VLOOKUP(Ruimtestaat[[#This Row],[Code]],Locaties[[#All],[Code]:[Postcode]],5,FALSE)</f>
        <v>7513 ZH</v>
      </c>
      <c r="E48" s="176" t="str">
        <f>VLOOKUP(Ruimtestaat[[#This Row],[Code]],Locaties[#All],6,FALSE)</f>
        <v>Enschede</v>
      </c>
      <c r="F48" s="149"/>
      <c r="G48" s="149"/>
      <c r="H48" s="300" t="s">
        <v>1669</v>
      </c>
      <c r="I48" s="301" t="s">
        <v>1684</v>
      </c>
      <c r="J48" s="99">
        <v>5</v>
      </c>
      <c r="K48" s="183" t="str">
        <f>VLOOKUP(Ruimtestaat[[#This Row],[Ruimte code]],Ruimtegroepen[[#All],[Code]:[Ruimte omschrijving]],2,FALSE)</f>
        <v>Sanitair</v>
      </c>
      <c r="L48" s="149" t="s">
        <v>101</v>
      </c>
      <c r="M48" s="301" t="s">
        <v>1682</v>
      </c>
      <c r="N48" s="177">
        <v>10</v>
      </c>
      <c r="O48" s="177"/>
      <c r="P48" s="178" t="str">
        <f>VLOOKUP(Ruimtestaat[[#This Row],[Ruimte code]],Ruimtegroepen[],4,FALSE)</f>
        <v>Sa</v>
      </c>
      <c r="Q48" s="149">
        <v>40</v>
      </c>
      <c r="R48" s="149" t="s">
        <v>2</v>
      </c>
      <c r="S48" s="149">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149">
        <f>IF(S48&gt;0,VLOOKUP($J48,Ruimtegroepen[],3,FALSE)*VLOOKUP($L48,Vloersoorten[],3,FALSE)*VLOOKUP($R48,Frequenties[],3,FALSE)*VLOOKUP($A48,Locaties[],3,FALSE),0)</f>
        <v>0</v>
      </c>
      <c r="U48" s="149">
        <f>Ruimtestaat[[#This Row],[Uitvoeringen werkdagen]]*Ruimtestaat[[#This Row],[Oppervlak (netto)]]</f>
        <v>2000</v>
      </c>
      <c r="V48" s="179">
        <f>IF(T48&gt;0,Ruimtestaat[[#This Row],[Prest. (m2 /jaar) werkdagen]]/Ruimtestaat[[#This Row],[Norm (m2/uur) werkdagen]],0)</f>
        <v>0</v>
      </c>
      <c r="W48" s="180">
        <f>Ruimtestaat[[#This Row],[uren / jaar werkdagen]]*Tariefsopbouw!$E$35</f>
        <v>0</v>
      </c>
      <c r="X48" s="149"/>
      <c r="Y48" s="149">
        <f>IF(Ruimtestaat[[#This Row],[Frequentie weekend]]&gt;0,VALUE(LEFT(X48,1))*Q48,0)</f>
        <v>0</v>
      </c>
      <c r="Z48" s="148">
        <f>IF($Y48&gt;0,VLOOKUP($J48,Ruimtegroepen[],3,FALSE)*VLOOKUP($L48,Vloersoorten[],3,FALSE)*VLOOKUP($X48,Frequenties[],3,FALSE)*VLOOKUP(Ruimtestaat[[#This Row],[Code]],Locaties[],3,FALSE),0)</f>
        <v>0</v>
      </c>
      <c r="AA48" s="148">
        <f>Ruimtestaat[[#This Row],[Uitvoeringen weekend]]*Ruimtestaat[[#This Row],[Oppervlak (netto)]]</f>
        <v>0</v>
      </c>
      <c r="AB48" s="148">
        <f>IF(Z48&gt;0,Ruimtestaat[[#This Row],[Prest. (m2 /jaar) weekend]]/Ruimtestaat[[#This Row],[Norm (m2/uur) weekend]],0)</f>
        <v>0</v>
      </c>
      <c r="AC48" s="180">
        <f>Ruimtestaat[[#This Row],[uren / jaar weekend]]*Tariefsopbouw!$D$40</f>
        <v>0</v>
      </c>
      <c r="AD48" s="179">
        <f>Ruimtestaat[[#This Row],[Prest. (m2 /jaar) weekend]]+Ruimtestaat[[#This Row],[Prest. (m2 /jaar) werkdagen]]</f>
        <v>2000</v>
      </c>
      <c r="AE48" s="179">
        <f>Ruimtestaat[[#This Row],[uren / jaar weekend]]+Ruimtestaat[[#This Row],[uren / jaar werkdagen]]</f>
        <v>0</v>
      </c>
      <c r="AF48" s="174">
        <f>Ruimtestaat[[#This Row],[kosten / jaar weekend]]+Ruimtestaat[[#This Row],[kosten / jaar werkdagen]]</f>
        <v>0</v>
      </c>
      <c r="AG48" s="174"/>
      <c r="AH48" s="181" t="str">
        <f>IF(Ruimtestaat[[#This Row],[Frequentie werkdagen]]="","",_xlfn.CONCAT(Ruimtestaat[[#This Row],[Ruimte code]],"-",Ruimtestaat[[#This Row],[Frequentie werkdagen]]," ",Ruimtestaat[[#This Row],[Vloer code]]))</f>
        <v>5-5w S</v>
      </c>
      <c r="AI48" s="185" t="str">
        <f>_xlfn.IFNA(VLOOKUP($AH48,Programma!$F$3:$G$1101,2,0),"")</f>
        <v>_</v>
      </c>
      <c r="AJ48" s="185" t="str">
        <f>_xlfn.IFNA(VLOOKUP($AH48,Programma!$F$3:$H$1101,3,0),"")</f>
        <v>_</v>
      </c>
      <c r="AK48" s="185" t="str">
        <f>_xlfn.IFNA(VLOOKUP($AH48,Programma!$F$3:$I$1101,4,0),"")</f>
        <v>_</v>
      </c>
      <c r="AL48" s="185" t="str">
        <f>_xlfn.IFNA(VLOOKUP($AH48,Programma!$F$3:$J$1101,5,0),"")</f>
        <v>4w</v>
      </c>
      <c r="AM48" s="185" t="str">
        <f>_xlfn.IFNA(VLOOKUP($AH48,Programma!$F$3:$K$1101,6,0),"")</f>
        <v>1w</v>
      </c>
      <c r="AN48" s="185" t="str">
        <f>_xlfn.IFNA(VLOOKUP($AH48,Programma!$F$3:$L$1101,7,0),"")</f>
        <v>_</v>
      </c>
      <c r="AO48" s="185" t="str">
        <f>_xlfn.IFNA(VLOOKUP($AH48,Programma!$F$3:$M$1101,8,0),"")</f>
        <v>_</v>
      </c>
      <c r="AP48" s="185" t="str">
        <f>_xlfn.IFNA(VLOOKUP($AH48,Programma!$F$3:$N$1101,9,0),"")</f>
        <v>_</v>
      </c>
      <c r="AQ48" s="185" t="str">
        <f>_xlfn.IFNA(VLOOKUP($AH48,Programma!$F$3:$O$1101,10,0),"")</f>
        <v>_</v>
      </c>
      <c r="AR48" s="185" t="str">
        <f>_xlfn.IFNA(VLOOKUP($AH48,Programma!$F$3:$P$1101,11,0),"")</f>
        <v>_</v>
      </c>
      <c r="AS48" s="185" t="str">
        <f>_xlfn.IFNA(VLOOKUP($AH48,Programma!$F$3:$Q$1101,12,0),"")</f>
        <v>_</v>
      </c>
      <c r="AT48" s="185" t="str">
        <f>_xlfn.IFNA(VLOOKUP($AH48,Programma!$F$3:$R$1101,13,0),"")</f>
        <v>_</v>
      </c>
      <c r="AU48" s="185" t="str">
        <f>_xlfn.IFNA(VLOOKUP($AH48,Programma!$F$3:$S$1101,14,0),"")</f>
        <v>_</v>
      </c>
      <c r="AV48" s="185" t="str">
        <f>_xlfn.IFNA(VLOOKUP($AH48,Programma!$F$3:$T$1101,15,0),"")</f>
        <v>_</v>
      </c>
      <c r="AW48" s="185" t="str">
        <f>_xlfn.IFNA(VLOOKUP($AH48,Programma!$F$3:$U$1101,16,0),"")</f>
        <v>_</v>
      </c>
      <c r="AX48" s="185" t="str">
        <f>_xlfn.IFNA(VLOOKUP($AH48,Programma!$F$3:$V$1101,17,0),"")</f>
        <v>_</v>
      </c>
      <c r="AY48" s="185" t="str">
        <f>_xlfn.IFNA(VLOOKUP($AH48,Programma!$F$3:$W$1101,18,0),"")</f>
        <v>4w</v>
      </c>
      <c r="AZ48" s="185" t="str">
        <f>_xlfn.IFNA(VLOOKUP($AH48,Programma!$F$3:$X$1101,19,0),"")</f>
        <v>1w</v>
      </c>
      <c r="BA48" s="185" t="str">
        <f>_xlfn.IFNA(VLOOKUP($AH48,Programma!$F$3:$Y$1101,20,0),"")</f>
        <v>_</v>
      </c>
      <c r="BB48" s="182"/>
      <c r="BC48" s="181" t="str">
        <f>IF(Ruimtestaat[[#This Row],[Frequentie weekend]]="","",_xlfn.CONCAT(Ruimtestaat[[#This Row],[Ruimte code]],"-",Ruimtestaat[[#This Row],[Frequentie weekend]]," ",Ruimtestaat[[#This Row],[Vloer code]]))</f>
        <v/>
      </c>
      <c r="BD48" s="185" t="str">
        <f>_xlfn.IFNA(VLOOKUP($BC48,Programma!$F$3:$G$1101,2,0),"")</f>
        <v/>
      </c>
      <c r="BE48" s="185" t="str">
        <f>_xlfn.IFNA(VLOOKUP($BC48,Programma!$F$3:$H$1101,3,0),"")</f>
        <v/>
      </c>
      <c r="BF48" s="185" t="str">
        <f>_xlfn.IFNA(VLOOKUP($BC48,Programma!$F$3:$I$1101,4,0),"")</f>
        <v/>
      </c>
      <c r="BG48" s="185" t="str">
        <f>_xlfn.IFNA(VLOOKUP($BC48,Programma!$F$3:$J$1101,5,0),"")</f>
        <v/>
      </c>
      <c r="BH48" s="185" t="str">
        <f>_xlfn.IFNA(VLOOKUP($BC48,Programma!$F$3:$K$1101,6,0),"")</f>
        <v/>
      </c>
      <c r="BI48" s="185" t="str">
        <f>_xlfn.IFNA(VLOOKUP($BC48,Programma!$F$3:$L$1101,7,0),"")</f>
        <v/>
      </c>
      <c r="BJ48" s="185" t="str">
        <f>_xlfn.IFNA(VLOOKUP($BC48,Programma!$F$3:$M$1101,8,0),"")</f>
        <v/>
      </c>
      <c r="BK48" s="185" t="str">
        <f>_xlfn.IFNA(VLOOKUP($BC48,Programma!$F$3:$N$1101,9,0),"")</f>
        <v/>
      </c>
      <c r="BL48" s="185" t="str">
        <f>_xlfn.IFNA(VLOOKUP($BC48,Programma!$F$3:$O$1101,10,0),"")</f>
        <v/>
      </c>
      <c r="BM48" s="185" t="str">
        <f>_xlfn.IFNA(VLOOKUP($BC48,Programma!$F$3:$P$1101,11,0),"")</f>
        <v/>
      </c>
      <c r="BN48" s="185" t="str">
        <f>_xlfn.IFNA(VLOOKUP($BC48,Programma!$F$3:$Q$1101,12,0),"")</f>
        <v/>
      </c>
      <c r="BO48" s="185" t="str">
        <f>_xlfn.IFNA(VLOOKUP($BC48,Programma!$F$3:$R$1101,13,0),"")</f>
        <v/>
      </c>
      <c r="BP48" s="185" t="str">
        <f>_xlfn.IFNA(VLOOKUP($BC48,Programma!$F$3:$S$1101,14,0),"")</f>
        <v/>
      </c>
      <c r="BQ48" s="185" t="str">
        <f>_xlfn.IFNA(VLOOKUP($BC48,Programma!$F$3:$T$1101,15,0),"")</f>
        <v/>
      </c>
      <c r="BR48" s="185" t="str">
        <f>_xlfn.IFNA(VLOOKUP($BC48,Programma!$F$3:$U$1101,16,0),"")</f>
        <v/>
      </c>
      <c r="BS48" s="185" t="str">
        <f>_xlfn.IFNA(VLOOKUP($BC48,Programma!$F$3:$V$1101,17,0),"")</f>
        <v/>
      </c>
      <c r="BT48" s="185" t="str">
        <f>_xlfn.IFNA(VLOOKUP($BC48,Programma!$F$3:$W$1101,18,0),"")</f>
        <v/>
      </c>
      <c r="BU48" s="185" t="str">
        <f>_xlfn.IFNA(VLOOKUP($BC48,Programma!$F$3:$X$1101,19,0),"")</f>
        <v/>
      </c>
      <c r="BV48" s="185" t="str">
        <f>_xlfn.IFNA(VLOOKUP($BC48,Programma!$F$3:$Y$1101,20,0),"")</f>
        <v/>
      </c>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c r="FC48" s="78"/>
      <c r="FD48" s="78"/>
      <c r="FE48" s="78"/>
      <c r="FF48" s="78"/>
      <c r="FG48" s="78"/>
      <c r="FH48" s="78"/>
      <c r="FI48" s="78"/>
      <c r="FJ48" s="78"/>
      <c r="FK48" s="78"/>
      <c r="FL48" s="78"/>
      <c r="FM48" s="78"/>
      <c r="FN48" s="78"/>
      <c r="FO48" s="78"/>
      <c r="FP48" s="78"/>
      <c r="FQ48" s="78"/>
      <c r="FR48" s="78"/>
      <c r="FS48" s="78"/>
      <c r="FT48" s="78"/>
      <c r="FU48" s="78"/>
      <c r="FV48" s="78"/>
      <c r="FW48" s="78"/>
      <c r="FX48" s="78"/>
      <c r="FY48" s="78"/>
      <c r="FZ48" s="78"/>
      <c r="GA48" s="78"/>
      <c r="GB48" s="78"/>
      <c r="GC48" s="78"/>
      <c r="GD48" s="78"/>
      <c r="GE48" s="78"/>
      <c r="GF48" s="78"/>
      <c r="GG48" s="78"/>
      <c r="GH48" s="78"/>
      <c r="GI48" s="78"/>
      <c r="GJ48" s="78"/>
      <c r="GK48" s="78"/>
      <c r="GL48" s="78"/>
      <c r="GM48" s="78"/>
      <c r="GN48" s="78"/>
      <c r="GO48" s="78"/>
      <c r="GP48" s="78"/>
      <c r="GQ48" s="78"/>
      <c r="GR48" s="78"/>
      <c r="GS48" s="78"/>
      <c r="GT48" s="78"/>
      <c r="GU48" s="78"/>
      <c r="GV48" s="78"/>
      <c r="GW48" s="78"/>
      <c r="GX48" s="78"/>
      <c r="GY48" s="78"/>
      <c r="GZ48" s="78"/>
      <c r="HA48" s="78"/>
      <c r="HB48" s="78"/>
      <c r="HC48" s="78"/>
      <c r="HD48" s="78"/>
      <c r="HE48" s="78"/>
      <c r="HF48" s="78"/>
      <c r="HG48" s="78"/>
      <c r="HH48" s="78"/>
      <c r="HI48" s="78"/>
      <c r="HJ48" s="78"/>
      <c r="HK48" s="78"/>
    </row>
    <row r="49" spans="1:219" ht="15" customHeight="1">
      <c r="A49" s="149">
        <v>2</v>
      </c>
      <c r="B49" s="176" t="str">
        <f>VLOOKUP(Ruimtestaat[[#This Row],[Code]],Locaties[[Code]:[Locatie]],2,FALSE)</f>
        <v>IST Primary Campus</v>
      </c>
      <c r="C49" s="176" t="str">
        <f>VLOOKUP(Ruimtestaat[[#This Row],[Code]],Locaties[[#All],[Code]:[Adres]],4,FALSE)</f>
        <v>Joh. ter Horststraat 30</v>
      </c>
      <c r="D49" s="176" t="str">
        <f>VLOOKUP(Ruimtestaat[[#This Row],[Code]],Locaties[[#All],[Code]:[Postcode]],5,FALSE)</f>
        <v>7513 ZH</v>
      </c>
      <c r="E49" s="176" t="str">
        <f>VLOOKUP(Ruimtestaat[[#This Row],[Code]],Locaties[#All],6,FALSE)</f>
        <v>Enschede</v>
      </c>
      <c r="F49" s="149"/>
      <c r="G49" s="149"/>
      <c r="H49" s="300" t="s">
        <v>1670</v>
      </c>
      <c r="I49" s="301" t="s">
        <v>1685</v>
      </c>
      <c r="J49" s="99">
        <v>20</v>
      </c>
      <c r="K49" s="183" t="str">
        <f>VLOOKUP(Ruimtestaat[[#This Row],[Ruimte code]],Ruimtegroepen[[#All],[Code]:[Ruimte omschrijving]],2,FALSE)</f>
        <v>Niet in Onderhoud</v>
      </c>
      <c r="L49" s="149" t="s">
        <v>101</v>
      </c>
      <c r="M49" s="301" t="s">
        <v>1698</v>
      </c>
      <c r="N49" s="177"/>
      <c r="O49" s="177">
        <v>1</v>
      </c>
      <c r="P49" s="178">
        <f>VLOOKUP(Ruimtestaat[[#This Row],[Ruimte code]],Ruimtegroepen[],4,FALSE)</f>
        <v>0</v>
      </c>
      <c r="Q49" s="149"/>
      <c r="R49" s="149"/>
      <c r="S49" s="149">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9" s="149">
        <f>IF(S49&gt;0,VLOOKUP($J49,Ruimtegroepen[],3,FALSE)*VLOOKUP($L49,Vloersoorten[],3,FALSE)*VLOOKUP($R49,Frequenties[],3,FALSE)*VLOOKUP($A49,Locaties[],3,FALSE),0)</f>
        <v>0</v>
      </c>
      <c r="U49" s="149">
        <f>Ruimtestaat[[#This Row],[Uitvoeringen werkdagen]]*Ruimtestaat[[#This Row],[Oppervlak (netto)]]</f>
        <v>0</v>
      </c>
      <c r="V49" s="179">
        <f>IF(T49&gt;0,Ruimtestaat[[#This Row],[Prest. (m2 /jaar) werkdagen]]/Ruimtestaat[[#This Row],[Norm (m2/uur) werkdagen]],0)</f>
        <v>0</v>
      </c>
      <c r="W49" s="180">
        <f>Ruimtestaat[[#This Row],[uren / jaar werkdagen]]*Tariefsopbouw!$E$35</f>
        <v>0</v>
      </c>
      <c r="X49" s="149"/>
      <c r="Y49" s="149">
        <f>IF(Ruimtestaat[[#This Row],[Frequentie weekend]]&gt;0,VALUE(LEFT(X49,1))*Q49,0)</f>
        <v>0</v>
      </c>
      <c r="Z49" s="148">
        <f>IF($Y49&gt;0,VLOOKUP($J49,Ruimtegroepen[],3,FALSE)*VLOOKUP($L49,Vloersoorten[],3,FALSE)*VLOOKUP($X49,Frequenties[],3,FALSE)*VLOOKUP(Ruimtestaat[[#This Row],[Code]],Locaties[],3,FALSE),0)</f>
        <v>0</v>
      </c>
      <c r="AA49" s="148">
        <f>Ruimtestaat[[#This Row],[Uitvoeringen weekend]]*Ruimtestaat[[#This Row],[Oppervlak (netto)]]</f>
        <v>0</v>
      </c>
      <c r="AB49" s="148">
        <f>IF(Z49&gt;0,Ruimtestaat[[#This Row],[Prest. (m2 /jaar) weekend]]/Ruimtestaat[[#This Row],[Norm (m2/uur) weekend]],0)</f>
        <v>0</v>
      </c>
      <c r="AC49" s="180">
        <f>Ruimtestaat[[#This Row],[uren / jaar weekend]]*Tariefsopbouw!$D$40</f>
        <v>0</v>
      </c>
      <c r="AD49" s="179">
        <f>Ruimtestaat[[#This Row],[Prest. (m2 /jaar) weekend]]+Ruimtestaat[[#This Row],[Prest. (m2 /jaar) werkdagen]]</f>
        <v>0</v>
      </c>
      <c r="AE49" s="179">
        <f>Ruimtestaat[[#This Row],[uren / jaar weekend]]+Ruimtestaat[[#This Row],[uren / jaar werkdagen]]</f>
        <v>0</v>
      </c>
      <c r="AF49" s="174">
        <f>Ruimtestaat[[#This Row],[kosten / jaar weekend]]+Ruimtestaat[[#This Row],[kosten / jaar werkdagen]]</f>
        <v>0</v>
      </c>
      <c r="AG49" s="174"/>
      <c r="AH49" s="181" t="str">
        <f>IF(Ruimtestaat[[#This Row],[Frequentie werkdagen]]="","",_xlfn.CONCAT(Ruimtestaat[[#This Row],[Ruimte code]],"-",Ruimtestaat[[#This Row],[Frequentie werkdagen]]," ",Ruimtestaat[[#This Row],[Vloer code]]))</f>
        <v/>
      </c>
      <c r="AI49" s="185" t="str">
        <f>_xlfn.IFNA(VLOOKUP($AH49,Programma!$F$3:$G$1101,2,0),"")</f>
        <v/>
      </c>
      <c r="AJ49" s="185" t="str">
        <f>_xlfn.IFNA(VLOOKUP($AH49,Programma!$F$3:$H$1101,3,0),"")</f>
        <v/>
      </c>
      <c r="AK49" s="185" t="str">
        <f>_xlfn.IFNA(VLOOKUP($AH49,Programma!$F$3:$I$1101,4,0),"")</f>
        <v/>
      </c>
      <c r="AL49" s="185" t="str">
        <f>_xlfn.IFNA(VLOOKUP($AH49,Programma!$F$3:$J$1101,5,0),"")</f>
        <v/>
      </c>
      <c r="AM49" s="185" t="str">
        <f>_xlfn.IFNA(VLOOKUP($AH49,Programma!$F$3:$K$1101,6,0),"")</f>
        <v/>
      </c>
      <c r="AN49" s="185" t="str">
        <f>_xlfn.IFNA(VLOOKUP($AH49,Programma!$F$3:$L$1101,7,0),"")</f>
        <v/>
      </c>
      <c r="AO49" s="185" t="str">
        <f>_xlfn.IFNA(VLOOKUP($AH49,Programma!$F$3:$M$1101,8,0),"")</f>
        <v/>
      </c>
      <c r="AP49" s="185" t="str">
        <f>_xlfn.IFNA(VLOOKUP($AH49,Programma!$F$3:$N$1101,9,0),"")</f>
        <v/>
      </c>
      <c r="AQ49" s="185" t="str">
        <f>_xlfn.IFNA(VLOOKUP($AH49,Programma!$F$3:$O$1101,10,0),"")</f>
        <v/>
      </c>
      <c r="AR49" s="185" t="str">
        <f>_xlfn.IFNA(VLOOKUP($AH49,Programma!$F$3:$P$1101,11,0),"")</f>
        <v/>
      </c>
      <c r="AS49" s="185" t="str">
        <f>_xlfn.IFNA(VLOOKUP($AH49,Programma!$F$3:$Q$1101,12,0),"")</f>
        <v/>
      </c>
      <c r="AT49" s="185" t="str">
        <f>_xlfn.IFNA(VLOOKUP($AH49,Programma!$F$3:$R$1101,13,0),"")</f>
        <v/>
      </c>
      <c r="AU49" s="185" t="str">
        <f>_xlfn.IFNA(VLOOKUP($AH49,Programma!$F$3:$S$1101,14,0),"")</f>
        <v/>
      </c>
      <c r="AV49" s="185" t="str">
        <f>_xlfn.IFNA(VLOOKUP($AH49,Programma!$F$3:$T$1101,15,0),"")</f>
        <v/>
      </c>
      <c r="AW49" s="185" t="str">
        <f>_xlfn.IFNA(VLOOKUP($AH49,Programma!$F$3:$U$1101,16,0),"")</f>
        <v/>
      </c>
      <c r="AX49" s="185" t="str">
        <f>_xlfn.IFNA(VLOOKUP($AH49,Programma!$F$3:$V$1101,17,0),"")</f>
        <v/>
      </c>
      <c r="AY49" s="185" t="str">
        <f>_xlfn.IFNA(VLOOKUP($AH49,Programma!$F$3:$W$1101,18,0),"")</f>
        <v/>
      </c>
      <c r="AZ49" s="185" t="str">
        <f>_xlfn.IFNA(VLOOKUP($AH49,Programma!$F$3:$X$1101,19,0),"")</f>
        <v/>
      </c>
      <c r="BA49" s="185" t="str">
        <f>_xlfn.IFNA(VLOOKUP($AH49,Programma!$F$3:$Y$1101,20,0),"")</f>
        <v/>
      </c>
      <c r="BB49" s="182"/>
      <c r="BC49" s="181" t="str">
        <f>IF(Ruimtestaat[[#This Row],[Frequentie weekend]]="","",_xlfn.CONCAT(Ruimtestaat[[#This Row],[Ruimte code]],"-",Ruimtestaat[[#This Row],[Frequentie weekend]]," ",Ruimtestaat[[#This Row],[Vloer code]]))</f>
        <v/>
      </c>
      <c r="BD49" s="185" t="str">
        <f>_xlfn.IFNA(VLOOKUP($BC49,Programma!$F$3:$G$1101,2,0),"")</f>
        <v/>
      </c>
      <c r="BE49" s="185" t="str">
        <f>_xlfn.IFNA(VLOOKUP($BC49,Programma!$F$3:$H$1101,3,0),"")</f>
        <v/>
      </c>
      <c r="BF49" s="185" t="str">
        <f>_xlfn.IFNA(VLOOKUP($BC49,Programma!$F$3:$I$1101,4,0),"")</f>
        <v/>
      </c>
      <c r="BG49" s="185" t="str">
        <f>_xlfn.IFNA(VLOOKUP($BC49,Programma!$F$3:$J$1101,5,0),"")</f>
        <v/>
      </c>
      <c r="BH49" s="185" t="str">
        <f>_xlfn.IFNA(VLOOKUP($BC49,Programma!$F$3:$K$1101,6,0),"")</f>
        <v/>
      </c>
      <c r="BI49" s="185" t="str">
        <f>_xlfn.IFNA(VLOOKUP($BC49,Programma!$F$3:$L$1101,7,0),"")</f>
        <v/>
      </c>
      <c r="BJ49" s="185" t="str">
        <f>_xlfn.IFNA(VLOOKUP($BC49,Programma!$F$3:$M$1101,8,0),"")</f>
        <v/>
      </c>
      <c r="BK49" s="185" t="str">
        <f>_xlfn.IFNA(VLOOKUP($BC49,Programma!$F$3:$N$1101,9,0),"")</f>
        <v/>
      </c>
      <c r="BL49" s="185" t="str">
        <f>_xlfn.IFNA(VLOOKUP($BC49,Programma!$F$3:$O$1101,10,0),"")</f>
        <v/>
      </c>
      <c r="BM49" s="185" t="str">
        <f>_xlfn.IFNA(VLOOKUP($BC49,Programma!$F$3:$P$1101,11,0),"")</f>
        <v/>
      </c>
      <c r="BN49" s="185" t="str">
        <f>_xlfn.IFNA(VLOOKUP($BC49,Programma!$F$3:$Q$1101,12,0),"")</f>
        <v/>
      </c>
      <c r="BO49" s="185" t="str">
        <f>_xlfn.IFNA(VLOOKUP($BC49,Programma!$F$3:$R$1101,13,0),"")</f>
        <v/>
      </c>
      <c r="BP49" s="185" t="str">
        <f>_xlfn.IFNA(VLOOKUP($BC49,Programma!$F$3:$S$1101,14,0),"")</f>
        <v/>
      </c>
      <c r="BQ49" s="185" t="str">
        <f>_xlfn.IFNA(VLOOKUP($BC49,Programma!$F$3:$T$1101,15,0),"")</f>
        <v/>
      </c>
      <c r="BR49" s="185" t="str">
        <f>_xlfn.IFNA(VLOOKUP($BC49,Programma!$F$3:$U$1101,16,0),"")</f>
        <v/>
      </c>
      <c r="BS49" s="185" t="str">
        <f>_xlfn.IFNA(VLOOKUP($BC49,Programma!$F$3:$V$1101,17,0),"")</f>
        <v/>
      </c>
      <c r="BT49" s="185" t="str">
        <f>_xlfn.IFNA(VLOOKUP($BC49,Programma!$F$3:$W$1101,18,0),"")</f>
        <v/>
      </c>
      <c r="BU49" s="185" t="str">
        <f>_xlfn.IFNA(VLOOKUP($BC49,Programma!$F$3:$X$1101,19,0),"")</f>
        <v/>
      </c>
      <c r="BV49" s="185" t="str">
        <f>_xlfn.IFNA(VLOOKUP($BC49,Programma!$F$3:$Y$1101,20,0),"")</f>
        <v/>
      </c>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row>
    <row r="50" spans="1:219" ht="15" customHeight="1">
      <c r="A50" s="149">
        <v>2</v>
      </c>
      <c r="B50" s="176" t="str">
        <f>VLOOKUP(Ruimtestaat[[#This Row],[Code]],Locaties[[Code]:[Locatie]],2,FALSE)</f>
        <v>IST Primary Campus</v>
      </c>
      <c r="C50" s="176" t="str">
        <f>VLOOKUP(Ruimtestaat[[#This Row],[Code]],Locaties[[#All],[Code]:[Adres]],4,FALSE)</f>
        <v>Joh. ter Horststraat 30</v>
      </c>
      <c r="D50" s="176" t="str">
        <f>VLOOKUP(Ruimtestaat[[#This Row],[Code]],Locaties[[#All],[Code]:[Postcode]],5,FALSE)</f>
        <v>7513 ZH</v>
      </c>
      <c r="E50" s="176" t="str">
        <f>VLOOKUP(Ruimtestaat[[#This Row],[Code]],Locaties[#All],6,FALSE)</f>
        <v>Enschede</v>
      </c>
      <c r="F50" s="149"/>
      <c r="G50" s="149"/>
      <c r="H50" s="300" t="s">
        <v>1680</v>
      </c>
      <c r="I50" s="301" t="s">
        <v>38</v>
      </c>
      <c r="J50" s="99">
        <v>7</v>
      </c>
      <c r="K50" s="183" t="str">
        <f>VLOOKUP(Ruimtestaat[[#This Row],[Ruimte code]],Ruimtegroepen[[#All],[Code]:[Ruimte omschrijving]],2,FALSE)</f>
        <v>Entree</v>
      </c>
      <c r="L50" s="149" t="s">
        <v>99</v>
      </c>
      <c r="M50" s="301" t="s">
        <v>36</v>
      </c>
      <c r="N50" s="177">
        <v>14.8</v>
      </c>
      <c r="O50" s="177"/>
      <c r="P50" s="178" t="str">
        <f>VLOOKUP(Ruimtestaat[[#This Row],[Ruimte code]],Ruimtegroepen[],4,FALSE)</f>
        <v>Ve</v>
      </c>
      <c r="Q50" s="149">
        <v>40</v>
      </c>
      <c r="R50" s="149" t="s">
        <v>2</v>
      </c>
      <c r="S50" s="149">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149">
        <f>IF(S50&gt;0,VLOOKUP($J50,Ruimtegroepen[],3,FALSE)*VLOOKUP($L50,Vloersoorten[],3,FALSE)*VLOOKUP($R50,Frequenties[],3,FALSE)*VLOOKUP($A50,Locaties[],3,FALSE),0)</f>
        <v>0</v>
      </c>
      <c r="U50" s="149">
        <f>Ruimtestaat[[#This Row],[Uitvoeringen werkdagen]]*Ruimtestaat[[#This Row],[Oppervlak (netto)]]</f>
        <v>2960</v>
      </c>
      <c r="V50" s="179">
        <f>IF(T50&gt;0,Ruimtestaat[[#This Row],[Prest. (m2 /jaar) werkdagen]]/Ruimtestaat[[#This Row],[Norm (m2/uur) werkdagen]],0)</f>
        <v>0</v>
      </c>
      <c r="W50" s="180">
        <f>Ruimtestaat[[#This Row],[uren / jaar werkdagen]]*Tariefsopbouw!$E$35</f>
        <v>0</v>
      </c>
      <c r="X50" s="149"/>
      <c r="Y50" s="149">
        <f>IF(Ruimtestaat[[#This Row],[Frequentie weekend]]&gt;0,VALUE(LEFT(X50,1))*Q50,0)</f>
        <v>0</v>
      </c>
      <c r="Z50" s="148">
        <f>IF($Y50&gt;0,VLOOKUP($J50,Ruimtegroepen[],3,FALSE)*VLOOKUP($L50,Vloersoorten[],3,FALSE)*VLOOKUP($X50,Frequenties[],3,FALSE)*VLOOKUP(Ruimtestaat[[#This Row],[Code]],Locaties[],3,FALSE),0)</f>
        <v>0</v>
      </c>
      <c r="AA50" s="148">
        <f>Ruimtestaat[[#This Row],[Uitvoeringen weekend]]*Ruimtestaat[[#This Row],[Oppervlak (netto)]]</f>
        <v>0</v>
      </c>
      <c r="AB50" s="148">
        <f>IF(Z50&gt;0,Ruimtestaat[[#This Row],[Prest. (m2 /jaar) weekend]]/Ruimtestaat[[#This Row],[Norm (m2/uur) weekend]],0)</f>
        <v>0</v>
      </c>
      <c r="AC50" s="180">
        <f>Ruimtestaat[[#This Row],[uren / jaar weekend]]*Tariefsopbouw!$D$40</f>
        <v>0</v>
      </c>
      <c r="AD50" s="179">
        <f>Ruimtestaat[[#This Row],[Prest. (m2 /jaar) weekend]]+Ruimtestaat[[#This Row],[Prest. (m2 /jaar) werkdagen]]</f>
        <v>2960</v>
      </c>
      <c r="AE50" s="179">
        <f>Ruimtestaat[[#This Row],[uren / jaar weekend]]+Ruimtestaat[[#This Row],[uren / jaar werkdagen]]</f>
        <v>0</v>
      </c>
      <c r="AF50" s="174">
        <f>Ruimtestaat[[#This Row],[kosten / jaar weekend]]+Ruimtestaat[[#This Row],[kosten / jaar werkdagen]]</f>
        <v>0</v>
      </c>
      <c r="AG50" s="174"/>
      <c r="AH50" s="181" t="str">
        <f>IF(Ruimtestaat[[#This Row],[Frequentie werkdagen]]="","",_xlfn.CONCAT(Ruimtestaat[[#This Row],[Ruimte code]],"-",Ruimtestaat[[#This Row],[Frequentie werkdagen]]," ",Ruimtestaat[[#This Row],[Vloer code]]))</f>
        <v>7-5w T</v>
      </c>
      <c r="AI50" s="185" t="str">
        <f>_xlfn.IFNA(VLOOKUP($AH50,Programma!$F$3:$G$1101,2,0),"")</f>
        <v>_</v>
      </c>
      <c r="AJ50" s="185" t="str">
        <f>_xlfn.IFNA(VLOOKUP($AH50,Programma!$F$3:$H$1101,3,0),"")</f>
        <v>5w</v>
      </c>
      <c r="AK50" s="185" t="str">
        <f>_xlfn.IFNA(VLOOKUP($AH50,Programma!$F$3:$I$1101,4,0),"")</f>
        <v>_</v>
      </c>
      <c r="AL50" s="185" t="str">
        <f>_xlfn.IFNA(VLOOKUP($AH50,Programma!$F$3:$J$1101,5,0),"")</f>
        <v>_</v>
      </c>
      <c r="AM50" s="185" t="str">
        <f>_xlfn.IFNA(VLOOKUP($AH50,Programma!$F$3:$K$1101,6,0),"")</f>
        <v>_</v>
      </c>
      <c r="AN50" s="185" t="str">
        <f>_xlfn.IFNA(VLOOKUP($AH50,Programma!$F$3:$L$1101,7,0),"")</f>
        <v>_</v>
      </c>
      <c r="AO50" s="185" t="str">
        <f>_xlfn.IFNA(VLOOKUP($AH50,Programma!$F$3:$M$1101,8,0),"")</f>
        <v>_</v>
      </c>
      <c r="AP50" s="185" t="str">
        <f>_xlfn.IFNA(VLOOKUP($AH50,Programma!$F$3:$N$1101,9,0),"")</f>
        <v>_</v>
      </c>
      <c r="AQ50" s="185" t="str">
        <f>_xlfn.IFNA(VLOOKUP($AH50,Programma!$F$3:$O$1101,10,0),"")</f>
        <v>5w</v>
      </c>
      <c r="AR50" s="185" t="str">
        <f>_xlfn.IFNA(VLOOKUP($AH50,Programma!$F$3:$P$1101,11,0),"")</f>
        <v>5w</v>
      </c>
      <c r="AS50" s="185" t="str">
        <f>_xlfn.IFNA(VLOOKUP($AH50,Programma!$F$3:$Q$1101,12,0),"")</f>
        <v>1w</v>
      </c>
      <c r="AT50" s="185" t="str">
        <f>_xlfn.IFNA(VLOOKUP($AH50,Programma!$F$3:$R$1101,13,0),"")</f>
        <v>1w</v>
      </c>
      <c r="AU50" s="185" t="str">
        <f>_xlfn.IFNA(VLOOKUP($AH50,Programma!$F$3:$S$1101,14,0),"")</f>
        <v>1m</v>
      </c>
      <c r="AV50" s="185" t="str">
        <f>_xlfn.IFNA(VLOOKUP($AH50,Programma!$F$3:$T$1101,15,0),"")</f>
        <v>2j</v>
      </c>
      <c r="AW50" s="185" t="str">
        <f>_xlfn.IFNA(VLOOKUP($AH50,Programma!$F$3:$U$1101,16,0),"")</f>
        <v>1j</v>
      </c>
      <c r="AX50" s="185" t="str">
        <f>_xlfn.IFNA(VLOOKUP($AH50,Programma!$F$3:$V$1101,17,0),"")</f>
        <v>_</v>
      </c>
      <c r="AY50" s="185" t="str">
        <f>_xlfn.IFNA(VLOOKUP($AH50,Programma!$F$3:$W$1101,18,0),"")</f>
        <v>_</v>
      </c>
      <c r="AZ50" s="185" t="str">
        <f>_xlfn.IFNA(VLOOKUP($AH50,Programma!$F$3:$X$1101,19,0),"")</f>
        <v>_</v>
      </c>
      <c r="BA50" s="185" t="str">
        <f>_xlfn.IFNA(VLOOKUP($AH50,Programma!$F$3:$Y$1101,20,0),"")</f>
        <v>_</v>
      </c>
      <c r="BB50" s="182"/>
      <c r="BC50" s="181" t="str">
        <f>IF(Ruimtestaat[[#This Row],[Frequentie weekend]]="","",_xlfn.CONCAT(Ruimtestaat[[#This Row],[Ruimte code]],"-",Ruimtestaat[[#This Row],[Frequentie weekend]]," ",Ruimtestaat[[#This Row],[Vloer code]]))</f>
        <v/>
      </c>
      <c r="BD50" s="185" t="str">
        <f>_xlfn.IFNA(VLOOKUP($BC50,Programma!$F$3:$G$1101,2,0),"")</f>
        <v/>
      </c>
      <c r="BE50" s="185" t="str">
        <f>_xlfn.IFNA(VLOOKUP($BC50,Programma!$F$3:$H$1101,3,0),"")</f>
        <v/>
      </c>
      <c r="BF50" s="185" t="str">
        <f>_xlfn.IFNA(VLOOKUP($BC50,Programma!$F$3:$I$1101,4,0),"")</f>
        <v/>
      </c>
      <c r="BG50" s="185" t="str">
        <f>_xlfn.IFNA(VLOOKUP($BC50,Programma!$F$3:$J$1101,5,0),"")</f>
        <v/>
      </c>
      <c r="BH50" s="185" t="str">
        <f>_xlfn.IFNA(VLOOKUP($BC50,Programma!$F$3:$K$1101,6,0),"")</f>
        <v/>
      </c>
      <c r="BI50" s="185" t="str">
        <f>_xlfn.IFNA(VLOOKUP($BC50,Programma!$F$3:$L$1101,7,0),"")</f>
        <v/>
      </c>
      <c r="BJ50" s="185" t="str">
        <f>_xlfn.IFNA(VLOOKUP($BC50,Programma!$F$3:$M$1101,8,0),"")</f>
        <v/>
      </c>
      <c r="BK50" s="185" t="str">
        <f>_xlfn.IFNA(VLOOKUP($BC50,Programma!$F$3:$N$1101,9,0),"")</f>
        <v/>
      </c>
      <c r="BL50" s="185" t="str">
        <f>_xlfn.IFNA(VLOOKUP($BC50,Programma!$F$3:$O$1101,10,0),"")</f>
        <v/>
      </c>
      <c r="BM50" s="185" t="str">
        <f>_xlfn.IFNA(VLOOKUP($BC50,Programma!$F$3:$P$1101,11,0),"")</f>
        <v/>
      </c>
      <c r="BN50" s="185" t="str">
        <f>_xlfn.IFNA(VLOOKUP($BC50,Programma!$F$3:$Q$1101,12,0),"")</f>
        <v/>
      </c>
      <c r="BO50" s="185" t="str">
        <f>_xlfn.IFNA(VLOOKUP($BC50,Programma!$F$3:$R$1101,13,0),"")</f>
        <v/>
      </c>
      <c r="BP50" s="185" t="str">
        <f>_xlfn.IFNA(VLOOKUP($BC50,Programma!$F$3:$S$1101,14,0),"")</f>
        <v/>
      </c>
      <c r="BQ50" s="185" t="str">
        <f>_xlfn.IFNA(VLOOKUP($BC50,Programma!$F$3:$T$1101,15,0),"")</f>
        <v/>
      </c>
      <c r="BR50" s="185" t="str">
        <f>_xlfn.IFNA(VLOOKUP($BC50,Programma!$F$3:$U$1101,16,0),"")</f>
        <v/>
      </c>
      <c r="BS50" s="185" t="str">
        <f>_xlfn.IFNA(VLOOKUP($BC50,Programma!$F$3:$V$1101,17,0),"")</f>
        <v/>
      </c>
      <c r="BT50" s="185" t="str">
        <f>_xlfn.IFNA(VLOOKUP($BC50,Programma!$F$3:$W$1101,18,0),"")</f>
        <v/>
      </c>
      <c r="BU50" s="185" t="str">
        <f>_xlfn.IFNA(VLOOKUP($BC50,Programma!$F$3:$X$1101,19,0),"")</f>
        <v/>
      </c>
      <c r="BV50" s="185" t="str">
        <f>_xlfn.IFNA(VLOOKUP($BC50,Programma!$F$3:$Y$1101,20,0),"")</f>
        <v/>
      </c>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row>
    <row r="51" spans="1:219" ht="15" customHeight="1">
      <c r="A51" s="149">
        <v>2</v>
      </c>
      <c r="B51" s="176" t="str">
        <f>VLOOKUP(Ruimtestaat[[#This Row],[Code]],Locaties[[Code]:[Locatie]],2,FALSE)</f>
        <v>IST Primary Campus</v>
      </c>
      <c r="C51" s="176" t="str">
        <f>VLOOKUP(Ruimtestaat[[#This Row],[Code]],Locaties[[#All],[Code]:[Adres]],4,FALSE)</f>
        <v>Joh. ter Horststraat 30</v>
      </c>
      <c r="D51" s="176" t="str">
        <f>VLOOKUP(Ruimtestaat[[#This Row],[Code]],Locaties[[#All],[Code]:[Postcode]],5,FALSE)</f>
        <v>7513 ZH</v>
      </c>
      <c r="E51" s="176" t="str">
        <f>VLOOKUP(Ruimtestaat[[#This Row],[Code]],Locaties[#All],6,FALSE)</f>
        <v>Enschede</v>
      </c>
      <c r="F51" s="149"/>
      <c r="G51" s="149"/>
      <c r="H51" s="300" t="s">
        <v>1689</v>
      </c>
      <c r="I51" s="301" t="s">
        <v>1683</v>
      </c>
      <c r="J51" s="99">
        <v>20</v>
      </c>
      <c r="K51" s="183" t="str">
        <f>VLOOKUP(Ruimtestaat[[#This Row],[Ruimte code]],Ruimtegroepen[[#All],[Code]:[Ruimte omschrijving]],2,FALSE)</f>
        <v>Niet in Onderhoud</v>
      </c>
      <c r="L51" s="149" t="s">
        <v>101</v>
      </c>
      <c r="M51" s="301" t="s">
        <v>1698</v>
      </c>
      <c r="N51" s="177"/>
      <c r="O51" s="177">
        <v>1</v>
      </c>
      <c r="P51" s="178">
        <f>VLOOKUP(Ruimtestaat[[#This Row],[Ruimte code]],Ruimtegroepen[],4,FALSE)</f>
        <v>0</v>
      </c>
      <c r="Q51" s="149"/>
      <c r="R51" s="149"/>
      <c r="S51" s="149">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1" s="149">
        <f>IF(S51&gt;0,VLOOKUP($J51,Ruimtegroepen[],3,FALSE)*VLOOKUP($L51,Vloersoorten[],3,FALSE)*VLOOKUP($R51,Frequenties[],3,FALSE)*VLOOKUP($A51,Locaties[],3,FALSE),0)</f>
        <v>0</v>
      </c>
      <c r="U51" s="149">
        <f>Ruimtestaat[[#This Row],[Uitvoeringen werkdagen]]*Ruimtestaat[[#This Row],[Oppervlak (netto)]]</f>
        <v>0</v>
      </c>
      <c r="V51" s="179">
        <f>IF(T51&gt;0,Ruimtestaat[[#This Row],[Prest. (m2 /jaar) werkdagen]]/Ruimtestaat[[#This Row],[Norm (m2/uur) werkdagen]],0)</f>
        <v>0</v>
      </c>
      <c r="W51" s="180">
        <f>Ruimtestaat[[#This Row],[uren / jaar werkdagen]]*Tariefsopbouw!$E$35</f>
        <v>0</v>
      </c>
      <c r="X51" s="149"/>
      <c r="Y51" s="149">
        <f>IF(Ruimtestaat[[#This Row],[Frequentie weekend]]&gt;0,VALUE(LEFT(X51,1))*Q51,0)</f>
        <v>0</v>
      </c>
      <c r="Z51" s="148">
        <f>IF($Y51&gt;0,VLOOKUP($J51,Ruimtegroepen[],3,FALSE)*VLOOKUP($L51,Vloersoorten[],3,FALSE)*VLOOKUP($X51,Frequenties[],3,FALSE)*VLOOKUP(Ruimtestaat[[#This Row],[Code]],Locaties[],3,FALSE),0)</f>
        <v>0</v>
      </c>
      <c r="AA51" s="148">
        <f>Ruimtestaat[[#This Row],[Uitvoeringen weekend]]*Ruimtestaat[[#This Row],[Oppervlak (netto)]]</f>
        <v>0</v>
      </c>
      <c r="AB51" s="148">
        <f>IF(Z51&gt;0,Ruimtestaat[[#This Row],[Prest. (m2 /jaar) weekend]]/Ruimtestaat[[#This Row],[Norm (m2/uur) weekend]],0)</f>
        <v>0</v>
      </c>
      <c r="AC51" s="180">
        <f>Ruimtestaat[[#This Row],[uren / jaar weekend]]*Tariefsopbouw!$D$40</f>
        <v>0</v>
      </c>
      <c r="AD51" s="179">
        <f>Ruimtestaat[[#This Row],[Prest. (m2 /jaar) weekend]]+Ruimtestaat[[#This Row],[Prest. (m2 /jaar) werkdagen]]</f>
        <v>0</v>
      </c>
      <c r="AE51" s="179">
        <f>Ruimtestaat[[#This Row],[uren / jaar weekend]]+Ruimtestaat[[#This Row],[uren / jaar werkdagen]]</f>
        <v>0</v>
      </c>
      <c r="AF51" s="174">
        <f>Ruimtestaat[[#This Row],[kosten / jaar weekend]]+Ruimtestaat[[#This Row],[kosten / jaar werkdagen]]</f>
        <v>0</v>
      </c>
      <c r="AG51" s="174"/>
      <c r="AH51" s="181" t="str">
        <f>IF(Ruimtestaat[[#This Row],[Frequentie werkdagen]]="","",_xlfn.CONCAT(Ruimtestaat[[#This Row],[Ruimte code]],"-",Ruimtestaat[[#This Row],[Frequentie werkdagen]]," ",Ruimtestaat[[#This Row],[Vloer code]]))</f>
        <v/>
      </c>
      <c r="AI51" s="185" t="str">
        <f>_xlfn.IFNA(VLOOKUP($AH51,Programma!$F$3:$G$1101,2,0),"")</f>
        <v/>
      </c>
      <c r="AJ51" s="185" t="str">
        <f>_xlfn.IFNA(VLOOKUP($AH51,Programma!$F$3:$H$1101,3,0),"")</f>
        <v/>
      </c>
      <c r="AK51" s="185" t="str">
        <f>_xlfn.IFNA(VLOOKUP($AH51,Programma!$F$3:$I$1101,4,0),"")</f>
        <v/>
      </c>
      <c r="AL51" s="185" t="str">
        <f>_xlfn.IFNA(VLOOKUP($AH51,Programma!$F$3:$J$1101,5,0),"")</f>
        <v/>
      </c>
      <c r="AM51" s="185" t="str">
        <f>_xlfn.IFNA(VLOOKUP($AH51,Programma!$F$3:$K$1101,6,0),"")</f>
        <v/>
      </c>
      <c r="AN51" s="185" t="str">
        <f>_xlfn.IFNA(VLOOKUP($AH51,Programma!$F$3:$L$1101,7,0),"")</f>
        <v/>
      </c>
      <c r="AO51" s="185" t="str">
        <f>_xlfn.IFNA(VLOOKUP($AH51,Programma!$F$3:$M$1101,8,0),"")</f>
        <v/>
      </c>
      <c r="AP51" s="185" t="str">
        <f>_xlfn.IFNA(VLOOKUP($AH51,Programma!$F$3:$N$1101,9,0),"")</f>
        <v/>
      </c>
      <c r="AQ51" s="185" t="str">
        <f>_xlfn.IFNA(VLOOKUP($AH51,Programma!$F$3:$O$1101,10,0),"")</f>
        <v/>
      </c>
      <c r="AR51" s="185" t="str">
        <f>_xlfn.IFNA(VLOOKUP($AH51,Programma!$F$3:$P$1101,11,0),"")</f>
        <v/>
      </c>
      <c r="AS51" s="185" t="str">
        <f>_xlfn.IFNA(VLOOKUP($AH51,Programma!$F$3:$Q$1101,12,0),"")</f>
        <v/>
      </c>
      <c r="AT51" s="185" t="str">
        <f>_xlfn.IFNA(VLOOKUP($AH51,Programma!$F$3:$R$1101,13,0),"")</f>
        <v/>
      </c>
      <c r="AU51" s="185" t="str">
        <f>_xlfn.IFNA(VLOOKUP($AH51,Programma!$F$3:$S$1101,14,0),"")</f>
        <v/>
      </c>
      <c r="AV51" s="185" t="str">
        <f>_xlfn.IFNA(VLOOKUP($AH51,Programma!$F$3:$T$1101,15,0),"")</f>
        <v/>
      </c>
      <c r="AW51" s="185" t="str">
        <f>_xlfn.IFNA(VLOOKUP($AH51,Programma!$F$3:$U$1101,16,0),"")</f>
        <v/>
      </c>
      <c r="AX51" s="185" t="str">
        <f>_xlfn.IFNA(VLOOKUP($AH51,Programma!$F$3:$V$1101,17,0),"")</f>
        <v/>
      </c>
      <c r="AY51" s="185" t="str">
        <f>_xlfn.IFNA(VLOOKUP($AH51,Programma!$F$3:$W$1101,18,0),"")</f>
        <v/>
      </c>
      <c r="AZ51" s="185" t="str">
        <f>_xlfn.IFNA(VLOOKUP($AH51,Programma!$F$3:$X$1101,19,0),"")</f>
        <v/>
      </c>
      <c r="BA51" s="185" t="str">
        <f>_xlfn.IFNA(VLOOKUP($AH51,Programma!$F$3:$Y$1101,20,0),"")</f>
        <v/>
      </c>
      <c r="BB51" s="182"/>
      <c r="BC51" s="181" t="str">
        <f>IF(Ruimtestaat[[#This Row],[Frequentie weekend]]="","",_xlfn.CONCAT(Ruimtestaat[[#This Row],[Ruimte code]],"-",Ruimtestaat[[#This Row],[Frequentie weekend]]," ",Ruimtestaat[[#This Row],[Vloer code]]))</f>
        <v/>
      </c>
      <c r="BD51" s="185" t="str">
        <f>_xlfn.IFNA(VLOOKUP($BC51,Programma!$F$3:$G$1101,2,0),"")</f>
        <v/>
      </c>
      <c r="BE51" s="185" t="str">
        <f>_xlfn.IFNA(VLOOKUP($BC51,Programma!$F$3:$H$1101,3,0),"")</f>
        <v/>
      </c>
      <c r="BF51" s="185" t="str">
        <f>_xlfn.IFNA(VLOOKUP($BC51,Programma!$F$3:$I$1101,4,0),"")</f>
        <v/>
      </c>
      <c r="BG51" s="185" t="str">
        <f>_xlfn.IFNA(VLOOKUP($BC51,Programma!$F$3:$J$1101,5,0),"")</f>
        <v/>
      </c>
      <c r="BH51" s="185" t="str">
        <f>_xlfn.IFNA(VLOOKUP($BC51,Programma!$F$3:$K$1101,6,0),"")</f>
        <v/>
      </c>
      <c r="BI51" s="185" t="str">
        <f>_xlfn.IFNA(VLOOKUP($BC51,Programma!$F$3:$L$1101,7,0),"")</f>
        <v/>
      </c>
      <c r="BJ51" s="185" t="str">
        <f>_xlfn.IFNA(VLOOKUP($BC51,Programma!$F$3:$M$1101,8,0),"")</f>
        <v/>
      </c>
      <c r="BK51" s="185" t="str">
        <f>_xlfn.IFNA(VLOOKUP($BC51,Programma!$F$3:$N$1101,9,0),"")</f>
        <v/>
      </c>
      <c r="BL51" s="185" t="str">
        <f>_xlfn.IFNA(VLOOKUP($BC51,Programma!$F$3:$O$1101,10,0),"")</f>
        <v/>
      </c>
      <c r="BM51" s="185" t="str">
        <f>_xlfn.IFNA(VLOOKUP($BC51,Programma!$F$3:$P$1101,11,0),"")</f>
        <v/>
      </c>
      <c r="BN51" s="185" t="str">
        <f>_xlfn.IFNA(VLOOKUP($BC51,Programma!$F$3:$Q$1101,12,0),"")</f>
        <v/>
      </c>
      <c r="BO51" s="185" t="str">
        <f>_xlfn.IFNA(VLOOKUP($BC51,Programma!$F$3:$R$1101,13,0),"")</f>
        <v/>
      </c>
      <c r="BP51" s="185" t="str">
        <f>_xlfn.IFNA(VLOOKUP($BC51,Programma!$F$3:$S$1101,14,0),"")</f>
        <v/>
      </c>
      <c r="BQ51" s="185" t="str">
        <f>_xlfn.IFNA(VLOOKUP($BC51,Programma!$F$3:$T$1101,15,0),"")</f>
        <v/>
      </c>
      <c r="BR51" s="185" t="str">
        <f>_xlfn.IFNA(VLOOKUP($BC51,Programma!$F$3:$U$1101,16,0),"")</f>
        <v/>
      </c>
      <c r="BS51" s="185" t="str">
        <f>_xlfn.IFNA(VLOOKUP($BC51,Programma!$F$3:$V$1101,17,0),"")</f>
        <v/>
      </c>
      <c r="BT51" s="185" t="str">
        <f>_xlfn.IFNA(VLOOKUP($BC51,Programma!$F$3:$W$1101,18,0),"")</f>
        <v/>
      </c>
      <c r="BU51" s="185" t="str">
        <f>_xlfn.IFNA(VLOOKUP($BC51,Programma!$F$3:$X$1101,19,0),"")</f>
        <v/>
      </c>
      <c r="BV51" s="185" t="str">
        <f>_xlfn.IFNA(VLOOKUP($BC51,Programma!$F$3:$Y$1101,20,0),"")</f>
        <v/>
      </c>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c r="EO51" s="78"/>
      <c r="EP51" s="78"/>
      <c r="EQ51" s="78"/>
      <c r="ER51" s="78"/>
      <c r="ES51" s="78"/>
      <c r="ET51" s="78"/>
      <c r="EU51" s="78"/>
      <c r="EV51" s="78"/>
      <c r="EW51" s="78"/>
      <c r="EX51" s="78"/>
      <c r="EY51" s="78"/>
      <c r="EZ51" s="78"/>
      <c r="FA51" s="78"/>
      <c r="FB51" s="78"/>
      <c r="FC51" s="78"/>
      <c r="FD51" s="78"/>
      <c r="FE51" s="78"/>
      <c r="FF51" s="78"/>
      <c r="FG51" s="78"/>
      <c r="FH51" s="78"/>
      <c r="FI51" s="78"/>
      <c r="FJ51" s="78"/>
      <c r="FK51" s="78"/>
      <c r="FL51" s="78"/>
      <c r="FM51" s="78"/>
      <c r="FN51" s="78"/>
      <c r="FO51" s="78"/>
      <c r="FP51" s="78"/>
      <c r="FQ51" s="78"/>
      <c r="FR51" s="78"/>
      <c r="FS51" s="78"/>
      <c r="FT51" s="78"/>
      <c r="FU51" s="78"/>
      <c r="FV51" s="78"/>
      <c r="FW51" s="78"/>
      <c r="FX51" s="78"/>
      <c r="FY51" s="78"/>
      <c r="FZ51" s="78"/>
      <c r="GA51" s="78"/>
      <c r="GB51" s="78"/>
      <c r="GC51" s="78"/>
      <c r="GD51" s="78"/>
      <c r="GE51" s="78"/>
      <c r="GF51" s="78"/>
      <c r="GG51" s="78"/>
      <c r="GH51" s="78"/>
      <c r="GI51" s="78"/>
      <c r="GJ51" s="78"/>
      <c r="GK51" s="78"/>
      <c r="GL51" s="78"/>
      <c r="GM51" s="78"/>
      <c r="GN51" s="78"/>
      <c r="GO51" s="78"/>
      <c r="GP51" s="78"/>
      <c r="GQ51" s="78"/>
      <c r="GR51" s="78"/>
      <c r="GS51" s="78"/>
      <c r="GT51" s="78"/>
      <c r="GU51" s="78"/>
      <c r="GV51" s="78"/>
      <c r="GW51" s="78"/>
      <c r="GX51" s="78"/>
      <c r="GY51" s="78"/>
      <c r="GZ51" s="78"/>
      <c r="HA51" s="78"/>
      <c r="HB51" s="78"/>
      <c r="HC51" s="78"/>
      <c r="HD51" s="78"/>
      <c r="HE51" s="78"/>
      <c r="HF51" s="78"/>
      <c r="HG51" s="78"/>
      <c r="HH51" s="78"/>
      <c r="HI51" s="78"/>
      <c r="HJ51" s="78"/>
      <c r="HK51" s="78"/>
    </row>
    <row r="52" spans="1:219" ht="15" customHeight="1">
      <c r="A52" s="149">
        <v>2</v>
      </c>
      <c r="B52" s="176" t="str">
        <f>VLOOKUP(Ruimtestaat[[#This Row],[Code]],Locaties[[Code]:[Locatie]],2,FALSE)</f>
        <v>IST Primary Campus</v>
      </c>
      <c r="C52" s="176" t="str">
        <f>VLOOKUP(Ruimtestaat[[#This Row],[Code]],Locaties[[#All],[Code]:[Adres]],4,FALSE)</f>
        <v>Joh. ter Horststraat 30</v>
      </c>
      <c r="D52" s="176" t="str">
        <f>VLOOKUP(Ruimtestaat[[#This Row],[Code]],Locaties[[#All],[Code]:[Postcode]],5,FALSE)</f>
        <v>7513 ZH</v>
      </c>
      <c r="E52" s="176" t="str">
        <f>VLOOKUP(Ruimtestaat[[#This Row],[Code]],Locaties[#All],6,FALSE)</f>
        <v>Enschede</v>
      </c>
      <c r="F52" s="149"/>
      <c r="G52" s="149"/>
      <c r="H52" s="300" t="s">
        <v>1691</v>
      </c>
      <c r="I52" s="301" t="s">
        <v>1702</v>
      </c>
      <c r="J52" s="99">
        <v>10</v>
      </c>
      <c r="K52" s="173" t="str">
        <f>VLOOKUP(Ruimtestaat[[#This Row],[Ruimte code]],Ruimtegroepen[[#All],[Code]:[Ruimte omschrijving]],2,FALSE)</f>
        <v>Trappenhuizen/lift</v>
      </c>
      <c r="L52" s="149" t="s">
        <v>100</v>
      </c>
      <c r="M52" s="301" t="s">
        <v>1697</v>
      </c>
      <c r="N52" s="177">
        <v>11.7</v>
      </c>
      <c r="O52" s="177"/>
      <c r="P52" s="178" t="str">
        <f>VLOOKUP(Ruimtestaat[[#This Row],[Ruimte code]],Ruimtegroepen[],4,FALSE)</f>
        <v>Ve</v>
      </c>
      <c r="Q52" s="149">
        <v>40</v>
      </c>
      <c r="R52" s="149" t="s">
        <v>2</v>
      </c>
      <c r="S52" s="149">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 s="149">
        <f>IF(S52&gt;0,VLOOKUP($J52,Ruimtegroepen[],3,FALSE)*VLOOKUP($L52,Vloersoorten[],3,FALSE)*VLOOKUP($R52,Frequenties[],3,FALSE)*VLOOKUP($A52,Locaties[],3,FALSE),0)</f>
        <v>0</v>
      </c>
      <c r="U52" s="149">
        <f>Ruimtestaat[[#This Row],[Uitvoeringen werkdagen]]*Ruimtestaat[[#This Row],[Oppervlak (netto)]]</f>
        <v>2340</v>
      </c>
      <c r="V52" s="179">
        <f>IF(T52&gt;0,Ruimtestaat[[#This Row],[Prest. (m2 /jaar) werkdagen]]/Ruimtestaat[[#This Row],[Norm (m2/uur) werkdagen]],0)</f>
        <v>0</v>
      </c>
      <c r="W52" s="180">
        <f>Ruimtestaat[[#This Row],[uren / jaar werkdagen]]*Tariefsopbouw!$E$35</f>
        <v>0</v>
      </c>
      <c r="X52" s="149"/>
      <c r="Y52" s="149">
        <f>IF(Ruimtestaat[[#This Row],[Frequentie weekend]]&gt;0,VALUE(LEFT(X52,1))*Q52,0)</f>
        <v>0</v>
      </c>
      <c r="Z52" s="148">
        <f>IF($Y52&gt;0,VLOOKUP($J52,Ruimtegroepen[],3,FALSE)*VLOOKUP($L52,Vloersoorten[],3,FALSE)*VLOOKUP($X52,Frequenties[],3,FALSE)*VLOOKUP(Ruimtestaat[[#This Row],[Code]],Locaties[],3,FALSE),0)</f>
        <v>0</v>
      </c>
      <c r="AA52" s="148">
        <f>Ruimtestaat[[#This Row],[Uitvoeringen weekend]]*Ruimtestaat[[#This Row],[Oppervlak (netto)]]</f>
        <v>0</v>
      </c>
      <c r="AB52" s="148">
        <f>IF(Z52&gt;0,Ruimtestaat[[#This Row],[Prest. (m2 /jaar) weekend]]/Ruimtestaat[[#This Row],[Norm (m2/uur) weekend]],0)</f>
        <v>0</v>
      </c>
      <c r="AC52" s="180">
        <f>Ruimtestaat[[#This Row],[uren / jaar weekend]]*Tariefsopbouw!$D$40</f>
        <v>0</v>
      </c>
      <c r="AD52" s="179">
        <f>Ruimtestaat[[#This Row],[Prest. (m2 /jaar) weekend]]+Ruimtestaat[[#This Row],[Prest. (m2 /jaar) werkdagen]]</f>
        <v>2340</v>
      </c>
      <c r="AE52" s="179">
        <f>Ruimtestaat[[#This Row],[uren / jaar weekend]]+Ruimtestaat[[#This Row],[uren / jaar werkdagen]]</f>
        <v>0</v>
      </c>
      <c r="AF52" s="174">
        <f>Ruimtestaat[[#This Row],[kosten / jaar weekend]]+Ruimtestaat[[#This Row],[kosten / jaar werkdagen]]</f>
        <v>0</v>
      </c>
      <c r="AG52" s="174"/>
      <c r="AH52" s="181" t="str">
        <f>IF(Ruimtestaat[[#This Row],[Frequentie werkdagen]]="","",_xlfn.CONCAT(Ruimtestaat[[#This Row],[Ruimte code]],"-",Ruimtestaat[[#This Row],[Frequentie werkdagen]]," ",Ruimtestaat[[#This Row],[Vloer code]]))</f>
        <v>10-5w L</v>
      </c>
      <c r="AI52" s="185" t="str">
        <f>_xlfn.IFNA(VLOOKUP($AH52,Programma!$F$3:$G$1101,2,0),"")</f>
        <v>_</v>
      </c>
      <c r="AJ52" s="185" t="str">
        <f>_xlfn.IFNA(VLOOKUP($AH52,Programma!$F$3:$H$1101,3,0),"")</f>
        <v>_</v>
      </c>
      <c r="AK52" s="185" t="str">
        <f>_xlfn.IFNA(VLOOKUP($AH52,Programma!$F$3:$I$1101,4,0),"")</f>
        <v>4w</v>
      </c>
      <c r="AL52" s="185" t="str">
        <f>_xlfn.IFNA(VLOOKUP($AH52,Programma!$F$3:$J$1101,5,0),"")</f>
        <v>1w</v>
      </c>
      <c r="AM52" s="185" t="str">
        <f>_xlfn.IFNA(VLOOKUP($AH52,Programma!$F$3:$K$1101,6,0),"")</f>
        <v>_</v>
      </c>
      <c r="AN52" s="185" t="str">
        <f>_xlfn.IFNA(VLOOKUP($AH52,Programma!$F$3:$L$1101,7,0),"")</f>
        <v>_</v>
      </c>
      <c r="AO52" s="185" t="str">
        <f>_xlfn.IFNA(VLOOKUP($AH52,Programma!$F$3:$M$1101,8,0),"")</f>
        <v>_</v>
      </c>
      <c r="AP52" s="185" t="str">
        <f>_xlfn.IFNA(VLOOKUP($AH52,Programma!$F$3:$N$1101,9,0),"")</f>
        <v>_</v>
      </c>
      <c r="AQ52" s="185" t="str">
        <f>_xlfn.IFNA(VLOOKUP($AH52,Programma!$F$3:$O$1101,10,0),"")</f>
        <v>5w</v>
      </c>
      <c r="AR52" s="185" t="str">
        <f>_xlfn.IFNA(VLOOKUP($AH52,Programma!$F$3:$P$1101,11,0),"")</f>
        <v>5w</v>
      </c>
      <c r="AS52" s="185" t="str">
        <f>_xlfn.IFNA(VLOOKUP($AH52,Programma!$F$3:$Q$1101,12,0),"")</f>
        <v>1w</v>
      </c>
      <c r="AT52" s="185" t="str">
        <f>_xlfn.IFNA(VLOOKUP($AH52,Programma!$F$3:$R$1101,13,0),"")</f>
        <v>1w</v>
      </c>
      <c r="AU52" s="185" t="str">
        <f>_xlfn.IFNA(VLOOKUP($AH52,Programma!$F$3:$S$1101,14,0),"")</f>
        <v>1m</v>
      </c>
      <c r="AV52" s="185" t="str">
        <f>_xlfn.IFNA(VLOOKUP($AH52,Programma!$F$3:$T$1101,15,0),"")</f>
        <v>2j</v>
      </c>
      <c r="AW52" s="185" t="str">
        <f>_xlfn.IFNA(VLOOKUP($AH52,Programma!$F$3:$U$1101,16,0),"")</f>
        <v>1j</v>
      </c>
      <c r="AX52" s="185" t="str">
        <f>_xlfn.IFNA(VLOOKUP($AH52,Programma!$F$3:$V$1101,17,0),"")</f>
        <v>_</v>
      </c>
      <c r="AY52" s="185" t="str">
        <f>_xlfn.IFNA(VLOOKUP($AH52,Programma!$F$3:$W$1101,18,0),"")</f>
        <v>_</v>
      </c>
      <c r="AZ52" s="185" t="str">
        <f>_xlfn.IFNA(VLOOKUP($AH52,Programma!$F$3:$X$1101,19,0),"")</f>
        <v>_</v>
      </c>
      <c r="BA52" s="185" t="str">
        <f>_xlfn.IFNA(VLOOKUP($AH52,Programma!$F$3:$Y$1101,20,0),"")</f>
        <v>_</v>
      </c>
      <c r="BB52" s="182"/>
      <c r="BC52" s="181" t="str">
        <f>IF(Ruimtestaat[[#This Row],[Frequentie weekend]]="","",_xlfn.CONCAT(Ruimtestaat[[#This Row],[Ruimte code]],"-",Ruimtestaat[[#This Row],[Frequentie weekend]]," ",Ruimtestaat[[#This Row],[Vloer code]]))</f>
        <v/>
      </c>
      <c r="BD52" s="185" t="str">
        <f>_xlfn.IFNA(VLOOKUP($BC52,Programma!$F$3:$G$1101,2,0),"")</f>
        <v/>
      </c>
      <c r="BE52" s="185" t="str">
        <f>_xlfn.IFNA(VLOOKUP($BC52,Programma!$F$3:$H$1101,3,0),"")</f>
        <v/>
      </c>
      <c r="BF52" s="185" t="str">
        <f>_xlfn.IFNA(VLOOKUP($BC52,Programma!$F$3:$I$1101,4,0),"")</f>
        <v/>
      </c>
      <c r="BG52" s="185" t="str">
        <f>_xlfn.IFNA(VLOOKUP($BC52,Programma!$F$3:$J$1101,5,0),"")</f>
        <v/>
      </c>
      <c r="BH52" s="185" t="str">
        <f>_xlfn.IFNA(VLOOKUP($BC52,Programma!$F$3:$K$1101,6,0),"")</f>
        <v/>
      </c>
      <c r="BI52" s="185" t="str">
        <f>_xlfn.IFNA(VLOOKUP($BC52,Programma!$F$3:$L$1101,7,0),"")</f>
        <v/>
      </c>
      <c r="BJ52" s="185" t="str">
        <f>_xlfn.IFNA(VLOOKUP($BC52,Programma!$F$3:$M$1101,8,0),"")</f>
        <v/>
      </c>
      <c r="BK52" s="185" t="str">
        <f>_xlfn.IFNA(VLOOKUP($BC52,Programma!$F$3:$N$1101,9,0),"")</f>
        <v/>
      </c>
      <c r="BL52" s="185" t="str">
        <f>_xlfn.IFNA(VLOOKUP($BC52,Programma!$F$3:$O$1101,10,0),"")</f>
        <v/>
      </c>
      <c r="BM52" s="185" t="str">
        <f>_xlfn.IFNA(VLOOKUP($BC52,Programma!$F$3:$P$1101,11,0),"")</f>
        <v/>
      </c>
      <c r="BN52" s="185" t="str">
        <f>_xlfn.IFNA(VLOOKUP($BC52,Programma!$F$3:$Q$1101,12,0),"")</f>
        <v/>
      </c>
      <c r="BO52" s="185" t="str">
        <f>_xlfn.IFNA(VLOOKUP($BC52,Programma!$F$3:$R$1101,13,0),"")</f>
        <v/>
      </c>
      <c r="BP52" s="185" t="str">
        <f>_xlfn.IFNA(VLOOKUP($BC52,Programma!$F$3:$S$1101,14,0),"")</f>
        <v/>
      </c>
      <c r="BQ52" s="185" t="str">
        <f>_xlfn.IFNA(VLOOKUP($BC52,Programma!$F$3:$T$1101,15,0),"")</f>
        <v/>
      </c>
      <c r="BR52" s="185" t="str">
        <f>_xlfn.IFNA(VLOOKUP($BC52,Programma!$F$3:$U$1101,16,0),"")</f>
        <v/>
      </c>
      <c r="BS52" s="185" t="str">
        <f>_xlfn.IFNA(VLOOKUP($BC52,Programma!$F$3:$V$1101,17,0),"")</f>
        <v/>
      </c>
      <c r="BT52" s="185" t="str">
        <f>_xlfn.IFNA(VLOOKUP($BC52,Programma!$F$3:$W$1101,18,0),"")</f>
        <v/>
      </c>
      <c r="BU52" s="185" t="str">
        <f>_xlfn.IFNA(VLOOKUP($BC52,Programma!$F$3:$X$1101,19,0),"")</f>
        <v/>
      </c>
      <c r="BV52" s="185" t="str">
        <f>_xlfn.IFNA(VLOOKUP($BC52,Programma!$F$3:$Y$1101,20,0),"")</f>
        <v/>
      </c>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c r="EO52" s="78"/>
      <c r="EP52" s="78"/>
      <c r="EQ52" s="78"/>
      <c r="ER52" s="78"/>
      <c r="ES52" s="78"/>
      <c r="ET52" s="78"/>
      <c r="EU52" s="78"/>
      <c r="EV52" s="78"/>
      <c r="EW52" s="78"/>
      <c r="EX52" s="78"/>
      <c r="EY52" s="78"/>
      <c r="EZ52" s="78"/>
      <c r="FA52" s="78"/>
      <c r="FB52" s="78"/>
      <c r="FC52" s="78"/>
      <c r="FD52" s="78"/>
      <c r="FE52" s="78"/>
      <c r="FF52" s="78"/>
      <c r="FG52" s="78"/>
      <c r="FH52" s="78"/>
      <c r="FI52" s="78"/>
      <c r="FJ52" s="78"/>
      <c r="FK52" s="78"/>
      <c r="FL52" s="78"/>
      <c r="FM52" s="78"/>
      <c r="FN52" s="78"/>
      <c r="FO52" s="78"/>
      <c r="FP52" s="78"/>
      <c r="FQ52" s="78"/>
      <c r="FR52" s="78"/>
      <c r="FS52" s="78"/>
      <c r="FT52" s="78"/>
      <c r="FU52" s="78"/>
      <c r="FV52" s="78"/>
      <c r="FW52" s="78"/>
      <c r="FX52" s="78"/>
      <c r="FY52" s="78"/>
      <c r="FZ52" s="78"/>
      <c r="GA52" s="78"/>
      <c r="GB52" s="78"/>
      <c r="GC52" s="78"/>
      <c r="GD52" s="78"/>
      <c r="GE52" s="78"/>
      <c r="GF52" s="78"/>
      <c r="GG52" s="78"/>
      <c r="GH52" s="78"/>
      <c r="GI52" s="78"/>
      <c r="GJ52" s="78"/>
      <c r="GK52" s="78"/>
      <c r="GL52" s="78"/>
      <c r="GM52" s="78"/>
      <c r="GN52" s="78"/>
      <c r="GO52" s="78"/>
      <c r="GP52" s="78"/>
      <c r="GQ52" s="78"/>
      <c r="GR52" s="78"/>
      <c r="GS52" s="78"/>
      <c r="GT52" s="78"/>
      <c r="GU52" s="78"/>
      <c r="GV52" s="78"/>
      <c r="GW52" s="78"/>
      <c r="GX52" s="78"/>
      <c r="GY52" s="78"/>
      <c r="GZ52" s="78"/>
      <c r="HA52" s="78"/>
      <c r="HB52" s="78"/>
      <c r="HC52" s="78"/>
      <c r="HD52" s="78"/>
      <c r="HE52" s="78"/>
      <c r="HF52" s="78"/>
      <c r="HG52" s="78"/>
      <c r="HH52" s="78"/>
      <c r="HI52" s="78"/>
      <c r="HJ52" s="78"/>
      <c r="HK52" s="78"/>
    </row>
    <row r="53" spans="1:219" ht="15" customHeight="1">
      <c r="A53" s="149">
        <v>2</v>
      </c>
      <c r="B53" s="176" t="str">
        <f>VLOOKUP(Ruimtestaat[[#This Row],[Code]],Locaties[[Code]:[Locatie]],2,FALSE)</f>
        <v>IST Primary Campus</v>
      </c>
      <c r="C53" s="176" t="str">
        <f>VLOOKUP(Ruimtestaat[[#This Row],[Code]],Locaties[[#All],[Code]:[Adres]],4,FALSE)</f>
        <v>Joh. ter Horststraat 30</v>
      </c>
      <c r="D53" s="176" t="str">
        <f>VLOOKUP(Ruimtestaat[[#This Row],[Code]],Locaties[[#All],[Code]:[Postcode]],5,FALSE)</f>
        <v>7513 ZH</v>
      </c>
      <c r="E53" s="176" t="str">
        <f>VLOOKUP(Ruimtestaat[[#This Row],[Code]],Locaties[#All],6,FALSE)</f>
        <v>Enschede</v>
      </c>
      <c r="F53" s="149"/>
      <c r="G53" s="149"/>
      <c r="H53" s="300" t="s">
        <v>1692</v>
      </c>
      <c r="I53" s="301" t="s">
        <v>1688</v>
      </c>
      <c r="J53" s="99">
        <v>16</v>
      </c>
      <c r="K53" s="173" t="str">
        <f>VLOOKUP(Ruimtestaat[[#This Row],[Ruimte code]],Ruimtegroepen[[#All],[Code]:[Ruimte omschrijving]],2,FALSE)</f>
        <v>Leslokalen</v>
      </c>
      <c r="L53" s="149" t="s">
        <v>100</v>
      </c>
      <c r="M53" s="301" t="s">
        <v>1697</v>
      </c>
      <c r="N53" s="177">
        <v>57.5</v>
      </c>
      <c r="O53" s="177"/>
      <c r="P53" s="178" t="str">
        <f>VLOOKUP(Ruimtestaat[[#This Row],[Ruimte code]],Ruimtegroepen[],4,FALSE)</f>
        <v>Le</v>
      </c>
      <c r="Q53" s="149">
        <v>40</v>
      </c>
      <c r="R53" s="149" t="s">
        <v>2</v>
      </c>
      <c r="S53" s="149">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 s="149">
        <f>IF(S53&gt;0,VLOOKUP($J53,Ruimtegroepen[],3,FALSE)*VLOOKUP($L53,Vloersoorten[],3,FALSE)*VLOOKUP($R53,Frequenties[],3,FALSE)*VLOOKUP($A53,Locaties[],3,FALSE),0)</f>
        <v>0</v>
      </c>
      <c r="U53" s="149">
        <f>Ruimtestaat[[#This Row],[Uitvoeringen werkdagen]]*Ruimtestaat[[#This Row],[Oppervlak (netto)]]</f>
        <v>11500</v>
      </c>
      <c r="V53" s="179">
        <f>IF(T53&gt;0,Ruimtestaat[[#This Row],[Prest. (m2 /jaar) werkdagen]]/Ruimtestaat[[#This Row],[Norm (m2/uur) werkdagen]],0)</f>
        <v>0</v>
      </c>
      <c r="W53" s="180">
        <f>Ruimtestaat[[#This Row],[uren / jaar werkdagen]]*Tariefsopbouw!$E$35</f>
        <v>0</v>
      </c>
      <c r="X53" s="149"/>
      <c r="Y53" s="149">
        <f>IF(Ruimtestaat[[#This Row],[Frequentie weekend]]&gt;0,VALUE(LEFT(X53,1))*Q53,0)</f>
        <v>0</v>
      </c>
      <c r="Z53" s="148">
        <f>IF($Y53&gt;0,VLOOKUP($J53,Ruimtegroepen[],3,FALSE)*VLOOKUP($L53,Vloersoorten[],3,FALSE)*VLOOKUP($X53,Frequenties[],3,FALSE)*VLOOKUP(Ruimtestaat[[#This Row],[Code]],Locaties[],3,FALSE),0)</f>
        <v>0</v>
      </c>
      <c r="AA53" s="148">
        <f>Ruimtestaat[[#This Row],[Uitvoeringen weekend]]*Ruimtestaat[[#This Row],[Oppervlak (netto)]]</f>
        <v>0</v>
      </c>
      <c r="AB53" s="148">
        <f>IF(Z53&gt;0,Ruimtestaat[[#This Row],[Prest. (m2 /jaar) weekend]]/Ruimtestaat[[#This Row],[Norm (m2/uur) weekend]],0)</f>
        <v>0</v>
      </c>
      <c r="AC53" s="180">
        <f>Ruimtestaat[[#This Row],[uren / jaar weekend]]*Tariefsopbouw!$D$40</f>
        <v>0</v>
      </c>
      <c r="AD53" s="179">
        <f>Ruimtestaat[[#This Row],[Prest. (m2 /jaar) weekend]]+Ruimtestaat[[#This Row],[Prest. (m2 /jaar) werkdagen]]</f>
        <v>11500</v>
      </c>
      <c r="AE53" s="179">
        <f>Ruimtestaat[[#This Row],[uren / jaar weekend]]+Ruimtestaat[[#This Row],[uren / jaar werkdagen]]</f>
        <v>0</v>
      </c>
      <c r="AF53" s="174">
        <f>Ruimtestaat[[#This Row],[kosten / jaar weekend]]+Ruimtestaat[[#This Row],[kosten / jaar werkdagen]]</f>
        <v>0</v>
      </c>
      <c r="AG53" s="174"/>
      <c r="AH53" s="181" t="str">
        <f>IF(Ruimtestaat[[#This Row],[Frequentie werkdagen]]="","",_xlfn.CONCAT(Ruimtestaat[[#This Row],[Ruimte code]],"-",Ruimtestaat[[#This Row],[Frequentie werkdagen]]," ",Ruimtestaat[[#This Row],[Vloer code]]))</f>
        <v>16-5w L</v>
      </c>
      <c r="AI53" s="185" t="str">
        <f>_xlfn.IFNA(VLOOKUP($AH53,Programma!$F$3:$G$1101,2,0),"")</f>
        <v>_</v>
      </c>
      <c r="AJ53" s="185" t="str">
        <f>_xlfn.IFNA(VLOOKUP($AH53,Programma!$F$3:$H$1101,3,0),"")</f>
        <v>_</v>
      </c>
      <c r="AK53" s="185" t="str">
        <f>_xlfn.IFNA(VLOOKUP($AH53,Programma!$F$3:$I$1101,4,0),"")</f>
        <v>4w</v>
      </c>
      <c r="AL53" s="185" t="str">
        <f>_xlfn.IFNA(VLOOKUP($AH53,Programma!$F$3:$J$1101,5,0),"")</f>
        <v>1w</v>
      </c>
      <c r="AM53" s="185" t="str">
        <f>_xlfn.IFNA(VLOOKUP($AH53,Programma!$F$3:$K$1101,6,0),"")</f>
        <v>_</v>
      </c>
      <c r="AN53" s="185" t="str">
        <f>_xlfn.IFNA(VLOOKUP($AH53,Programma!$F$3:$L$1101,7,0),"")</f>
        <v>_</v>
      </c>
      <c r="AO53" s="185" t="str">
        <f>_xlfn.IFNA(VLOOKUP($AH53,Programma!$F$3:$M$1101,8,0),"")</f>
        <v>_</v>
      </c>
      <c r="AP53" s="185" t="str">
        <f>_xlfn.IFNA(VLOOKUP($AH53,Programma!$F$3:$N$1101,9,0),"")</f>
        <v>_</v>
      </c>
      <c r="AQ53" s="185" t="str">
        <f>_xlfn.IFNA(VLOOKUP($AH53,Programma!$F$3:$O$1101,10,0),"")</f>
        <v>5w</v>
      </c>
      <c r="AR53" s="185" t="str">
        <f>_xlfn.IFNA(VLOOKUP($AH53,Programma!$F$3:$P$1101,11,0),"")</f>
        <v>5w</v>
      </c>
      <c r="AS53" s="185" t="str">
        <f>_xlfn.IFNA(VLOOKUP($AH53,Programma!$F$3:$Q$1101,12,0),"")</f>
        <v>1w</v>
      </c>
      <c r="AT53" s="185" t="str">
        <f>_xlfn.IFNA(VLOOKUP($AH53,Programma!$F$3:$R$1101,13,0),"")</f>
        <v>1w</v>
      </c>
      <c r="AU53" s="185" t="str">
        <f>_xlfn.IFNA(VLOOKUP($AH53,Programma!$F$3:$S$1101,14,0),"")</f>
        <v>1m</v>
      </c>
      <c r="AV53" s="185" t="str">
        <f>_xlfn.IFNA(VLOOKUP($AH53,Programma!$F$3:$T$1101,15,0),"")</f>
        <v>2j</v>
      </c>
      <c r="AW53" s="185" t="str">
        <f>_xlfn.IFNA(VLOOKUP($AH53,Programma!$F$3:$U$1101,16,0),"")</f>
        <v>1j</v>
      </c>
      <c r="AX53" s="185" t="str">
        <f>_xlfn.IFNA(VLOOKUP($AH53,Programma!$F$3:$V$1101,17,0),"")</f>
        <v>_</v>
      </c>
      <c r="AY53" s="185" t="str">
        <f>_xlfn.IFNA(VLOOKUP($AH53,Programma!$F$3:$W$1101,18,0),"")</f>
        <v>_</v>
      </c>
      <c r="AZ53" s="185" t="str">
        <f>_xlfn.IFNA(VLOOKUP($AH53,Programma!$F$3:$X$1101,19,0),"")</f>
        <v>_</v>
      </c>
      <c r="BA53" s="185" t="str">
        <f>_xlfn.IFNA(VLOOKUP($AH53,Programma!$F$3:$Y$1101,20,0),"")</f>
        <v>_</v>
      </c>
      <c r="BB53" s="182"/>
      <c r="BC53" s="181" t="str">
        <f>IF(Ruimtestaat[[#This Row],[Frequentie weekend]]="","",_xlfn.CONCAT(Ruimtestaat[[#This Row],[Ruimte code]],"-",Ruimtestaat[[#This Row],[Frequentie weekend]]," ",Ruimtestaat[[#This Row],[Vloer code]]))</f>
        <v/>
      </c>
      <c r="BD53" s="185" t="str">
        <f>_xlfn.IFNA(VLOOKUP($BC53,Programma!$F$3:$G$1101,2,0),"")</f>
        <v/>
      </c>
      <c r="BE53" s="185" t="str">
        <f>_xlfn.IFNA(VLOOKUP($BC53,Programma!$F$3:$H$1101,3,0),"")</f>
        <v/>
      </c>
      <c r="BF53" s="185" t="str">
        <f>_xlfn.IFNA(VLOOKUP($BC53,Programma!$F$3:$I$1101,4,0),"")</f>
        <v/>
      </c>
      <c r="BG53" s="185" t="str">
        <f>_xlfn.IFNA(VLOOKUP($BC53,Programma!$F$3:$J$1101,5,0),"")</f>
        <v/>
      </c>
      <c r="BH53" s="185" t="str">
        <f>_xlfn.IFNA(VLOOKUP($BC53,Programma!$F$3:$K$1101,6,0),"")</f>
        <v/>
      </c>
      <c r="BI53" s="185" t="str">
        <f>_xlfn.IFNA(VLOOKUP($BC53,Programma!$F$3:$L$1101,7,0),"")</f>
        <v/>
      </c>
      <c r="BJ53" s="185" t="str">
        <f>_xlfn.IFNA(VLOOKUP($BC53,Programma!$F$3:$M$1101,8,0),"")</f>
        <v/>
      </c>
      <c r="BK53" s="185" t="str">
        <f>_xlfn.IFNA(VLOOKUP($BC53,Programma!$F$3:$N$1101,9,0),"")</f>
        <v/>
      </c>
      <c r="BL53" s="185" t="str">
        <f>_xlfn.IFNA(VLOOKUP($BC53,Programma!$F$3:$O$1101,10,0),"")</f>
        <v/>
      </c>
      <c r="BM53" s="185" t="str">
        <f>_xlfn.IFNA(VLOOKUP($BC53,Programma!$F$3:$P$1101,11,0),"")</f>
        <v/>
      </c>
      <c r="BN53" s="185" t="str">
        <f>_xlfn.IFNA(VLOOKUP($BC53,Programma!$F$3:$Q$1101,12,0),"")</f>
        <v/>
      </c>
      <c r="BO53" s="185" t="str">
        <f>_xlfn.IFNA(VLOOKUP($BC53,Programma!$F$3:$R$1101,13,0),"")</f>
        <v/>
      </c>
      <c r="BP53" s="185" t="str">
        <f>_xlfn.IFNA(VLOOKUP($BC53,Programma!$F$3:$S$1101,14,0),"")</f>
        <v/>
      </c>
      <c r="BQ53" s="185" t="str">
        <f>_xlfn.IFNA(VLOOKUP($BC53,Programma!$F$3:$T$1101,15,0),"")</f>
        <v/>
      </c>
      <c r="BR53" s="185" t="str">
        <f>_xlfn.IFNA(VLOOKUP($BC53,Programma!$F$3:$U$1101,16,0),"")</f>
        <v/>
      </c>
      <c r="BS53" s="185" t="str">
        <f>_xlfn.IFNA(VLOOKUP($BC53,Programma!$F$3:$V$1101,17,0),"")</f>
        <v/>
      </c>
      <c r="BT53" s="185" t="str">
        <f>_xlfn.IFNA(VLOOKUP($BC53,Programma!$F$3:$W$1101,18,0),"")</f>
        <v/>
      </c>
      <c r="BU53" s="185" t="str">
        <f>_xlfn.IFNA(VLOOKUP($BC53,Programma!$F$3:$X$1101,19,0),"")</f>
        <v/>
      </c>
      <c r="BV53" s="185" t="str">
        <f>_xlfn.IFNA(VLOOKUP($BC53,Programma!$F$3:$Y$1101,20,0),"")</f>
        <v/>
      </c>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H53" s="78"/>
      <c r="FI53" s="78"/>
      <c r="FJ53" s="78"/>
      <c r="FK53" s="78"/>
      <c r="FL53" s="78"/>
      <c r="FM53" s="78"/>
      <c r="FN53" s="78"/>
      <c r="FO53" s="78"/>
      <c r="FP53" s="78"/>
      <c r="FQ53" s="78"/>
      <c r="FR53" s="78"/>
      <c r="FS53" s="78"/>
      <c r="FT53" s="78"/>
      <c r="FU53" s="78"/>
      <c r="FV53" s="78"/>
      <c r="FW53" s="78"/>
      <c r="FX53" s="78"/>
      <c r="FY53" s="78"/>
      <c r="FZ53" s="78"/>
      <c r="GA53" s="78"/>
      <c r="GB53" s="78"/>
      <c r="GC53" s="78"/>
      <c r="GD53" s="78"/>
      <c r="GE53" s="78"/>
      <c r="GF53" s="78"/>
      <c r="GG53" s="78"/>
      <c r="GH53" s="78"/>
      <c r="GI53" s="78"/>
      <c r="GJ53" s="78"/>
      <c r="GK53" s="78"/>
      <c r="GL53" s="78"/>
      <c r="GM53" s="78"/>
      <c r="GN53" s="78"/>
      <c r="GO53" s="78"/>
      <c r="GP53" s="78"/>
      <c r="GQ53" s="78"/>
      <c r="GR53" s="78"/>
      <c r="GS53" s="78"/>
      <c r="GT53" s="78"/>
      <c r="GU53" s="78"/>
      <c r="GV53" s="78"/>
      <c r="GW53" s="78"/>
      <c r="GX53" s="78"/>
      <c r="GY53" s="78"/>
      <c r="GZ53" s="78"/>
      <c r="HA53" s="78"/>
      <c r="HB53" s="78"/>
      <c r="HC53" s="78"/>
      <c r="HD53" s="78"/>
      <c r="HE53" s="78"/>
      <c r="HF53" s="78"/>
      <c r="HG53" s="78"/>
      <c r="HH53" s="78"/>
      <c r="HI53" s="78"/>
      <c r="HJ53" s="78"/>
      <c r="HK53" s="78"/>
    </row>
    <row r="54" spans="1:219" ht="15" customHeight="1">
      <c r="A54" s="149">
        <v>2</v>
      </c>
      <c r="B54" s="176" t="str">
        <f>VLOOKUP(Ruimtestaat[[#This Row],[Code]],Locaties[[Code]:[Locatie]],2,FALSE)</f>
        <v>IST Primary Campus</v>
      </c>
      <c r="C54" s="176" t="str">
        <f>VLOOKUP(Ruimtestaat[[#This Row],[Code]],Locaties[[#All],[Code]:[Adres]],4,FALSE)</f>
        <v>Joh. ter Horststraat 30</v>
      </c>
      <c r="D54" s="176" t="str">
        <f>VLOOKUP(Ruimtestaat[[#This Row],[Code]],Locaties[[#All],[Code]:[Postcode]],5,FALSE)</f>
        <v>7513 ZH</v>
      </c>
      <c r="E54" s="176" t="str">
        <f>VLOOKUP(Ruimtestaat[[#This Row],[Code]],Locaties[#All],6,FALSE)</f>
        <v>Enschede</v>
      </c>
      <c r="F54" s="149"/>
      <c r="G54" s="149"/>
      <c r="H54" s="300" t="s">
        <v>1693</v>
      </c>
      <c r="I54" s="301" t="s">
        <v>1688</v>
      </c>
      <c r="J54" s="99">
        <v>16</v>
      </c>
      <c r="K54" s="183" t="str">
        <f>VLOOKUP(Ruimtestaat[[#This Row],[Ruimte code]],Ruimtegroepen[[#All],[Code]:[Ruimte omschrijving]],2,FALSE)</f>
        <v>Leslokalen</v>
      </c>
      <c r="L54" s="149" t="s">
        <v>100</v>
      </c>
      <c r="M54" s="301" t="s">
        <v>1697</v>
      </c>
      <c r="N54" s="177">
        <v>58.1</v>
      </c>
      <c r="O54" s="177"/>
      <c r="P54" s="178" t="str">
        <f>VLOOKUP(Ruimtestaat[[#This Row],[Ruimte code]],Ruimtegroepen[],4,FALSE)</f>
        <v>Le</v>
      </c>
      <c r="Q54" s="149">
        <v>40</v>
      </c>
      <c r="R54" s="149" t="s">
        <v>2</v>
      </c>
      <c r="S54" s="149">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149">
        <f>IF(S54&gt;0,VLOOKUP($J54,Ruimtegroepen[],3,FALSE)*VLOOKUP($L54,Vloersoorten[],3,FALSE)*VLOOKUP($R54,Frequenties[],3,FALSE)*VLOOKUP($A54,Locaties[],3,FALSE),0)</f>
        <v>0</v>
      </c>
      <c r="U54" s="149">
        <f>Ruimtestaat[[#This Row],[Uitvoeringen werkdagen]]*Ruimtestaat[[#This Row],[Oppervlak (netto)]]</f>
        <v>11620</v>
      </c>
      <c r="V54" s="179">
        <f>IF(T54&gt;0,Ruimtestaat[[#This Row],[Prest. (m2 /jaar) werkdagen]]/Ruimtestaat[[#This Row],[Norm (m2/uur) werkdagen]],0)</f>
        <v>0</v>
      </c>
      <c r="W54" s="180">
        <f>Ruimtestaat[[#This Row],[uren / jaar werkdagen]]*Tariefsopbouw!$E$35</f>
        <v>0</v>
      </c>
      <c r="X54" s="149"/>
      <c r="Y54" s="149">
        <f>IF(Ruimtestaat[[#This Row],[Frequentie weekend]]&gt;0,VALUE(LEFT(X54,1))*Q54,0)</f>
        <v>0</v>
      </c>
      <c r="Z54" s="148">
        <f>IF($Y54&gt;0,VLOOKUP($J54,Ruimtegroepen[],3,FALSE)*VLOOKUP($L54,Vloersoorten[],3,FALSE)*VLOOKUP($X54,Frequenties[],3,FALSE)*VLOOKUP(Ruimtestaat[[#This Row],[Code]],Locaties[],3,FALSE),0)</f>
        <v>0</v>
      </c>
      <c r="AA54" s="148">
        <f>Ruimtestaat[[#This Row],[Uitvoeringen weekend]]*Ruimtestaat[[#This Row],[Oppervlak (netto)]]</f>
        <v>0</v>
      </c>
      <c r="AB54" s="148">
        <f>IF(Z54&gt;0,Ruimtestaat[[#This Row],[Prest. (m2 /jaar) weekend]]/Ruimtestaat[[#This Row],[Norm (m2/uur) weekend]],0)</f>
        <v>0</v>
      </c>
      <c r="AC54" s="180">
        <f>Ruimtestaat[[#This Row],[uren / jaar weekend]]*Tariefsopbouw!$D$40</f>
        <v>0</v>
      </c>
      <c r="AD54" s="179">
        <f>Ruimtestaat[[#This Row],[Prest. (m2 /jaar) weekend]]+Ruimtestaat[[#This Row],[Prest. (m2 /jaar) werkdagen]]</f>
        <v>11620</v>
      </c>
      <c r="AE54" s="179">
        <f>Ruimtestaat[[#This Row],[uren / jaar weekend]]+Ruimtestaat[[#This Row],[uren / jaar werkdagen]]</f>
        <v>0</v>
      </c>
      <c r="AF54" s="174">
        <f>Ruimtestaat[[#This Row],[kosten / jaar weekend]]+Ruimtestaat[[#This Row],[kosten / jaar werkdagen]]</f>
        <v>0</v>
      </c>
      <c r="AG54" s="174"/>
      <c r="AH54" s="181" t="str">
        <f>IF(Ruimtestaat[[#This Row],[Frequentie werkdagen]]="","",_xlfn.CONCAT(Ruimtestaat[[#This Row],[Ruimte code]],"-",Ruimtestaat[[#This Row],[Frequentie werkdagen]]," ",Ruimtestaat[[#This Row],[Vloer code]]))</f>
        <v>16-5w L</v>
      </c>
      <c r="AI54" s="185" t="str">
        <f>_xlfn.IFNA(VLOOKUP($AH54,Programma!$F$3:$G$1101,2,0),"")</f>
        <v>_</v>
      </c>
      <c r="AJ54" s="185" t="str">
        <f>_xlfn.IFNA(VLOOKUP($AH54,Programma!$F$3:$H$1101,3,0),"")</f>
        <v>_</v>
      </c>
      <c r="AK54" s="185" t="str">
        <f>_xlfn.IFNA(VLOOKUP($AH54,Programma!$F$3:$I$1101,4,0),"")</f>
        <v>4w</v>
      </c>
      <c r="AL54" s="185" t="str">
        <f>_xlfn.IFNA(VLOOKUP($AH54,Programma!$F$3:$J$1101,5,0),"")</f>
        <v>1w</v>
      </c>
      <c r="AM54" s="185" t="str">
        <f>_xlfn.IFNA(VLOOKUP($AH54,Programma!$F$3:$K$1101,6,0),"")</f>
        <v>_</v>
      </c>
      <c r="AN54" s="185" t="str">
        <f>_xlfn.IFNA(VLOOKUP($AH54,Programma!$F$3:$L$1101,7,0),"")</f>
        <v>_</v>
      </c>
      <c r="AO54" s="185" t="str">
        <f>_xlfn.IFNA(VLOOKUP($AH54,Programma!$F$3:$M$1101,8,0),"")</f>
        <v>_</v>
      </c>
      <c r="AP54" s="185" t="str">
        <f>_xlfn.IFNA(VLOOKUP($AH54,Programma!$F$3:$N$1101,9,0),"")</f>
        <v>_</v>
      </c>
      <c r="AQ54" s="185" t="str">
        <f>_xlfn.IFNA(VLOOKUP($AH54,Programma!$F$3:$O$1101,10,0),"")</f>
        <v>5w</v>
      </c>
      <c r="AR54" s="185" t="str">
        <f>_xlfn.IFNA(VLOOKUP($AH54,Programma!$F$3:$P$1101,11,0),"")</f>
        <v>5w</v>
      </c>
      <c r="AS54" s="185" t="str">
        <f>_xlfn.IFNA(VLOOKUP($AH54,Programma!$F$3:$Q$1101,12,0),"")</f>
        <v>1w</v>
      </c>
      <c r="AT54" s="185" t="str">
        <f>_xlfn.IFNA(VLOOKUP($AH54,Programma!$F$3:$R$1101,13,0),"")</f>
        <v>1w</v>
      </c>
      <c r="AU54" s="185" t="str">
        <f>_xlfn.IFNA(VLOOKUP($AH54,Programma!$F$3:$S$1101,14,0),"")</f>
        <v>1m</v>
      </c>
      <c r="AV54" s="185" t="str">
        <f>_xlfn.IFNA(VLOOKUP($AH54,Programma!$F$3:$T$1101,15,0),"")</f>
        <v>2j</v>
      </c>
      <c r="AW54" s="185" t="str">
        <f>_xlfn.IFNA(VLOOKUP($AH54,Programma!$F$3:$U$1101,16,0),"")</f>
        <v>1j</v>
      </c>
      <c r="AX54" s="185" t="str">
        <f>_xlfn.IFNA(VLOOKUP($AH54,Programma!$F$3:$V$1101,17,0),"")</f>
        <v>_</v>
      </c>
      <c r="AY54" s="185" t="str">
        <f>_xlfn.IFNA(VLOOKUP($AH54,Programma!$F$3:$W$1101,18,0),"")</f>
        <v>_</v>
      </c>
      <c r="AZ54" s="185" t="str">
        <f>_xlfn.IFNA(VLOOKUP($AH54,Programma!$F$3:$X$1101,19,0),"")</f>
        <v>_</v>
      </c>
      <c r="BA54" s="185" t="str">
        <f>_xlfn.IFNA(VLOOKUP($AH54,Programma!$F$3:$Y$1101,20,0),"")</f>
        <v>_</v>
      </c>
      <c r="BB54" s="182"/>
      <c r="BC54" s="181" t="str">
        <f>IF(Ruimtestaat[[#This Row],[Frequentie weekend]]="","",_xlfn.CONCAT(Ruimtestaat[[#This Row],[Ruimte code]],"-",Ruimtestaat[[#This Row],[Frequentie weekend]]," ",Ruimtestaat[[#This Row],[Vloer code]]))</f>
        <v/>
      </c>
      <c r="BD54" s="185" t="str">
        <f>_xlfn.IFNA(VLOOKUP($BC54,Programma!$F$3:$G$1101,2,0),"")</f>
        <v/>
      </c>
      <c r="BE54" s="185" t="str">
        <f>_xlfn.IFNA(VLOOKUP($BC54,Programma!$F$3:$H$1101,3,0),"")</f>
        <v/>
      </c>
      <c r="BF54" s="185" t="str">
        <f>_xlfn.IFNA(VLOOKUP($BC54,Programma!$F$3:$I$1101,4,0),"")</f>
        <v/>
      </c>
      <c r="BG54" s="185" t="str">
        <f>_xlfn.IFNA(VLOOKUP($BC54,Programma!$F$3:$J$1101,5,0),"")</f>
        <v/>
      </c>
      <c r="BH54" s="185" t="str">
        <f>_xlfn.IFNA(VLOOKUP($BC54,Programma!$F$3:$K$1101,6,0),"")</f>
        <v/>
      </c>
      <c r="BI54" s="185" t="str">
        <f>_xlfn.IFNA(VLOOKUP($BC54,Programma!$F$3:$L$1101,7,0),"")</f>
        <v/>
      </c>
      <c r="BJ54" s="185" t="str">
        <f>_xlfn.IFNA(VLOOKUP($BC54,Programma!$F$3:$M$1101,8,0),"")</f>
        <v/>
      </c>
      <c r="BK54" s="185" t="str">
        <f>_xlfn.IFNA(VLOOKUP($BC54,Programma!$F$3:$N$1101,9,0),"")</f>
        <v/>
      </c>
      <c r="BL54" s="185" t="str">
        <f>_xlfn.IFNA(VLOOKUP($BC54,Programma!$F$3:$O$1101,10,0),"")</f>
        <v/>
      </c>
      <c r="BM54" s="185" t="str">
        <f>_xlfn.IFNA(VLOOKUP($BC54,Programma!$F$3:$P$1101,11,0),"")</f>
        <v/>
      </c>
      <c r="BN54" s="185" t="str">
        <f>_xlfn.IFNA(VLOOKUP($BC54,Programma!$F$3:$Q$1101,12,0),"")</f>
        <v/>
      </c>
      <c r="BO54" s="185" t="str">
        <f>_xlfn.IFNA(VLOOKUP($BC54,Programma!$F$3:$R$1101,13,0),"")</f>
        <v/>
      </c>
      <c r="BP54" s="185" t="str">
        <f>_xlfn.IFNA(VLOOKUP($BC54,Programma!$F$3:$S$1101,14,0),"")</f>
        <v/>
      </c>
      <c r="BQ54" s="185" t="str">
        <f>_xlfn.IFNA(VLOOKUP($BC54,Programma!$F$3:$T$1101,15,0),"")</f>
        <v/>
      </c>
      <c r="BR54" s="185" t="str">
        <f>_xlfn.IFNA(VLOOKUP($BC54,Programma!$F$3:$U$1101,16,0),"")</f>
        <v/>
      </c>
      <c r="BS54" s="185" t="str">
        <f>_xlfn.IFNA(VLOOKUP($BC54,Programma!$F$3:$V$1101,17,0),"")</f>
        <v/>
      </c>
      <c r="BT54" s="185" t="str">
        <f>_xlfn.IFNA(VLOOKUP($BC54,Programma!$F$3:$W$1101,18,0),"")</f>
        <v/>
      </c>
      <c r="BU54" s="185" t="str">
        <f>_xlfn.IFNA(VLOOKUP($BC54,Programma!$F$3:$X$1101,19,0),"")</f>
        <v/>
      </c>
      <c r="BV54" s="185" t="str">
        <f>_xlfn.IFNA(VLOOKUP($BC54,Programma!$F$3:$Y$1101,20,0),"")</f>
        <v/>
      </c>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c r="EO54" s="78"/>
      <c r="EP54" s="78"/>
      <c r="EQ54" s="78"/>
      <c r="ER54" s="78"/>
      <c r="ES54" s="78"/>
      <c r="ET54" s="78"/>
      <c r="EU54" s="78"/>
      <c r="EV54" s="78"/>
      <c r="EW54" s="78"/>
      <c r="EX54" s="78"/>
      <c r="EY54" s="78"/>
      <c r="EZ54" s="78"/>
      <c r="FA54" s="78"/>
      <c r="FB54" s="78"/>
      <c r="FC54" s="78"/>
      <c r="FD54" s="78"/>
      <c r="FE54" s="78"/>
      <c r="FF54" s="78"/>
      <c r="FG54" s="78"/>
      <c r="FH54" s="78"/>
      <c r="FI54" s="78"/>
      <c r="FJ54" s="78"/>
      <c r="FK54" s="78"/>
      <c r="FL54" s="78"/>
      <c r="FM54" s="78"/>
      <c r="FN54" s="78"/>
      <c r="FO54" s="78"/>
      <c r="FP54" s="78"/>
      <c r="FQ54" s="78"/>
      <c r="FR54" s="78"/>
      <c r="FS54" s="78"/>
      <c r="FT54" s="78"/>
      <c r="FU54" s="78"/>
      <c r="FV54" s="78"/>
      <c r="FW54" s="78"/>
      <c r="FX54" s="78"/>
      <c r="FY54" s="78"/>
      <c r="FZ54" s="78"/>
      <c r="GA54" s="78"/>
      <c r="GB54" s="78"/>
      <c r="GC54" s="78"/>
      <c r="GD54" s="78"/>
      <c r="GE54" s="78"/>
      <c r="GF54" s="78"/>
      <c r="GG54" s="78"/>
      <c r="GH54" s="78"/>
      <c r="GI54" s="78"/>
      <c r="GJ54" s="78"/>
      <c r="GK54" s="78"/>
      <c r="GL54" s="78"/>
      <c r="GM54" s="78"/>
      <c r="GN54" s="78"/>
      <c r="GO54" s="78"/>
      <c r="GP54" s="78"/>
      <c r="GQ54" s="78"/>
      <c r="GR54" s="78"/>
      <c r="GS54" s="78"/>
      <c r="GT54" s="78"/>
      <c r="GU54" s="78"/>
      <c r="GV54" s="78"/>
      <c r="GW54" s="78"/>
      <c r="GX54" s="78"/>
      <c r="GY54" s="78"/>
      <c r="GZ54" s="78"/>
      <c r="HA54" s="78"/>
      <c r="HB54" s="78"/>
      <c r="HC54" s="78"/>
      <c r="HD54" s="78"/>
      <c r="HE54" s="78"/>
      <c r="HF54" s="78"/>
      <c r="HG54" s="78"/>
      <c r="HH54" s="78"/>
      <c r="HI54" s="78"/>
      <c r="HJ54" s="78"/>
      <c r="HK54" s="78"/>
    </row>
    <row r="55" spans="1:219" ht="15" customHeight="1">
      <c r="A55" s="149">
        <v>2</v>
      </c>
      <c r="B55" s="176" t="str">
        <f>VLOOKUP(Ruimtestaat[[#This Row],[Code]],Locaties[[Code]:[Locatie]],2,FALSE)</f>
        <v>IST Primary Campus</v>
      </c>
      <c r="C55" s="176" t="str">
        <f>VLOOKUP(Ruimtestaat[[#This Row],[Code]],Locaties[[#All],[Code]:[Adres]],4,FALSE)</f>
        <v>Joh. ter Horststraat 30</v>
      </c>
      <c r="D55" s="176" t="str">
        <f>VLOOKUP(Ruimtestaat[[#This Row],[Code]],Locaties[[#All],[Code]:[Postcode]],5,FALSE)</f>
        <v>7513 ZH</v>
      </c>
      <c r="E55" s="176" t="str">
        <f>VLOOKUP(Ruimtestaat[[#This Row],[Code]],Locaties[#All],6,FALSE)</f>
        <v>Enschede</v>
      </c>
      <c r="F55" s="149"/>
      <c r="G55" s="149"/>
      <c r="H55" s="300" t="s">
        <v>1723</v>
      </c>
      <c r="I55" s="301" t="s">
        <v>38</v>
      </c>
      <c r="J55" s="99">
        <v>7</v>
      </c>
      <c r="K55" s="183" t="str">
        <f>VLOOKUP(Ruimtestaat[[#This Row],[Ruimte code]],Ruimtegroepen[[#All],[Code]:[Ruimte omschrijving]],2,FALSE)</f>
        <v>Entree</v>
      </c>
      <c r="L55" s="149" t="s">
        <v>99</v>
      </c>
      <c r="M55" s="301" t="s">
        <v>36</v>
      </c>
      <c r="N55" s="177">
        <v>10.9</v>
      </c>
      <c r="O55" s="177"/>
      <c r="P55" s="178" t="str">
        <f>VLOOKUP(Ruimtestaat[[#This Row],[Ruimte code]],Ruimtegroepen[],4,FALSE)</f>
        <v>Ve</v>
      </c>
      <c r="Q55" s="149">
        <v>40</v>
      </c>
      <c r="R55" s="149" t="s">
        <v>2</v>
      </c>
      <c r="S55" s="149">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149">
        <f>IF(S55&gt;0,VLOOKUP($J55,Ruimtegroepen[],3,FALSE)*VLOOKUP($L55,Vloersoorten[],3,FALSE)*VLOOKUP($R55,Frequenties[],3,FALSE)*VLOOKUP($A55,Locaties[],3,FALSE),0)</f>
        <v>0</v>
      </c>
      <c r="U55" s="149">
        <f>Ruimtestaat[[#This Row],[Uitvoeringen werkdagen]]*Ruimtestaat[[#This Row],[Oppervlak (netto)]]</f>
        <v>2180</v>
      </c>
      <c r="V55" s="179">
        <f>IF(T55&gt;0,Ruimtestaat[[#This Row],[Prest. (m2 /jaar) werkdagen]]/Ruimtestaat[[#This Row],[Norm (m2/uur) werkdagen]],0)</f>
        <v>0</v>
      </c>
      <c r="W55" s="180">
        <f>Ruimtestaat[[#This Row],[uren / jaar werkdagen]]*Tariefsopbouw!$E$35</f>
        <v>0</v>
      </c>
      <c r="X55" s="149"/>
      <c r="Y55" s="149">
        <f>IF(Ruimtestaat[[#This Row],[Frequentie weekend]]&gt;0,VALUE(LEFT(X55,1))*Q55,0)</f>
        <v>0</v>
      </c>
      <c r="Z55" s="148">
        <f>IF($Y55&gt;0,VLOOKUP($J55,Ruimtegroepen[],3,FALSE)*VLOOKUP($L55,Vloersoorten[],3,FALSE)*VLOOKUP($X55,Frequenties[],3,FALSE)*VLOOKUP(Ruimtestaat[[#This Row],[Code]],Locaties[],3,FALSE),0)</f>
        <v>0</v>
      </c>
      <c r="AA55" s="148">
        <f>Ruimtestaat[[#This Row],[Uitvoeringen weekend]]*Ruimtestaat[[#This Row],[Oppervlak (netto)]]</f>
        <v>0</v>
      </c>
      <c r="AB55" s="148">
        <f>IF(Z55&gt;0,Ruimtestaat[[#This Row],[Prest. (m2 /jaar) weekend]]/Ruimtestaat[[#This Row],[Norm (m2/uur) weekend]],0)</f>
        <v>0</v>
      </c>
      <c r="AC55" s="180">
        <f>Ruimtestaat[[#This Row],[uren / jaar weekend]]*Tariefsopbouw!$D$40</f>
        <v>0</v>
      </c>
      <c r="AD55" s="179">
        <f>Ruimtestaat[[#This Row],[Prest. (m2 /jaar) weekend]]+Ruimtestaat[[#This Row],[Prest. (m2 /jaar) werkdagen]]</f>
        <v>2180</v>
      </c>
      <c r="AE55" s="179">
        <f>Ruimtestaat[[#This Row],[uren / jaar weekend]]+Ruimtestaat[[#This Row],[uren / jaar werkdagen]]</f>
        <v>0</v>
      </c>
      <c r="AF55" s="174">
        <f>Ruimtestaat[[#This Row],[kosten / jaar weekend]]+Ruimtestaat[[#This Row],[kosten / jaar werkdagen]]</f>
        <v>0</v>
      </c>
      <c r="AG55" s="174"/>
      <c r="AH55" s="181" t="str">
        <f>IF(Ruimtestaat[[#This Row],[Frequentie werkdagen]]="","",_xlfn.CONCAT(Ruimtestaat[[#This Row],[Ruimte code]],"-",Ruimtestaat[[#This Row],[Frequentie werkdagen]]," ",Ruimtestaat[[#This Row],[Vloer code]]))</f>
        <v>7-5w T</v>
      </c>
      <c r="AI55" s="185" t="str">
        <f>_xlfn.IFNA(VLOOKUP($AH55,Programma!$F$3:$G$1101,2,0),"")</f>
        <v>_</v>
      </c>
      <c r="AJ55" s="185" t="str">
        <f>_xlfn.IFNA(VLOOKUP($AH55,Programma!$F$3:$H$1101,3,0),"")</f>
        <v>5w</v>
      </c>
      <c r="AK55" s="185" t="str">
        <f>_xlfn.IFNA(VLOOKUP($AH55,Programma!$F$3:$I$1101,4,0),"")</f>
        <v>_</v>
      </c>
      <c r="AL55" s="185" t="str">
        <f>_xlfn.IFNA(VLOOKUP($AH55,Programma!$F$3:$J$1101,5,0),"")</f>
        <v>_</v>
      </c>
      <c r="AM55" s="185" t="str">
        <f>_xlfn.IFNA(VLOOKUP($AH55,Programma!$F$3:$K$1101,6,0),"")</f>
        <v>_</v>
      </c>
      <c r="AN55" s="185" t="str">
        <f>_xlfn.IFNA(VLOOKUP($AH55,Programma!$F$3:$L$1101,7,0),"")</f>
        <v>_</v>
      </c>
      <c r="AO55" s="185" t="str">
        <f>_xlfn.IFNA(VLOOKUP($AH55,Programma!$F$3:$M$1101,8,0),"")</f>
        <v>_</v>
      </c>
      <c r="AP55" s="185" t="str">
        <f>_xlfn.IFNA(VLOOKUP($AH55,Programma!$F$3:$N$1101,9,0),"")</f>
        <v>_</v>
      </c>
      <c r="AQ55" s="185" t="str">
        <f>_xlfn.IFNA(VLOOKUP($AH55,Programma!$F$3:$O$1101,10,0),"")</f>
        <v>5w</v>
      </c>
      <c r="AR55" s="185" t="str">
        <f>_xlfn.IFNA(VLOOKUP($AH55,Programma!$F$3:$P$1101,11,0),"")</f>
        <v>5w</v>
      </c>
      <c r="AS55" s="185" t="str">
        <f>_xlfn.IFNA(VLOOKUP($AH55,Programma!$F$3:$Q$1101,12,0),"")</f>
        <v>1w</v>
      </c>
      <c r="AT55" s="185" t="str">
        <f>_xlfn.IFNA(VLOOKUP($AH55,Programma!$F$3:$R$1101,13,0),"")</f>
        <v>1w</v>
      </c>
      <c r="AU55" s="185" t="str">
        <f>_xlfn.IFNA(VLOOKUP($AH55,Programma!$F$3:$S$1101,14,0),"")</f>
        <v>1m</v>
      </c>
      <c r="AV55" s="185" t="str">
        <f>_xlfn.IFNA(VLOOKUP($AH55,Programma!$F$3:$T$1101,15,0),"")</f>
        <v>2j</v>
      </c>
      <c r="AW55" s="185" t="str">
        <f>_xlfn.IFNA(VLOOKUP($AH55,Programma!$F$3:$U$1101,16,0),"")</f>
        <v>1j</v>
      </c>
      <c r="AX55" s="185" t="str">
        <f>_xlfn.IFNA(VLOOKUP($AH55,Programma!$F$3:$V$1101,17,0),"")</f>
        <v>_</v>
      </c>
      <c r="AY55" s="185" t="str">
        <f>_xlfn.IFNA(VLOOKUP($AH55,Programma!$F$3:$W$1101,18,0),"")</f>
        <v>_</v>
      </c>
      <c r="AZ55" s="185" t="str">
        <f>_xlfn.IFNA(VLOOKUP($AH55,Programma!$F$3:$X$1101,19,0),"")</f>
        <v>_</v>
      </c>
      <c r="BA55" s="185" t="str">
        <f>_xlfn.IFNA(VLOOKUP($AH55,Programma!$F$3:$Y$1101,20,0),"")</f>
        <v>_</v>
      </c>
      <c r="BB55" s="182"/>
      <c r="BC55" s="181" t="str">
        <f>IF(Ruimtestaat[[#This Row],[Frequentie weekend]]="","",_xlfn.CONCAT(Ruimtestaat[[#This Row],[Ruimte code]],"-",Ruimtestaat[[#This Row],[Frequentie weekend]]," ",Ruimtestaat[[#This Row],[Vloer code]]))</f>
        <v/>
      </c>
      <c r="BD55" s="185" t="str">
        <f>_xlfn.IFNA(VLOOKUP($BC55,Programma!$F$3:$G$1101,2,0),"")</f>
        <v/>
      </c>
      <c r="BE55" s="185" t="str">
        <f>_xlfn.IFNA(VLOOKUP($BC55,Programma!$F$3:$H$1101,3,0),"")</f>
        <v/>
      </c>
      <c r="BF55" s="185" t="str">
        <f>_xlfn.IFNA(VLOOKUP($BC55,Programma!$F$3:$I$1101,4,0),"")</f>
        <v/>
      </c>
      <c r="BG55" s="185" t="str">
        <f>_xlfn.IFNA(VLOOKUP($BC55,Programma!$F$3:$J$1101,5,0),"")</f>
        <v/>
      </c>
      <c r="BH55" s="185" t="str">
        <f>_xlfn.IFNA(VLOOKUP($BC55,Programma!$F$3:$K$1101,6,0),"")</f>
        <v/>
      </c>
      <c r="BI55" s="185" t="str">
        <f>_xlfn.IFNA(VLOOKUP($BC55,Programma!$F$3:$L$1101,7,0),"")</f>
        <v/>
      </c>
      <c r="BJ55" s="185" t="str">
        <f>_xlfn.IFNA(VLOOKUP($BC55,Programma!$F$3:$M$1101,8,0),"")</f>
        <v/>
      </c>
      <c r="BK55" s="185" t="str">
        <f>_xlfn.IFNA(VLOOKUP($BC55,Programma!$F$3:$N$1101,9,0),"")</f>
        <v/>
      </c>
      <c r="BL55" s="185" t="str">
        <f>_xlfn.IFNA(VLOOKUP($BC55,Programma!$F$3:$O$1101,10,0),"")</f>
        <v/>
      </c>
      <c r="BM55" s="185" t="str">
        <f>_xlfn.IFNA(VLOOKUP($BC55,Programma!$F$3:$P$1101,11,0),"")</f>
        <v/>
      </c>
      <c r="BN55" s="185" t="str">
        <f>_xlfn.IFNA(VLOOKUP($BC55,Programma!$F$3:$Q$1101,12,0),"")</f>
        <v/>
      </c>
      <c r="BO55" s="185" t="str">
        <f>_xlfn.IFNA(VLOOKUP($BC55,Programma!$F$3:$R$1101,13,0),"")</f>
        <v/>
      </c>
      <c r="BP55" s="185" t="str">
        <f>_xlfn.IFNA(VLOOKUP($BC55,Programma!$F$3:$S$1101,14,0),"")</f>
        <v/>
      </c>
      <c r="BQ55" s="185" t="str">
        <f>_xlfn.IFNA(VLOOKUP($BC55,Programma!$F$3:$T$1101,15,0),"")</f>
        <v/>
      </c>
      <c r="BR55" s="185" t="str">
        <f>_xlfn.IFNA(VLOOKUP($BC55,Programma!$F$3:$U$1101,16,0),"")</f>
        <v/>
      </c>
      <c r="BS55" s="185" t="str">
        <f>_xlfn.IFNA(VLOOKUP($BC55,Programma!$F$3:$V$1101,17,0),"")</f>
        <v/>
      </c>
      <c r="BT55" s="185" t="str">
        <f>_xlfn.IFNA(VLOOKUP($BC55,Programma!$F$3:$W$1101,18,0),"")</f>
        <v/>
      </c>
      <c r="BU55" s="185" t="str">
        <f>_xlfn.IFNA(VLOOKUP($BC55,Programma!$F$3:$X$1101,19,0),"")</f>
        <v/>
      </c>
      <c r="BV55" s="185" t="str">
        <f>_xlfn.IFNA(VLOOKUP($BC55,Programma!$F$3:$Y$1101,20,0),"")</f>
        <v/>
      </c>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78"/>
      <c r="FG55" s="78"/>
      <c r="FH55" s="78"/>
      <c r="FI55" s="78"/>
      <c r="FJ55" s="78"/>
      <c r="FK55" s="78"/>
      <c r="FL55" s="78"/>
      <c r="FM55" s="78"/>
      <c r="FN55" s="78"/>
      <c r="FO55" s="78"/>
      <c r="FP55" s="78"/>
      <c r="FQ55" s="78"/>
      <c r="FR55" s="78"/>
      <c r="FS55" s="78"/>
      <c r="FT55" s="78"/>
      <c r="FU55" s="78"/>
      <c r="FV55" s="78"/>
      <c r="FW55" s="78"/>
      <c r="FX55" s="78"/>
      <c r="FY55" s="78"/>
      <c r="FZ55" s="78"/>
      <c r="GA55" s="78"/>
      <c r="GB55" s="78"/>
      <c r="GC55" s="78"/>
      <c r="GD55" s="78"/>
      <c r="GE55" s="78"/>
      <c r="GF55" s="78"/>
      <c r="GG55" s="78"/>
      <c r="GH55" s="78"/>
      <c r="GI55" s="78"/>
      <c r="GJ55" s="78"/>
      <c r="GK55" s="78"/>
      <c r="GL55" s="78"/>
      <c r="GM55" s="78"/>
      <c r="GN55" s="78"/>
      <c r="GO55" s="78"/>
      <c r="GP55" s="78"/>
      <c r="GQ55" s="78"/>
      <c r="GR55" s="78"/>
      <c r="GS55" s="78"/>
      <c r="GT55" s="78"/>
      <c r="GU55" s="78"/>
      <c r="GV55" s="78"/>
      <c r="GW55" s="78"/>
      <c r="GX55" s="78"/>
      <c r="GY55" s="78"/>
      <c r="GZ55" s="78"/>
      <c r="HA55" s="78"/>
      <c r="HB55" s="78"/>
      <c r="HC55" s="78"/>
      <c r="HD55" s="78"/>
      <c r="HE55" s="78"/>
      <c r="HF55" s="78"/>
      <c r="HG55" s="78"/>
      <c r="HH55" s="78"/>
      <c r="HI55" s="78"/>
      <c r="HJ55" s="78"/>
      <c r="HK55" s="78"/>
    </row>
    <row r="56" spans="1:219" ht="15" customHeight="1">
      <c r="A56" s="149">
        <v>2</v>
      </c>
      <c r="B56" s="176" t="str">
        <f>VLOOKUP(Ruimtestaat[[#This Row],[Code]],Locaties[[Code]:[Locatie]],2,FALSE)</f>
        <v>IST Primary Campus</v>
      </c>
      <c r="C56" s="176" t="str">
        <f>VLOOKUP(Ruimtestaat[[#This Row],[Code]],Locaties[[#All],[Code]:[Adres]],4,FALSE)</f>
        <v>Joh. ter Horststraat 30</v>
      </c>
      <c r="D56" s="176" t="str">
        <f>VLOOKUP(Ruimtestaat[[#This Row],[Code]],Locaties[[#All],[Code]:[Postcode]],5,FALSE)</f>
        <v>7513 ZH</v>
      </c>
      <c r="E56" s="176" t="str">
        <f>VLOOKUP(Ruimtestaat[[#This Row],[Code]],Locaties[#All],6,FALSE)</f>
        <v>Enschede</v>
      </c>
      <c r="F56" s="149"/>
      <c r="G56" s="149"/>
      <c r="H56" s="300" t="s">
        <v>1724</v>
      </c>
      <c r="I56" s="301" t="s">
        <v>1649</v>
      </c>
      <c r="J56" s="99">
        <v>2</v>
      </c>
      <c r="K56" s="183" t="str">
        <f>VLOOKUP(Ruimtestaat[[#This Row],[Ruimte code]],Ruimtegroepen[[#All],[Code]:[Ruimte omschrijving]],2,FALSE)</f>
        <v>Kantoren</v>
      </c>
      <c r="L56" s="149" t="s">
        <v>99</v>
      </c>
      <c r="M56" s="301" t="s">
        <v>36</v>
      </c>
      <c r="N56" s="177">
        <v>16</v>
      </c>
      <c r="O56" s="177"/>
      <c r="P56" s="178" t="str">
        <f>VLOOKUP(Ruimtestaat[[#This Row],[Ruimte code]],Ruimtegroepen[],4,FALSE)</f>
        <v>Bu</v>
      </c>
      <c r="Q56" s="149">
        <v>40</v>
      </c>
      <c r="R56" s="149" t="s">
        <v>18</v>
      </c>
      <c r="S56" s="149">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6" s="149">
        <f>IF(S56&gt;0,VLOOKUP($J56,Ruimtegroepen[],3,FALSE)*VLOOKUP($L56,Vloersoorten[],3,FALSE)*VLOOKUP($R56,Frequenties[],3,FALSE)*VLOOKUP($A56,Locaties[],3,FALSE),0)</f>
        <v>0</v>
      </c>
      <c r="U56" s="149">
        <f>Ruimtestaat[[#This Row],[Uitvoeringen werkdagen]]*Ruimtestaat[[#This Row],[Oppervlak (netto)]]</f>
        <v>1920</v>
      </c>
      <c r="V56" s="179">
        <f>IF(T56&gt;0,Ruimtestaat[[#This Row],[Prest. (m2 /jaar) werkdagen]]/Ruimtestaat[[#This Row],[Norm (m2/uur) werkdagen]],0)</f>
        <v>0</v>
      </c>
      <c r="W56" s="180">
        <f>Ruimtestaat[[#This Row],[uren / jaar werkdagen]]*Tariefsopbouw!$E$35</f>
        <v>0</v>
      </c>
      <c r="X56" s="149"/>
      <c r="Y56" s="149">
        <f>IF(Ruimtestaat[[#This Row],[Frequentie weekend]]&gt;0,VALUE(LEFT(X56,1))*Q56,0)</f>
        <v>0</v>
      </c>
      <c r="Z56" s="148">
        <f>IF($Y56&gt;0,VLOOKUP($J56,Ruimtegroepen[],3,FALSE)*VLOOKUP($L56,Vloersoorten[],3,FALSE)*VLOOKUP($X56,Frequenties[],3,FALSE)*VLOOKUP(Ruimtestaat[[#This Row],[Code]],Locaties[],3,FALSE),0)</f>
        <v>0</v>
      </c>
      <c r="AA56" s="148">
        <f>Ruimtestaat[[#This Row],[Uitvoeringen weekend]]*Ruimtestaat[[#This Row],[Oppervlak (netto)]]</f>
        <v>0</v>
      </c>
      <c r="AB56" s="148">
        <f>IF(Z56&gt;0,Ruimtestaat[[#This Row],[Prest. (m2 /jaar) weekend]]/Ruimtestaat[[#This Row],[Norm (m2/uur) weekend]],0)</f>
        <v>0</v>
      </c>
      <c r="AC56" s="180">
        <f>Ruimtestaat[[#This Row],[uren / jaar weekend]]*Tariefsopbouw!$D$40</f>
        <v>0</v>
      </c>
      <c r="AD56" s="179">
        <f>Ruimtestaat[[#This Row],[Prest. (m2 /jaar) weekend]]+Ruimtestaat[[#This Row],[Prest. (m2 /jaar) werkdagen]]</f>
        <v>1920</v>
      </c>
      <c r="AE56" s="179">
        <f>Ruimtestaat[[#This Row],[uren / jaar weekend]]+Ruimtestaat[[#This Row],[uren / jaar werkdagen]]</f>
        <v>0</v>
      </c>
      <c r="AF56" s="174">
        <f>Ruimtestaat[[#This Row],[kosten / jaar weekend]]+Ruimtestaat[[#This Row],[kosten / jaar werkdagen]]</f>
        <v>0</v>
      </c>
      <c r="AG56" s="174"/>
      <c r="AH56" s="181" t="str">
        <f>IF(Ruimtestaat[[#This Row],[Frequentie werkdagen]]="","",_xlfn.CONCAT(Ruimtestaat[[#This Row],[Ruimte code]],"-",Ruimtestaat[[#This Row],[Frequentie werkdagen]]," ",Ruimtestaat[[#This Row],[Vloer code]]))</f>
        <v>2-3w T</v>
      </c>
      <c r="AI56" s="185" t="str">
        <f>_xlfn.IFNA(VLOOKUP($AH56,Programma!$F$3:$G$1101,2,0),"")</f>
        <v>2w</v>
      </c>
      <c r="AJ56" s="185" t="str">
        <f>_xlfn.IFNA(VLOOKUP($AH56,Programma!$F$3:$H$1101,3,0),"")</f>
        <v>1w</v>
      </c>
      <c r="AK56" s="185" t="str">
        <f>_xlfn.IFNA(VLOOKUP($AH56,Programma!$F$3:$I$1101,4,0),"")</f>
        <v>_</v>
      </c>
      <c r="AL56" s="185" t="str">
        <f>_xlfn.IFNA(VLOOKUP($AH56,Programma!$F$3:$J$1101,5,0),"")</f>
        <v>_</v>
      </c>
      <c r="AM56" s="185" t="str">
        <f>_xlfn.IFNA(VLOOKUP($AH56,Programma!$F$3:$K$1101,6,0),"")</f>
        <v>_</v>
      </c>
      <c r="AN56" s="185" t="str">
        <f>_xlfn.IFNA(VLOOKUP($AH56,Programma!$F$3:$L$1101,7,0),"")</f>
        <v>_</v>
      </c>
      <c r="AO56" s="185" t="str">
        <f>_xlfn.IFNA(VLOOKUP($AH56,Programma!$F$3:$M$1101,8,0),"")</f>
        <v>_</v>
      </c>
      <c r="AP56" s="185" t="str">
        <f>_xlfn.IFNA(VLOOKUP($AH56,Programma!$F$3:$N$1101,9,0),"")</f>
        <v>_</v>
      </c>
      <c r="AQ56" s="185" t="str">
        <f>_xlfn.IFNA(VLOOKUP($AH56,Programma!$F$3:$O$1101,10,0),"")</f>
        <v>3w</v>
      </c>
      <c r="AR56" s="185" t="str">
        <f>_xlfn.IFNA(VLOOKUP($AH56,Programma!$F$3:$P$1101,11,0),"")</f>
        <v>3w</v>
      </c>
      <c r="AS56" s="185" t="str">
        <f>_xlfn.IFNA(VLOOKUP($AH56,Programma!$F$3:$Q$1101,12,0),"")</f>
        <v>1w</v>
      </c>
      <c r="AT56" s="185" t="str">
        <f>_xlfn.IFNA(VLOOKUP($AH56,Programma!$F$3:$R$1101,13,0),"")</f>
        <v>1w</v>
      </c>
      <c r="AU56" s="185" t="str">
        <f>_xlfn.IFNA(VLOOKUP($AH56,Programma!$F$3:$S$1101,14,0),"")</f>
        <v>1m</v>
      </c>
      <c r="AV56" s="185" t="str">
        <f>_xlfn.IFNA(VLOOKUP($AH56,Programma!$F$3:$T$1101,15,0),"")</f>
        <v>2j</v>
      </c>
      <c r="AW56" s="185" t="str">
        <f>_xlfn.IFNA(VLOOKUP($AH56,Programma!$F$3:$U$1101,16,0),"")</f>
        <v>1j</v>
      </c>
      <c r="AX56" s="185" t="str">
        <f>_xlfn.IFNA(VLOOKUP($AH56,Programma!$F$3:$V$1101,17,0),"")</f>
        <v>_</v>
      </c>
      <c r="AY56" s="185" t="str">
        <f>_xlfn.IFNA(VLOOKUP($AH56,Programma!$F$3:$W$1101,18,0),"")</f>
        <v>_</v>
      </c>
      <c r="AZ56" s="185" t="str">
        <f>_xlfn.IFNA(VLOOKUP($AH56,Programma!$F$3:$X$1101,19,0),"")</f>
        <v>_</v>
      </c>
      <c r="BA56" s="185" t="str">
        <f>_xlfn.IFNA(VLOOKUP($AH56,Programma!$F$3:$Y$1101,20,0),"")</f>
        <v>_</v>
      </c>
      <c r="BB56" s="182"/>
      <c r="BC56" s="181" t="str">
        <f>IF(Ruimtestaat[[#This Row],[Frequentie weekend]]="","",_xlfn.CONCAT(Ruimtestaat[[#This Row],[Ruimte code]],"-",Ruimtestaat[[#This Row],[Frequentie weekend]]," ",Ruimtestaat[[#This Row],[Vloer code]]))</f>
        <v/>
      </c>
      <c r="BD56" s="185" t="str">
        <f>_xlfn.IFNA(VLOOKUP($BC56,Programma!$F$3:$G$1101,2,0),"")</f>
        <v/>
      </c>
      <c r="BE56" s="185" t="str">
        <f>_xlfn.IFNA(VLOOKUP($BC56,Programma!$F$3:$H$1101,3,0),"")</f>
        <v/>
      </c>
      <c r="BF56" s="185" t="str">
        <f>_xlfn.IFNA(VLOOKUP($BC56,Programma!$F$3:$I$1101,4,0),"")</f>
        <v/>
      </c>
      <c r="BG56" s="185" t="str">
        <f>_xlfn.IFNA(VLOOKUP($BC56,Programma!$F$3:$J$1101,5,0),"")</f>
        <v/>
      </c>
      <c r="BH56" s="185" t="str">
        <f>_xlfn.IFNA(VLOOKUP($BC56,Programma!$F$3:$K$1101,6,0),"")</f>
        <v/>
      </c>
      <c r="BI56" s="185" t="str">
        <f>_xlfn.IFNA(VLOOKUP($BC56,Programma!$F$3:$L$1101,7,0),"")</f>
        <v/>
      </c>
      <c r="BJ56" s="185" t="str">
        <f>_xlfn.IFNA(VLOOKUP($BC56,Programma!$F$3:$M$1101,8,0),"")</f>
        <v/>
      </c>
      <c r="BK56" s="185" t="str">
        <f>_xlfn.IFNA(VLOOKUP($BC56,Programma!$F$3:$N$1101,9,0),"")</f>
        <v/>
      </c>
      <c r="BL56" s="185" t="str">
        <f>_xlfn.IFNA(VLOOKUP($BC56,Programma!$F$3:$O$1101,10,0),"")</f>
        <v/>
      </c>
      <c r="BM56" s="185" t="str">
        <f>_xlfn.IFNA(VLOOKUP($BC56,Programma!$F$3:$P$1101,11,0),"")</f>
        <v/>
      </c>
      <c r="BN56" s="185" t="str">
        <f>_xlfn.IFNA(VLOOKUP($BC56,Programma!$F$3:$Q$1101,12,0),"")</f>
        <v/>
      </c>
      <c r="BO56" s="185" t="str">
        <f>_xlfn.IFNA(VLOOKUP($BC56,Programma!$F$3:$R$1101,13,0),"")</f>
        <v/>
      </c>
      <c r="BP56" s="185" t="str">
        <f>_xlfn.IFNA(VLOOKUP($BC56,Programma!$F$3:$S$1101,14,0),"")</f>
        <v/>
      </c>
      <c r="BQ56" s="185" t="str">
        <f>_xlfn.IFNA(VLOOKUP($BC56,Programma!$F$3:$T$1101,15,0),"")</f>
        <v/>
      </c>
      <c r="BR56" s="185" t="str">
        <f>_xlfn.IFNA(VLOOKUP($BC56,Programma!$F$3:$U$1101,16,0),"")</f>
        <v/>
      </c>
      <c r="BS56" s="185" t="str">
        <f>_xlfn.IFNA(VLOOKUP($BC56,Programma!$F$3:$V$1101,17,0),"")</f>
        <v/>
      </c>
      <c r="BT56" s="185" t="str">
        <f>_xlfn.IFNA(VLOOKUP($BC56,Programma!$F$3:$W$1101,18,0),"")</f>
        <v/>
      </c>
      <c r="BU56" s="185" t="str">
        <f>_xlfn.IFNA(VLOOKUP($BC56,Programma!$F$3:$X$1101,19,0),"")</f>
        <v/>
      </c>
      <c r="BV56" s="185" t="str">
        <f>_xlfn.IFNA(VLOOKUP($BC56,Programma!$F$3:$Y$1101,20,0),"")</f>
        <v/>
      </c>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c r="EO56" s="78"/>
      <c r="EP56" s="78"/>
      <c r="EQ56" s="78"/>
      <c r="ER56" s="78"/>
      <c r="ES56" s="78"/>
      <c r="ET56" s="78"/>
      <c r="EU56" s="78"/>
      <c r="EV56" s="78"/>
      <c r="EW56" s="78"/>
      <c r="EX56" s="78"/>
      <c r="EY56" s="78"/>
      <c r="EZ56" s="78"/>
      <c r="FA56" s="78"/>
      <c r="FB56" s="78"/>
      <c r="FC56" s="78"/>
      <c r="FD56" s="78"/>
      <c r="FE56" s="78"/>
      <c r="FF56" s="78"/>
      <c r="FG56" s="78"/>
      <c r="FH56" s="78"/>
      <c r="FI56" s="78"/>
      <c r="FJ56" s="78"/>
      <c r="FK56" s="78"/>
      <c r="FL56" s="78"/>
      <c r="FM56" s="78"/>
      <c r="FN56" s="78"/>
      <c r="FO56" s="78"/>
      <c r="FP56" s="78"/>
      <c r="FQ56" s="78"/>
      <c r="FR56" s="78"/>
      <c r="FS56" s="78"/>
      <c r="FT56" s="78"/>
      <c r="FU56" s="78"/>
      <c r="FV56" s="78"/>
      <c r="FW56" s="78"/>
      <c r="FX56" s="78"/>
      <c r="FY56" s="78"/>
      <c r="FZ56" s="78"/>
      <c r="GA56" s="78"/>
      <c r="GB56" s="78"/>
      <c r="GC56" s="78"/>
      <c r="GD56" s="78"/>
      <c r="GE56" s="78"/>
      <c r="GF56" s="78"/>
      <c r="GG56" s="78"/>
      <c r="GH56" s="78"/>
      <c r="GI56" s="78"/>
      <c r="GJ56" s="78"/>
      <c r="GK56" s="78"/>
      <c r="GL56" s="78"/>
      <c r="GM56" s="78"/>
      <c r="GN56" s="78"/>
      <c r="GO56" s="78"/>
      <c r="GP56" s="78"/>
      <c r="GQ56" s="78"/>
      <c r="GR56" s="78"/>
      <c r="GS56" s="78"/>
      <c r="GT56" s="78"/>
      <c r="GU56" s="78"/>
      <c r="GV56" s="78"/>
      <c r="GW56" s="78"/>
      <c r="GX56" s="78"/>
      <c r="GY56" s="78"/>
      <c r="GZ56" s="78"/>
      <c r="HA56" s="78"/>
      <c r="HB56" s="78"/>
      <c r="HC56" s="78"/>
      <c r="HD56" s="78"/>
      <c r="HE56" s="78"/>
      <c r="HF56" s="78"/>
      <c r="HG56" s="78"/>
      <c r="HH56" s="78"/>
      <c r="HI56" s="78"/>
      <c r="HJ56" s="78"/>
      <c r="HK56" s="78"/>
    </row>
    <row r="57" spans="1:219" ht="15" customHeight="1">
      <c r="A57" s="149">
        <v>2</v>
      </c>
      <c r="B57" s="176" t="str">
        <f>VLOOKUP(Ruimtestaat[[#This Row],[Code]],Locaties[[Code]:[Locatie]],2,FALSE)</f>
        <v>IST Primary Campus</v>
      </c>
      <c r="C57" s="176" t="str">
        <f>VLOOKUP(Ruimtestaat[[#This Row],[Code]],Locaties[[#All],[Code]:[Adres]],4,FALSE)</f>
        <v>Joh. ter Horststraat 30</v>
      </c>
      <c r="D57" s="176" t="str">
        <f>VLOOKUP(Ruimtestaat[[#This Row],[Code]],Locaties[[#All],[Code]:[Postcode]],5,FALSE)</f>
        <v>7513 ZH</v>
      </c>
      <c r="E57" s="176" t="str">
        <f>VLOOKUP(Ruimtestaat[[#This Row],[Code]],Locaties[#All],6,FALSE)</f>
        <v>Enschede</v>
      </c>
      <c r="F57" s="149"/>
      <c r="G57" s="149"/>
      <c r="H57" s="300" t="s">
        <v>1694</v>
      </c>
      <c r="I57" s="301" t="s">
        <v>1725</v>
      </c>
      <c r="J57" s="99">
        <v>2</v>
      </c>
      <c r="K57" s="183" t="str">
        <f>VLOOKUP(Ruimtestaat[[#This Row],[Ruimte code]],Ruimtegroepen[[#All],[Code]:[Ruimte omschrijving]],2,FALSE)</f>
        <v>Kantoren</v>
      </c>
      <c r="L57" s="149" t="s">
        <v>99</v>
      </c>
      <c r="M57" s="301" t="s">
        <v>36</v>
      </c>
      <c r="N57" s="177">
        <v>16</v>
      </c>
      <c r="O57" s="177"/>
      <c r="P57" s="178" t="str">
        <f>VLOOKUP(Ruimtestaat[[#This Row],[Ruimte code]],Ruimtegroepen[],4,FALSE)</f>
        <v>Bu</v>
      </c>
      <c r="Q57" s="149">
        <v>40</v>
      </c>
      <c r="R57" s="149" t="s">
        <v>18</v>
      </c>
      <c r="S57" s="149">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7" s="149">
        <f>IF(S57&gt;0,VLOOKUP($J57,Ruimtegroepen[],3,FALSE)*VLOOKUP($L57,Vloersoorten[],3,FALSE)*VLOOKUP($R57,Frequenties[],3,FALSE)*VLOOKUP($A57,Locaties[],3,FALSE),0)</f>
        <v>0</v>
      </c>
      <c r="U57" s="149">
        <f>Ruimtestaat[[#This Row],[Uitvoeringen werkdagen]]*Ruimtestaat[[#This Row],[Oppervlak (netto)]]</f>
        <v>1920</v>
      </c>
      <c r="V57" s="179">
        <f>IF(T57&gt;0,Ruimtestaat[[#This Row],[Prest. (m2 /jaar) werkdagen]]/Ruimtestaat[[#This Row],[Norm (m2/uur) werkdagen]],0)</f>
        <v>0</v>
      </c>
      <c r="W57" s="180">
        <f>Ruimtestaat[[#This Row],[uren / jaar werkdagen]]*Tariefsopbouw!$E$35</f>
        <v>0</v>
      </c>
      <c r="X57" s="149"/>
      <c r="Y57" s="149">
        <f>IF(Ruimtestaat[[#This Row],[Frequentie weekend]]&gt;0,VALUE(LEFT(X57,1))*Q57,0)</f>
        <v>0</v>
      </c>
      <c r="Z57" s="148">
        <f>IF($Y57&gt;0,VLOOKUP($J57,Ruimtegroepen[],3,FALSE)*VLOOKUP($L57,Vloersoorten[],3,FALSE)*VLOOKUP($X57,Frequenties[],3,FALSE)*VLOOKUP(Ruimtestaat[[#This Row],[Code]],Locaties[],3,FALSE),0)</f>
        <v>0</v>
      </c>
      <c r="AA57" s="148">
        <f>Ruimtestaat[[#This Row],[Uitvoeringen weekend]]*Ruimtestaat[[#This Row],[Oppervlak (netto)]]</f>
        <v>0</v>
      </c>
      <c r="AB57" s="148">
        <f>IF(Z57&gt;0,Ruimtestaat[[#This Row],[Prest. (m2 /jaar) weekend]]/Ruimtestaat[[#This Row],[Norm (m2/uur) weekend]],0)</f>
        <v>0</v>
      </c>
      <c r="AC57" s="180">
        <f>Ruimtestaat[[#This Row],[uren / jaar weekend]]*Tariefsopbouw!$D$40</f>
        <v>0</v>
      </c>
      <c r="AD57" s="179">
        <f>Ruimtestaat[[#This Row],[Prest. (m2 /jaar) weekend]]+Ruimtestaat[[#This Row],[Prest. (m2 /jaar) werkdagen]]</f>
        <v>1920</v>
      </c>
      <c r="AE57" s="179">
        <f>Ruimtestaat[[#This Row],[uren / jaar weekend]]+Ruimtestaat[[#This Row],[uren / jaar werkdagen]]</f>
        <v>0</v>
      </c>
      <c r="AF57" s="174">
        <f>Ruimtestaat[[#This Row],[kosten / jaar weekend]]+Ruimtestaat[[#This Row],[kosten / jaar werkdagen]]</f>
        <v>0</v>
      </c>
      <c r="AG57" s="174"/>
      <c r="AH57" s="181" t="str">
        <f>IF(Ruimtestaat[[#This Row],[Frequentie werkdagen]]="","",_xlfn.CONCAT(Ruimtestaat[[#This Row],[Ruimte code]],"-",Ruimtestaat[[#This Row],[Frequentie werkdagen]]," ",Ruimtestaat[[#This Row],[Vloer code]]))</f>
        <v>2-3w T</v>
      </c>
      <c r="AI57" s="185" t="str">
        <f>_xlfn.IFNA(VLOOKUP($AH57,Programma!$F$3:$G$1101,2,0),"")</f>
        <v>2w</v>
      </c>
      <c r="AJ57" s="185" t="str">
        <f>_xlfn.IFNA(VLOOKUP($AH57,Programma!$F$3:$H$1101,3,0),"")</f>
        <v>1w</v>
      </c>
      <c r="AK57" s="185" t="str">
        <f>_xlfn.IFNA(VLOOKUP($AH57,Programma!$F$3:$I$1101,4,0),"")</f>
        <v>_</v>
      </c>
      <c r="AL57" s="185" t="str">
        <f>_xlfn.IFNA(VLOOKUP($AH57,Programma!$F$3:$J$1101,5,0),"")</f>
        <v>_</v>
      </c>
      <c r="AM57" s="185" t="str">
        <f>_xlfn.IFNA(VLOOKUP($AH57,Programma!$F$3:$K$1101,6,0),"")</f>
        <v>_</v>
      </c>
      <c r="AN57" s="185" t="str">
        <f>_xlfn.IFNA(VLOOKUP($AH57,Programma!$F$3:$L$1101,7,0),"")</f>
        <v>_</v>
      </c>
      <c r="AO57" s="185" t="str">
        <f>_xlfn.IFNA(VLOOKUP($AH57,Programma!$F$3:$M$1101,8,0),"")</f>
        <v>_</v>
      </c>
      <c r="AP57" s="185" t="str">
        <f>_xlfn.IFNA(VLOOKUP($AH57,Programma!$F$3:$N$1101,9,0),"")</f>
        <v>_</v>
      </c>
      <c r="AQ57" s="185" t="str">
        <f>_xlfn.IFNA(VLOOKUP($AH57,Programma!$F$3:$O$1101,10,0),"")</f>
        <v>3w</v>
      </c>
      <c r="AR57" s="185" t="str">
        <f>_xlfn.IFNA(VLOOKUP($AH57,Programma!$F$3:$P$1101,11,0),"")</f>
        <v>3w</v>
      </c>
      <c r="AS57" s="185" t="str">
        <f>_xlfn.IFNA(VLOOKUP($AH57,Programma!$F$3:$Q$1101,12,0),"")</f>
        <v>1w</v>
      </c>
      <c r="AT57" s="185" t="str">
        <f>_xlfn.IFNA(VLOOKUP($AH57,Programma!$F$3:$R$1101,13,0),"")</f>
        <v>1w</v>
      </c>
      <c r="AU57" s="185" t="str">
        <f>_xlfn.IFNA(VLOOKUP($AH57,Programma!$F$3:$S$1101,14,0),"")</f>
        <v>1m</v>
      </c>
      <c r="AV57" s="185" t="str">
        <f>_xlfn.IFNA(VLOOKUP($AH57,Programma!$F$3:$T$1101,15,0),"")</f>
        <v>2j</v>
      </c>
      <c r="AW57" s="185" t="str">
        <f>_xlfn.IFNA(VLOOKUP($AH57,Programma!$F$3:$U$1101,16,0),"")</f>
        <v>1j</v>
      </c>
      <c r="AX57" s="185" t="str">
        <f>_xlfn.IFNA(VLOOKUP($AH57,Programma!$F$3:$V$1101,17,0),"")</f>
        <v>_</v>
      </c>
      <c r="AY57" s="185" t="str">
        <f>_xlfn.IFNA(VLOOKUP($AH57,Programma!$F$3:$W$1101,18,0),"")</f>
        <v>_</v>
      </c>
      <c r="AZ57" s="185" t="str">
        <f>_xlfn.IFNA(VLOOKUP($AH57,Programma!$F$3:$X$1101,19,0),"")</f>
        <v>_</v>
      </c>
      <c r="BA57" s="185" t="str">
        <f>_xlfn.IFNA(VLOOKUP($AH57,Programma!$F$3:$Y$1101,20,0),"")</f>
        <v>_</v>
      </c>
      <c r="BB57" s="182"/>
      <c r="BC57" s="181" t="str">
        <f>IF(Ruimtestaat[[#This Row],[Frequentie weekend]]="","",_xlfn.CONCAT(Ruimtestaat[[#This Row],[Ruimte code]],"-",Ruimtestaat[[#This Row],[Frequentie weekend]]," ",Ruimtestaat[[#This Row],[Vloer code]]))</f>
        <v/>
      </c>
      <c r="BD57" s="185" t="str">
        <f>_xlfn.IFNA(VLOOKUP($BC57,Programma!$F$3:$G$1101,2,0),"")</f>
        <v/>
      </c>
      <c r="BE57" s="185" t="str">
        <f>_xlfn.IFNA(VLOOKUP($BC57,Programma!$F$3:$H$1101,3,0),"")</f>
        <v/>
      </c>
      <c r="BF57" s="185" t="str">
        <f>_xlfn.IFNA(VLOOKUP($BC57,Programma!$F$3:$I$1101,4,0),"")</f>
        <v/>
      </c>
      <c r="BG57" s="185" t="str">
        <f>_xlfn.IFNA(VLOOKUP($BC57,Programma!$F$3:$J$1101,5,0),"")</f>
        <v/>
      </c>
      <c r="BH57" s="185" t="str">
        <f>_xlfn.IFNA(VLOOKUP($BC57,Programma!$F$3:$K$1101,6,0),"")</f>
        <v/>
      </c>
      <c r="BI57" s="185" t="str">
        <f>_xlfn.IFNA(VLOOKUP($BC57,Programma!$F$3:$L$1101,7,0),"")</f>
        <v/>
      </c>
      <c r="BJ57" s="185" t="str">
        <f>_xlfn.IFNA(VLOOKUP($BC57,Programma!$F$3:$M$1101,8,0),"")</f>
        <v/>
      </c>
      <c r="BK57" s="185" t="str">
        <f>_xlfn.IFNA(VLOOKUP($BC57,Programma!$F$3:$N$1101,9,0),"")</f>
        <v/>
      </c>
      <c r="BL57" s="185" t="str">
        <f>_xlfn.IFNA(VLOOKUP($BC57,Programma!$F$3:$O$1101,10,0),"")</f>
        <v/>
      </c>
      <c r="BM57" s="185" t="str">
        <f>_xlfn.IFNA(VLOOKUP($BC57,Programma!$F$3:$P$1101,11,0),"")</f>
        <v/>
      </c>
      <c r="BN57" s="185" t="str">
        <f>_xlfn.IFNA(VLOOKUP($BC57,Programma!$F$3:$Q$1101,12,0),"")</f>
        <v/>
      </c>
      <c r="BO57" s="185" t="str">
        <f>_xlfn.IFNA(VLOOKUP($BC57,Programma!$F$3:$R$1101,13,0),"")</f>
        <v/>
      </c>
      <c r="BP57" s="185" t="str">
        <f>_xlfn.IFNA(VLOOKUP($BC57,Programma!$F$3:$S$1101,14,0),"")</f>
        <v/>
      </c>
      <c r="BQ57" s="185" t="str">
        <f>_xlfn.IFNA(VLOOKUP($BC57,Programma!$F$3:$T$1101,15,0),"")</f>
        <v/>
      </c>
      <c r="BR57" s="185" t="str">
        <f>_xlfn.IFNA(VLOOKUP($BC57,Programma!$F$3:$U$1101,16,0),"")</f>
        <v/>
      </c>
      <c r="BS57" s="185" t="str">
        <f>_xlfn.IFNA(VLOOKUP($BC57,Programma!$F$3:$V$1101,17,0),"")</f>
        <v/>
      </c>
      <c r="BT57" s="185" t="str">
        <f>_xlfn.IFNA(VLOOKUP($BC57,Programma!$F$3:$W$1101,18,0),"")</f>
        <v/>
      </c>
      <c r="BU57" s="185" t="str">
        <f>_xlfn.IFNA(VLOOKUP($BC57,Programma!$F$3:$X$1101,19,0),"")</f>
        <v/>
      </c>
      <c r="BV57" s="185" t="str">
        <f>_xlfn.IFNA(VLOOKUP($BC57,Programma!$F$3:$Y$1101,20,0),"")</f>
        <v/>
      </c>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c r="EO57" s="78"/>
      <c r="EP57" s="78"/>
      <c r="EQ57" s="78"/>
      <c r="ER57" s="78"/>
      <c r="ES57" s="78"/>
      <c r="ET57" s="78"/>
      <c r="EU57" s="78"/>
      <c r="EV57" s="78"/>
      <c r="EW57" s="78"/>
      <c r="EX57" s="78"/>
      <c r="EY57" s="78"/>
      <c r="EZ57" s="78"/>
      <c r="FA57" s="78"/>
      <c r="FB57" s="78"/>
      <c r="FC57" s="78"/>
      <c r="FD57" s="78"/>
      <c r="FE57" s="78"/>
      <c r="FF57" s="78"/>
      <c r="FG57" s="78"/>
      <c r="FH57" s="78"/>
      <c r="FI57" s="78"/>
      <c r="FJ57" s="78"/>
      <c r="FK57" s="78"/>
      <c r="FL57" s="78"/>
      <c r="FM57" s="78"/>
      <c r="FN57" s="78"/>
      <c r="FO57" s="78"/>
      <c r="FP57" s="78"/>
      <c r="FQ57" s="78"/>
      <c r="FR57" s="78"/>
      <c r="FS57" s="78"/>
      <c r="FT57" s="78"/>
      <c r="FU57" s="78"/>
      <c r="FV57" s="78"/>
      <c r="FW57" s="78"/>
      <c r="FX57" s="78"/>
      <c r="FY57" s="78"/>
      <c r="FZ57" s="78"/>
      <c r="GA57" s="78"/>
      <c r="GB57" s="78"/>
      <c r="GC57" s="78"/>
      <c r="GD57" s="78"/>
      <c r="GE57" s="78"/>
      <c r="GF57" s="78"/>
      <c r="GG57" s="78"/>
      <c r="GH57" s="78"/>
      <c r="GI57" s="78"/>
      <c r="GJ57" s="78"/>
      <c r="GK57" s="78"/>
      <c r="GL57" s="78"/>
      <c r="GM57" s="78"/>
      <c r="GN57" s="78"/>
      <c r="GO57" s="78"/>
      <c r="GP57" s="78"/>
      <c r="GQ57" s="78"/>
      <c r="GR57" s="78"/>
      <c r="GS57" s="78"/>
      <c r="GT57" s="78"/>
      <c r="GU57" s="78"/>
      <c r="GV57" s="78"/>
      <c r="GW57" s="78"/>
      <c r="GX57" s="78"/>
      <c r="GY57" s="78"/>
      <c r="GZ57" s="78"/>
      <c r="HA57" s="78"/>
      <c r="HB57" s="78"/>
      <c r="HC57" s="78"/>
      <c r="HD57" s="78"/>
      <c r="HE57" s="78"/>
      <c r="HF57" s="78"/>
      <c r="HG57" s="78"/>
      <c r="HH57" s="78"/>
      <c r="HI57" s="78"/>
      <c r="HJ57" s="78"/>
      <c r="HK57" s="78"/>
    </row>
    <row r="58" spans="1:219" ht="15" customHeight="1">
      <c r="A58" s="149">
        <v>2</v>
      </c>
      <c r="B58" s="176" t="str">
        <f>VLOOKUP(Ruimtestaat[[#This Row],[Code]],Locaties[[Code]:[Locatie]],2,FALSE)</f>
        <v>IST Primary Campus</v>
      </c>
      <c r="C58" s="176" t="str">
        <f>VLOOKUP(Ruimtestaat[[#This Row],[Code]],Locaties[[#All],[Code]:[Adres]],4,FALSE)</f>
        <v>Joh. ter Horststraat 30</v>
      </c>
      <c r="D58" s="176" t="str">
        <f>VLOOKUP(Ruimtestaat[[#This Row],[Code]],Locaties[[#All],[Code]:[Postcode]],5,FALSE)</f>
        <v>7513 ZH</v>
      </c>
      <c r="E58" s="176" t="str">
        <f>VLOOKUP(Ruimtestaat[[#This Row],[Code]],Locaties[#All],6,FALSE)</f>
        <v>Enschede</v>
      </c>
      <c r="F58" s="149"/>
      <c r="G58" s="149"/>
      <c r="H58" s="300" t="s">
        <v>1695</v>
      </c>
      <c r="I58" s="301" t="s">
        <v>1726</v>
      </c>
      <c r="J58" s="99">
        <v>6</v>
      </c>
      <c r="K58" s="183" t="str">
        <f>VLOOKUP(Ruimtestaat[[#This Row],[Ruimte code]],Ruimtegroepen[[#All],[Code]:[Ruimte omschrijving]],2,FALSE)</f>
        <v>Gangen/hallen</v>
      </c>
      <c r="L58" s="149" t="s">
        <v>100</v>
      </c>
      <c r="M58" s="301" t="s">
        <v>1697</v>
      </c>
      <c r="N58" s="177">
        <v>185.7</v>
      </c>
      <c r="O58" s="177"/>
      <c r="P58" s="178" t="str">
        <f>VLOOKUP(Ruimtestaat[[#This Row],[Ruimte code]],Ruimtegroepen[],4,FALSE)</f>
        <v>Ve</v>
      </c>
      <c r="Q58" s="149">
        <v>40</v>
      </c>
      <c r="R58" s="149" t="s">
        <v>2</v>
      </c>
      <c r="S58" s="149">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 s="149">
        <f>IF(S58&gt;0,VLOOKUP($J58,Ruimtegroepen[],3,FALSE)*VLOOKUP($L58,Vloersoorten[],3,FALSE)*VLOOKUP($R58,Frequenties[],3,FALSE)*VLOOKUP($A58,Locaties[],3,FALSE),0)</f>
        <v>0</v>
      </c>
      <c r="U58" s="149">
        <f>Ruimtestaat[[#This Row],[Uitvoeringen werkdagen]]*Ruimtestaat[[#This Row],[Oppervlak (netto)]]</f>
        <v>37140</v>
      </c>
      <c r="V58" s="179">
        <f>IF(T58&gt;0,Ruimtestaat[[#This Row],[Prest. (m2 /jaar) werkdagen]]/Ruimtestaat[[#This Row],[Norm (m2/uur) werkdagen]],0)</f>
        <v>0</v>
      </c>
      <c r="W58" s="180">
        <f>Ruimtestaat[[#This Row],[uren / jaar werkdagen]]*Tariefsopbouw!$E$35</f>
        <v>0</v>
      </c>
      <c r="X58" s="149"/>
      <c r="Y58" s="149">
        <f>IF(Ruimtestaat[[#This Row],[Frequentie weekend]]&gt;0,VALUE(LEFT(X58,1))*Q58,0)</f>
        <v>0</v>
      </c>
      <c r="Z58" s="148">
        <f>IF($Y58&gt;0,VLOOKUP($J58,Ruimtegroepen[],3,FALSE)*VLOOKUP($L58,Vloersoorten[],3,FALSE)*VLOOKUP($X58,Frequenties[],3,FALSE)*VLOOKUP(Ruimtestaat[[#This Row],[Code]],Locaties[],3,FALSE),0)</f>
        <v>0</v>
      </c>
      <c r="AA58" s="148">
        <f>Ruimtestaat[[#This Row],[Uitvoeringen weekend]]*Ruimtestaat[[#This Row],[Oppervlak (netto)]]</f>
        <v>0</v>
      </c>
      <c r="AB58" s="148">
        <f>IF(Z58&gt;0,Ruimtestaat[[#This Row],[Prest. (m2 /jaar) weekend]]/Ruimtestaat[[#This Row],[Norm (m2/uur) weekend]],0)</f>
        <v>0</v>
      </c>
      <c r="AC58" s="180">
        <f>Ruimtestaat[[#This Row],[uren / jaar weekend]]*Tariefsopbouw!$D$40</f>
        <v>0</v>
      </c>
      <c r="AD58" s="179">
        <f>Ruimtestaat[[#This Row],[Prest. (m2 /jaar) weekend]]+Ruimtestaat[[#This Row],[Prest. (m2 /jaar) werkdagen]]</f>
        <v>37140</v>
      </c>
      <c r="AE58" s="179">
        <f>Ruimtestaat[[#This Row],[uren / jaar weekend]]+Ruimtestaat[[#This Row],[uren / jaar werkdagen]]</f>
        <v>0</v>
      </c>
      <c r="AF58" s="174">
        <f>Ruimtestaat[[#This Row],[kosten / jaar weekend]]+Ruimtestaat[[#This Row],[kosten / jaar werkdagen]]</f>
        <v>0</v>
      </c>
      <c r="AG58" s="174"/>
      <c r="AH58" s="181" t="str">
        <f>IF(Ruimtestaat[[#This Row],[Frequentie werkdagen]]="","",_xlfn.CONCAT(Ruimtestaat[[#This Row],[Ruimte code]],"-",Ruimtestaat[[#This Row],[Frequentie werkdagen]]," ",Ruimtestaat[[#This Row],[Vloer code]]))</f>
        <v>6-5w L</v>
      </c>
      <c r="AI58" s="185" t="str">
        <f>_xlfn.IFNA(VLOOKUP($AH58,Programma!$F$3:$G$1101,2,0),"")</f>
        <v>_</v>
      </c>
      <c r="AJ58" s="185" t="str">
        <f>_xlfn.IFNA(VLOOKUP($AH58,Programma!$F$3:$H$1101,3,0),"")</f>
        <v>_</v>
      </c>
      <c r="AK58" s="185" t="str">
        <f>_xlfn.IFNA(VLOOKUP($AH58,Programma!$F$3:$I$1101,4,0),"")</f>
        <v>_</v>
      </c>
      <c r="AL58" s="185" t="str">
        <f>_xlfn.IFNA(VLOOKUP($AH58,Programma!$F$3:$J$1101,5,0),"")</f>
        <v>5w</v>
      </c>
      <c r="AM58" s="185" t="str">
        <f>_xlfn.IFNA(VLOOKUP($AH58,Programma!$F$3:$K$1101,6,0),"")</f>
        <v>_</v>
      </c>
      <c r="AN58" s="185" t="str">
        <f>_xlfn.IFNA(VLOOKUP($AH58,Programma!$F$3:$L$1101,7,0),"")</f>
        <v>_</v>
      </c>
      <c r="AO58" s="185" t="str">
        <f>_xlfn.IFNA(VLOOKUP($AH58,Programma!$F$3:$M$1101,8,0),"")</f>
        <v>_</v>
      </c>
      <c r="AP58" s="185" t="str">
        <f>_xlfn.IFNA(VLOOKUP($AH58,Programma!$F$3:$N$1101,9,0),"")</f>
        <v>_</v>
      </c>
      <c r="AQ58" s="185" t="str">
        <f>_xlfn.IFNA(VLOOKUP($AH58,Programma!$F$3:$O$1101,10,0),"")</f>
        <v>5w</v>
      </c>
      <c r="AR58" s="185" t="str">
        <f>_xlfn.IFNA(VLOOKUP($AH58,Programma!$F$3:$P$1101,11,0),"")</f>
        <v>5w</v>
      </c>
      <c r="AS58" s="185" t="str">
        <f>_xlfn.IFNA(VLOOKUP($AH58,Programma!$F$3:$Q$1101,12,0),"")</f>
        <v>1w</v>
      </c>
      <c r="AT58" s="185" t="str">
        <f>_xlfn.IFNA(VLOOKUP($AH58,Programma!$F$3:$R$1101,13,0),"")</f>
        <v>1w</v>
      </c>
      <c r="AU58" s="185" t="str">
        <f>_xlfn.IFNA(VLOOKUP($AH58,Programma!$F$3:$S$1101,14,0),"")</f>
        <v>1m</v>
      </c>
      <c r="AV58" s="185" t="str">
        <f>_xlfn.IFNA(VLOOKUP($AH58,Programma!$F$3:$T$1101,15,0),"")</f>
        <v>2j</v>
      </c>
      <c r="AW58" s="185" t="str">
        <f>_xlfn.IFNA(VLOOKUP($AH58,Programma!$F$3:$U$1101,16,0),"")</f>
        <v>1j</v>
      </c>
      <c r="AX58" s="185" t="str">
        <f>_xlfn.IFNA(VLOOKUP($AH58,Programma!$F$3:$V$1101,17,0),"")</f>
        <v>_</v>
      </c>
      <c r="AY58" s="185" t="str">
        <f>_xlfn.IFNA(VLOOKUP($AH58,Programma!$F$3:$W$1101,18,0),"")</f>
        <v>_</v>
      </c>
      <c r="AZ58" s="185" t="str">
        <f>_xlfn.IFNA(VLOOKUP($AH58,Programma!$F$3:$X$1101,19,0),"")</f>
        <v>_</v>
      </c>
      <c r="BA58" s="185" t="str">
        <f>_xlfn.IFNA(VLOOKUP($AH58,Programma!$F$3:$Y$1101,20,0),"")</f>
        <v>_</v>
      </c>
      <c r="BB58" s="182"/>
      <c r="BC58" s="181" t="str">
        <f>IF(Ruimtestaat[[#This Row],[Frequentie weekend]]="","",_xlfn.CONCAT(Ruimtestaat[[#This Row],[Ruimte code]],"-",Ruimtestaat[[#This Row],[Frequentie weekend]]," ",Ruimtestaat[[#This Row],[Vloer code]]))</f>
        <v/>
      </c>
      <c r="BD58" s="185" t="str">
        <f>_xlfn.IFNA(VLOOKUP($BC58,Programma!$F$3:$G$1101,2,0),"")</f>
        <v/>
      </c>
      <c r="BE58" s="185" t="str">
        <f>_xlfn.IFNA(VLOOKUP($BC58,Programma!$F$3:$H$1101,3,0),"")</f>
        <v/>
      </c>
      <c r="BF58" s="185" t="str">
        <f>_xlfn.IFNA(VLOOKUP($BC58,Programma!$F$3:$I$1101,4,0),"")</f>
        <v/>
      </c>
      <c r="BG58" s="185" t="str">
        <f>_xlfn.IFNA(VLOOKUP($BC58,Programma!$F$3:$J$1101,5,0),"")</f>
        <v/>
      </c>
      <c r="BH58" s="185" t="str">
        <f>_xlfn.IFNA(VLOOKUP($BC58,Programma!$F$3:$K$1101,6,0),"")</f>
        <v/>
      </c>
      <c r="BI58" s="185" t="str">
        <f>_xlfn.IFNA(VLOOKUP($BC58,Programma!$F$3:$L$1101,7,0),"")</f>
        <v/>
      </c>
      <c r="BJ58" s="185" t="str">
        <f>_xlfn.IFNA(VLOOKUP($BC58,Programma!$F$3:$M$1101,8,0),"")</f>
        <v/>
      </c>
      <c r="BK58" s="185" t="str">
        <f>_xlfn.IFNA(VLOOKUP($BC58,Programma!$F$3:$N$1101,9,0),"")</f>
        <v/>
      </c>
      <c r="BL58" s="185" t="str">
        <f>_xlfn.IFNA(VLOOKUP($BC58,Programma!$F$3:$O$1101,10,0),"")</f>
        <v/>
      </c>
      <c r="BM58" s="185" t="str">
        <f>_xlfn.IFNA(VLOOKUP($BC58,Programma!$F$3:$P$1101,11,0),"")</f>
        <v/>
      </c>
      <c r="BN58" s="185" t="str">
        <f>_xlfn.IFNA(VLOOKUP($BC58,Programma!$F$3:$Q$1101,12,0),"")</f>
        <v/>
      </c>
      <c r="BO58" s="185" t="str">
        <f>_xlfn.IFNA(VLOOKUP($BC58,Programma!$F$3:$R$1101,13,0),"")</f>
        <v/>
      </c>
      <c r="BP58" s="185" t="str">
        <f>_xlfn.IFNA(VLOOKUP($BC58,Programma!$F$3:$S$1101,14,0),"")</f>
        <v/>
      </c>
      <c r="BQ58" s="185" t="str">
        <f>_xlfn.IFNA(VLOOKUP($BC58,Programma!$F$3:$T$1101,15,0),"")</f>
        <v/>
      </c>
      <c r="BR58" s="185" t="str">
        <f>_xlfn.IFNA(VLOOKUP($BC58,Programma!$F$3:$U$1101,16,0),"")</f>
        <v/>
      </c>
      <c r="BS58" s="185" t="str">
        <f>_xlfn.IFNA(VLOOKUP($BC58,Programma!$F$3:$V$1101,17,0),"")</f>
        <v/>
      </c>
      <c r="BT58" s="185" t="str">
        <f>_xlfn.IFNA(VLOOKUP($BC58,Programma!$F$3:$W$1101,18,0),"")</f>
        <v/>
      </c>
      <c r="BU58" s="185" t="str">
        <f>_xlfn.IFNA(VLOOKUP($BC58,Programma!$F$3:$X$1101,19,0),"")</f>
        <v/>
      </c>
      <c r="BV58" s="185" t="str">
        <f>_xlfn.IFNA(VLOOKUP($BC58,Programma!$F$3:$Y$1101,20,0),"")</f>
        <v/>
      </c>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78"/>
      <c r="GE58" s="78"/>
      <c r="GF58" s="78"/>
      <c r="GG58" s="78"/>
      <c r="GH58" s="78"/>
      <c r="GI58" s="78"/>
      <c r="GJ58" s="78"/>
      <c r="GK58" s="78"/>
      <c r="GL58" s="78"/>
      <c r="GM58" s="78"/>
      <c r="GN58" s="78"/>
      <c r="GO58" s="78"/>
      <c r="GP58" s="78"/>
      <c r="GQ58" s="78"/>
      <c r="GR58" s="78"/>
      <c r="GS58" s="78"/>
      <c r="GT58" s="78"/>
      <c r="GU58" s="78"/>
      <c r="GV58" s="78"/>
      <c r="GW58" s="78"/>
      <c r="GX58" s="78"/>
      <c r="GY58" s="78"/>
      <c r="GZ58" s="78"/>
      <c r="HA58" s="78"/>
      <c r="HB58" s="78"/>
      <c r="HC58" s="78"/>
      <c r="HD58" s="78"/>
      <c r="HE58" s="78"/>
      <c r="HF58" s="78"/>
      <c r="HG58" s="78"/>
      <c r="HH58" s="78"/>
      <c r="HI58" s="78"/>
      <c r="HJ58" s="78"/>
      <c r="HK58" s="78"/>
    </row>
    <row r="59" spans="1:219" ht="15" customHeight="1">
      <c r="A59" s="149">
        <v>2</v>
      </c>
      <c r="B59" s="176" t="str">
        <f>VLOOKUP(Ruimtestaat[[#This Row],[Code]],Locaties[[Code]:[Locatie]],2,FALSE)</f>
        <v>IST Primary Campus</v>
      </c>
      <c r="C59" s="176" t="str">
        <f>VLOOKUP(Ruimtestaat[[#This Row],[Code]],Locaties[[#All],[Code]:[Adres]],4,FALSE)</f>
        <v>Joh. ter Horststraat 30</v>
      </c>
      <c r="D59" s="176" t="str">
        <f>VLOOKUP(Ruimtestaat[[#This Row],[Code]],Locaties[[#All],[Code]:[Postcode]],5,FALSE)</f>
        <v>7513 ZH</v>
      </c>
      <c r="E59" s="176" t="str">
        <f>VLOOKUP(Ruimtestaat[[#This Row],[Code]],Locaties[#All],6,FALSE)</f>
        <v>Enschede</v>
      </c>
      <c r="F59" s="149"/>
      <c r="G59" s="149"/>
      <c r="H59" s="300" t="s">
        <v>1696</v>
      </c>
      <c r="I59" s="301" t="s">
        <v>1684</v>
      </c>
      <c r="J59" s="99">
        <v>5</v>
      </c>
      <c r="K59" s="183" t="str">
        <f>VLOOKUP(Ruimtestaat[[#This Row],[Ruimte code]],Ruimtegroepen[[#All],[Code]:[Ruimte omschrijving]],2,FALSE)</f>
        <v>Sanitair</v>
      </c>
      <c r="L59" s="149" t="s">
        <v>101</v>
      </c>
      <c r="M59" s="301" t="s">
        <v>1682</v>
      </c>
      <c r="N59" s="177">
        <v>3.9</v>
      </c>
      <c r="O59" s="177"/>
      <c r="P59" s="178" t="str">
        <f>VLOOKUP(Ruimtestaat[[#This Row],[Ruimte code]],Ruimtegroepen[],4,FALSE)</f>
        <v>Sa</v>
      </c>
      <c r="Q59" s="149">
        <v>40</v>
      </c>
      <c r="R59" s="149" t="s">
        <v>2</v>
      </c>
      <c r="S59" s="149">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149">
        <f>IF(S59&gt;0,VLOOKUP($J59,Ruimtegroepen[],3,FALSE)*VLOOKUP($L59,Vloersoorten[],3,FALSE)*VLOOKUP($R59,Frequenties[],3,FALSE)*VLOOKUP($A59,Locaties[],3,FALSE),0)</f>
        <v>0</v>
      </c>
      <c r="U59" s="149">
        <f>Ruimtestaat[[#This Row],[Uitvoeringen werkdagen]]*Ruimtestaat[[#This Row],[Oppervlak (netto)]]</f>
        <v>780</v>
      </c>
      <c r="V59" s="179">
        <f>IF(T59&gt;0,Ruimtestaat[[#This Row],[Prest. (m2 /jaar) werkdagen]]/Ruimtestaat[[#This Row],[Norm (m2/uur) werkdagen]],0)</f>
        <v>0</v>
      </c>
      <c r="W59" s="180">
        <f>Ruimtestaat[[#This Row],[uren / jaar werkdagen]]*Tariefsopbouw!$E$35</f>
        <v>0</v>
      </c>
      <c r="X59" s="149"/>
      <c r="Y59" s="149">
        <f>IF(Ruimtestaat[[#This Row],[Frequentie weekend]]&gt;0,VALUE(LEFT(X59,1))*Q59,0)</f>
        <v>0</v>
      </c>
      <c r="Z59" s="148">
        <f>IF($Y59&gt;0,VLOOKUP($J59,Ruimtegroepen[],3,FALSE)*VLOOKUP($L59,Vloersoorten[],3,FALSE)*VLOOKUP($X59,Frequenties[],3,FALSE)*VLOOKUP(Ruimtestaat[[#This Row],[Code]],Locaties[],3,FALSE),0)</f>
        <v>0</v>
      </c>
      <c r="AA59" s="148">
        <f>Ruimtestaat[[#This Row],[Uitvoeringen weekend]]*Ruimtestaat[[#This Row],[Oppervlak (netto)]]</f>
        <v>0</v>
      </c>
      <c r="AB59" s="148">
        <f>IF(Z59&gt;0,Ruimtestaat[[#This Row],[Prest. (m2 /jaar) weekend]]/Ruimtestaat[[#This Row],[Norm (m2/uur) weekend]],0)</f>
        <v>0</v>
      </c>
      <c r="AC59" s="180">
        <f>Ruimtestaat[[#This Row],[uren / jaar weekend]]*Tariefsopbouw!$D$40</f>
        <v>0</v>
      </c>
      <c r="AD59" s="179">
        <f>Ruimtestaat[[#This Row],[Prest. (m2 /jaar) weekend]]+Ruimtestaat[[#This Row],[Prest. (m2 /jaar) werkdagen]]</f>
        <v>780</v>
      </c>
      <c r="AE59" s="179">
        <f>Ruimtestaat[[#This Row],[uren / jaar weekend]]+Ruimtestaat[[#This Row],[uren / jaar werkdagen]]</f>
        <v>0</v>
      </c>
      <c r="AF59" s="174">
        <f>Ruimtestaat[[#This Row],[kosten / jaar weekend]]+Ruimtestaat[[#This Row],[kosten / jaar werkdagen]]</f>
        <v>0</v>
      </c>
      <c r="AG59" s="174"/>
      <c r="AH59" s="181" t="str">
        <f>IF(Ruimtestaat[[#This Row],[Frequentie werkdagen]]="","",_xlfn.CONCAT(Ruimtestaat[[#This Row],[Ruimte code]],"-",Ruimtestaat[[#This Row],[Frequentie werkdagen]]," ",Ruimtestaat[[#This Row],[Vloer code]]))</f>
        <v>5-5w S</v>
      </c>
      <c r="AI59" s="185" t="str">
        <f>_xlfn.IFNA(VLOOKUP($AH59,Programma!$F$3:$G$1101,2,0),"")</f>
        <v>_</v>
      </c>
      <c r="AJ59" s="185" t="str">
        <f>_xlfn.IFNA(VLOOKUP($AH59,Programma!$F$3:$H$1101,3,0),"")</f>
        <v>_</v>
      </c>
      <c r="AK59" s="185" t="str">
        <f>_xlfn.IFNA(VLOOKUP($AH59,Programma!$F$3:$I$1101,4,0),"")</f>
        <v>_</v>
      </c>
      <c r="AL59" s="185" t="str">
        <f>_xlfn.IFNA(VLOOKUP($AH59,Programma!$F$3:$J$1101,5,0),"")</f>
        <v>4w</v>
      </c>
      <c r="AM59" s="185" t="str">
        <f>_xlfn.IFNA(VLOOKUP($AH59,Programma!$F$3:$K$1101,6,0),"")</f>
        <v>1w</v>
      </c>
      <c r="AN59" s="185" t="str">
        <f>_xlfn.IFNA(VLOOKUP($AH59,Programma!$F$3:$L$1101,7,0),"")</f>
        <v>_</v>
      </c>
      <c r="AO59" s="185" t="str">
        <f>_xlfn.IFNA(VLOOKUP($AH59,Programma!$F$3:$M$1101,8,0),"")</f>
        <v>_</v>
      </c>
      <c r="AP59" s="185" t="str">
        <f>_xlfn.IFNA(VLOOKUP($AH59,Programma!$F$3:$N$1101,9,0),"")</f>
        <v>_</v>
      </c>
      <c r="AQ59" s="185" t="str">
        <f>_xlfn.IFNA(VLOOKUP($AH59,Programma!$F$3:$O$1101,10,0),"")</f>
        <v>_</v>
      </c>
      <c r="AR59" s="185" t="str">
        <f>_xlfn.IFNA(VLOOKUP($AH59,Programma!$F$3:$P$1101,11,0),"")</f>
        <v>_</v>
      </c>
      <c r="AS59" s="185" t="str">
        <f>_xlfn.IFNA(VLOOKUP($AH59,Programma!$F$3:$Q$1101,12,0),"")</f>
        <v>_</v>
      </c>
      <c r="AT59" s="185" t="str">
        <f>_xlfn.IFNA(VLOOKUP($AH59,Programma!$F$3:$R$1101,13,0),"")</f>
        <v>_</v>
      </c>
      <c r="AU59" s="185" t="str">
        <f>_xlfn.IFNA(VLOOKUP($AH59,Programma!$F$3:$S$1101,14,0),"")</f>
        <v>_</v>
      </c>
      <c r="AV59" s="185" t="str">
        <f>_xlfn.IFNA(VLOOKUP($AH59,Programma!$F$3:$T$1101,15,0),"")</f>
        <v>_</v>
      </c>
      <c r="AW59" s="185" t="str">
        <f>_xlfn.IFNA(VLOOKUP($AH59,Programma!$F$3:$U$1101,16,0),"")</f>
        <v>_</v>
      </c>
      <c r="AX59" s="185" t="str">
        <f>_xlfn.IFNA(VLOOKUP($AH59,Programma!$F$3:$V$1101,17,0),"")</f>
        <v>_</v>
      </c>
      <c r="AY59" s="185" t="str">
        <f>_xlfn.IFNA(VLOOKUP($AH59,Programma!$F$3:$W$1101,18,0),"")</f>
        <v>4w</v>
      </c>
      <c r="AZ59" s="185" t="str">
        <f>_xlfn.IFNA(VLOOKUP($AH59,Programma!$F$3:$X$1101,19,0),"")</f>
        <v>1w</v>
      </c>
      <c r="BA59" s="185" t="str">
        <f>_xlfn.IFNA(VLOOKUP($AH59,Programma!$F$3:$Y$1101,20,0),"")</f>
        <v>_</v>
      </c>
      <c r="BB59" s="182"/>
      <c r="BC59" s="181" t="str">
        <f>IF(Ruimtestaat[[#This Row],[Frequentie weekend]]="","",_xlfn.CONCAT(Ruimtestaat[[#This Row],[Ruimte code]],"-",Ruimtestaat[[#This Row],[Frequentie weekend]]," ",Ruimtestaat[[#This Row],[Vloer code]]))</f>
        <v/>
      </c>
      <c r="BD59" s="185" t="str">
        <f>_xlfn.IFNA(VLOOKUP($BC59,Programma!$F$3:$G$1101,2,0),"")</f>
        <v/>
      </c>
      <c r="BE59" s="185" t="str">
        <f>_xlfn.IFNA(VLOOKUP($BC59,Programma!$F$3:$H$1101,3,0),"")</f>
        <v/>
      </c>
      <c r="BF59" s="185" t="str">
        <f>_xlfn.IFNA(VLOOKUP($BC59,Programma!$F$3:$I$1101,4,0),"")</f>
        <v/>
      </c>
      <c r="BG59" s="185" t="str">
        <f>_xlfn.IFNA(VLOOKUP($BC59,Programma!$F$3:$J$1101,5,0),"")</f>
        <v/>
      </c>
      <c r="BH59" s="185" t="str">
        <f>_xlfn.IFNA(VLOOKUP($BC59,Programma!$F$3:$K$1101,6,0),"")</f>
        <v/>
      </c>
      <c r="BI59" s="185" t="str">
        <f>_xlfn.IFNA(VLOOKUP($BC59,Programma!$F$3:$L$1101,7,0),"")</f>
        <v/>
      </c>
      <c r="BJ59" s="185" t="str">
        <f>_xlfn.IFNA(VLOOKUP($BC59,Programma!$F$3:$M$1101,8,0),"")</f>
        <v/>
      </c>
      <c r="BK59" s="185" t="str">
        <f>_xlfn.IFNA(VLOOKUP($BC59,Programma!$F$3:$N$1101,9,0),"")</f>
        <v/>
      </c>
      <c r="BL59" s="185" t="str">
        <f>_xlfn.IFNA(VLOOKUP($BC59,Programma!$F$3:$O$1101,10,0),"")</f>
        <v/>
      </c>
      <c r="BM59" s="185" t="str">
        <f>_xlfn.IFNA(VLOOKUP($BC59,Programma!$F$3:$P$1101,11,0),"")</f>
        <v/>
      </c>
      <c r="BN59" s="185" t="str">
        <f>_xlfn.IFNA(VLOOKUP($BC59,Programma!$F$3:$Q$1101,12,0),"")</f>
        <v/>
      </c>
      <c r="BO59" s="185" t="str">
        <f>_xlfn.IFNA(VLOOKUP($BC59,Programma!$F$3:$R$1101,13,0),"")</f>
        <v/>
      </c>
      <c r="BP59" s="185" t="str">
        <f>_xlfn.IFNA(VLOOKUP($BC59,Programma!$F$3:$S$1101,14,0),"")</f>
        <v/>
      </c>
      <c r="BQ59" s="185" t="str">
        <f>_xlfn.IFNA(VLOOKUP($BC59,Programma!$F$3:$T$1101,15,0),"")</f>
        <v/>
      </c>
      <c r="BR59" s="185" t="str">
        <f>_xlfn.IFNA(VLOOKUP($BC59,Programma!$F$3:$U$1101,16,0),"")</f>
        <v/>
      </c>
      <c r="BS59" s="185" t="str">
        <f>_xlfn.IFNA(VLOOKUP($BC59,Programma!$F$3:$V$1101,17,0),"")</f>
        <v/>
      </c>
      <c r="BT59" s="185" t="str">
        <f>_xlfn.IFNA(VLOOKUP($BC59,Programma!$F$3:$W$1101,18,0),"")</f>
        <v/>
      </c>
      <c r="BU59" s="185" t="str">
        <f>_xlfn.IFNA(VLOOKUP($BC59,Programma!$F$3:$X$1101,19,0),"")</f>
        <v/>
      </c>
      <c r="BV59" s="185" t="str">
        <f>_xlfn.IFNA(VLOOKUP($BC59,Programma!$F$3:$Y$1101,20,0),"")</f>
        <v/>
      </c>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row>
    <row r="60" spans="1:219" ht="15" customHeight="1">
      <c r="A60" s="149">
        <v>2</v>
      </c>
      <c r="B60" s="176" t="str">
        <f>VLOOKUP(Ruimtestaat[[#This Row],[Code]],Locaties[[Code]:[Locatie]],2,FALSE)</f>
        <v>IST Primary Campus</v>
      </c>
      <c r="C60" s="176" t="str">
        <f>VLOOKUP(Ruimtestaat[[#This Row],[Code]],Locaties[[#All],[Code]:[Adres]],4,FALSE)</f>
        <v>Joh. ter Horststraat 30</v>
      </c>
      <c r="D60" s="176" t="str">
        <f>VLOOKUP(Ruimtestaat[[#This Row],[Code]],Locaties[[#All],[Code]:[Postcode]],5,FALSE)</f>
        <v>7513 ZH</v>
      </c>
      <c r="E60" s="176" t="str">
        <f>VLOOKUP(Ruimtestaat[[#This Row],[Code]],Locaties[#All],6,FALSE)</f>
        <v>Enschede</v>
      </c>
      <c r="F60" s="149"/>
      <c r="G60" s="149"/>
      <c r="H60" s="300" t="s">
        <v>1703</v>
      </c>
      <c r="I60" s="301" t="s">
        <v>1685</v>
      </c>
      <c r="J60" s="99">
        <v>20</v>
      </c>
      <c r="K60" s="183" t="str">
        <f>VLOOKUP(Ruimtestaat[[#This Row],[Ruimte code]],Ruimtegroepen[[#All],[Code]:[Ruimte omschrijving]],2,FALSE)</f>
        <v>Niet in Onderhoud</v>
      </c>
      <c r="L60" s="149" t="s">
        <v>101</v>
      </c>
      <c r="M60" s="301" t="s">
        <v>1682</v>
      </c>
      <c r="N60" s="177"/>
      <c r="O60" s="177">
        <v>2</v>
      </c>
      <c r="P60" s="178">
        <f>VLOOKUP(Ruimtestaat[[#This Row],[Ruimte code]],Ruimtegroepen[],4,FALSE)</f>
        <v>0</v>
      </c>
      <c r="Q60" s="149"/>
      <c r="R60" s="149"/>
      <c r="S60" s="149">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0" s="149">
        <f>IF(S60&gt;0,VLOOKUP($J60,Ruimtegroepen[],3,FALSE)*VLOOKUP($L60,Vloersoorten[],3,FALSE)*VLOOKUP($R60,Frequenties[],3,FALSE)*VLOOKUP($A60,Locaties[],3,FALSE),0)</f>
        <v>0</v>
      </c>
      <c r="U60" s="149">
        <f>Ruimtestaat[[#This Row],[Uitvoeringen werkdagen]]*Ruimtestaat[[#This Row],[Oppervlak (netto)]]</f>
        <v>0</v>
      </c>
      <c r="V60" s="179">
        <f>IF(T60&gt;0,Ruimtestaat[[#This Row],[Prest. (m2 /jaar) werkdagen]]/Ruimtestaat[[#This Row],[Norm (m2/uur) werkdagen]],0)</f>
        <v>0</v>
      </c>
      <c r="W60" s="180">
        <f>Ruimtestaat[[#This Row],[uren / jaar werkdagen]]*Tariefsopbouw!$E$35</f>
        <v>0</v>
      </c>
      <c r="X60" s="149"/>
      <c r="Y60" s="149">
        <f>IF(Ruimtestaat[[#This Row],[Frequentie weekend]]&gt;0,VALUE(LEFT(X60,1))*Q60,0)</f>
        <v>0</v>
      </c>
      <c r="Z60" s="148">
        <f>IF($Y60&gt;0,VLOOKUP($J60,Ruimtegroepen[],3,FALSE)*VLOOKUP($L60,Vloersoorten[],3,FALSE)*VLOOKUP($X60,Frequenties[],3,FALSE)*VLOOKUP(Ruimtestaat[[#This Row],[Code]],Locaties[],3,FALSE),0)</f>
        <v>0</v>
      </c>
      <c r="AA60" s="148">
        <f>Ruimtestaat[[#This Row],[Uitvoeringen weekend]]*Ruimtestaat[[#This Row],[Oppervlak (netto)]]</f>
        <v>0</v>
      </c>
      <c r="AB60" s="148">
        <f>IF(Z60&gt;0,Ruimtestaat[[#This Row],[Prest. (m2 /jaar) weekend]]/Ruimtestaat[[#This Row],[Norm (m2/uur) weekend]],0)</f>
        <v>0</v>
      </c>
      <c r="AC60" s="180">
        <f>Ruimtestaat[[#This Row],[uren / jaar weekend]]*Tariefsopbouw!$D$40</f>
        <v>0</v>
      </c>
      <c r="AD60" s="179">
        <f>Ruimtestaat[[#This Row],[Prest. (m2 /jaar) weekend]]+Ruimtestaat[[#This Row],[Prest. (m2 /jaar) werkdagen]]</f>
        <v>0</v>
      </c>
      <c r="AE60" s="179">
        <f>Ruimtestaat[[#This Row],[uren / jaar weekend]]+Ruimtestaat[[#This Row],[uren / jaar werkdagen]]</f>
        <v>0</v>
      </c>
      <c r="AF60" s="174">
        <f>Ruimtestaat[[#This Row],[kosten / jaar weekend]]+Ruimtestaat[[#This Row],[kosten / jaar werkdagen]]</f>
        <v>0</v>
      </c>
      <c r="AG60" s="174"/>
      <c r="AH60" s="181" t="str">
        <f>IF(Ruimtestaat[[#This Row],[Frequentie werkdagen]]="","",_xlfn.CONCAT(Ruimtestaat[[#This Row],[Ruimte code]],"-",Ruimtestaat[[#This Row],[Frequentie werkdagen]]," ",Ruimtestaat[[#This Row],[Vloer code]]))</f>
        <v/>
      </c>
      <c r="AI60" s="185" t="str">
        <f>_xlfn.IFNA(VLOOKUP($AH60,Programma!$F$3:$G$1101,2,0),"")</f>
        <v/>
      </c>
      <c r="AJ60" s="185" t="str">
        <f>_xlfn.IFNA(VLOOKUP($AH60,Programma!$F$3:$H$1101,3,0),"")</f>
        <v/>
      </c>
      <c r="AK60" s="185" t="str">
        <f>_xlfn.IFNA(VLOOKUP($AH60,Programma!$F$3:$I$1101,4,0),"")</f>
        <v/>
      </c>
      <c r="AL60" s="185" t="str">
        <f>_xlfn.IFNA(VLOOKUP($AH60,Programma!$F$3:$J$1101,5,0),"")</f>
        <v/>
      </c>
      <c r="AM60" s="185" t="str">
        <f>_xlfn.IFNA(VLOOKUP($AH60,Programma!$F$3:$K$1101,6,0),"")</f>
        <v/>
      </c>
      <c r="AN60" s="185" t="str">
        <f>_xlfn.IFNA(VLOOKUP($AH60,Programma!$F$3:$L$1101,7,0),"")</f>
        <v/>
      </c>
      <c r="AO60" s="185" t="str">
        <f>_xlfn.IFNA(VLOOKUP($AH60,Programma!$F$3:$M$1101,8,0),"")</f>
        <v/>
      </c>
      <c r="AP60" s="185" t="str">
        <f>_xlfn.IFNA(VLOOKUP($AH60,Programma!$F$3:$N$1101,9,0),"")</f>
        <v/>
      </c>
      <c r="AQ60" s="185" t="str">
        <f>_xlfn.IFNA(VLOOKUP($AH60,Programma!$F$3:$O$1101,10,0),"")</f>
        <v/>
      </c>
      <c r="AR60" s="185" t="str">
        <f>_xlfn.IFNA(VLOOKUP($AH60,Programma!$F$3:$P$1101,11,0),"")</f>
        <v/>
      </c>
      <c r="AS60" s="185" t="str">
        <f>_xlfn.IFNA(VLOOKUP($AH60,Programma!$F$3:$Q$1101,12,0),"")</f>
        <v/>
      </c>
      <c r="AT60" s="185" t="str">
        <f>_xlfn.IFNA(VLOOKUP($AH60,Programma!$F$3:$R$1101,13,0),"")</f>
        <v/>
      </c>
      <c r="AU60" s="185" t="str">
        <f>_xlfn.IFNA(VLOOKUP($AH60,Programma!$F$3:$S$1101,14,0),"")</f>
        <v/>
      </c>
      <c r="AV60" s="185" t="str">
        <f>_xlfn.IFNA(VLOOKUP($AH60,Programma!$F$3:$T$1101,15,0),"")</f>
        <v/>
      </c>
      <c r="AW60" s="185" t="str">
        <f>_xlfn.IFNA(VLOOKUP($AH60,Programma!$F$3:$U$1101,16,0),"")</f>
        <v/>
      </c>
      <c r="AX60" s="185" t="str">
        <f>_xlfn.IFNA(VLOOKUP($AH60,Programma!$F$3:$V$1101,17,0),"")</f>
        <v/>
      </c>
      <c r="AY60" s="185" t="str">
        <f>_xlfn.IFNA(VLOOKUP($AH60,Programma!$F$3:$W$1101,18,0),"")</f>
        <v/>
      </c>
      <c r="AZ60" s="185" t="str">
        <f>_xlfn.IFNA(VLOOKUP($AH60,Programma!$F$3:$X$1101,19,0),"")</f>
        <v/>
      </c>
      <c r="BA60" s="185" t="str">
        <f>_xlfn.IFNA(VLOOKUP($AH60,Programma!$F$3:$Y$1101,20,0),"")</f>
        <v/>
      </c>
      <c r="BB60" s="182"/>
      <c r="BC60" s="181" t="str">
        <f>IF(Ruimtestaat[[#This Row],[Frequentie weekend]]="","",_xlfn.CONCAT(Ruimtestaat[[#This Row],[Ruimte code]],"-",Ruimtestaat[[#This Row],[Frequentie weekend]]," ",Ruimtestaat[[#This Row],[Vloer code]]))</f>
        <v/>
      </c>
      <c r="BD60" s="185" t="str">
        <f>_xlfn.IFNA(VLOOKUP($BC60,Programma!$F$3:$G$1101,2,0),"")</f>
        <v/>
      </c>
      <c r="BE60" s="185" t="str">
        <f>_xlfn.IFNA(VLOOKUP($BC60,Programma!$F$3:$H$1101,3,0),"")</f>
        <v/>
      </c>
      <c r="BF60" s="185" t="str">
        <f>_xlfn.IFNA(VLOOKUP($BC60,Programma!$F$3:$I$1101,4,0),"")</f>
        <v/>
      </c>
      <c r="BG60" s="185" t="str">
        <f>_xlfn.IFNA(VLOOKUP($BC60,Programma!$F$3:$J$1101,5,0),"")</f>
        <v/>
      </c>
      <c r="BH60" s="185" t="str">
        <f>_xlfn.IFNA(VLOOKUP($BC60,Programma!$F$3:$K$1101,6,0),"")</f>
        <v/>
      </c>
      <c r="BI60" s="185" t="str">
        <f>_xlfn.IFNA(VLOOKUP($BC60,Programma!$F$3:$L$1101,7,0),"")</f>
        <v/>
      </c>
      <c r="BJ60" s="185" t="str">
        <f>_xlfn.IFNA(VLOOKUP($BC60,Programma!$F$3:$M$1101,8,0),"")</f>
        <v/>
      </c>
      <c r="BK60" s="185" t="str">
        <f>_xlfn.IFNA(VLOOKUP($BC60,Programma!$F$3:$N$1101,9,0),"")</f>
        <v/>
      </c>
      <c r="BL60" s="185" t="str">
        <f>_xlfn.IFNA(VLOOKUP($BC60,Programma!$F$3:$O$1101,10,0),"")</f>
        <v/>
      </c>
      <c r="BM60" s="185" t="str">
        <f>_xlfn.IFNA(VLOOKUP($BC60,Programma!$F$3:$P$1101,11,0),"")</f>
        <v/>
      </c>
      <c r="BN60" s="185" t="str">
        <f>_xlfn.IFNA(VLOOKUP($BC60,Programma!$F$3:$Q$1101,12,0),"")</f>
        <v/>
      </c>
      <c r="BO60" s="185" t="str">
        <f>_xlfn.IFNA(VLOOKUP($BC60,Programma!$F$3:$R$1101,13,0),"")</f>
        <v/>
      </c>
      <c r="BP60" s="185" t="str">
        <f>_xlfn.IFNA(VLOOKUP($BC60,Programma!$F$3:$S$1101,14,0),"")</f>
        <v/>
      </c>
      <c r="BQ60" s="185" t="str">
        <f>_xlfn.IFNA(VLOOKUP($BC60,Programma!$F$3:$T$1101,15,0),"")</f>
        <v/>
      </c>
      <c r="BR60" s="185" t="str">
        <f>_xlfn.IFNA(VLOOKUP($BC60,Programma!$F$3:$U$1101,16,0),"")</f>
        <v/>
      </c>
      <c r="BS60" s="185" t="str">
        <f>_xlfn.IFNA(VLOOKUP($BC60,Programma!$F$3:$V$1101,17,0),"")</f>
        <v/>
      </c>
      <c r="BT60" s="185" t="str">
        <f>_xlfn.IFNA(VLOOKUP($BC60,Programma!$F$3:$W$1101,18,0),"")</f>
        <v/>
      </c>
      <c r="BU60" s="185" t="str">
        <f>_xlfn.IFNA(VLOOKUP($BC60,Programma!$F$3:$X$1101,19,0),"")</f>
        <v/>
      </c>
      <c r="BV60" s="185" t="str">
        <f>_xlfn.IFNA(VLOOKUP($BC60,Programma!$F$3:$Y$1101,20,0),"")</f>
        <v/>
      </c>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78"/>
      <c r="GG60" s="78"/>
      <c r="GH60" s="78"/>
      <c r="GI60" s="78"/>
      <c r="GJ60" s="78"/>
      <c r="GK60" s="78"/>
      <c r="GL60" s="78"/>
      <c r="GM60" s="78"/>
      <c r="GN60" s="78"/>
      <c r="GO60" s="78"/>
      <c r="GP60" s="78"/>
      <c r="GQ60" s="78"/>
      <c r="GR60" s="78"/>
      <c r="GS60" s="78"/>
      <c r="GT60" s="78"/>
      <c r="GU60" s="78"/>
      <c r="GV60" s="78"/>
      <c r="GW60" s="78"/>
      <c r="GX60" s="78"/>
      <c r="GY60" s="78"/>
      <c r="GZ60" s="78"/>
      <c r="HA60" s="78"/>
      <c r="HB60" s="78"/>
      <c r="HC60" s="78"/>
      <c r="HD60" s="78"/>
      <c r="HE60" s="78"/>
      <c r="HF60" s="78"/>
      <c r="HG60" s="78"/>
      <c r="HH60" s="78"/>
      <c r="HI60" s="78"/>
      <c r="HJ60" s="78"/>
      <c r="HK60" s="78"/>
    </row>
    <row r="61" spans="1:219" ht="15" customHeight="1">
      <c r="A61" s="149">
        <v>2</v>
      </c>
      <c r="B61" s="176" t="str">
        <f>VLOOKUP(Ruimtestaat[[#This Row],[Code]],Locaties[[Code]:[Locatie]],2,FALSE)</f>
        <v>IST Primary Campus</v>
      </c>
      <c r="C61" s="176" t="str">
        <f>VLOOKUP(Ruimtestaat[[#This Row],[Code]],Locaties[[#All],[Code]:[Adres]],4,FALSE)</f>
        <v>Joh. ter Horststraat 30</v>
      </c>
      <c r="D61" s="176" t="str">
        <f>VLOOKUP(Ruimtestaat[[#This Row],[Code]],Locaties[[#All],[Code]:[Postcode]],5,FALSE)</f>
        <v>7513 ZH</v>
      </c>
      <c r="E61" s="176" t="str">
        <f>VLOOKUP(Ruimtestaat[[#This Row],[Code]],Locaties[#All],6,FALSE)</f>
        <v>Enschede</v>
      </c>
      <c r="F61" s="149"/>
      <c r="G61" s="149"/>
      <c r="H61" s="300" t="s">
        <v>1704</v>
      </c>
      <c r="I61" s="301" t="s">
        <v>1683</v>
      </c>
      <c r="J61" s="99">
        <v>20</v>
      </c>
      <c r="K61" s="183" t="str">
        <f>VLOOKUP(Ruimtestaat[[#This Row],[Ruimte code]],Ruimtegroepen[[#All],[Code]:[Ruimte omschrijving]],2,FALSE)</f>
        <v>Niet in Onderhoud</v>
      </c>
      <c r="L61" s="149" t="s">
        <v>100</v>
      </c>
      <c r="M61" s="301" t="s">
        <v>1697</v>
      </c>
      <c r="N61" s="177"/>
      <c r="O61" s="177">
        <v>16</v>
      </c>
      <c r="P61" s="178">
        <f>VLOOKUP(Ruimtestaat[[#This Row],[Ruimte code]],Ruimtegroepen[],4,FALSE)</f>
        <v>0</v>
      </c>
      <c r="Q61" s="149"/>
      <c r="R61" s="149"/>
      <c r="S61" s="149">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 s="149">
        <f>IF(S61&gt;0,VLOOKUP($J61,Ruimtegroepen[],3,FALSE)*VLOOKUP($L61,Vloersoorten[],3,FALSE)*VLOOKUP($R61,Frequenties[],3,FALSE)*VLOOKUP($A61,Locaties[],3,FALSE),0)</f>
        <v>0</v>
      </c>
      <c r="U61" s="149">
        <f>Ruimtestaat[[#This Row],[Uitvoeringen werkdagen]]*Ruimtestaat[[#This Row],[Oppervlak (netto)]]</f>
        <v>0</v>
      </c>
      <c r="V61" s="179">
        <f>IF(T61&gt;0,Ruimtestaat[[#This Row],[Prest. (m2 /jaar) werkdagen]]/Ruimtestaat[[#This Row],[Norm (m2/uur) werkdagen]],0)</f>
        <v>0</v>
      </c>
      <c r="W61" s="180">
        <f>Ruimtestaat[[#This Row],[uren / jaar werkdagen]]*Tariefsopbouw!$E$35</f>
        <v>0</v>
      </c>
      <c r="X61" s="149"/>
      <c r="Y61" s="149">
        <f>IF(Ruimtestaat[[#This Row],[Frequentie weekend]]&gt;0,VALUE(LEFT(X61,1))*Q61,0)</f>
        <v>0</v>
      </c>
      <c r="Z61" s="148">
        <f>IF($Y61&gt;0,VLOOKUP($J61,Ruimtegroepen[],3,FALSE)*VLOOKUP($L61,Vloersoorten[],3,FALSE)*VLOOKUP($X61,Frequenties[],3,FALSE)*VLOOKUP(Ruimtestaat[[#This Row],[Code]],Locaties[],3,FALSE),0)</f>
        <v>0</v>
      </c>
      <c r="AA61" s="148">
        <f>Ruimtestaat[[#This Row],[Uitvoeringen weekend]]*Ruimtestaat[[#This Row],[Oppervlak (netto)]]</f>
        <v>0</v>
      </c>
      <c r="AB61" s="148">
        <f>IF(Z61&gt;0,Ruimtestaat[[#This Row],[Prest. (m2 /jaar) weekend]]/Ruimtestaat[[#This Row],[Norm (m2/uur) weekend]],0)</f>
        <v>0</v>
      </c>
      <c r="AC61" s="180">
        <f>Ruimtestaat[[#This Row],[uren / jaar weekend]]*Tariefsopbouw!$D$40</f>
        <v>0</v>
      </c>
      <c r="AD61" s="179">
        <f>Ruimtestaat[[#This Row],[Prest. (m2 /jaar) weekend]]+Ruimtestaat[[#This Row],[Prest. (m2 /jaar) werkdagen]]</f>
        <v>0</v>
      </c>
      <c r="AE61" s="179">
        <f>Ruimtestaat[[#This Row],[uren / jaar weekend]]+Ruimtestaat[[#This Row],[uren / jaar werkdagen]]</f>
        <v>0</v>
      </c>
      <c r="AF61" s="174">
        <f>Ruimtestaat[[#This Row],[kosten / jaar weekend]]+Ruimtestaat[[#This Row],[kosten / jaar werkdagen]]</f>
        <v>0</v>
      </c>
      <c r="AG61" s="174"/>
      <c r="AH61" s="181" t="str">
        <f>IF(Ruimtestaat[[#This Row],[Frequentie werkdagen]]="","",_xlfn.CONCAT(Ruimtestaat[[#This Row],[Ruimte code]],"-",Ruimtestaat[[#This Row],[Frequentie werkdagen]]," ",Ruimtestaat[[#This Row],[Vloer code]]))</f>
        <v/>
      </c>
      <c r="AI61" s="185" t="str">
        <f>_xlfn.IFNA(VLOOKUP($AH61,Programma!$F$3:$G$1101,2,0),"")</f>
        <v/>
      </c>
      <c r="AJ61" s="185" t="str">
        <f>_xlfn.IFNA(VLOOKUP($AH61,Programma!$F$3:$H$1101,3,0),"")</f>
        <v/>
      </c>
      <c r="AK61" s="185" t="str">
        <f>_xlfn.IFNA(VLOOKUP($AH61,Programma!$F$3:$I$1101,4,0),"")</f>
        <v/>
      </c>
      <c r="AL61" s="185" t="str">
        <f>_xlfn.IFNA(VLOOKUP($AH61,Programma!$F$3:$J$1101,5,0),"")</f>
        <v/>
      </c>
      <c r="AM61" s="185" t="str">
        <f>_xlfn.IFNA(VLOOKUP($AH61,Programma!$F$3:$K$1101,6,0),"")</f>
        <v/>
      </c>
      <c r="AN61" s="185" t="str">
        <f>_xlfn.IFNA(VLOOKUP($AH61,Programma!$F$3:$L$1101,7,0),"")</f>
        <v/>
      </c>
      <c r="AO61" s="185" t="str">
        <f>_xlfn.IFNA(VLOOKUP($AH61,Programma!$F$3:$M$1101,8,0),"")</f>
        <v/>
      </c>
      <c r="AP61" s="185" t="str">
        <f>_xlfn.IFNA(VLOOKUP($AH61,Programma!$F$3:$N$1101,9,0),"")</f>
        <v/>
      </c>
      <c r="AQ61" s="185" t="str">
        <f>_xlfn.IFNA(VLOOKUP($AH61,Programma!$F$3:$O$1101,10,0),"")</f>
        <v/>
      </c>
      <c r="AR61" s="185" t="str">
        <f>_xlfn.IFNA(VLOOKUP($AH61,Programma!$F$3:$P$1101,11,0),"")</f>
        <v/>
      </c>
      <c r="AS61" s="185" t="str">
        <f>_xlfn.IFNA(VLOOKUP($AH61,Programma!$F$3:$Q$1101,12,0),"")</f>
        <v/>
      </c>
      <c r="AT61" s="185" t="str">
        <f>_xlfn.IFNA(VLOOKUP($AH61,Programma!$F$3:$R$1101,13,0),"")</f>
        <v/>
      </c>
      <c r="AU61" s="185" t="str">
        <f>_xlfn.IFNA(VLOOKUP($AH61,Programma!$F$3:$S$1101,14,0),"")</f>
        <v/>
      </c>
      <c r="AV61" s="185" t="str">
        <f>_xlfn.IFNA(VLOOKUP($AH61,Programma!$F$3:$T$1101,15,0),"")</f>
        <v/>
      </c>
      <c r="AW61" s="185" t="str">
        <f>_xlfn.IFNA(VLOOKUP($AH61,Programma!$F$3:$U$1101,16,0),"")</f>
        <v/>
      </c>
      <c r="AX61" s="185" t="str">
        <f>_xlfn.IFNA(VLOOKUP($AH61,Programma!$F$3:$V$1101,17,0),"")</f>
        <v/>
      </c>
      <c r="AY61" s="185" t="str">
        <f>_xlfn.IFNA(VLOOKUP($AH61,Programma!$F$3:$W$1101,18,0),"")</f>
        <v/>
      </c>
      <c r="AZ61" s="185" t="str">
        <f>_xlfn.IFNA(VLOOKUP($AH61,Programma!$F$3:$X$1101,19,0),"")</f>
        <v/>
      </c>
      <c r="BA61" s="185" t="str">
        <f>_xlfn.IFNA(VLOOKUP($AH61,Programma!$F$3:$Y$1101,20,0),"")</f>
        <v/>
      </c>
      <c r="BB61" s="182"/>
      <c r="BC61" s="181" t="str">
        <f>IF(Ruimtestaat[[#This Row],[Frequentie weekend]]="","",_xlfn.CONCAT(Ruimtestaat[[#This Row],[Ruimte code]],"-",Ruimtestaat[[#This Row],[Frequentie weekend]]," ",Ruimtestaat[[#This Row],[Vloer code]]))</f>
        <v/>
      </c>
      <c r="BD61" s="185" t="str">
        <f>_xlfn.IFNA(VLOOKUP($BC61,Programma!$F$3:$G$1101,2,0),"")</f>
        <v/>
      </c>
      <c r="BE61" s="185" t="str">
        <f>_xlfn.IFNA(VLOOKUP($BC61,Programma!$F$3:$H$1101,3,0),"")</f>
        <v/>
      </c>
      <c r="BF61" s="185" t="str">
        <f>_xlfn.IFNA(VLOOKUP($BC61,Programma!$F$3:$I$1101,4,0),"")</f>
        <v/>
      </c>
      <c r="BG61" s="185" t="str">
        <f>_xlfn.IFNA(VLOOKUP($BC61,Programma!$F$3:$J$1101,5,0),"")</f>
        <v/>
      </c>
      <c r="BH61" s="185" t="str">
        <f>_xlfn.IFNA(VLOOKUP($BC61,Programma!$F$3:$K$1101,6,0),"")</f>
        <v/>
      </c>
      <c r="BI61" s="185" t="str">
        <f>_xlfn.IFNA(VLOOKUP($BC61,Programma!$F$3:$L$1101,7,0),"")</f>
        <v/>
      </c>
      <c r="BJ61" s="185" t="str">
        <f>_xlfn.IFNA(VLOOKUP($BC61,Programma!$F$3:$M$1101,8,0),"")</f>
        <v/>
      </c>
      <c r="BK61" s="185" t="str">
        <f>_xlfn.IFNA(VLOOKUP($BC61,Programma!$F$3:$N$1101,9,0),"")</f>
        <v/>
      </c>
      <c r="BL61" s="185" t="str">
        <f>_xlfn.IFNA(VLOOKUP($BC61,Programma!$F$3:$O$1101,10,0),"")</f>
        <v/>
      </c>
      <c r="BM61" s="185" t="str">
        <f>_xlfn.IFNA(VLOOKUP($BC61,Programma!$F$3:$P$1101,11,0),"")</f>
        <v/>
      </c>
      <c r="BN61" s="185" t="str">
        <f>_xlfn.IFNA(VLOOKUP($BC61,Programma!$F$3:$Q$1101,12,0),"")</f>
        <v/>
      </c>
      <c r="BO61" s="185" t="str">
        <f>_xlfn.IFNA(VLOOKUP($BC61,Programma!$F$3:$R$1101,13,0),"")</f>
        <v/>
      </c>
      <c r="BP61" s="185" t="str">
        <f>_xlfn.IFNA(VLOOKUP($BC61,Programma!$F$3:$S$1101,14,0),"")</f>
        <v/>
      </c>
      <c r="BQ61" s="185" t="str">
        <f>_xlfn.IFNA(VLOOKUP($BC61,Programma!$F$3:$T$1101,15,0),"")</f>
        <v/>
      </c>
      <c r="BR61" s="185" t="str">
        <f>_xlfn.IFNA(VLOOKUP($BC61,Programma!$F$3:$U$1101,16,0),"")</f>
        <v/>
      </c>
      <c r="BS61" s="185" t="str">
        <f>_xlfn.IFNA(VLOOKUP($BC61,Programma!$F$3:$V$1101,17,0),"")</f>
        <v/>
      </c>
      <c r="BT61" s="185" t="str">
        <f>_xlfn.IFNA(VLOOKUP($BC61,Programma!$F$3:$W$1101,18,0),"")</f>
        <v/>
      </c>
      <c r="BU61" s="185" t="str">
        <f>_xlfn.IFNA(VLOOKUP($BC61,Programma!$F$3:$X$1101,19,0),"")</f>
        <v/>
      </c>
      <c r="BV61" s="185" t="str">
        <f>_xlfn.IFNA(VLOOKUP($BC61,Programma!$F$3:$Y$1101,20,0),"")</f>
        <v/>
      </c>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c r="EO61" s="78"/>
      <c r="EP61" s="78"/>
      <c r="EQ61" s="78"/>
      <c r="ER61" s="78"/>
      <c r="ES61" s="78"/>
      <c r="ET61" s="78"/>
      <c r="EU61" s="78"/>
      <c r="EV61" s="78"/>
      <c r="EW61" s="78"/>
      <c r="EX61" s="78"/>
      <c r="EY61" s="78"/>
      <c r="EZ61" s="78"/>
      <c r="FA61" s="78"/>
      <c r="FB61" s="78"/>
      <c r="FC61" s="78"/>
      <c r="FD61" s="78"/>
      <c r="FE61" s="78"/>
      <c r="FF61" s="78"/>
      <c r="FG61" s="78"/>
      <c r="FH61" s="78"/>
      <c r="FI61" s="78"/>
      <c r="FJ61" s="78"/>
      <c r="FK61" s="78"/>
      <c r="FL61" s="78"/>
      <c r="FM61" s="78"/>
      <c r="FN61" s="78"/>
      <c r="FO61" s="78"/>
      <c r="FP61" s="78"/>
      <c r="FQ61" s="78"/>
      <c r="FR61" s="78"/>
      <c r="FS61" s="78"/>
      <c r="FT61" s="78"/>
      <c r="FU61" s="78"/>
      <c r="FV61" s="78"/>
      <c r="FW61" s="78"/>
      <c r="FX61" s="78"/>
      <c r="FY61" s="78"/>
      <c r="FZ61" s="78"/>
      <c r="GA61" s="78"/>
      <c r="GB61" s="78"/>
      <c r="GC61" s="78"/>
      <c r="GD61" s="78"/>
      <c r="GE61" s="78"/>
      <c r="GF61" s="78"/>
      <c r="GG61" s="78"/>
      <c r="GH61" s="78"/>
      <c r="GI61" s="78"/>
      <c r="GJ61" s="78"/>
      <c r="GK61" s="78"/>
      <c r="GL61" s="78"/>
      <c r="GM61" s="78"/>
      <c r="GN61" s="78"/>
      <c r="GO61" s="78"/>
      <c r="GP61" s="78"/>
      <c r="GQ61" s="78"/>
      <c r="GR61" s="78"/>
      <c r="GS61" s="78"/>
      <c r="GT61" s="78"/>
      <c r="GU61" s="78"/>
      <c r="GV61" s="78"/>
      <c r="GW61" s="78"/>
      <c r="GX61" s="78"/>
      <c r="GY61" s="78"/>
      <c r="GZ61" s="78"/>
      <c r="HA61" s="78"/>
      <c r="HB61" s="78"/>
      <c r="HC61" s="78"/>
      <c r="HD61" s="78"/>
      <c r="HE61" s="78"/>
      <c r="HF61" s="78"/>
      <c r="HG61" s="78"/>
      <c r="HH61" s="78"/>
      <c r="HI61" s="78"/>
      <c r="HJ61" s="78"/>
      <c r="HK61" s="78"/>
    </row>
    <row r="62" spans="1:219" ht="15" customHeight="1">
      <c r="A62" s="149">
        <v>2</v>
      </c>
      <c r="B62" s="176" t="str">
        <f>VLOOKUP(Ruimtestaat[[#This Row],[Code]],Locaties[[Code]:[Locatie]],2,FALSE)</f>
        <v>IST Primary Campus</v>
      </c>
      <c r="C62" s="176" t="str">
        <f>VLOOKUP(Ruimtestaat[[#This Row],[Code]],Locaties[[#All],[Code]:[Adres]],4,FALSE)</f>
        <v>Joh. ter Horststraat 30</v>
      </c>
      <c r="D62" s="176" t="str">
        <f>VLOOKUP(Ruimtestaat[[#This Row],[Code]],Locaties[[#All],[Code]:[Postcode]],5,FALSE)</f>
        <v>7513 ZH</v>
      </c>
      <c r="E62" s="176" t="str">
        <f>VLOOKUP(Ruimtestaat[[#This Row],[Code]],Locaties[#All],6,FALSE)</f>
        <v>Enschede</v>
      </c>
      <c r="F62" s="149"/>
      <c r="G62" s="149"/>
      <c r="H62" s="300" t="s">
        <v>1706</v>
      </c>
      <c r="I62" s="301" t="s">
        <v>1683</v>
      </c>
      <c r="J62" s="99">
        <v>20</v>
      </c>
      <c r="K62" s="183" t="str">
        <f>VLOOKUP(Ruimtestaat[[#This Row],[Ruimte code]],Ruimtegroepen[[#All],[Code]:[Ruimte omschrijving]],2,FALSE)</f>
        <v>Niet in Onderhoud</v>
      </c>
      <c r="L62" s="149" t="s">
        <v>101</v>
      </c>
      <c r="M62" s="301" t="s">
        <v>119</v>
      </c>
      <c r="N62" s="177"/>
      <c r="O62" s="177">
        <v>7</v>
      </c>
      <c r="P62" s="178">
        <f>VLOOKUP(Ruimtestaat[[#This Row],[Ruimte code]],Ruimtegroepen[],4,FALSE)</f>
        <v>0</v>
      </c>
      <c r="Q62" s="149"/>
      <c r="R62" s="149"/>
      <c r="S62" s="149">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 s="149">
        <f>IF(S62&gt;0,VLOOKUP($J62,Ruimtegroepen[],3,FALSE)*VLOOKUP($L62,Vloersoorten[],3,FALSE)*VLOOKUP($R62,Frequenties[],3,FALSE)*VLOOKUP($A62,Locaties[],3,FALSE),0)</f>
        <v>0</v>
      </c>
      <c r="U62" s="149">
        <f>Ruimtestaat[[#This Row],[Uitvoeringen werkdagen]]*Ruimtestaat[[#This Row],[Oppervlak (netto)]]</f>
        <v>0</v>
      </c>
      <c r="V62" s="179">
        <f>IF(T62&gt;0,Ruimtestaat[[#This Row],[Prest. (m2 /jaar) werkdagen]]/Ruimtestaat[[#This Row],[Norm (m2/uur) werkdagen]],0)</f>
        <v>0</v>
      </c>
      <c r="W62" s="180">
        <f>Ruimtestaat[[#This Row],[uren / jaar werkdagen]]*Tariefsopbouw!$E$35</f>
        <v>0</v>
      </c>
      <c r="X62" s="149"/>
      <c r="Y62" s="149">
        <f>IF(Ruimtestaat[[#This Row],[Frequentie weekend]]&gt;0,VALUE(LEFT(X62,1))*Q62,0)</f>
        <v>0</v>
      </c>
      <c r="Z62" s="148">
        <f>IF($Y62&gt;0,VLOOKUP($J62,Ruimtegroepen[],3,FALSE)*VLOOKUP($L62,Vloersoorten[],3,FALSE)*VLOOKUP($X62,Frequenties[],3,FALSE)*VLOOKUP(Ruimtestaat[[#This Row],[Code]],Locaties[],3,FALSE),0)</f>
        <v>0</v>
      </c>
      <c r="AA62" s="148">
        <f>Ruimtestaat[[#This Row],[Uitvoeringen weekend]]*Ruimtestaat[[#This Row],[Oppervlak (netto)]]</f>
        <v>0</v>
      </c>
      <c r="AB62" s="148">
        <f>IF(Z62&gt;0,Ruimtestaat[[#This Row],[Prest. (m2 /jaar) weekend]]/Ruimtestaat[[#This Row],[Norm (m2/uur) weekend]],0)</f>
        <v>0</v>
      </c>
      <c r="AC62" s="180">
        <f>Ruimtestaat[[#This Row],[uren / jaar weekend]]*Tariefsopbouw!$D$40</f>
        <v>0</v>
      </c>
      <c r="AD62" s="179">
        <f>Ruimtestaat[[#This Row],[Prest. (m2 /jaar) weekend]]+Ruimtestaat[[#This Row],[Prest. (m2 /jaar) werkdagen]]</f>
        <v>0</v>
      </c>
      <c r="AE62" s="179">
        <f>Ruimtestaat[[#This Row],[uren / jaar weekend]]+Ruimtestaat[[#This Row],[uren / jaar werkdagen]]</f>
        <v>0</v>
      </c>
      <c r="AF62" s="174">
        <f>Ruimtestaat[[#This Row],[kosten / jaar weekend]]+Ruimtestaat[[#This Row],[kosten / jaar werkdagen]]</f>
        <v>0</v>
      </c>
      <c r="AG62" s="174"/>
      <c r="AH62" s="181" t="str">
        <f>IF(Ruimtestaat[[#This Row],[Frequentie werkdagen]]="","",_xlfn.CONCAT(Ruimtestaat[[#This Row],[Ruimte code]],"-",Ruimtestaat[[#This Row],[Frequentie werkdagen]]," ",Ruimtestaat[[#This Row],[Vloer code]]))</f>
        <v/>
      </c>
      <c r="AI62" s="185" t="str">
        <f>_xlfn.IFNA(VLOOKUP($AH62,Programma!$F$3:$G$1101,2,0),"")</f>
        <v/>
      </c>
      <c r="AJ62" s="185" t="str">
        <f>_xlfn.IFNA(VLOOKUP($AH62,Programma!$F$3:$H$1101,3,0),"")</f>
        <v/>
      </c>
      <c r="AK62" s="185" t="str">
        <f>_xlfn.IFNA(VLOOKUP($AH62,Programma!$F$3:$I$1101,4,0),"")</f>
        <v/>
      </c>
      <c r="AL62" s="185" t="str">
        <f>_xlfn.IFNA(VLOOKUP($AH62,Programma!$F$3:$J$1101,5,0),"")</f>
        <v/>
      </c>
      <c r="AM62" s="185" t="str">
        <f>_xlfn.IFNA(VLOOKUP($AH62,Programma!$F$3:$K$1101,6,0),"")</f>
        <v/>
      </c>
      <c r="AN62" s="185" t="str">
        <f>_xlfn.IFNA(VLOOKUP($AH62,Programma!$F$3:$L$1101,7,0),"")</f>
        <v/>
      </c>
      <c r="AO62" s="185" t="str">
        <f>_xlfn.IFNA(VLOOKUP($AH62,Programma!$F$3:$M$1101,8,0),"")</f>
        <v/>
      </c>
      <c r="AP62" s="185" t="str">
        <f>_xlfn.IFNA(VLOOKUP($AH62,Programma!$F$3:$N$1101,9,0),"")</f>
        <v/>
      </c>
      <c r="AQ62" s="185" t="str">
        <f>_xlfn.IFNA(VLOOKUP($AH62,Programma!$F$3:$O$1101,10,0),"")</f>
        <v/>
      </c>
      <c r="AR62" s="185" t="str">
        <f>_xlfn.IFNA(VLOOKUP($AH62,Programma!$F$3:$P$1101,11,0),"")</f>
        <v/>
      </c>
      <c r="AS62" s="185" t="str">
        <f>_xlfn.IFNA(VLOOKUP($AH62,Programma!$F$3:$Q$1101,12,0),"")</f>
        <v/>
      </c>
      <c r="AT62" s="185" t="str">
        <f>_xlfn.IFNA(VLOOKUP($AH62,Programma!$F$3:$R$1101,13,0),"")</f>
        <v/>
      </c>
      <c r="AU62" s="185" t="str">
        <f>_xlfn.IFNA(VLOOKUP($AH62,Programma!$F$3:$S$1101,14,0),"")</f>
        <v/>
      </c>
      <c r="AV62" s="185" t="str">
        <f>_xlfn.IFNA(VLOOKUP($AH62,Programma!$F$3:$T$1101,15,0),"")</f>
        <v/>
      </c>
      <c r="AW62" s="185" t="str">
        <f>_xlfn.IFNA(VLOOKUP($AH62,Programma!$F$3:$U$1101,16,0),"")</f>
        <v/>
      </c>
      <c r="AX62" s="185" t="str">
        <f>_xlfn.IFNA(VLOOKUP($AH62,Programma!$F$3:$V$1101,17,0),"")</f>
        <v/>
      </c>
      <c r="AY62" s="185" t="str">
        <f>_xlfn.IFNA(VLOOKUP($AH62,Programma!$F$3:$W$1101,18,0),"")</f>
        <v/>
      </c>
      <c r="AZ62" s="185" t="str">
        <f>_xlfn.IFNA(VLOOKUP($AH62,Programma!$F$3:$X$1101,19,0),"")</f>
        <v/>
      </c>
      <c r="BA62" s="185" t="str">
        <f>_xlfn.IFNA(VLOOKUP($AH62,Programma!$F$3:$Y$1101,20,0),"")</f>
        <v/>
      </c>
      <c r="BB62" s="182"/>
      <c r="BC62" s="181" t="str">
        <f>IF(Ruimtestaat[[#This Row],[Frequentie weekend]]="","",_xlfn.CONCAT(Ruimtestaat[[#This Row],[Ruimte code]],"-",Ruimtestaat[[#This Row],[Frequentie weekend]]," ",Ruimtestaat[[#This Row],[Vloer code]]))</f>
        <v/>
      </c>
      <c r="BD62" s="185" t="str">
        <f>_xlfn.IFNA(VLOOKUP($BC62,Programma!$F$3:$G$1101,2,0),"")</f>
        <v/>
      </c>
      <c r="BE62" s="185" t="str">
        <f>_xlfn.IFNA(VLOOKUP($BC62,Programma!$F$3:$H$1101,3,0),"")</f>
        <v/>
      </c>
      <c r="BF62" s="185" t="str">
        <f>_xlfn.IFNA(VLOOKUP($BC62,Programma!$F$3:$I$1101,4,0),"")</f>
        <v/>
      </c>
      <c r="BG62" s="185" t="str">
        <f>_xlfn.IFNA(VLOOKUP($BC62,Programma!$F$3:$J$1101,5,0),"")</f>
        <v/>
      </c>
      <c r="BH62" s="185" t="str">
        <f>_xlfn.IFNA(VLOOKUP($BC62,Programma!$F$3:$K$1101,6,0),"")</f>
        <v/>
      </c>
      <c r="BI62" s="185" t="str">
        <f>_xlfn.IFNA(VLOOKUP($BC62,Programma!$F$3:$L$1101,7,0),"")</f>
        <v/>
      </c>
      <c r="BJ62" s="185" t="str">
        <f>_xlfn.IFNA(VLOOKUP($BC62,Programma!$F$3:$M$1101,8,0),"")</f>
        <v/>
      </c>
      <c r="BK62" s="185" t="str">
        <f>_xlfn.IFNA(VLOOKUP($BC62,Programma!$F$3:$N$1101,9,0),"")</f>
        <v/>
      </c>
      <c r="BL62" s="185" t="str">
        <f>_xlfn.IFNA(VLOOKUP($BC62,Programma!$F$3:$O$1101,10,0),"")</f>
        <v/>
      </c>
      <c r="BM62" s="185" t="str">
        <f>_xlfn.IFNA(VLOOKUP($BC62,Programma!$F$3:$P$1101,11,0),"")</f>
        <v/>
      </c>
      <c r="BN62" s="185" t="str">
        <f>_xlfn.IFNA(VLOOKUP($BC62,Programma!$F$3:$Q$1101,12,0),"")</f>
        <v/>
      </c>
      <c r="BO62" s="185" t="str">
        <f>_xlfn.IFNA(VLOOKUP($BC62,Programma!$F$3:$R$1101,13,0),"")</f>
        <v/>
      </c>
      <c r="BP62" s="185" t="str">
        <f>_xlfn.IFNA(VLOOKUP($BC62,Programma!$F$3:$S$1101,14,0),"")</f>
        <v/>
      </c>
      <c r="BQ62" s="185" t="str">
        <f>_xlfn.IFNA(VLOOKUP($BC62,Programma!$F$3:$T$1101,15,0),"")</f>
        <v/>
      </c>
      <c r="BR62" s="185" t="str">
        <f>_xlfn.IFNA(VLOOKUP($BC62,Programma!$F$3:$U$1101,16,0),"")</f>
        <v/>
      </c>
      <c r="BS62" s="185" t="str">
        <f>_xlfn.IFNA(VLOOKUP($BC62,Programma!$F$3:$V$1101,17,0),"")</f>
        <v/>
      </c>
      <c r="BT62" s="185" t="str">
        <f>_xlfn.IFNA(VLOOKUP($BC62,Programma!$F$3:$W$1101,18,0),"")</f>
        <v/>
      </c>
      <c r="BU62" s="185" t="str">
        <f>_xlfn.IFNA(VLOOKUP($BC62,Programma!$F$3:$X$1101,19,0),"")</f>
        <v/>
      </c>
      <c r="BV62" s="185" t="str">
        <f>_xlfn.IFNA(VLOOKUP($BC62,Programma!$F$3:$Y$1101,20,0),"")</f>
        <v/>
      </c>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c r="FC62" s="78"/>
      <c r="FD62" s="78"/>
      <c r="FE62" s="78"/>
      <c r="FF62" s="78"/>
      <c r="FG62" s="78"/>
      <c r="FH62" s="78"/>
      <c r="FI62" s="78"/>
      <c r="FJ62" s="78"/>
      <c r="FK62" s="78"/>
      <c r="FL62" s="78"/>
      <c r="FM62" s="78"/>
      <c r="FN62" s="78"/>
      <c r="FO62" s="78"/>
      <c r="FP62" s="78"/>
      <c r="FQ62" s="78"/>
      <c r="FR62" s="78"/>
      <c r="FS62" s="78"/>
      <c r="FT62" s="78"/>
      <c r="FU62" s="78"/>
      <c r="FV62" s="78"/>
      <c r="FW62" s="78"/>
      <c r="FX62" s="78"/>
      <c r="FY62" s="78"/>
      <c r="FZ62" s="78"/>
      <c r="GA62" s="78"/>
      <c r="GB62" s="78"/>
      <c r="GC62" s="78"/>
      <c r="GD62" s="78"/>
      <c r="GE62" s="78"/>
      <c r="GF62" s="78"/>
      <c r="GG62" s="78"/>
      <c r="GH62" s="78"/>
      <c r="GI62" s="78"/>
      <c r="GJ62" s="78"/>
      <c r="GK62" s="78"/>
      <c r="GL62" s="78"/>
      <c r="GM62" s="78"/>
      <c r="GN62" s="78"/>
      <c r="GO62" s="78"/>
      <c r="GP62" s="78"/>
      <c r="GQ62" s="78"/>
      <c r="GR62" s="78"/>
      <c r="GS62" s="78"/>
      <c r="GT62" s="78"/>
      <c r="GU62" s="78"/>
      <c r="GV62" s="78"/>
      <c r="GW62" s="78"/>
      <c r="GX62" s="78"/>
      <c r="GY62" s="78"/>
      <c r="GZ62" s="78"/>
      <c r="HA62" s="78"/>
      <c r="HB62" s="78"/>
      <c r="HC62" s="78"/>
      <c r="HD62" s="78"/>
      <c r="HE62" s="78"/>
      <c r="HF62" s="78"/>
      <c r="HG62" s="78"/>
      <c r="HH62" s="78"/>
      <c r="HI62" s="78"/>
      <c r="HJ62" s="78"/>
      <c r="HK62" s="78"/>
    </row>
    <row r="63" spans="1:219" ht="15" customHeight="1">
      <c r="A63" s="149">
        <v>2</v>
      </c>
      <c r="B63" s="176" t="str">
        <f>VLOOKUP(Ruimtestaat[[#This Row],[Code]],Locaties[[Code]:[Locatie]],2,FALSE)</f>
        <v>IST Primary Campus</v>
      </c>
      <c r="C63" s="176" t="str">
        <f>VLOOKUP(Ruimtestaat[[#This Row],[Code]],Locaties[[#All],[Code]:[Adres]],4,FALSE)</f>
        <v>Joh. ter Horststraat 30</v>
      </c>
      <c r="D63" s="176" t="str">
        <f>VLOOKUP(Ruimtestaat[[#This Row],[Code]],Locaties[[#All],[Code]:[Postcode]],5,FALSE)</f>
        <v>7513 ZH</v>
      </c>
      <c r="E63" s="176" t="str">
        <f>VLOOKUP(Ruimtestaat[[#This Row],[Code]],Locaties[#All],6,FALSE)</f>
        <v>Enschede</v>
      </c>
      <c r="F63" s="149"/>
      <c r="G63" s="149"/>
      <c r="H63" s="300" t="s">
        <v>1707</v>
      </c>
      <c r="I63" s="301" t="s">
        <v>1690</v>
      </c>
      <c r="J63" s="99">
        <v>18</v>
      </c>
      <c r="K63" s="183" t="str">
        <f>VLOOKUP(Ruimtestaat[[#This Row],[Ruimte code]],Ruimtegroepen[[#All],[Code]:[Ruimte omschrijving]],2,FALSE)</f>
        <v>Gymzaal</v>
      </c>
      <c r="L63" s="149" t="s">
        <v>102</v>
      </c>
      <c r="M63" s="301" t="s">
        <v>1727</v>
      </c>
      <c r="N63" s="177">
        <v>87.9</v>
      </c>
      <c r="O63" s="177"/>
      <c r="P63" s="178" t="str">
        <f>VLOOKUP(Ruimtestaat[[#This Row],[Ruimte code]],Ruimtegroepen[],4,FALSE)</f>
        <v>Sp</v>
      </c>
      <c r="Q63" s="149">
        <v>40</v>
      </c>
      <c r="R63" s="149" t="s">
        <v>2</v>
      </c>
      <c r="S63" s="149">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 s="149">
        <f>IF(S63&gt;0,VLOOKUP($J63,Ruimtegroepen[],3,FALSE)*VLOOKUP($L63,Vloersoorten[],3,FALSE)*VLOOKUP($R63,Frequenties[],3,FALSE)*VLOOKUP($A63,Locaties[],3,FALSE),0)</f>
        <v>0</v>
      </c>
      <c r="U63" s="149">
        <f>Ruimtestaat[[#This Row],[Uitvoeringen werkdagen]]*Ruimtestaat[[#This Row],[Oppervlak (netto)]]</f>
        <v>17580</v>
      </c>
      <c r="V63" s="179">
        <f>IF(T63&gt;0,Ruimtestaat[[#This Row],[Prest. (m2 /jaar) werkdagen]]/Ruimtestaat[[#This Row],[Norm (m2/uur) werkdagen]],0)</f>
        <v>0</v>
      </c>
      <c r="W63" s="180">
        <f>Ruimtestaat[[#This Row],[uren / jaar werkdagen]]*Tariefsopbouw!$E$35</f>
        <v>0</v>
      </c>
      <c r="X63" s="149"/>
      <c r="Y63" s="149">
        <f>IF(Ruimtestaat[[#This Row],[Frequentie weekend]]&gt;0,VALUE(LEFT(X63,1))*Q63,0)</f>
        <v>0</v>
      </c>
      <c r="Z63" s="148">
        <f>IF($Y63&gt;0,VLOOKUP($J63,Ruimtegroepen[],3,FALSE)*VLOOKUP($L63,Vloersoorten[],3,FALSE)*VLOOKUP($X63,Frequenties[],3,FALSE)*VLOOKUP(Ruimtestaat[[#This Row],[Code]],Locaties[],3,FALSE),0)</f>
        <v>0</v>
      </c>
      <c r="AA63" s="148">
        <f>Ruimtestaat[[#This Row],[Uitvoeringen weekend]]*Ruimtestaat[[#This Row],[Oppervlak (netto)]]</f>
        <v>0</v>
      </c>
      <c r="AB63" s="148">
        <f>IF(Z63&gt;0,Ruimtestaat[[#This Row],[Prest. (m2 /jaar) weekend]]/Ruimtestaat[[#This Row],[Norm (m2/uur) weekend]],0)</f>
        <v>0</v>
      </c>
      <c r="AC63" s="180">
        <f>Ruimtestaat[[#This Row],[uren / jaar weekend]]*Tariefsopbouw!$D$40</f>
        <v>0</v>
      </c>
      <c r="AD63" s="179">
        <f>Ruimtestaat[[#This Row],[Prest. (m2 /jaar) weekend]]+Ruimtestaat[[#This Row],[Prest. (m2 /jaar) werkdagen]]</f>
        <v>17580</v>
      </c>
      <c r="AE63" s="179">
        <f>Ruimtestaat[[#This Row],[uren / jaar weekend]]+Ruimtestaat[[#This Row],[uren / jaar werkdagen]]</f>
        <v>0</v>
      </c>
      <c r="AF63" s="174">
        <f>Ruimtestaat[[#This Row],[kosten / jaar weekend]]+Ruimtestaat[[#This Row],[kosten / jaar werkdagen]]</f>
        <v>0</v>
      </c>
      <c r="AG63" s="174"/>
      <c r="AH63" s="181" t="str">
        <f>IF(Ruimtestaat[[#This Row],[Frequentie werkdagen]]="","",_xlfn.CONCAT(Ruimtestaat[[#This Row],[Ruimte code]],"-",Ruimtestaat[[#This Row],[Frequentie werkdagen]]," ",Ruimtestaat[[#This Row],[Vloer code]]))</f>
        <v>18-5w P</v>
      </c>
      <c r="AI63" s="185" t="str">
        <f>_xlfn.IFNA(VLOOKUP($AH63,Programma!$F$3:$G$1101,2,0),"")</f>
        <v>_</v>
      </c>
      <c r="AJ63" s="185" t="str">
        <f>_xlfn.IFNA(VLOOKUP($AH63,Programma!$F$3:$H$1101,3,0),"")</f>
        <v>_</v>
      </c>
      <c r="AK63" s="185" t="str">
        <f>_xlfn.IFNA(VLOOKUP($AH63,Programma!$F$3:$I$1101,4,0),"")</f>
        <v>4w</v>
      </c>
      <c r="AL63" s="185" t="str">
        <f>_xlfn.IFNA(VLOOKUP($AH63,Programma!$F$3:$J$1101,5,0),"")</f>
        <v>1w</v>
      </c>
      <c r="AM63" s="185" t="str">
        <f>_xlfn.IFNA(VLOOKUP($AH63,Programma!$F$3:$K$1101,6,0),"")</f>
        <v>4j</v>
      </c>
      <c r="AN63" s="185" t="str">
        <f>_xlfn.IFNA(VLOOKUP($AH63,Programma!$F$3:$L$1101,7,0),"")</f>
        <v>_</v>
      </c>
      <c r="AO63" s="185" t="str">
        <f>_xlfn.IFNA(VLOOKUP($AH63,Programma!$F$3:$M$1101,8,0),"")</f>
        <v>_</v>
      </c>
      <c r="AP63" s="185" t="str">
        <f>_xlfn.IFNA(VLOOKUP($AH63,Programma!$F$3:$N$1101,9,0),"")</f>
        <v>_</v>
      </c>
      <c r="AQ63" s="185" t="str">
        <f>_xlfn.IFNA(VLOOKUP($AH63,Programma!$F$3:$O$1101,10,0),"")</f>
        <v>5w</v>
      </c>
      <c r="AR63" s="185" t="str">
        <f>_xlfn.IFNA(VLOOKUP($AH63,Programma!$F$3:$P$1101,11,0),"")</f>
        <v>5w</v>
      </c>
      <c r="AS63" s="185" t="str">
        <f>_xlfn.IFNA(VLOOKUP($AH63,Programma!$F$3:$Q$1101,12,0),"")</f>
        <v>5w</v>
      </c>
      <c r="AT63" s="185" t="str">
        <f>_xlfn.IFNA(VLOOKUP($AH63,Programma!$F$3:$R$1101,13,0),"")</f>
        <v>5w</v>
      </c>
      <c r="AU63" s="185" t="str">
        <f>_xlfn.IFNA(VLOOKUP($AH63,Programma!$F$3:$S$1101,14,0),"")</f>
        <v>1m</v>
      </c>
      <c r="AV63" s="185" t="str">
        <f>_xlfn.IFNA(VLOOKUP($AH63,Programma!$F$3:$T$1101,15,0),"")</f>
        <v>2j</v>
      </c>
      <c r="AW63" s="185" t="str">
        <f>_xlfn.IFNA(VLOOKUP($AH63,Programma!$F$3:$U$1101,16,0),"")</f>
        <v>1j</v>
      </c>
      <c r="AX63" s="185" t="str">
        <f>_xlfn.IFNA(VLOOKUP($AH63,Programma!$F$3:$V$1101,17,0),"")</f>
        <v>_</v>
      </c>
      <c r="AY63" s="185" t="str">
        <f>_xlfn.IFNA(VLOOKUP($AH63,Programma!$F$3:$W$1101,18,0),"")</f>
        <v>_</v>
      </c>
      <c r="AZ63" s="185" t="str">
        <f>_xlfn.IFNA(VLOOKUP($AH63,Programma!$F$3:$X$1101,19,0),"")</f>
        <v>_</v>
      </c>
      <c r="BA63" s="185" t="str">
        <f>_xlfn.IFNA(VLOOKUP($AH63,Programma!$F$3:$Y$1101,20,0),"")</f>
        <v>_</v>
      </c>
      <c r="BB63" s="182"/>
      <c r="BC63" s="181" t="str">
        <f>IF(Ruimtestaat[[#This Row],[Frequentie weekend]]="","",_xlfn.CONCAT(Ruimtestaat[[#This Row],[Ruimte code]],"-",Ruimtestaat[[#This Row],[Frequentie weekend]]," ",Ruimtestaat[[#This Row],[Vloer code]]))</f>
        <v/>
      </c>
      <c r="BD63" s="185" t="str">
        <f>_xlfn.IFNA(VLOOKUP($BC63,Programma!$F$3:$G$1101,2,0),"")</f>
        <v/>
      </c>
      <c r="BE63" s="185" t="str">
        <f>_xlfn.IFNA(VLOOKUP($BC63,Programma!$F$3:$H$1101,3,0),"")</f>
        <v/>
      </c>
      <c r="BF63" s="185" t="str">
        <f>_xlfn.IFNA(VLOOKUP($BC63,Programma!$F$3:$I$1101,4,0),"")</f>
        <v/>
      </c>
      <c r="BG63" s="185" t="str">
        <f>_xlfn.IFNA(VLOOKUP($BC63,Programma!$F$3:$J$1101,5,0),"")</f>
        <v/>
      </c>
      <c r="BH63" s="185" t="str">
        <f>_xlfn.IFNA(VLOOKUP($BC63,Programma!$F$3:$K$1101,6,0),"")</f>
        <v/>
      </c>
      <c r="BI63" s="185" t="str">
        <f>_xlfn.IFNA(VLOOKUP($BC63,Programma!$F$3:$L$1101,7,0),"")</f>
        <v/>
      </c>
      <c r="BJ63" s="185" t="str">
        <f>_xlfn.IFNA(VLOOKUP($BC63,Programma!$F$3:$M$1101,8,0),"")</f>
        <v/>
      </c>
      <c r="BK63" s="185" t="str">
        <f>_xlfn.IFNA(VLOOKUP($BC63,Programma!$F$3:$N$1101,9,0),"")</f>
        <v/>
      </c>
      <c r="BL63" s="185" t="str">
        <f>_xlfn.IFNA(VLOOKUP($BC63,Programma!$F$3:$O$1101,10,0),"")</f>
        <v/>
      </c>
      <c r="BM63" s="185" t="str">
        <f>_xlfn.IFNA(VLOOKUP($BC63,Programma!$F$3:$P$1101,11,0),"")</f>
        <v/>
      </c>
      <c r="BN63" s="185" t="str">
        <f>_xlfn.IFNA(VLOOKUP($BC63,Programma!$F$3:$Q$1101,12,0),"")</f>
        <v/>
      </c>
      <c r="BO63" s="185" t="str">
        <f>_xlfn.IFNA(VLOOKUP($BC63,Programma!$F$3:$R$1101,13,0),"")</f>
        <v/>
      </c>
      <c r="BP63" s="185" t="str">
        <f>_xlfn.IFNA(VLOOKUP($BC63,Programma!$F$3:$S$1101,14,0),"")</f>
        <v/>
      </c>
      <c r="BQ63" s="185" t="str">
        <f>_xlfn.IFNA(VLOOKUP($BC63,Programma!$F$3:$T$1101,15,0),"")</f>
        <v/>
      </c>
      <c r="BR63" s="185" t="str">
        <f>_xlfn.IFNA(VLOOKUP($BC63,Programma!$F$3:$U$1101,16,0),"")</f>
        <v/>
      </c>
      <c r="BS63" s="185" t="str">
        <f>_xlfn.IFNA(VLOOKUP($BC63,Programma!$F$3:$V$1101,17,0),"")</f>
        <v/>
      </c>
      <c r="BT63" s="185" t="str">
        <f>_xlfn.IFNA(VLOOKUP($BC63,Programma!$F$3:$W$1101,18,0),"")</f>
        <v/>
      </c>
      <c r="BU63" s="185" t="str">
        <f>_xlfn.IFNA(VLOOKUP($BC63,Programma!$F$3:$X$1101,19,0),"")</f>
        <v/>
      </c>
      <c r="BV63" s="185" t="str">
        <f>_xlfn.IFNA(VLOOKUP($BC63,Programma!$F$3:$Y$1101,20,0),"")</f>
        <v/>
      </c>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row>
    <row r="64" spans="1:219" ht="15" customHeight="1">
      <c r="A64" s="149">
        <v>2</v>
      </c>
      <c r="B64" s="176" t="str">
        <f>VLOOKUP(Ruimtestaat[[#This Row],[Code]],Locaties[[Code]:[Locatie]],2,FALSE)</f>
        <v>IST Primary Campus</v>
      </c>
      <c r="C64" s="176" t="str">
        <f>VLOOKUP(Ruimtestaat[[#This Row],[Code]],Locaties[[#All],[Code]:[Adres]],4,FALSE)</f>
        <v>Joh. ter Horststraat 30</v>
      </c>
      <c r="D64" s="176" t="str">
        <f>VLOOKUP(Ruimtestaat[[#This Row],[Code]],Locaties[[#All],[Code]:[Postcode]],5,FALSE)</f>
        <v>7513 ZH</v>
      </c>
      <c r="E64" s="176" t="str">
        <f>VLOOKUP(Ruimtestaat[[#This Row],[Code]],Locaties[#All],6,FALSE)</f>
        <v>Enschede</v>
      </c>
      <c r="F64" s="149"/>
      <c r="G64" s="149"/>
      <c r="H64" s="300" t="s">
        <v>1708</v>
      </c>
      <c r="I64" s="301" t="s">
        <v>1585</v>
      </c>
      <c r="J64" s="99">
        <v>13</v>
      </c>
      <c r="K64" s="183" t="str">
        <f>VLOOKUP(Ruimtestaat[[#This Row],[Ruimte code]],Ruimtegroepen[[#All],[Code]:[Ruimte omschrijving]],2,FALSE)</f>
        <v>Personeelskamer</v>
      </c>
      <c r="L64" s="149" t="s">
        <v>99</v>
      </c>
      <c r="M64" s="301" t="s">
        <v>36</v>
      </c>
      <c r="N64" s="177">
        <v>25.5</v>
      </c>
      <c r="O64" s="177"/>
      <c r="P64" s="178" t="str">
        <f>VLOOKUP(Ruimtestaat[[#This Row],[Ruimte code]],Ruimtegroepen[],4,FALSE)</f>
        <v>Ve</v>
      </c>
      <c r="Q64" s="149">
        <v>40</v>
      </c>
      <c r="R64" s="149" t="s">
        <v>2</v>
      </c>
      <c r="S64" s="149">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 s="149">
        <f>IF(S64&gt;0,VLOOKUP($J64,Ruimtegroepen[],3,FALSE)*VLOOKUP($L64,Vloersoorten[],3,FALSE)*VLOOKUP($R64,Frequenties[],3,FALSE)*VLOOKUP($A64,Locaties[],3,FALSE),0)</f>
        <v>0</v>
      </c>
      <c r="U64" s="149">
        <f>Ruimtestaat[[#This Row],[Uitvoeringen werkdagen]]*Ruimtestaat[[#This Row],[Oppervlak (netto)]]</f>
        <v>5100</v>
      </c>
      <c r="V64" s="179">
        <f>IF(T64&gt;0,Ruimtestaat[[#This Row],[Prest. (m2 /jaar) werkdagen]]/Ruimtestaat[[#This Row],[Norm (m2/uur) werkdagen]],0)</f>
        <v>0</v>
      </c>
      <c r="W64" s="180">
        <f>Ruimtestaat[[#This Row],[uren / jaar werkdagen]]*Tariefsopbouw!$E$35</f>
        <v>0</v>
      </c>
      <c r="X64" s="149"/>
      <c r="Y64" s="149">
        <f>IF(Ruimtestaat[[#This Row],[Frequentie weekend]]&gt;0,VALUE(LEFT(X64,1))*Q64,0)</f>
        <v>0</v>
      </c>
      <c r="Z64" s="148">
        <f>IF($Y64&gt;0,VLOOKUP($J64,Ruimtegroepen[],3,FALSE)*VLOOKUP($L64,Vloersoorten[],3,FALSE)*VLOOKUP($X64,Frequenties[],3,FALSE)*VLOOKUP(Ruimtestaat[[#This Row],[Code]],Locaties[],3,FALSE),0)</f>
        <v>0</v>
      </c>
      <c r="AA64" s="148">
        <f>Ruimtestaat[[#This Row],[Uitvoeringen weekend]]*Ruimtestaat[[#This Row],[Oppervlak (netto)]]</f>
        <v>0</v>
      </c>
      <c r="AB64" s="148">
        <f>IF(Z64&gt;0,Ruimtestaat[[#This Row],[Prest. (m2 /jaar) weekend]]/Ruimtestaat[[#This Row],[Norm (m2/uur) weekend]],0)</f>
        <v>0</v>
      </c>
      <c r="AC64" s="180">
        <f>Ruimtestaat[[#This Row],[uren / jaar weekend]]*Tariefsopbouw!$D$40</f>
        <v>0</v>
      </c>
      <c r="AD64" s="179">
        <f>Ruimtestaat[[#This Row],[Prest. (m2 /jaar) weekend]]+Ruimtestaat[[#This Row],[Prest. (m2 /jaar) werkdagen]]</f>
        <v>5100</v>
      </c>
      <c r="AE64" s="179">
        <f>Ruimtestaat[[#This Row],[uren / jaar weekend]]+Ruimtestaat[[#This Row],[uren / jaar werkdagen]]</f>
        <v>0</v>
      </c>
      <c r="AF64" s="174">
        <f>Ruimtestaat[[#This Row],[kosten / jaar weekend]]+Ruimtestaat[[#This Row],[kosten / jaar werkdagen]]</f>
        <v>0</v>
      </c>
      <c r="AG64" s="174"/>
      <c r="AH64" s="181" t="str">
        <f>IF(Ruimtestaat[[#This Row],[Frequentie werkdagen]]="","",_xlfn.CONCAT(Ruimtestaat[[#This Row],[Ruimte code]],"-",Ruimtestaat[[#This Row],[Frequentie werkdagen]]," ",Ruimtestaat[[#This Row],[Vloer code]]))</f>
        <v>13-5w T</v>
      </c>
      <c r="AI64" s="185" t="str">
        <f>_xlfn.IFNA(VLOOKUP($AH64,Programma!$F$3:$G$1101,2,0),"")</f>
        <v>4w</v>
      </c>
      <c r="AJ64" s="185" t="str">
        <f>_xlfn.IFNA(VLOOKUP($AH64,Programma!$F$3:$H$1101,3,0),"")</f>
        <v>1w</v>
      </c>
      <c r="AK64" s="185" t="str">
        <f>_xlfn.IFNA(VLOOKUP($AH64,Programma!$F$3:$I$1101,4,0),"")</f>
        <v>_</v>
      </c>
      <c r="AL64" s="185" t="str">
        <f>_xlfn.IFNA(VLOOKUP($AH64,Programma!$F$3:$J$1101,5,0),"")</f>
        <v>_</v>
      </c>
      <c r="AM64" s="185" t="str">
        <f>_xlfn.IFNA(VLOOKUP($AH64,Programma!$F$3:$K$1101,6,0),"")</f>
        <v>_</v>
      </c>
      <c r="AN64" s="185" t="str">
        <f>_xlfn.IFNA(VLOOKUP($AH64,Programma!$F$3:$L$1101,7,0),"")</f>
        <v>_</v>
      </c>
      <c r="AO64" s="185" t="str">
        <f>_xlfn.IFNA(VLOOKUP($AH64,Programma!$F$3:$M$1101,8,0),"")</f>
        <v>_</v>
      </c>
      <c r="AP64" s="185" t="str">
        <f>_xlfn.IFNA(VLOOKUP($AH64,Programma!$F$3:$N$1101,9,0),"")</f>
        <v>_</v>
      </c>
      <c r="AQ64" s="185" t="str">
        <f>_xlfn.IFNA(VLOOKUP($AH64,Programma!$F$3:$O$1101,10,0),"")</f>
        <v>5w</v>
      </c>
      <c r="AR64" s="185" t="str">
        <f>_xlfn.IFNA(VLOOKUP($AH64,Programma!$F$3:$P$1101,11,0),"")</f>
        <v>5w</v>
      </c>
      <c r="AS64" s="185" t="str">
        <f>_xlfn.IFNA(VLOOKUP($AH64,Programma!$F$3:$Q$1101,12,0),"")</f>
        <v>1w</v>
      </c>
      <c r="AT64" s="185" t="str">
        <f>_xlfn.IFNA(VLOOKUP($AH64,Programma!$F$3:$R$1101,13,0),"")</f>
        <v>1w</v>
      </c>
      <c r="AU64" s="185" t="str">
        <f>_xlfn.IFNA(VLOOKUP($AH64,Programma!$F$3:$S$1101,14,0),"")</f>
        <v>1m</v>
      </c>
      <c r="AV64" s="185" t="str">
        <f>_xlfn.IFNA(VLOOKUP($AH64,Programma!$F$3:$T$1101,15,0),"")</f>
        <v>2j</v>
      </c>
      <c r="AW64" s="185" t="str">
        <f>_xlfn.IFNA(VLOOKUP($AH64,Programma!$F$3:$U$1101,16,0),"")</f>
        <v>1j</v>
      </c>
      <c r="AX64" s="185" t="str">
        <f>_xlfn.IFNA(VLOOKUP($AH64,Programma!$F$3:$V$1101,17,0),"")</f>
        <v>_</v>
      </c>
      <c r="AY64" s="185" t="str">
        <f>_xlfn.IFNA(VLOOKUP($AH64,Programma!$F$3:$W$1101,18,0),"")</f>
        <v>_</v>
      </c>
      <c r="AZ64" s="185" t="str">
        <f>_xlfn.IFNA(VLOOKUP($AH64,Programma!$F$3:$X$1101,19,0),"")</f>
        <v>_</v>
      </c>
      <c r="BA64" s="185" t="str">
        <f>_xlfn.IFNA(VLOOKUP($AH64,Programma!$F$3:$Y$1101,20,0),"")</f>
        <v>_</v>
      </c>
      <c r="BB64" s="182"/>
      <c r="BC64" s="181" t="str">
        <f>IF(Ruimtestaat[[#This Row],[Frequentie weekend]]="","",_xlfn.CONCAT(Ruimtestaat[[#This Row],[Ruimte code]],"-",Ruimtestaat[[#This Row],[Frequentie weekend]]," ",Ruimtestaat[[#This Row],[Vloer code]]))</f>
        <v/>
      </c>
      <c r="BD64" s="185" t="str">
        <f>_xlfn.IFNA(VLOOKUP($BC64,Programma!$F$3:$G$1101,2,0),"")</f>
        <v/>
      </c>
      <c r="BE64" s="185" t="str">
        <f>_xlfn.IFNA(VLOOKUP($BC64,Programma!$F$3:$H$1101,3,0),"")</f>
        <v/>
      </c>
      <c r="BF64" s="185" t="str">
        <f>_xlfn.IFNA(VLOOKUP($BC64,Programma!$F$3:$I$1101,4,0),"")</f>
        <v/>
      </c>
      <c r="BG64" s="185" t="str">
        <f>_xlfn.IFNA(VLOOKUP($BC64,Programma!$F$3:$J$1101,5,0),"")</f>
        <v/>
      </c>
      <c r="BH64" s="185" t="str">
        <f>_xlfn.IFNA(VLOOKUP($BC64,Programma!$F$3:$K$1101,6,0),"")</f>
        <v/>
      </c>
      <c r="BI64" s="185" t="str">
        <f>_xlfn.IFNA(VLOOKUP($BC64,Programma!$F$3:$L$1101,7,0),"")</f>
        <v/>
      </c>
      <c r="BJ64" s="185" t="str">
        <f>_xlfn.IFNA(VLOOKUP($BC64,Programma!$F$3:$M$1101,8,0),"")</f>
        <v/>
      </c>
      <c r="BK64" s="185" t="str">
        <f>_xlfn.IFNA(VLOOKUP($BC64,Programma!$F$3:$N$1101,9,0),"")</f>
        <v/>
      </c>
      <c r="BL64" s="185" t="str">
        <f>_xlfn.IFNA(VLOOKUP($BC64,Programma!$F$3:$O$1101,10,0),"")</f>
        <v/>
      </c>
      <c r="BM64" s="185" t="str">
        <f>_xlfn.IFNA(VLOOKUP($BC64,Programma!$F$3:$P$1101,11,0),"")</f>
        <v/>
      </c>
      <c r="BN64" s="185" t="str">
        <f>_xlfn.IFNA(VLOOKUP($BC64,Programma!$F$3:$Q$1101,12,0),"")</f>
        <v/>
      </c>
      <c r="BO64" s="185" t="str">
        <f>_xlfn.IFNA(VLOOKUP($BC64,Programma!$F$3:$R$1101,13,0),"")</f>
        <v/>
      </c>
      <c r="BP64" s="185" t="str">
        <f>_xlfn.IFNA(VLOOKUP($BC64,Programma!$F$3:$S$1101,14,0),"")</f>
        <v/>
      </c>
      <c r="BQ64" s="185" t="str">
        <f>_xlfn.IFNA(VLOOKUP($BC64,Programma!$F$3:$T$1101,15,0),"")</f>
        <v/>
      </c>
      <c r="BR64" s="185" t="str">
        <f>_xlfn.IFNA(VLOOKUP($BC64,Programma!$F$3:$U$1101,16,0),"")</f>
        <v/>
      </c>
      <c r="BS64" s="185" t="str">
        <f>_xlfn.IFNA(VLOOKUP($BC64,Programma!$F$3:$V$1101,17,0),"")</f>
        <v/>
      </c>
      <c r="BT64" s="185" t="str">
        <f>_xlfn.IFNA(VLOOKUP($BC64,Programma!$F$3:$W$1101,18,0),"")</f>
        <v/>
      </c>
      <c r="BU64" s="185" t="str">
        <f>_xlfn.IFNA(VLOOKUP($BC64,Programma!$F$3:$X$1101,19,0),"")</f>
        <v/>
      </c>
      <c r="BV64" s="185" t="str">
        <f>_xlfn.IFNA(VLOOKUP($BC64,Programma!$F$3:$Y$1101,20,0),"")</f>
        <v/>
      </c>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c r="FC64" s="78"/>
      <c r="FD64" s="78"/>
      <c r="FE64" s="78"/>
      <c r="FF64" s="78"/>
      <c r="FG64" s="78"/>
      <c r="FH64" s="78"/>
      <c r="FI64" s="78"/>
      <c r="FJ64" s="78"/>
      <c r="FK64" s="78"/>
      <c r="FL64" s="78"/>
      <c r="FM64" s="78"/>
      <c r="FN64" s="78"/>
      <c r="FO64" s="78"/>
      <c r="FP64" s="78"/>
      <c r="FQ64" s="78"/>
      <c r="FR64" s="78"/>
      <c r="FS64" s="78"/>
      <c r="FT64" s="78"/>
      <c r="FU64" s="78"/>
      <c r="FV64" s="78"/>
      <c r="FW64" s="78"/>
      <c r="FX64" s="78"/>
      <c r="FY64" s="78"/>
      <c r="FZ64" s="78"/>
      <c r="GA64" s="78"/>
      <c r="GB64" s="78"/>
      <c r="GC64" s="78"/>
      <c r="GD64" s="78"/>
      <c r="GE64" s="78"/>
      <c r="GF64" s="78"/>
      <c r="GG64" s="78"/>
      <c r="GH64" s="78"/>
      <c r="GI64" s="78"/>
      <c r="GJ64" s="78"/>
      <c r="GK64" s="78"/>
      <c r="GL64" s="78"/>
      <c r="GM64" s="78"/>
      <c r="GN64" s="78"/>
      <c r="GO64" s="78"/>
      <c r="GP64" s="78"/>
      <c r="GQ64" s="78"/>
      <c r="GR64" s="78"/>
      <c r="GS64" s="78"/>
      <c r="GT64" s="78"/>
      <c r="GU64" s="78"/>
      <c r="GV64" s="78"/>
      <c r="GW64" s="78"/>
      <c r="GX64" s="78"/>
      <c r="GY64" s="78"/>
      <c r="GZ64" s="78"/>
      <c r="HA64" s="78"/>
      <c r="HB64" s="78"/>
      <c r="HC64" s="78"/>
      <c r="HD64" s="78"/>
      <c r="HE64" s="78"/>
      <c r="HF64" s="78"/>
      <c r="HG64" s="78"/>
      <c r="HH64" s="78"/>
      <c r="HI64" s="78"/>
      <c r="HJ64" s="78"/>
      <c r="HK64" s="78"/>
    </row>
    <row r="65" spans="1:219" ht="15" customHeight="1">
      <c r="A65" s="149">
        <v>2</v>
      </c>
      <c r="B65" s="176" t="str">
        <f>VLOOKUP(Ruimtestaat[[#This Row],[Code]],Locaties[[Code]:[Locatie]],2,FALSE)</f>
        <v>IST Primary Campus</v>
      </c>
      <c r="C65" s="176" t="str">
        <f>VLOOKUP(Ruimtestaat[[#This Row],[Code]],Locaties[[#All],[Code]:[Adres]],4,FALSE)</f>
        <v>Joh. ter Horststraat 30</v>
      </c>
      <c r="D65" s="176" t="str">
        <f>VLOOKUP(Ruimtestaat[[#This Row],[Code]],Locaties[[#All],[Code]:[Postcode]],5,FALSE)</f>
        <v>7513 ZH</v>
      </c>
      <c r="E65" s="176" t="str">
        <f>VLOOKUP(Ruimtestaat[[#This Row],[Code]],Locaties[#All],6,FALSE)</f>
        <v>Enschede</v>
      </c>
      <c r="F65" s="149"/>
      <c r="G65" s="149"/>
      <c r="H65" s="300" t="s">
        <v>1709</v>
      </c>
      <c r="I65" s="301" t="s">
        <v>121</v>
      </c>
      <c r="J65" s="99">
        <v>15</v>
      </c>
      <c r="K65" s="183" t="str">
        <f>VLOOKUP(Ruimtestaat[[#This Row],[Ruimte code]],Ruimtegroepen[[#All],[Code]:[Ruimte omschrijving]],2,FALSE)</f>
        <v>Keuken/pantry</v>
      </c>
      <c r="L65" s="149" t="s">
        <v>100</v>
      </c>
      <c r="M65" s="301" t="s">
        <v>1697</v>
      </c>
      <c r="N65" s="177">
        <v>9.6999999999999993</v>
      </c>
      <c r="O65" s="177"/>
      <c r="P65" s="178" t="str">
        <f>VLOOKUP(Ruimtestaat[[#This Row],[Ruimte code]],Ruimtegroepen[],4,FALSE)</f>
        <v>Ve</v>
      </c>
      <c r="Q65" s="149">
        <v>40</v>
      </c>
      <c r="R65" s="149" t="s">
        <v>2</v>
      </c>
      <c r="S65" s="149">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149">
        <f>IF(S65&gt;0,VLOOKUP($J65,Ruimtegroepen[],3,FALSE)*VLOOKUP($L65,Vloersoorten[],3,FALSE)*VLOOKUP($R65,Frequenties[],3,FALSE)*VLOOKUP($A65,Locaties[],3,FALSE),0)</f>
        <v>0</v>
      </c>
      <c r="U65" s="149">
        <f>Ruimtestaat[[#This Row],[Uitvoeringen werkdagen]]*Ruimtestaat[[#This Row],[Oppervlak (netto)]]</f>
        <v>1939.9999999999998</v>
      </c>
      <c r="V65" s="179">
        <f>IF(T65&gt;0,Ruimtestaat[[#This Row],[Prest. (m2 /jaar) werkdagen]]/Ruimtestaat[[#This Row],[Norm (m2/uur) werkdagen]],0)</f>
        <v>0</v>
      </c>
      <c r="W65" s="180">
        <f>Ruimtestaat[[#This Row],[uren / jaar werkdagen]]*Tariefsopbouw!$E$35</f>
        <v>0</v>
      </c>
      <c r="X65" s="149"/>
      <c r="Y65" s="149">
        <f>IF(Ruimtestaat[[#This Row],[Frequentie weekend]]&gt;0,VALUE(LEFT(X65,1))*Q65,0)</f>
        <v>0</v>
      </c>
      <c r="Z65" s="148">
        <f>IF($Y65&gt;0,VLOOKUP($J65,Ruimtegroepen[],3,FALSE)*VLOOKUP($L65,Vloersoorten[],3,FALSE)*VLOOKUP($X65,Frequenties[],3,FALSE)*VLOOKUP(Ruimtestaat[[#This Row],[Code]],Locaties[],3,FALSE),0)</f>
        <v>0</v>
      </c>
      <c r="AA65" s="148">
        <f>Ruimtestaat[[#This Row],[Uitvoeringen weekend]]*Ruimtestaat[[#This Row],[Oppervlak (netto)]]</f>
        <v>0</v>
      </c>
      <c r="AB65" s="148">
        <f>IF(Z65&gt;0,Ruimtestaat[[#This Row],[Prest. (m2 /jaar) weekend]]/Ruimtestaat[[#This Row],[Norm (m2/uur) weekend]],0)</f>
        <v>0</v>
      </c>
      <c r="AC65" s="180">
        <f>Ruimtestaat[[#This Row],[uren / jaar weekend]]*Tariefsopbouw!$D$40</f>
        <v>0</v>
      </c>
      <c r="AD65" s="179">
        <f>Ruimtestaat[[#This Row],[Prest. (m2 /jaar) weekend]]+Ruimtestaat[[#This Row],[Prest. (m2 /jaar) werkdagen]]</f>
        <v>1939.9999999999998</v>
      </c>
      <c r="AE65" s="179">
        <f>Ruimtestaat[[#This Row],[uren / jaar weekend]]+Ruimtestaat[[#This Row],[uren / jaar werkdagen]]</f>
        <v>0</v>
      </c>
      <c r="AF65" s="174">
        <f>Ruimtestaat[[#This Row],[kosten / jaar weekend]]+Ruimtestaat[[#This Row],[kosten / jaar werkdagen]]</f>
        <v>0</v>
      </c>
      <c r="AG65" s="174"/>
      <c r="AH65" s="181" t="str">
        <f>IF(Ruimtestaat[[#This Row],[Frequentie werkdagen]]="","",_xlfn.CONCAT(Ruimtestaat[[#This Row],[Ruimte code]],"-",Ruimtestaat[[#This Row],[Frequentie werkdagen]]," ",Ruimtestaat[[#This Row],[Vloer code]]))</f>
        <v>15-5w L</v>
      </c>
      <c r="AI65" s="185" t="str">
        <f>_xlfn.IFNA(VLOOKUP($AH65,Programma!$F$3:$G$1101,2,0),"")</f>
        <v>_</v>
      </c>
      <c r="AJ65" s="185" t="str">
        <f>_xlfn.IFNA(VLOOKUP($AH65,Programma!$F$3:$H$1101,3,0),"")</f>
        <v>_</v>
      </c>
      <c r="AK65" s="185" t="str">
        <f>_xlfn.IFNA(VLOOKUP($AH65,Programma!$F$3:$I$1101,4,0),"")</f>
        <v>_</v>
      </c>
      <c r="AL65" s="185" t="str">
        <f>_xlfn.IFNA(VLOOKUP($AH65,Programma!$F$3:$J$1101,5,0),"")</f>
        <v>5w</v>
      </c>
      <c r="AM65" s="185" t="str">
        <f>_xlfn.IFNA(VLOOKUP($AH65,Programma!$F$3:$K$1101,6,0),"")</f>
        <v>_</v>
      </c>
      <c r="AN65" s="185" t="str">
        <f>_xlfn.IFNA(VLOOKUP($AH65,Programma!$F$3:$L$1101,7,0),"")</f>
        <v>_</v>
      </c>
      <c r="AO65" s="185" t="str">
        <f>_xlfn.IFNA(VLOOKUP($AH65,Programma!$F$3:$M$1101,8,0),"")</f>
        <v>_</v>
      </c>
      <c r="AP65" s="185" t="str">
        <f>_xlfn.IFNA(VLOOKUP($AH65,Programma!$F$3:$N$1101,9,0),"")</f>
        <v>_</v>
      </c>
      <c r="AQ65" s="185" t="str">
        <f>_xlfn.IFNA(VLOOKUP($AH65,Programma!$F$3:$O$1101,10,0),"")</f>
        <v>5w</v>
      </c>
      <c r="AR65" s="185" t="str">
        <f>_xlfn.IFNA(VLOOKUP($AH65,Programma!$F$3:$P$1101,11,0),"")</f>
        <v>5w</v>
      </c>
      <c r="AS65" s="185" t="str">
        <f>_xlfn.IFNA(VLOOKUP($AH65,Programma!$F$3:$Q$1101,12,0),"")</f>
        <v>1w</v>
      </c>
      <c r="AT65" s="185" t="str">
        <f>_xlfn.IFNA(VLOOKUP($AH65,Programma!$F$3:$R$1101,13,0),"")</f>
        <v>1w</v>
      </c>
      <c r="AU65" s="185" t="str">
        <f>_xlfn.IFNA(VLOOKUP($AH65,Programma!$F$3:$S$1101,14,0),"")</f>
        <v>1m</v>
      </c>
      <c r="AV65" s="185" t="str">
        <f>_xlfn.IFNA(VLOOKUP($AH65,Programma!$F$3:$T$1101,15,0),"")</f>
        <v>2j</v>
      </c>
      <c r="AW65" s="185" t="str">
        <f>_xlfn.IFNA(VLOOKUP($AH65,Programma!$F$3:$U$1101,16,0),"")</f>
        <v>1j</v>
      </c>
      <c r="AX65" s="185" t="str">
        <f>_xlfn.IFNA(VLOOKUP($AH65,Programma!$F$3:$V$1101,17,0),"")</f>
        <v>_</v>
      </c>
      <c r="AY65" s="185" t="str">
        <f>_xlfn.IFNA(VLOOKUP($AH65,Programma!$F$3:$W$1101,18,0),"")</f>
        <v>_</v>
      </c>
      <c r="AZ65" s="185" t="str">
        <f>_xlfn.IFNA(VLOOKUP($AH65,Programma!$F$3:$X$1101,19,0),"")</f>
        <v>_</v>
      </c>
      <c r="BA65" s="185" t="str">
        <f>_xlfn.IFNA(VLOOKUP($AH65,Programma!$F$3:$Y$1101,20,0),"")</f>
        <v>_</v>
      </c>
      <c r="BB65" s="182"/>
      <c r="BC65" s="181" t="str">
        <f>IF(Ruimtestaat[[#This Row],[Frequentie weekend]]="","",_xlfn.CONCAT(Ruimtestaat[[#This Row],[Ruimte code]],"-",Ruimtestaat[[#This Row],[Frequentie weekend]]," ",Ruimtestaat[[#This Row],[Vloer code]]))</f>
        <v/>
      </c>
      <c r="BD65" s="185" t="str">
        <f>_xlfn.IFNA(VLOOKUP($BC65,Programma!$F$3:$G$1101,2,0),"")</f>
        <v/>
      </c>
      <c r="BE65" s="185" t="str">
        <f>_xlfn.IFNA(VLOOKUP($BC65,Programma!$F$3:$H$1101,3,0),"")</f>
        <v/>
      </c>
      <c r="BF65" s="185" t="str">
        <f>_xlfn.IFNA(VLOOKUP($BC65,Programma!$F$3:$I$1101,4,0),"")</f>
        <v/>
      </c>
      <c r="BG65" s="185" t="str">
        <f>_xlfn.IFNA(VLOOKUP($BC65,Programma!$F$3:$J$1101,5,0),"")</f>
        <v/>
      </c>
      <c r="BH65" s="185" t="str">
        <f>_xlfn.IFNA(VLOOKUP($BC65,Programma!$F$3:$K$1101,6,0),"")</f>
        <v/>
      </c>
      <c r="BI65" s="185" t="str">
        <f>_xlfn.IFNA(VLOOKUP($BC65,Programma!$F$3:$L$1101,7,0),"")</f>
        <v/>
      </c>
      <c r="BJ65" s="185" t="str">
        <f>_xlfn.IFNA(VLOOKUP($BC65,Programma!$F$3:$M$1101,8,0),"")</f>
        <v/>
      </c>
      <c r="BK65" s="185" t="str">
        <f>_xlfn.IFNA(VLOOKUP($BC65,Programma!$F$3:$N$1101,9,0),"")</f>
        <v/>
      </c>
      <c r="BL65" s="185" t="str">
        <f>_xlfn.IFNA(VLOOKUP($BC65,Programma!$F$3:$O$1101,10,0),"")</f>
        <v/>
      </c>
      <c r="BM65" s="185" t="str">
        <f>_xlfn.IFNA(VLOOKUP($BC65,Programma!$F$3:$P$1101,11,0),"")</f>
        <v/>
      </c>
      <c r="BN65" s="185" t="str">
        <f>_xlfn.IFNA(VLOOKUP($BC65,Programma!$F$3:$Q$1101,12,0),"")</f>
        <v/>
      </c>
      <c r="BO65" s="185" t="str">
        <f>_xlfn.IFNA(VLOOKUP($BC65,Programma!$F$3:$R$1101,13,0),"")</f>
        <v/>
      </c>
      <c r="BP65" s="185" t="str">
        <f>_xlfn.IFNA(VLOOKUP($BC65,Programma!$F$3:$S$1101,14,0),"")</f>
        <v/>
      </c>
      <c r="BQ65" s="185" t="str">
        <f>_xlfn.IFNA(VLOOKUP($BC65,Programma!$F$3:$T$1101,15,0),"")</f>
        <v/>
      </c>
      <c r="BR65" s="185" t="str">
        <f>_xlfn.IFNA(VLOOKUP($BC65,Programma!$F$3:$U$1101,16,0),"")</f>
        <v/>
      </c>
      <c r="BS65" s="185" t="str">
        <f>_xlfn.IFNA(VLOOKUP($BC65,Programma!$F$3:$V$1101,17,0),"")</f>
        <v/>
      </c>
      <c r="BT65" s="185" t="str">
        <f>_xlfn.IFNA(VLOOKUP($BC65,Programma!$F$3:$W$1101,18,0),"")</f>
        <v/>
      </c>
      <c r="BU65" s="185" t="str">
        <f>_xlfn.IFNA(VLOOKUP($BC65,Programma!$F$3:$X$1101,19,0),"")</f>
        <v/>
      </c>
      <c r="BV65" s="185" t="str">
        <f>_xlfn.IFNA(VLOOKUP($BC65,Programma!$F$3:$Y$1101,20,0),"")</f>
        <v/>
      </c>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78"/>
      <c r="EZ65" s="78"/>
      <c r="FA65" s="78"/>
      <c r="FB65" s="78"/>
      <c r="FC65" s="78"/>
      <c r="FD65" s="78"/>
      <c r="FE65" s="78"/>
      <c r="FF65" s="78"/>
      <c r="FG65" s="78"/>
      <c r="FH65" s="78"/>
      <c r="FI65" s="78"/>
      <c r="FJ65" s="78"/>
      <c r="FK65" s="78"/>
      <c r="FL65" s="78"/>
      <c r="FM65" s="78"/>
      <c r="FN65" s="78"/>
      <c r="FO65" s="78"/>
      <c r="FP65" s="78"/>
      <c r="FQ65" s="78"/>
      <c r="FR65" s="78"/>
      <c r="FS65" s="78"/>
      <c r="FT65" s="78"/>
      <c r="FU65" s="78"/>
      <c r="FV65" s="78"/>
      <c r="FW65" s="78"/>
      <c r="FX65" s="78"/>
      <c r="FY65" s="78"/>
      <c r="FZ65" s="78"/>
      <c r="GA65" s="78"/>
      <c r="GB65" s="78"/>
      <c r="GC65" s="78"/>
      <c r="GD65" s="78"/>
      <c r="GE65" s="78"/>
      <c r="GF65" s="78"/>
      <c r="GG65" s="78"/>
      <c r="GH65" s="78"/>
      <c r="GI65" s="78"/>
      <c r="GJ65" s="78"/>
      <c r="GK65" s="78"/>
      <c r="GL65" s="78"/>
      <c r="GM65" s="78"/>
      <c r="GN65" s="78"/>
      <c r="GO65" s="78"/>
      <c r="GP65" s="78"/>
      <c r="GQ65" s="78"/>
      <c r="GR65" s="78"/>
      <c r="GS65" s="78"/>
      <c r="GT65" s="78"/>
      <c r="GU65" s="78"/>
      <c r="GV65" s="78"/>
      <c r="GW65" s="78"/>
      <c r="GX65" s="78"/>
      <c r="GY65" s="78"/>
      <c r="GZ65" s="78"/>
      <c r="HA65" s="78"/>
      <c r="HB65" s="78"/>
      <c r="HC65" s="78"/>
      <c r="HD65" s="78"/>
      <c r="HE65" s="78"/>
      <c r="HF65" s="78"/>
      <c r="HG65" s="78"/>
      <c r="HH65" s="78"/>
      <c r="HI65" s="78"/>
      <c r="HJ65" s="78"/>
      <c r="HK65" s="78"/>
    </row>
    <row r="66" spans="1:219" ht="15" customHeight="1">
      <c r="A66" s="149">
        <v>2</v>
      </c>
      <c r="B66" s="176" t="str">
        <f>VLOOKUP(Ruimtestaat[[#This Row],[Code]],Locaties[[Code]:[Locatie]],2,FALSE)</f>
        <v>IST Primary Campus</v>
      </c>
      <c r="C66" s="176" t="str">
        <f>VLOOKUP(Ruimtestaat[[#This Row],[Code]],Locaties[[#All],[Code]:[Adres]],4,FALSE)</f>
        <v>Joh. ter Horststraat 30</v>
      </c>
      <c r="D66" s="176" t="str">
        <f>VLOOKUP(Ruimtestaat[[#This Row],[Code]],Locaties[[#All],[Code]:[Postcode]],5,FALSE)</f>
        <v>7513 ZH</v>
      </c>
      <c r="E66" s="176" t="str">
        <f>VLOOKUP(Ruimtestaat[[#This Row],[Code]],Locaties[#All],6,FALSE)</f>
        <v>Enschede</v>
      </c>
      <c r="F66" s="149"/>
      <c r="G66" s="149"/>
      <c r="H66" s="300" t="s">
        <v>1710</v>
      </c>
      <c r="I66" s="301" t="s">
        <v>1684</v>
      </c>
      <c r="J66" s="99">
        <v>5</v>
      </c>
      <c r="K66" s="183" t="str">
        <f>VLOOKUP(Ruimtestaat[[#This Row],[Ruimte code]],Ruimtegroepen[[#All],[Code]:[Ruimte omschrijving]],2,FALSE)</f>
        <v>Sanitair</v>
      </c>
      <c r="L66" s="149" t="s">
        <v>101</v>
      </c>
      <c r="M66" s="301" t="s">
        <v>1682</v>
      </c>
      <c r="N66" s="177">
        <v>4.7</v>
      </c>
      <c r="O66" s="177"/>
      <c r="P66" s="178" t="str">
        <f>VLOOKUP(Ruimtestaat[[#This Row],[Ruimte code]],Ruimtegroepen[],4,FALSE)</f>
        <v>Sa</v>
      </c>
      <c r="Q66" s="149">
        <v>40</v>
      </c>
      <c r="R66" s="149" t="s">
        <v>2</v>
      </c>
      <c r="S66" s="149">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 s="149">
        <f>IF(S66&gt;0,VLOOKUP($J66,Ruimtegroepen[],3,FALSE)*VLOOKUP($L66,Vloersoorten[],3,FALSE)*VLOOKUP($R66,Frequenties[],3,FALSE)*VLOOKUP($A66,Locaties[],3,FALSE),0)</f>
        <v>0</v>
      </c>
      <c r="U66" s="149">
        <f>Ruimtestaat[[#This Row],[Uitvoeringen werkdagen]]*Ruimtestaat[[#This Row],[Oppervlak (netto)]]</f>
        <v>940</v>
      </c>
      <c r="V66" s="179">
        <f>IF(T66&gt;0,Ruimtestaat[[#This Row],[Prest. (m2 /jaar) werkdagen]]/Ruimtestaat[[#This Row],[Norm (m2/uur) werkdagen]],0)</f>
        <v>0</v>
      </c>
      <c r="W66" s="180">
        <f>Ruimtestaat[[#This Row],[uren / jaar werkdagen]]*Tariefsopbouw!$E$35</f>
        <v>0</v>
      </c>
      <c r="X66" s="149"/>
      <c r="Y66" s="149">
        <f>IF(Ruimtestaat[[#This Row],[Frequentie weekend]]&gt;0,VALUE(LEFT(X66,1))*Q66,0)</f>
        <v>0</v>
      </c>
      <c r="Z66" s="148">
        <f>IF($Y66&gt;0,VLOOKUP($J66,Ruimtegroepen[],3,FALSE)*VLOOKUP($L66,Vloersoorten[],3,FALSE)*VLOOKUP($X66,Frequenties[],3,FALSE)*VLOOKUP(Ruimtestaat[[#This Row],[Code]],Locaties[],3,FALSE),0)</f>
        <v>0</v>
      </c>
      <c r="AA66" s="148">
        <f>Ruimtestaat[[#This Row],[Uitvoeringen weekend]]*Ruimtestaat[[#This Row],[Oppervlak (netto)]]</f>
        <v>0</v>
      </c>
      <c r="AB66" s="148">
        <f>IF(Z66&gt;0,Ruimtestaat[[#This Row],[Prest. (m2 /jaar) weekend]]/Ruimtestaat[[#This Row],[Norm (m2/uur) weekend]],0)</f>
        <v>0</v>
      </c>
      <c r="AC66" s="180">
        <f>Ruimtestaat[[#This Row],[uren / jaar weekend]]*Tariefsopbouw!$D$40</f>
        <v>0</v>
      </c>
      <c r="AD66" s="179">
        <f>Ruimtestaat[[#This Row],[Prest. (m2 /jaar) weekend]]+Ruimtestaat[[#This Row],[Prest. (m2 /jaar) werkdagen]]</f>
        <v>940</v>
      </c>
      <c r="AE66" s="179">
        <f>Ruimtestaat[[#This Row],[uren / jaar weekend]]+Ruimtestaat[[#This Row],[uren / jaar werkdagen]]</f>
        <v>0</v>
      </c>
      <c r="AF66" s="174">
        <f>Ruimtestaat[[#This Row],[kosten / jaar weekend]]+Ruimtestaat[[#This Row],[kosten / jaar werkdagen]]</f>
        <v>0</v>
      </c>
      <c r="AG66" s="174"/>
      <c r="AH66" s="181" t="str">
        <f>IF(Ruimtestaat[[#This Row],[Frequentie werkdagen]]="","",_xlfn.CONCAT(Ruimtestaat[[#This Row],[Ruimte code]],"-",Ruimtestaat[[#This Row],[Frequentie werkdagen]]," ",Ruimtestaat[[#This Row],[Vloer code]]))</f>
        <v>5-5w S</v>
      </c>
      <c r="AI66" s="185" t="str">
        <f>_xlfn.IFNA(VLOOKUP($AH66,Programma!$F$3:$G$1101,2,0),"")</f>
        <v>_</v>
      </c>
      <c r="AJ66" s="185" t="str">
        <f>_xlfn.IFNA(VLOOKUP($AH66,Programma!$F$3:$H$1101,3,0),"")</f>
        <v>_</v>
      </c>
      <c r="AK66" s="185" t="str">
        <f>_xlfn.IFNA(VLOOKUP($AH66,Programma!$F$3:$I$1101,4,0),"")</f>
        <v>_</v>
      </c>
      <c r="AL66" s="185" t="str">
        <f>_xlfn.IFNA(VLOOKUP($AH66,Programma!$F$3:$J$1101,5,0),"")</f>
        <v>4w</v>
      </c>
      <c r="AM66" s="185" t="str">
        <f>_xlfn.IFNA(VLOOKUP($AH66,Programma!$F$3:$K$1101,6,0),"")</f>
        <v>1w</v>
      </c>
      <c r="AN66" s="185" t="str">
        <f>_xlfn.IFNA(VLOOKUP($AH66,Programma!$F$3:$L$1101,7,0),"")</f>
        <v>_</v>
      </c>
      <c r="AO66" s="185" t="str">
        <f>_xlfn.IFNA(VLOOKUP($AH66,Programma!$F$3:$M$1101,8,0),"")</f>
        <v>_</v>
      </c>
      <c r="AP66" s="185" t="str">
        <f>_xlfn.IFNA(VLOOKUP($AH66,Programma!$F$3:$N$1101,9,0),"")</f>
        <v>_</v>
      </c>
      <c r="AQ66" s="185" t="str">
        <f>_xlfn.IFNA(VLOOKUP($AH66,Programma!$F$3:$O$1101,10,0),"")</f>
        <v>_</v>
      </c>
      <c r="AR66" s="185" t="str">
        <f>_xlfn.IFNA(VLOOKUP($AH66,Programma!$F$3:$P$1101,11,0),"")</f>
        <v>_</v>
      </c>
      <c r="AS66" s="185" t="str">
        <f>_xlfn.IFNA(VLOOKUP($AH66,Programma!$F$3:$Q$1101,12,0),"")</f>
        <v>_</v>
      </c>
      <c r="AT66" s="185" t="str">
        <f>_xlfn.IFNA(VLOOKUP($AH66,Programma!$F$3:$R$1101,13,0),"")</f>
        <v>_</v>
      </c>
      <c r="AU66" s="185" t="str">
        <f>_xlfn.IFNA(VLOOKUP($AH66,Programma!$F$3:$S$1101,14,0),"")</f>
        <v>_</v>
      </c>
      <c r="AV66" s="185" t="str">
        <f>_xlfn.IFNA(VLOOKUP($AH66,Programma!$F$3:$T$1101,15,0),"")</f>
        <v>_</v>
      </c>
      <c r="AW66" s="185" t="str">
        <f>_xlfn.IFNA(VLOOKUP($AH66,Programma!$F$3:$U$1101,16,0),"")</f>
        <v>_</v>
      </c>
      <c r="AX66" s="185" t="str">
        <f>_xlfn.IFNA(VLOOKUP($AH66,Programma!$F$3:$V$1101,17,0),"")</f>
        <v>_</v>
      </c>
      <c r="AY66" s="185" t="str">
        <f>_xlfn.IFNA(VLOOKUP($AH66,Programma!$F$3:$W$1101,18,0),"")</f>
        <v>4w</v>
      </c>
      <c r="AZ66" s="185" t="str">
        <f>_xlfn.IFNA(VLOOKUP($AH66,Programma!$F$3:$X$1101,19,0),"")</f>
        <v>1w</v>
      </c>
      <c r="BA66" s="185" t="str">
        <f>_xlfn.IFNA(VLOOKUP($AH66,Programma!$F$3:$Y$1101,20,0),"")</f>
        <v>_</v>
      </c>
      <c r="BB66" s="182"/>
      <c r="BC66" s="181" t="str">
        <f>IF(Ruimtestaat[[#This Row],[Frequentie weekend]]="","",_xlfn.CONCAT(Ruimtestaat[[#This Row],[Ruimte code]],"-",Ruimtestaat[[#This Row],[Frequentie weekend]]," ",Ruimtestaat[[#This Row],[Vloer code]]))</f>
        <v/>
      </c>
      <c r="BD66" s="185" t="str">
        <f>_xlfn.IFNA(VLOOKUP($BC66,Programma!$F$3:$G$1101,2,0),"")</f>
        <v/>
      </c>
      <c r="BE66" s="185" t="str">
        <f>_xlfn.IFNA(VLOOKUP($BC66,Programma!$F$3:$H$1101,3,0),"")</f>
        <v/>
      </c>
      <c r="BF66" s="185" t="str">
        <f>_xlfn.IFNA(VLOOKUP($BC66,Programma!$F$3:$I$1101,4,0),"")</f>
        <v/>
      </c>
      <c r="BG66" s="185" t="str">
        <f>_xlfn.IFNA(VLOOKUP($BC66,Programma!$F$3:$J$1101,5,0),"")</f>
        <v/>
      </c>
      <c r="BH66" s="185" t="str">
        <f>_xlfn.IFNA(VLOOKUP($BC66,Programma!$F$3:$K$1101,6,0),"")</f>
        <v/>
      </c>
      <c r="BI66" s="185" t="str">
        <f>_xlfn.IFNA(VLOOKUP($BC66,Programma!$F$3:$L$1101,7,0),"")</f>
        <v/>
      </c>
      <c r="BJ66" s="185" t="str">
        <f>_xlfn.IFNA(VLOOKUP($BC66,Programma!$F$3:$M$1101,8,0),"")</f>
        <v/>
      </c>
      <c r="BK66" s="185" t="str">
        <f>_xlfn.IFNA(VLOOKUP($BC66,Programma!$F$3:$N$1101,9,0),"")</f>
        <v/>
      </c>
      <c r="BL66" s="185" t="str">
        <f>_xlfn.IFNA(VLOOKUP($BC66,Programma!$F$3:$O$1101,10,0),"")</f>
        <v/>
      </c>
      <c r="BM66" s="185" t="str">
        <f>_xlfn.IFNA(VLOOKUP($BC66,Programma!$F$3:$P$1101,11,0),"")</f>
        <v/>
      </c>
      <c r="BN66" s="185" t="str">
        <f>_xlfn.IFNA(VLOOKUP($BC66,Programma!$F$3:$Q$1101,12,0),"")</f>
        <v/>
      </c>
      <c r="BO66" s="185" t="str">
        <f>_xlfn.IFNA(VLOOKUP($BC66,Programma!$F$3:$R$1101,13,0),"")</f>
        <v/>
      </c>
      <c r="BP66" s="185" t="str">
        <f>_xlfn.IFNA(VLOOKUP($BC66,Programma!$F$3:$S$1101,14,0),"")</f>
        <v/>
      </c>
      <c r="BQ66" s="185" t="str">
        <f>_xlfn.IFNA(VLOOKUP($BC66,Programma!$F$3:$T$1101,15,0),"")</f>
        <v/>
      </c>
      <c r="BR66" s="185" t="str">
        <f>_xlfn.IFNA(VLOOKUP($BC66,Programma!$F$3:$U$1101,16,0),"")</f>
        <v/>
      </c>
      <c r="BS66" s="185" t="str">
        <f>_xlfn.IFNA(VLOOKUP($BC66,Programma!$F$3:$V$1101,17,0),"")</f>
        <v/>
      </c>
      <c r="BT66" s="185" t="str">
        <f>_xlfn.IFNA(VLOOKUP($BC66,Programma!$F$3:$W$1101,18,0),"")</f>
        <v/>
      </c>
      <c r="BU66" s="185" t="str">
        <f>_xlfn.IFNA(VLOOKUP($BC66,Programma!$F$3:$X$1101,19,0),"")</f>
        <v/>
      </c>
      <c r="BV66" s="185" t="str">
        <f>_xlfn.IFNA(VLOOKUP($BC66,Programma!$F$3:$Y$1101,20,0),"")</f>
        <v/>
      </c>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c r="FC66" s="78"/>
      <c r="FD66" s="78"/>
      <c r="FE66" s="78"/>
      <c r="FF66" s="78"/>
      <c r="FG66" s="78"/>
      <c r="FH66" s="78"/>
      <c r="FI66" s="78"/>
      <c r="FJ66" s="78"/>
      <c r="FK66" s="78"/>
      <c r="FL66" s="78"/>
      <c r="FM66" s="78"/>
      <c r="FN66" s="78"/>
      <c r="FO66" s="78"/>
      <c r="FP66" s="78"/>
      <c r="FQ66" s="78"/>
      <c r="FR66" s="78"/>
      <c r="FS66" s="78"/>
      <c r="FT66" s="78"/>
      <c r="FU66" s="78"/>
      <c r="FV66" s="78"/>
      <c r="FW66" s="78"/>
      <c r="FX66" s="78"/>
      <c r="FY66" s="78"/>
      <c r="FZ66" s="78"/>
      <c r="GA66" s="78"/>
      <c r="GB66" s="78"/>
      <c r="GC66" s="78"/>
      <c r="GD66" s="78"/>
      <c r="GE66" s="78"/>
      <c r="GF66" s="78"/>
      <c r="GG66" s="78"/>
      <c r="GH66" s="78"/>
      <c r="GI66" s="78"/>
      <c r="GJ66" s="78"/>
      <c r="GK66" s="78"/>
      <c r="GL66" s="78"/>
      <c r="GM66" s="78"/>
      <c r="GN66" s="78"/>
      <c r="GO66" s="78"/>
      <c r="GP66" s="78"/>
      <c r="GQ66" s="78"/>
      <c r="GR66" s="78"/>
      <c r="GS66" s="78"/>
      <c r="GT66" s="78"/>
      <c r="GU66" s="78"/>
      <c r="GV66" s="78"/>
      <c r="GW66" s="78"/>
      <c r="GX66" s="78"/>
      <c r="GY66" s="78"/>
      <c r="GZ66" s="78"/>
      <c r="HA66" s="78"/>
      <c r="HB66" s="78"/>
      <c r="HC66" s="78"/>
      <c r="HD66" s="78"/>
      <c r="HE66" s="78"/>
      <c r="HF66" s="78"/>
      <c r="HG66" s="78"/>
      <c r="HH66" s="78"/>
      <c r="HI66" s="78"/>
      <c r="HJ66" s="78"/>
      <c r="HK66" s="78"/>
    </row>
    <row r="67" spans="1:219" ht="14.25" customHeight="1">
      <c r="A67" s="149">
        <v>2</v>
      </c>
      <c r="B67" s="176" t="str">
        <f>VLOOKUP(Ruimtestaat[[#This Row],[Code]],Locaties[[Code]:[Locatie]],2,FALSE)</f>
        <v>IST Primary Campus</v>
      </c>
      <c r="C67" s="176" t="str">
        <f>VLOOKUP(Ruimtestaat[[#This Row],[Code]],Locaties[[#All],[Code]:[Adres]],4,FALSE)</f>
        <v>Joh. ter Horststraat 30</v>
      </c>
      <c r="D67" s="176" t="str">
        <f>VLOOKUP(Ruimtestaat[[#This Row],[Code]],Locaties[[#All],[Code]:[Postcode]],5,FALSE)</f>
        <v>7513 ZH</v>
      </c>
      <c r="E67" s="176" t="str">
        <f>VLOOKUP(Ruimtestaat[[#This Row],[Code]],Locaties[#All],6,FALSE)</f>
        <v>Enschede</v>
      </c>
      <c r="F67" s="149"/>
      <c r="G67" s="149"/>
      <c r="H67" s="300" t="s">
        <v>1711</v>
      </c>
      <c r="I67" s="301" t="s">
        <v>1684</v>
      </c>
      <c r="J67" s="99">
        <v>5</v>
      </c>
      <c r="K67" s="183" t="str">
        <f>VLOOKUP(Ruimtestaat[[#This Row],[Ruimte code]],Ruimtegroepen[[#All],[Code]:[Ruimte omschrijving]],2,FALSE)</f>
        <v>Sanitair</v>
      </c>
      <c r="L67" s="149" t="s">
        <v>101</v>
      </c>
      <c r="M67" s="301" t="s">
        <v>1682</v>
      </c>
      <c r="N67" s="177">
        <v>4.4000000000000004</v>
      </c>
      <c r="O67" s="177"/>
      <c r="P67" s="178" t="str">
        <f>VLOOKUP(Ruimtestaat[[#This Row],[Ruimte code]],Ruimtegroepen[],4,FALSE)</f>
        <v>Sa</v>
      </c>
      <c r="Q67" s="149">
        <v>40</v>
      </c>
      <c r="R67" s="149" t="s">
        <v>2</v>
      </c>
      <c r="S67" s="149">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 s="149">
        <f>IF(S67&gt;0,VLOOKUP($J67,Ruimtegroepen[],3,FALSE)*VLOOKUP($L67,Vloersoorten[],3,FALSE)*VLOOKUP($R67,Frequenties[],3,FALSE)*VLOOKUP($A67,Locaties[],3,FALSE),0)</f>
        <v>0</v>
      </c>
      <c r="U67" s="149">
        <f>Ruimtestaat[[#This Row],[Uitvoeringen werkdagen]]*Ruimtestaat[[#This Row],[Oppervlak (netto)]]</f>
        <v>880.00000000000011</v>
      </c>
      <c r="V67" s="179">
        <f>IF(T67&gt;0,Ruimtestaat[[#This Row],[Prest. (m2 /jaar) werkdagen]]/Ruimtestaat[[#This Row],[Norm (m2/uur) werkdagen]],0)</f>
        <v>0</v>
      </c>
      <c r="W67" s="180">
        <f>Ruimtestaat[[#This Row],[uren / jaar werkdagen]]*Tariefsopbouw!$E$35</f>
        <v>0</v>
      </c>
      <c r="X67" s="149"/>
      <c r="Y67" s="149">
        <f>IF(Ruimtestaat[[#This Row],[Frequentie weekend]]&gt;0,VALUE(LEFT(X67,1))*Q67,0)</f>
        <v>0</v>
      </c>
      <c r="Z67" s="148">
        <f>IF($Y67&gt;0,VLOOKUP($J67,Ruimtegroepen[],3,FALSE)*VLOOKUP($L67,Vloersoorten[],3,FALSE)*VLOOKUP($X67,Frequenties[],3,FALSE)*VLOOKUP(Ruimtestaat[[#This Row],[Code]],Locaties[],3,FALSE),0)</f>
        <v>0</v>
      </c>
      <c r="AA67" s="148">
        <f>Ruimtestaat[[#This Row],[Uitvoeringen weekend]]*Ruimtestaat[[#This Row],[Oppervlak (netto)]]</f>
        <v>0</v>
      </c>
      <c r="AB67" s="148">
        <f>IF(Z67&gt;0,Ruimtestaat[[#This Row],[Prest. (m2 /jaar) weekend]]/Ruimtestaat[[#This Row],[Norm (m2/uur) weekend]],0)</f>
        <v>0</v>
      </c>
      <c r="AC67" s="180">
        <f>Ruimtestaat[[#This Row],[uren / jaar weekend]]*Tariefsopbouw!$D$40</f>
        <v>0</v>
      </c>
      <c r="AD67" s="179">
        <f>Ruimtestaat[[#This Row],[Prest. (m2 /jaar) weekend]]+Ruimtestaat[[#This Row],[Prest. (m2 /jaar) werkdagen]]</f>
        <v>880.00000000000011</v>
      </c>
      <c r="AE67" s="179">
        <f>Ruimtestaat[[#This Row],[uren / jaar weekend]]+Ruimtestaat[[#This Row],[uren / jaar werkdagen]]</f>
        <v>0</v>
      </c>
      <c r="AF67" s="174">
        <f>Ruimtestaat[[#This Row],[kosten / jaar weekend]]+Ruimtestaat[[#This Row],[kosten / jaar werkdagen]]</f>
        <v>0</v>
      </c>
      <c r="AG67" s="174"/>
      <c r="AH67" s="181" t="str">
        <f>IF(Ruimtestaat[[#This Row],[Frequentie werkdagen]]="","",_xlfn.CONCAT(Ruimtestaat[[#This Row],[Ruimte code]],"-",Ruimtestaat[[#This Row],[Frequentie werkdagen]]," ",Ruimtestaat[[#This Row],[Vloer code]]))</f>
        <v>5-5w S</v>
      </c>
      <c r="AI67" s="185" t="str">
        <f>_xlfn.IFNA(VLOOKUP($AH67,Programma!$F$3:$G$1101,2,0),"")</f>
        <v>_</v>
      </c>
      <c r="AJ67" s="185" t="str">
        <f>_xlfn.IFNA(VLOOKUP($AH67,Programma!$F$3:$H$1101,3,0),"")</f>
        <v>_</v>
      </c>
      <c r="AK67" s="185" t="str">
        <f>_xlfn.IFNA(VLOOKUP($AH67,Programma!$F$3:$I$1101,4,0),"")</f>
        <v>_</v>
      </c>
      <c r="AL67" s="185" t="str">
        <f>_xlfn.IFNA(VLOOKUP($AH67,Programma!$F$3:$J$1101,5,0),"")</f>
        <v>4w</v>
      </c>
      <c r="AM67" s="185" t="str">
        <f>_xlfn.IFNA(VLOOKUP($AH67,Programma!$F$3:$K$1101,6,0),"")</f>
        <v>1w</v>
      </c>
      <c r="AN67" s="185" t="str">
        <f>_xlfn.IFNA(VLOOKUP($AH67,Programma!$F$3:$L$1101,7,0),"")</f>
        <v>_</v>
      </c>
      <c r="AO67" s="185" t="str">
        <f>_xlfn.IFNA(VLOOKUP($AH67,Programma!$F$3:$M$1101,8,0),"")</f>
        <v>_</v>
      </c>
      <c r="AP67" s="185" t="str">
        <f>_xlfn.IFNA(VLOOKUP($AH67,Programma!$F$3:$N$1101,9,0),"")</f>
        <v>_</v>
      </c>
      <c r="AQ67" s="185" t="str">
        <f>_xlfn.IFNA(VLOOKUP($AH67,Programma!$F$3:$O$1101,10,0),"")</f>
        <v>_</v>
      </c>
      <c r="AR67" s="185" t="str">
        <f>_xlfn.IFNA(VLOOKUP($AH67,Programma!$F$3:$P$1101,11,0),"")</f>
        <v>_</v>
      </c>
      <c r="AS67" s="185" t="str">
        <f>_xlfn.IFNA(VLOOKUP($AH67,Programma!$F$3:$Q$1101,12,0),"")</f>
        <v>_</v>
      </c>
      <c r="AT67" s="185" t="str">
        <f>_xlfn.IFNA(VLOOKUP($AH67,Programma!$F$3:$R$1101,13,0),"")</f>
        <v>_</v>
      </c>
      <c r="AU67" s="185" t="str">
        <f>_xlfn.IFNA(VLOOKUP($AH67,Programma!$F$3:$S$1101,14,0),"")</f>
        <v>_</v>
      </c>
      <c r="AV67" s="185" t="str">
        <f>_xlfn.IFNA(VLOOKUP($AH67,Programma!$F$3:$T$1101,15,0),"")</f>
        <v>_</v>
      </c>
      <c r="AW67" s="185" t="str">
        <f>_xlfn.IFNA(VLOOKUP($AH67,Programma!$F$3:$U$1101,16,0),"")</f>
        <v>_</v>
      </c>
      <c r="AX67" s="185" t="str">
        <f>_xlfn.IFNA(VLOOKUP($AH67,Programma!$F$3:$V$1101,17,0),"")</f>
        <v>_</v>
      </c>
      <c r="AY67" s="185" t="str">
        <f>_xlfn.IFNA(VLOOKUP($AH67,Programma!$F$3:$W$1101,18,0),"")</f>
        <v>4w</v>
      </c>
      <c r="AZ67" s="185" t="str">
        <f>_xlfn.IFNA(VLOOKUP($AH67,Programma!$F$3:$X$1101,19,0),"")</f>
        <v>1w</v>
      </c>
      <c r="BA67" s="185" t="str">
        <f>_xlfn.IFNA(VLOOKUP($AH67,Programma!$F$3:$Y$1101,20,0),"")</f>
        <v>_</v>
      </c>
      <c r="BB67" s="182"/>
      <c r="BC67" s="181" t="str">
        <f>IF(Ruimtestaat[[#This Row],[Frequentie weekend]]="","",_xlfn.CONCAT(Ruimtestaat[[#This Row],[Ruimte code]],"-",Ruimtestaat[[#This Row],[Frequentie weekend]]," ",Ruimtestaat[[#This Row],[Vloer code]]))</f>
        <v/>
      </c>
      <c r="BD67" s="185" t="str">
        <f>_xlfn.IFNA(VLOOKUP($BC67,Programma!$F$3:$G$1101,2,0),"")</f>
        <v/>
      </c>
      <c r="BE67" s="185" t="str">
        <f>_xlfn.IFNA(VLOOKUP($BC67,Programma!$F$3:$H$1101,3,0),"")</f>
        <v/>
      </c>
      <c r="BF67" s="185" t="str">
        <f>_xlfn.IFNA(VLOOKUP($BC67,Programma!$F$3:$I$1101,4,0),"")</f>
        <v/>
      </c>
      <c r="BG67" s="185" t="str">
        <f>_xlfn.IFNA(VLOOKUP($BC67,Programma!$F$3:$J$1101,5,0),"")</f>
        <v/>
      </c>
      <c r="BH67" s="185" t="str">
        <f>_xlfn.IFNA(VLOOKUP($BC67,Programma!$F$3:$K$1101,6,0),"")</f>
        <v/>
      </c>
      <c r="BI67" s="185" t="str">
        <f>_xlfn.IFNA(VLOOKUP($BC67,Programma!$F$3:$L$1101,7,0),"")</f>
        <v/>
      </c>
      <c r="BJ67" s="185" t="str">
        <f>_xlfn.IFNA(VLOOKUP($BC67,Programma!$F$3:$M$1101,8,0),"")</f>
        <v/>
      </c>
      <c r="BK67" s="185" t="str">
        <f>_xlfn.IFNA(VLOOKUP($BC67,Programma!$F$3:$N$1101,9,0),"")</f>
        <v/>
      </c>
      <c r="BL67" s="185" t="str">
        <f>_xlfn.IFNA(VLOOKUP($BC67,Programma!$F$3:$O$1101,10,0),"")</f>
        <v/>
      </c>
      <c r="BM67" s="185" t="str">
        <f>_xlfn.IFNA(VLOOKUP($BC67,Programma!$F$3:$P$1101,11,0),"")</f>
        <v/>
      </c>
      <c r="BN67" s="185" t="str">
        <f>_xlfn.IFNA(VLOOKUP($BC67,Programma!$F$3:$Q$1101,12,0),"")</f>
        <v/>
      </c>
      <c r="BO67" s="185" t="str">
        <f>_xlfn.IFNA(VLOOKUP($BC67,Programma!$F$3:$R$1101,13,0),"")</f>
        <v/>
      </c>
      <c r="BP67" s="185" t="str">
        <f>_xlfn.IFNA(VLOOKUP($BC67,Programma!$F$3:$S$1101,14,0),"")</f>
        <v/>
      </c>
      <c r="BQ67" s="185" t="str">
        <f>_xlfn.IFNA(VLOOKUP($BC67,Programma!$F$3:$T$1101,15,0),"")</f>
        <v/>
      </c>
      <c r="BR67" s="185" t="str">
        <f>_xlfn.IFNA(VLOOKUP($BC67,Programma!$F$3:$U$1101,16,0),"")</f>
        <v/>
      </c>
      <c r="BS67" s="185" t="str">
        <f>_xlfn.IFNA(VLOOKUP($BC67,Programma!$F$3:$V$1101,17,0),"")</f>
        <v/>
      </c>
      <c r="BT67" s="185" t="str">
        <f>_xlfn.IFNA(VLOOKUP($BC67,Programma!$F$3:$W$1101,18,0),"")</f>
        <v/>
      </c>
      <c r="BU67" s="185" t="str">
        <f>_xlfn.IFNA(VLOOKUP($BC67,Programma!$F$3:$X$1101,19,0),"")</f>
        <v/>
      </c>
      <c r="BV67" s="185" t="str">
        <f>_xlfn.IFNA(VLOOKUP($BC67,Programma!$F$3:$Y$1101,20,0),"")</f>
        <v/>
      </c>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c r="EO67" s="78"/>
      <c r="EP67" s="78"/>
      <c r="EQ67" s="78"/>
      <c r="ER67" s="78"/>
      <c r="ES67" s="78"/>
      <c r="ET67" s="78"/>
      <c r="EU67" s="78"/>
      <c r="EV67" s="78"/>
      <c r="EW67" s="78"/>
      <c r="EX67" s="78"/>
      <c r="EY67" s="78"/>
      <c r="EZ67" s="78"/>
      <c r="FA67" s="78"/>
      <c r="FB67" s="78"/>
      <c r="FC67" s="78"/>
      <c r="FD67" s="78"/>
      <c r="FE67" s="78"/>
      <c r="FF67" s="78"/>
      <c r="FG67" s="78"/>
      <c r="FH67" s="78"/>
      <c r="FI67" s="78"/>
      <c r="FJ67" s="78"/>
      <c r="FK67" s="78"/>
      <c r="FL67" s="78"/>
      <c r="FM67" s="78"/>
      <c r="FN67" s="78"/>
      <c r="FO67" s="78"/>
      <c r="FP67" s="78"/>
      <c r="FQ67" s="78"/>
      <c r="FR67" s="78"/>
      <c r="FS67" s="78"/>
      <c r="FT67" s="78"/>
      <c r="FU67" s="78"/>
      <c r="FV67" s="78"/>
      <c r="FW67" s="78"/>
      <c r="FX67" s="78"/>
      <c r="FY67" s="78"/>
      <c r="FZ67" s="78"/>
      <c r="GA67" s="78"/>
      <c r="GB67" s="78"/>
      <c r="GC67" s="78"/>
      <c r="GD67" s="78"/>
      <c r="GE67" s="78"/>
      <c r="GF67" s="78"/>
      <c r="GG67" s="78"/>
      <c r="GH67" s="78"/>
      <c r="GI67" s="78"/>
      <c r="GJ67" s="78"/>
      <c r="GK67" s="78"/>
      <c r="GL67" s="78"/>
      <c r="GM67" s="78"/>
      <c r="GN67" s="78"/>
      <c r="GO67" s="78"/>
      <c r="GP67" s="78"/>
      <c r="GQ67" s="78"/>
      <c r="GR67" s="78"/>
      <c r="GS67" s="78"/>
      <c r="GT67" s="78"/>
      <c r="GU67" s="78"/>
      <c r="GV67" s="78"/>
      <c r="GW67" s="78"/>
      <c r="GX67" s="78"/>
      <c r="GY67" s="78"/>
      <c r="GZ67" s="78"/>
      <c r="HA67" s="78"/>
      <c r="HB67" s="78"/>
      <c r="HC67" s="78"/>
      <c r="HD67" s="78"/>
      <c r="HE67" s="78"/>
      <c r="HF67" s="78"/>
      <c r="HG67" s="78"/>
      <c r="HH67" s="78"/>
      <c r="HI67" s="78"/>
      <c r="HJ67" s="78"/>
      <c r="HK67" s="78"/>
    </row>
    <row r="68" spans="1:219" ht="15" customHeight="1">
      <c r="A68" s="149">
        <v>2</v>
      </c>
      <c r="B68" s="176" t="str">
        <f>VLOOKUP(Ruimtestaat[[#This Row],[Code]],Locaties[[Code]:[Locatie]],2,FALSE)</f>
        <v>IST Primary Campus</v>
      </c>
      <c r="C68" s="176" t="str">
        <f>VLOOKUP(Ruimtestaat[[#This Row],[Code]],Locaties[[#All],[Code]:[Adres]],4,FALSE)</f>
        <v>Joh. ter Horststraat 30</v>
      </c>
      <c r="D68" s="176" t="str">
        <f>VLOOKUP(Ruimtestaat[[#This Row],[Code]],Locaties[[#All],[Code]:[Postcode]],5,FALSE)</f>
        <v>7513 ZH</v>
      </c>
      <c r="E68" s="176" t="str">
        <f>VLOOKUP(Ruimtestaat[[#This Row],[Code]],Locaties[#All],6,FALSE)</f>
        <v>Enschede</v>
      </c>
      <c r="F68" s="149"/>
      <c r="G68" s="149"/>
      <c r="H68" s="300" t="s">
        <v>1712</v>
      </c>
      <c r="I68" s="301" t="s">
        <v>1684</v>
      </c>
      <c r="J68" s="99">
        <v>5</v>
      </c>
      <c r="K68" s="183" t="str">
        <f>VLOOKUP(Ruimtestaat[[#This Row],[Ruimte code]],Ruimtegroepen[[#All],[Code]:[Ruimte omschrijving]],2,FALSE)</f>
        <v>Sanitair</v>
      </c>
      <c r="L68" s="149" t="s">
        <v>101</v>
      </c>
      <c r="M68" s="301" t="s">
        <v>1682</v>
      </c>
      <c r="N68" s="177">
        <v>4.7</v>
      </c>
      <c r="O68" s="177"/>
      <c r="P68" s="178" t="str">
        <f>VLOOKUP(Ruimtestaat[[#This Row],[Ruimte code]],Ruimtegroepen[],4,FALSE)</f>
        <v>Sa</v>
      </c>
      <c r="Q68" s="149">
        <v>40</v>
      </c>
      <c r="R68" s="149" t="s">
        <v>2</v>
      </c>
      <c r="S68" s="149">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149">
        <f>IF(S68&gt;0,VLOOKUP($J68,Ruimtegroepen[],3,FALSE)*VLOOKUP($L68,Vloersoorten[],3,FALSE)*VLOOKUP($R68,Frequenties[],3,FALSE)*VLOOKUP($A68,Locaties[],3,FALSE),0)</f>
        <v>0</v>
      </c>
      <c r="U68" s="149">
        <f>Ruimtestaat[[#This Row],[Uitvoeringen werkdagen]]*Ruimtestaat[[#This Row],[Oppervlak (netto)]]</f>
        <v>940</v>
      </c>
      <c r="V68" s="179">
        <f>IF(T68&gt;0,Ruimtestaat[[#This Row],[Prest. (m2 /jaar) werkdagen]]/Ruimtestaat[[#This Row],[Norm (m2/uur) werkdagen]],0)</f>
        <v>0</v>
      </c>
      <c r="W68" s="180">
        <f>Ruimtestaat[[#This Row],[uren / jaar werkdagen]]*Tariefsopbouw!$E$35</f>
        <v>0</v>
      </c>
      <c r="X68" s="149"/>
      <c r="Y68" s="149">
        <f>IF(Ruimtestaat[[#This Row],[Frequentie weekend]]&gt;0,VALUE(LEFT(X68,1))*Q68,0)</f>
        <v>0</v>
      </c>
      <c r="Z68" s="148">
        <f>IF($Y68&gt;0,VLOOKUP($J68,Ruimtegroepen[],3,FALSE)*VLOOKUP($L68,Vloersoorten[],3,FALSE)*VLOOKUP($X68,Frequenties[],3,FALSE)*VLOOKUP(Ruimtestaat[[#This Row],[Code]],Locaties[],3,FALSE),0)</f>
        <v>0</v>
      </c>
      <c r="AA68" s="148">
        <f>Ruimtestaat[[#This Row],[Uitvoeringen weekend]]*Ruimtestaat[[#This Row],[Oppervlak (netto)]]</f>
        <v>0</v>
      </c>
      <c r="AB68" s="148">
        <f>IF(Z68&gt;0,Ruimtestaat[[#This Row],[Prest. (m2 /jaar) weekend]]/Ruimtestaat[[#This Row],[Norm (m2/uur) weekend]],0)</f>
        <v>0</v>
      </c>
      <c r="AC68" s="180">
        <f>Ruimtestaat[[#This Row],[uren / jaar weekend]]*Tariefsopbouw!$D$40</f>
        <v>0</v>
      </c>
      <c r="AD68" s="179">
        <f>Ruimtestaat[[#This Row],[Prest. (m2 /jaar) weekend]]+Ruimtestaat[[#This Row],[Prest. (m2 /jaar) werkdagen]]</f>
        <v>940</v>
      </c>
      <c r="AE68" s="179">
        <f>Ruimtestaat[[#This Row],[uren / jaar weekend]]+Ruimtestaat[[#This Row],[uren / jaar werkdagen]]</f>
        <v>0</v>
      </c>
      <c r="AF68" s="174">
        <f>Ruimtestaat[[#This Row],[kosten / jaar weekend]]+Ruimtestaat[[#This Row],[kosten / jaar werkdagen]]</f>
        <v>0</v>
      </c>
      <c r="AG68" s="174"/>
      <c r="AH68" s="181" t="str">
        <f>IF(Ruimtestaat[[#This Row],[Frequentie werkdagen]]="","",_xlfn.CONCAT(Ruimtestaat[[#This Row],[Ruimte code]],"-",Ruimtestaat[[#This Row],[Frequentie werkdagen]]," ",Ruimtestaat[[#This Row],[Vloer code]]))</f>
        <v>5-5w S</v>
      </c>
      <c r="AI68" s="185" t="str">
        <f>_xlfn.IFNA(VLOOKUP($AH68,Programma!$F$3:$G$1101,2,0),"")</f>
        <v>_</v>
      </c>
      <c r="AJ68" s="185" t="str">
        <f>_xlfn.IFNA(VLOOKUP($AH68,Programma!$F$3:$H$1101,3,0),"")</f>
        <v>_</v>
      </c>
      <c r="AK68" s="185" t="str">
        <f>_xlfn.IFNA(VLOOKUP($AH68,Programma!$F$3:$I$1101,4,0),"")</f>
        <v>_</v>
      </c>
      <c r="AL68" s="185" t="str">
        <f>_xlfn.IFNA(VLOOKUP($AH68,Programma!$F$3:$J$1101,5,0),"")</f>
        <v>4w</v>
      </c>
      <c r="AM68" s="185" t="str">
        <f>_xlfn.IFNA(VLOOKUP($AH68,Programma!$F$3:$K$1101,6,0),"")</f>
        <v>1w</v>
      </c>
      <c r="AN68" s="185" t="str">
        <f>_xlfn.IFNA(VLOOKUP($AH68,Programma!$F$3:$L$1101,7,0),"")</f>
        <v>_</v>
      </c>
      <c r="AO68" s="185" t="str">
        <f>_xlfn.IFNA(VLOOKUP($AH68,Programma!$F$3:$M$1101,8,0),"")</f>
        <v>_</v>
      </c>
      <c r="AP68" s="185" t="str">
        <f>_xlfn.IFNA(VLOOKUP($AH68,Programma!$F$3:$N$1101,9,0),"")</f>
        <v>_</v>
      </c>
      <c r="AQ68" s="185" t="str">
        <f>_xlfn.IFNA(VLOOKUP($AH68,Programma!$F$3:$O$1101,10,0),"")</f>
        <v>_</v>
      </c>
      <c r="AR68" s="185" t="str">
        <f>_xlfn.IFNA(VLOOKUP($AH68,Programma!$F$3:$P$1101,11,0),"")</f>
        <v>_</v>
      </c>
      <c r="AS68" s="185" t="str">
        <f>_xlfn.IFNA(VLOOKUP($AH68,Programma!$F$3:$Q$1101,12,0),"")</f>
        <v>_</v>
      </c>
      <c r="AT68" s="185" t="str">
        <f>_xlfn.IFNA(VLOOKUP($AH68,Programma!$F$3:$R$1101,13,0),"")</f>
        <v>_</v>
      </c>
      <c r="AU68" s="185" t="str">
        <f>_xlfn.IFNA(VLOOKUP($AH68,Programma!$F$3:$S$1101,14,0),"")</f>
        <v>_</v>
      </c>
      <c r="AV68" s="185" t="str">
        <f>_xlfn.IFNA(VLOOKUP($AH68,Programma!$F$3:$T$1101,15,0),"")</f>
        <v>_</v>
      </c>
      <c r="AW68" s="185" t="str">
        <f>_xlfn.IFNA(VLOOKUP($AH68,Programma!$F$3:$U$1101,16,0),"")</f>
        <v>_</v>
      </c>
      <c r="AX68" s="185" t="str">
        <f>_xlfn.IFNA(VLOOKUP($AH68,Programma!$F$3:$V$1101,17,0),"")</f>
        <v>_</v>
      </c>
      <c r="AY68" s="185" t="str">
        <f>_xlfn.IFNA(VLOOKUP($AH68,Programma!$F$3:$W$1101,18,0),"")</f>
        <v>4w</v>
      </c>
      <c r="AZ68" s="185" t="str">
        <f>_xlfn.IFNA(VLOOKUP($AH68,Programma!$F$3:$X$1101,19,0),"")</f>
        <v>1w</v>
      </c>
      <c r="BA68" s="185" t="str">
        <f>_xlfn.IFNA(VLOOKUP($AH68,Programma!$F$3:$Y$1101,20,0),"")</f>
        <v>_</v>
      </c>
      <c r="BB68" s="182"/>
      <c r="BC68" s="181" t="str">
        <f>IF(Ruimtestaat[[#This Row],[Frequentie weekend]]="","",_xlfn.CONCAT(Ruimtestaat[[#This Row],[Ruimte code]],"-",Ruimtestaat[[#This Row],[Frequentie weekend]]," ",Ruimtestaat[[#This Row],[Vloer code]]))</f>
        <v/>
      </c>
      <c r="BD68" s="185" t="str">
        <f>_xlfn.IFNA(VLOOKUP($BC68,Programma!$F$3:$G$1101,2,0),"")</f>
        <v/>
      </c>
      <c r="BE68" s="185" t="str">
        <f>_xlfn.IFNA(VLOOKUP($BC68,Programma!$F$3:$H$1101,3,0),"")</f>
        <v/>
      </c>
      <c r="BF68" s="185" t="str">
        <f>_xlfn.IFNA(VLOOKUP($BC68,Programma!$F$3:$I$1101,4,0),"")</f>
        <v/>
      </c>
      <c r="BG68" s="185" t="str">
        <f>_xlfn.IFNA(VLOOKUP($BC68,Programma!$F$3:$J$1101,5,0),"")</f>
        <v/>
      </c>
      <c r="BH68" s="185" t="str">
        <f>_xlfn.IFNA(VLOOKUP($BC68,Programma!$F$3:$K$1101,6,0),"")</f>
        <v/>
      </c>
      <c r="BI68" s="185" t="str">
        <f>_xlfn.IFNA(VLOOKUP($BC68,Programma!$F$3:$L$1101,7,0),"")</f>
        <v/>
      </c>
      <c r="BJ68" s="185" t="str">
        <f>_xlfn.IFNA(VLOOKUP($BC68,Programma!$F$3:$M$1101,8,0),"")</f>
        <v/>
      </c>
      <c r="BK68" s="185" t="str">
        <f>_xlfn.IFNA(VLOOKUP($BC68,Programma!$F$3:$N$1101,9,0),"")</f>
        <v/>
      </c>
      <c r="BL68" s="185" t="str">
        <f>_xlfn.IFNA(VLOOKUP($BC68,Programma!$F$3:$O$1101,10,0),"")</f>
        <v/>
      </c>
      <c r="BM68" s="185" t="str">
        <f>_xlfn.IFNA(VLOOKUP($BC68,Programma!$F$3:$P$1101,11,0),"")</f>
        <v/>
      </c>
      <c r="BN68" s="185" t="str">
        <f>_xlfn.IFNA(VLOOKUP($BC68,Programma!$F$3:$Q$1101,12,0),"")</f>
        <v/>
      </c>
      <c r="BO68" s="185" t="str">
        <f>_xlfn.IFNA(VLOOKUP($BC68,Programma!$F$3:$R$1101,13,0),"")</f>
        <v/>
      </c>
      <c r="BP68" s="185" t="str">
        <f>_xlfn.IFNA(VLOOKUP($BC68,Programma!$F$3:$S$1101,14,0),"")</f>
        <v/>
      </c>
      <c r="BQ68" s="185" t="str">
        <f>_xlfn.IFNA(VLOOKUP($BC68,Programma!$F$3:$T$1101,15,0),"")</f>
        <v/>
      </c>
      <c r="BR68" s="185" t="str">
        <f>_xlfn.IFNA(VLOOKUP($BC68,Programma!$F$3:$U$1101,16,0),"")</f>
        <v/>
      </c>
      <c r="BS68" s="185" t="str">
        <f>_xlfn.IFNA(VLOOKUP($BC68,Programma!$F$3:$V$1101,17,0),"")</f>
        <v/>
      </c>
      <c r="BT68" s="185" t="str">
        <f>_xlfn.IFNA(VLOOKUP($BC68,Programma!$F$3:$W$1101,18,0),"")</f>
        <v/>
      </c>
      <c r="BU68" s="185" t="str">
        <f>_xlfn.IFNA(VLOOKUP($BC68,Programma!$F$3:$X$1101,19,0),"")</f>
        <v/>
      </c>
      <c r="BV68" s="185" t="str">
        <f>_xlfn.IFNA(VLOOKUP($BC68,Programma!$F$3:$Y$1101,20,0),"")</f>
        <v/>
      </c>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c r="EO68" s="78"/>
      <c r="EP68" s="78"/>
      <c r="EQ68" s="78"/>
      <c r="ER68" s="78"/>
      <c r="ES68" s="78"/>
      <c r="ET68" s="78"/>
      <c r="EU68" s="78"/>
      <c r="EV68" s="78"/>
      <c r="EW68" s="78"/>
      <c r="EX68" s="78"/>
      <c r="EY68" s="78"/>
      <c r="EZ68" s="78"/>
      <c r="FA68" s="78"/>
      <c r="FB68" s="78"/>
      <c r="FC68" s="78"/>
      <c r="FD68" s="78"/>
      <c r="FE68" s="78"/>
      <c r="FF68" s="78"/>
      <c r="FG68" s="78"/>
      <c r="FH68" s="78"/>
      <c r="FI68" s="78"/>
      <c r="FJ68" s="78"/>
      <c r="FK68" s="78"/>
      <c r="FL68" s="78"/>
      <c r="FM68" s="78"/>
      <c r="FN68" s="78"/>
      <c r="FO68" s="78"/>
      <c r="FP68" s="78"/>
      <c r="FQ68" s="78"/>
      <c r="FR68" s="78"/>
      <c r="FS68" s="78"/>
      <c r="FT68" s="78"/>
      <c r="FU68" s="78"/>
      <c r="FV68" s="78"/>
      <c r="FW68" s="78"/>
      <c r="FX68" s="78"/>
      <c r="FY68" s="78"/>
      <c r="FZ68" s="78"/>
      <c r="GA68" s="78"/>
      <c r="GB68" s="78"/>
      <c r="GC68" s="78"/>
      <c r="GD68" s="78"/>
      <c r="GE68" s="78"/>
      <c r="GF68" s="78"/>
      <c r="GG68" s="78"/>
      <c r="GH68" s="78"/>
      <c r="GI68" s="78"/>
      <c r="GJ68" s="78"/>
      <c r="GK68" s="78"/>
      <c r="GL68" s="78"/>
      <c r="GM68" s="78"/>
      <c r="GN68" s="78"/>
      <c r="GO68" s="78"/>
      <c r="GP68" s="78"/>
      <c r="GQ68" s="78"/>
      <c r="GR68" s="78"/>
      <c r="GS68" s="78"/>
      <c r="GT68" s="78"/>
      <c r="GU68" s="78"/>
      <c r="GV68" s="78"/>
      <c r="GW68" s="78"/>
      <c r="GX68" s="78"/>
      <c r="GY68" s="78"/>
      <c r="GZ68" s="78"/>
      <c r="HA68" s="78"/>
      <c r="HB68" s="78"/>
      <c r="HC68" s="78"/>
      <c r="HD68" s="78"/>
      <c r="HE68" s="78"/>
      <c r="HF68" s="78"/>
      <c r="HG68" s="78"/>
      <c r="HH68" s="78"/>
      <c r="HI68" s="78"/>
      <c r="HJ68" s="78"/>
      <c r="HK68" s="78"/>
    </row>
    <row r="69" spans="1:219" ht="15" customHeight="1">
      <c r="A69" s="149">
        <v>3</v>
      </c>
      <c r="B69" s="176" t="str">
        <f>VLOOKUP(Ruimtestaat[[#This Row],[Code]],Locaties[[Code]:[Locatie]],2,FALSE)</f>
        <v>OBS De Spinner</v>
      </c>
      <c r="C69" s="176" t="str">
        <f>VLOOKUP(Ruimtestaat[[#This Row],[Code]],Locaties[[#All],[Code]:[Adres]],4,FALSE)</f>
        <v>Spinnerstraat 29</v>
      </c>
      <c r="D69" s="176" t="str">
        <f>VLOOKUP(Ruimtestaat[[#This Row],[Code]],Locaties[[#All],[Code]:[Postcode]],5,FALSE)</f>
        <v>7545 TP</v>
      </c>
      <c r="E69" s="176" t="str">
        <f>VLOOKUP(Ruimtestaat[[#This Row],[Code]],Locaties[#All],6,FALSE)</f>
        <v>Enschede</v>
      </c>
      <c r="F69" s="149"/>
      <c r="G69" s="149" t="s">
        <v>1646</v>
      </c>
      <c r="H69" s="300" t="s">
        <v>1647</v>
      </c>
      <c r="I69" s="301" t="s">
        <v>38</v>
      </c>
      <c r="J69" s="99">
        <v>7</v>
      </c>
      <c r="K69" s="183" t="str">
        <f>VLOOKUP(Ruimtestaat[[#This Row],[Ruimte code]],Ruimtegroepen[[#All],[Code]:[Ruimte omschrijving]],2,FALSE)</f>
        <v>Entree</v>
      </c>
      <c r="L69" s="149" t="s">
        <v>99</v>
      </c>
      <c r="M69" s="301" t="s">
        <v>36</v>
      </c>
      <c r="N69" s="177">
        <v>5.8</v>
      </c>
      <c r="O69" s="177"/>
      <c r="P69" s="178" t="str">
        <f>VLOOKUP(Ruimtestaat[[#This Row],[Ruimte code]],Ruimtegroepen[],4,FALSE)</f>
        <v>Ve</v>
      </c>
      <c r="Q69" s="149">
        <v>40</v>
      </c>
      <c r="R69" s="149" t="s">
        <v>2</v>
      </c>
      <c r="S69" s="149">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 s="149">
        <f>IF(S69&gt;0,VLOOKUP($J69,Ruimtegroepen[],3,FALSE)*VLOOKUP($L69,Vloersoorten[],3,FALSE)*VLOOKUP($R69,Frequenties[],3,FALSE)*VLOOKUP($A69,Locaties[],3,FALSE),0)</f>
        <v>0</v>
      </c>
      <c r="U69" s="149">
        <f>Ruimtestaat[[#This Row],[Uitvoeringen werkdagen]]*Ruimtestaat[[#This Row],[Oppervlak (netto)]]</f>
        <v>1160</v>
      </c>
      <c r="V69" s="179">
        <f>IF(T69&gt;0,Ruimtestaat[[#This Row],[Prest. (m2 /jaar) werkdagen]]/Ruimtestaat[[#This Row],[Norm (m2/uur) werkdagen]],0)</f>
        <v>0</v>
      </c>
      <c r="W69" s="180">
        <f>Ruimtestaat[[#This Row],[uren / jaar werkdagen]]*Tariefsopbouw!$E$35</f>
        <v>0</v>
      </c>
      <c r="X69" s="149"/>
      <c r="Y69" s="149">
        <f>IF(Ruimtestaat[[#This Row],[Frequentie weekend]]&gt;0,VALUE(LEFT(X69,1))*Q69,0)</f>
        <v>0</v>
      </c>
      <c r="Z69" s="148">
        <f>IF($Y69&gt;0,VLOOKUP($J69,Ruimtegroepen[],3,FALSE)*VLOOKUP($L69,Vloersoorten[],3,FALSE)*VLOOKUP($X69,Frequenties[],3,FALSE)*VLOOKUP(Ruimtestaat[[#This Row],[Code]],Locaties[],3,FALSE),0)</f>
        <v>0</v>
      </c>
      <c r="AA69" s="148">
        <f>Ruimtestaat[[#This Row],[Uitvoeringen weekend]]*Ruimtestaat[[#This Row],[Oppervlak (netto)]]</f>
        <v>0</v>
      </c>
      <c r="AB69" s="148">
        <f>IF(Z69&gt;0,Ruimtestaat[[#This Row],[Prest. (m2 /jaar) weekend]]/Ruimtestaat[[#This Row],[Norm (m2/uur) weekend]],0)</f>
        <v>0</v>
      </c>
      <c r="AC69" s="180">
        <f>Ruimtestaat[[#This Row],[uren / jaar weekend]]*Tariefsopbouw!$D$40</f>
        <v>0</v>
      </c>
      <c r="AD69" s="179">
        <f>Ruimtestaat[[#This Row],[Prest. (m2 /jaar) weekend]]+Ruimtestaat[[#This Row],[Prest. (m2 /jaar) werkdagen]]</f>
        <v>1160</v>
      </c>
      <c r="AE69" s="179">
        <f>Ruimtestaat[[#This Row],[uren / jaar weekend]]+Ruimtestaat[[#This Row],[uren / jaar werkdagen]]</f>
        <v>0</v>
      </c>
      <c r="AF69" s="174">
        <f>Ruimtestaat[[#This Row],[kosten / jaar weekend]]+Ruimtestaat[[#This Row],[kosten / jaar werkdagen]]</f>
        <v>0</v>
      </c>
      <c r="AG69" s="174"/>
      <c r="AH69" s="181" t="str">
        <f>IF(Ruimtestaat[[#This Row],[Frequentie werkdagen]]="","",_xlfn.CONCAT(Ruimtestaat[[#This Row],[Ruimte code]],"-",Ruimtestaat[[#This Row],[Frequentie werkdagen]]," ",Ruimtestaat[[#This Row],[Vloer code]]))</f>
        <v>7-5w T</v>
      </c>
      <c r="AI69" s="185" t="str">
        <f>_xlfn.IFNA(VLOOKUP($AH69,Programma!$F$3:$G$1101,2,0),"")</f>
        <v>_</v>
      </c>
      <c r="AJ69" s="185" t="str">
        <f>_xlfn.IFNA(VLOOKUP($AH69,Programma!$F$3:$H$1101,3,0),"")</f>
        <v>5w</v>
      </c>
      <c r="AK69" s="185" t="str">
        <f>_xlfn.IFNA(VLOOKUP($AH69,Programma!$F$3:$I$1101,4,0),"")</f>
        <v>_</v>
      </c>
      <c r="AL69" s="185" t="str">
        <f>_xlfn.IFNA(VLOOKUP($AH69,Programma!$F$3:$J$1101,5,0),"")</f>
        <v>_</v>
      </c>
      <c r="AM69" s="185" t="str">
        <f>_xlfn.IFNA(VLOOKUP($AH69,Programma!$F$3:$K$1101,6,0),"")</f>
        <v>_</v>
      </c>
      <c r="AN69" s="185" t="str">
        <f>_xlfn.IFNA(VLOOKUP($AH69,Programma!$F$3:$L$1101,7,0),"")</f>
        <v>_</v>
      </c>
      <c r="AO69" s="185" t="str">
        <f>_xlfn.IFNA(VLOOKUP($AH69,Programma!$F$3:$M$1101,8,0),"")</f>
        <v>_</v>
      </c>
      <c r="AP69" s="185" t="str">
        <f>_xlfn.IFNA(VLOOKUP($AH69,Programma!$F$3:$N$1101,9,0),"")</f>
        <v>_</v>
      </c>
      <c r="AQ69" s="185" t="str">
        <f>_xlfn.IFNA(VLOOKUP($AH69,Programma!$F$3:$O$1101,10,0),"")</f>
        <v>5w</v>
      </c>
      <c r="AR69" s="185" t="str">
        <f>_xlfn.IFNA(VLOOKUP($AH69,Programma!$F$3:$P$1101,11,0),"")</f>
        <v>5w</v>
      </c>
      <c r="AS69" s="185" t="str">
        <f>_xlfn.IFNA(VLOOKUP($AH69,Programma!$F$3:$Q$1101,12,0),"")</f>
        <v>1w</v>
      </c>
      <c r="AT69" s="185" t="str">
        <f>_xlfn.IFNA(VLOOKUP($AH69,Programma!$F$3:$R$1101,13,0),"")</f>
        <v>1w</v>
      </c>
      <c r="AU69" s="185" t="str">
        <f>_xlfn.IFNA(VLOOKUP($AH69,Programma!$F$3:$S$1101,14,0),"")</f>
        <v>1m</v>
      </c>
      <c r="AV69" s="185" t="str">
        <f>_xlfn.IFNA(VLOOKUP($AH69,Programma!$F$3:$T$1101,15,0),"")</f>
        <v>2j</v>
      </c>
      <c r="AW69" s="185" t="str">
        <f>_xlfn.IFNA(VLOOKUP($AH69,Programma!$F$3:$U$1101,16,0),"")</f>
        <v>1j</v>
      </c>
      <c r="AX69" s="185" t="str">
        <f>_xlfn.IFNA(VLOOKUP($AH69,Programma!$F$3:$V$1101,17,0),"")</f>
        <v>_</v>
      </c>
      <c r="AY69" s="185" t="str">
        <f>_xlfn.IFNA(VLOOKUP($AH69,Programma!$F$3:$W$1101,18,0),"")</f>
        <v>_</v>
      </c>
      <c r="AZ69" s="185" t="str">
        <f>_xlfn.IFNA(VLOOKUP($AH69,Programma!$F$3:$X$1101,19,0),"")</f>
        <v>_</v>
      </c>
      <c r="BA69" s="185" t="str">
        <f>_xlfn.IFNA(VLOOKUP($AH69,Programma!$F$3:$Y$1101,20,0),"")</f>
        <v>_</v>
      </c>
      <c r="BB69" s="182"/>
      <c r="BC69" s="181" t="str">
        <f>IF(Ruimtestaat[[#This Row],[Frequentie weekend]]="","",_xlfn.CONCAT(Ruimtestaat[[#This Row],[Ruimte code]],"-",Ruimtestaat[[#This Row],[Frequentie weekend]]," ",Ruimtestaat[[#This Row],[Vloer code]]))</f>
        <v/>
      </c>
      <c r="BD69" s="185" t="str">
        <f>_xlfn.IFNA(VLOOKUP($BC69,Programma!$F$3:$G$1101,2,0),"")</f>
        <v/>
      </c>
      <c r="BE69" s="185" t="str">
        <f>_xlfn.IFNA(VLOOKUP($BC69,Programma!$F$3:$H$1101,3,0),"")</f>
        <v/>
      </c>
      <c r="BF69" s="185" t="str">
        <f>_xlfn.IFNA(VLOOKUP($BC69,Programma!$F$3:$I$1101,4,0),"")</f>
        <v/>
      </c>
      <c r="BG69" s="185" t="str">
        <f>_xlfn.IFNA(VLOOKUP($BC69,Programma!$F$3:$J$1101,5,0),"")</f>
        <v/>
      </c>
      <c r="BH69" s="185" t="str">
        <f>_xlfn.IFNA(VLOOKUP($BC69,Programma!$F$3:$K$1101,6,0),"")</f>
        <v/>
      </c>
      <c r="BI69" s="185" t="str">
        <f>_xlfn.IFNA(VLOOKUP($BC69,Programma!$F$3:$L$1101,7,0),"")</f>
        <v/>
      </c>
      <c r="BJ69" s="185" t="str">
        <f>_xlfn.IFNA(VLOOKUP($BC69,Programma!$F$3:$M$1101,8,0),"")</f>
        <v/>
      </c>
      <c r="BK69" s="185" t="str">
        <f>_xlfn.IFNA(VLOOKUP($BC69,Programma!$F$3:$N$1101,9,0),"")</f>
        <v/>
      </c>
      <c r="BL69" s="185" t="str">
        <f>_xlfn.IFNA(VLOOKUP($BC69,Programma!$F$3:$O$1101,10,0),"")</f>
        <v/>
      </c>
      <c r="BM69" s="185" t="str">
        <f>_xlfn.IFNA(VLOOKUP($BC69,Programma!$F$3:$P$1101,11,0),"")</f>
        <v/>
      </c>
      <c r="BN69" s="185" t="str">
        <f>_xlfn.IFNA(VLOOKUP($BC69,Programma!$F$3:$Q$1101,12,0),"")</f>
        <v/>
      </c>
      <c r="BO69" s="185" t="str">
        <f>_xlfn.IFNA(VLOOKUP($BC69,Programma!$F$3:$R$1101,13,0),"")</f>
        <v/>
      </c>
      <c r="BP69" s="185" t="str">
        <f>_xlfn.IFNA(VLOOKUP($BC69,Programma!$F$3:$S$1101,14,0),"")</f>
        <v/>
      </c>
      <c r="BQ69" s="185" t="str">
        <f>_xlfn.IFNA(VLOOKUP($BC69,Programma!$F$3:$T$1101,15,0),"")</f>
        <v/>
      </c>
      <c r="BR69" s="185" t="str">
        <f>_xlfn.IFNA(VLOOKUP($BC69,Programma!$F$3:$U$1101,16,0),"")</f>
        <v/>
      </c>
      <c r="BS69" s="185" t="str">
        <f>_xlfn.IFNA(VLOOKUP($BC69,Programma!$F$3:$V$1101,17,0),"")</f>
        <v/>
      </c>
      <c r="BT69" s="185" t="str">
        <f>_xlfn.IFNA(VLOOKUP($BC69,Programma!$F$3:$W$1101,18,0),"")</f>
        <v/>
      </c>
      <c r="BU69" s="185" t="str">
        <f>_xlfn.IFNA(VLOOKUP($BC69,Programma!$F$3:$X$1101,19,0),"")</f>
        <v/>
      </c>
      <c r="BV69" s="185" t="str">
        <f>_xlfn.IFNA(VLOOKUP($BC69,Programma!$F$3:$Y$1101,20,0),"")</f>
        <v/>
      </c>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c r="EO69" s="78"/>
      <c r="EP69" s="78"/>
      <c r="EQ69" s="78"/>
      <c r="ER69" s="78"/>
      <c r="ES69" s="78"/>
      <c r="ET69" s="78"/>
      <c r="EU69" s="78"/>
      <c r="EV69" s="78"/>
      <c r="EW69" s="78"/>
      <c r="EX69" s="78"/>
      <c r="EY69" s="78"/>
      <c r="EZ69" s="78"/>
      <c r="FA69" s="78"/>
      <c r="FB69" s="78"/>
      <c r="FC69" s="78"/>
      <c r="FD69" s="78"/>
      <c r="FE69" s="78"/>
      <c r="FF69" s="78"/>
      <c r="FG69" s="78"/>
      <c r="FH69" s="78"/>
      <c r="FI69" s="78"/>
      <c r="FJ69" s="78"/>
      <c r="FK69" s="78"/>
      <c r="FL69" s="78"/>
      <c r="FM69" s="78"/>
      <c r="FN69" s="78"/>
      <c r="FO69" s="78"/>
      <c r="FP69" s="78"/>
      <c r="FQ69" s="78"/>
      <c r="FR69" s="78"/>
      <c r="FS69" s="78"/>
      <c r="FT69" s="78"/>
      <c r="FU69" s="78"/>
      <c r="FV69" s="78"/>
      <c r="FW69" s="78"/>
      <c r="FX69" s="78"/>
      <c r="FY69" s="78"/>
      <c r="FZ69" s="78"/>
      <c r="GA69" s="78"/>
      <c r="GB69" s="78"/>
      <c r="GC69" s="78"/>
      <c r="GD69" s="78"/>
      <c r="GE69" s="78"/>
      <c r="GF69" s="78"/>
      <c r="GG69" s="78"/>
      <c r="GH69" s="78"/>
      <c r="GI69" s="78"/>
      <c r="GJ69" s="78"/>
      <c r="GK69" s="78"/>
      <c r="GL69" s="78"/>
      <c r="GM69" s="78"/>
      <c r="GN69" s="78"/>
      <c r="GO69" s="78"/>
      <c r="GP69" s="78"/>
      <c r="GQ69" s="78"/>
      <c r="GR69" s="78"/>
      <c r="GS69" s="78"/>
      <c r="GT69" s="78"/>
      <c r="GU69" s="78"/>
      <c r="GV69" s="78"/>
      <c r="GW69" s="78"/>
      <c r="GX69" s="78"/>
      <c r="GY69" s="78"/>
      <c r="GZ69" s="78"/>
      <c r="HA69" s="78"/>
      <c r="HB69" s="78"/>
      <c r="HC69" s="78"/>
      <c r="HD69" s="78"/>
      <c r="HE69" s="78"/>
      <c r="HF69" s="78"/>
      <c r="HG69" s="78"/>
      <c r="HH69" s="78"/>
      <c r="HI69" s="78"/>
      <c r="HJ69" s="78"/>
      <c r="HK69" s="78"/>
    </row>
    <row r="70" spans="1:219" ht="15" customHeight="1">
      <c r="A70" s="149">
        <v>3</v>
      </c>
      <c r="B70" s="176" t="str">
        <f>VLOOKUP(Ruimtestaat[[#This Row],[Code]],Locaties[[Code]:[Locatie]],2,FALSE)</f>
        <v>OBS De Spinner</v>
      </c>
      <c r="C70" s="176" t="str">
        <f>VLOOKUP(Ruimtestaat[[#This Row],[Code]],Locaties[[#All],[Code]:[Adres]],4,FALSE)</f>
        <v>Spinnerstraat 29</v>
      </c>
      <c r="D70" s="176" t="str">
        <f>VLOOKUP(Ruimtestaat[[#This Row],[Code]],Locaties[[#All],[Code]:[Postcode]],5,FALSE)</f>
        <v>7545 TP</v>
      </c>
      <c r="E70" s="176" t="str">
        <f>VLOOKUP(Ruimtestaat[[#This Row],[Code]],Locaties[#All],6,FALSE)</f>
        <v>Enschede</v>
      </c>
      <c r="F70" s="149"/>
      <c r="G70" s="149" t="s">
        <v>1646</v>
      </c>
      <c r="H70" s="300" t="s">
        <v>1648</v>
      </c>
      <c r="I70" s="301" t="s">
        <v>1649</v>
      </c>
      <c r="J70" s="149">
        <v>2</v>
      </c>
      <c r="K70" s="183" t="str">
        <f>VLOOKUP(Ruimtestaat[[#This Row],[Ruimte code]],Ruimtegroepen[[#All],[Code]:[Ruimte omschrijving]],2,FALSE)</f>
        <v>Kantoren</v>
      </c>
      <c r="L70" s="149" t="s">
        <v>99</v>
      </c>
      <c r="M70" s="301" t="s">
        <v>36</v>
      </c>
      <c r="N70" s="177">
        <v>20.399999999999999</v>
      </c>
      <c r="O70" s="177"/>
      <c r="P70" s="178" t="str">
        <f>VLOOKUP(Ruimtestaat[[#This Row],[Ruimte code]],Ruimtegroepen[],4,FALSE)</f>
        <v>Bu</v>
      </c>
      <c r="Q70" s="149">
        <v>40</v>
      </c>
      <c r="R70" s="149" t="s">
        <v>18</v>
      </c>
      <c r="S70" s="149">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70" s="149">
        <f>IF(S70&gt;0,VLOOKUP($J70,Ruimtegroepen[],3,FALSE)*VLOOKUP($L70,Vloersoorten[],3,FALSE)*VLOOKUP($R70,Frequenties[],3,FALSE)*VLOOKUP($A70,Locaties[],3,FALSE),0)</f>
        <v>0</v>
      </c>
      <c r="U70" s="149">
        <f>Ruimtestaat[[#This Row],[Uitvoeringen werkdagen]]*Ruimtestaat[[#This Row],[Oppervlak (netto)]]</f>
        <v>2448</v>
      </c>
      <c r="V70" s="179">
        <f>IF(T70&gt;0,Ruimtestaat[[#This Row],[Prest. (m2 /jaar) werkdagen]]/Ruimtestaat[[#This Row],[Norm (m2/uur) werkdagen]],0)</f>
        <v>0</v>
      </c>
      <c r="W70" s="180">
        <f>Ruimtestaat[[#This Row],[uren / jaar werkdagen]]*Tariefsopbouw!$E$35</f>
        <v>0</v>
      </c>
      <c r="X70" s="149"/>
      <c r="Y70" s="149">
        <f>IF(Ruimtestaat[[#This Row],[Frequentie weekend]]&gt;0,VALUE(LEFT(X70,1))*Q70,0)</f>
        <v>0</v>
      </c>
      <c r="Z70" s="148">
        <f>IF($Y70&gt;0,VLOOKUP($J70,Ruimtegroepen[],3,FALSE)*VLOOKUP($L70,Vloersoorten[],3,FALSE)*VLOOKUP($X70,Frequenties[],3,FALSE)*VLOOKUP(Ruimtestaat[[#This Row],[Code]],Locaties[],3,FALSE),0)</f>
        <v>0</v>
      </c>
      <c r="AA70" s="148">
        <f>Ruimtestaat[[#This Row],[Uitvoeringen weekend]]*Ruimtestaat[[#This Row],[Oppervlak (netto)]]</f>
        <v>0</v>
      </c>
      <c r="AB70" s="148">
        <f>IF(Z70&gt;0,Ruimtestaat[[#This Row],[Prest. (m2 /jaar) weekend]]/Ruimtestaat[[#This Row],[Norm (m2/uur) weekend]],0)</f>
        <v>0</v>
      </c>
      <c r="AC70" s="180">
        <f>Ruimtestaat[[#This Row],[uren / jaar weekend]]*Tariefsopbouw!$D$40</f>
        <v>0</v>
      </c>
      <c r="AD70" s="179">
        <f>Ruimtestaat[[#This Row],[Prest. (m2 /jaar) weekend]]+Ruimtestaat[[#This Row],[Prest. (m2 /jaar) werkdagen]]</f>
        <v>2448</v>
      </c>
      <c r="AE70" s="179">
        <f>Ruimtestaat[[#This Row],[uren / jaar weekend]]+Ruimtestaat[[#This Row],[uren / jaar werkdagen]]</f>
        <v>0</v>
      </c>
      <c r="AF70" s="174">
        <f>Ruimtestaat[[#This Row],[kosten / jaar weekend]]+Ruimtestaat[[#This Row],[kosten / jaar werkdagen]]</f>
        <v>0</v>
      </c>
      <c r="AG70" s="174"/>
      <c r="AH70" s="181" t="str">
        <f>IF(Ruimtestaat[[#This Row],[Frequentie werkdagen]]="","",_xlfn.CONCAT(Ruimtestaat[[#This Row],[Ruimte code]],"-",Ruimtestaat[[#This Row],[Frequentie werkdagen]]," ",Ruimtestaat[[#This Row],[Vloer code]]))</f>
        <v>2-3w T</v>
      </c>
      <c r="AI70" s="185" t="str">
        <f>_xlfn.IFNA(VLOOKUP($AH70,Programma!$F$3:$G$1101,2,0),"")</f>
        <v>2w</v>
      </c>
      <c r="AJ70" s="185" t="str">
        <f>_xlfn.IFNA(VLOOKUP($AH70,Programma!$F$3:$H$1101,3,0),"")</f>
        <v>1w</v>
      </c>
      <c r="AK70" s="185" t="str">
        <f>_xlfn.IFNA(VLOOKUP($AH70,Programma!$F$3:$I$1101,4,0),"")</f>
        <v>_</v>
      </c>
      <c r="AL70" s="185" t="str">
        <f>_xlfn.IFNA(VLOOKUP($AH70,Programma!$F$3:$J$1101,5,0),"")</f>
        <v>_</v>
      </c>
      <c r="AM70" s="185" t="str">
        <f>_xlfn.IFNA(VLOOKUP($AH70,Programma!$F$3:$K$1101,6,0),"")</f>
        <v>_</v>
      </c>
      <c r="AN70" s="185" t="str">
        <f>_xlfn.IFNA(VLOOKUP($AH70,Programma!$F$3:$L$1101,7,0),"")</f>
        <v>_</v>
      </c>
      <c r="AO70" s="185" t="str">
        <f>_xlfn.IFNA(VLOOKUP($AH70,Programma!$F$3:$M$1101,8,0),"")</f>
        <v>_</v>
      </c>
      <c r="AP70" s="185" t="str">
        <f>_xlfn.IFNA(VLOOKUP($AH70,Programma!$F$3:$N$1101,9,0),"")</f>
        <v>_</v>
      </c>
      <c r="AQ70" s="185" t="str">
        <f>_xlfn.IFNA(VLOOKUP($AH70,Programma!$F$3:$O$1101,10,0),"")</f>
        <v>3w</v>
      </c>
      <c r="AR70" s="185" t="str">
        <f>_xlfn.IFNA(VLOOKUP($AH70,Programma!$F$3:$P$1101,11,0),"")</f>
        <v>3w</v>
      </c>
      <c r="AS70" s="185" t="str">
        <f>_xlfn.IFNA(VLOOKUP($AH70,Programma!$F$3:$Q$1101,12,0),"")</f>
        <v>1w</v>
      </c>
      <c r="AT70" s="185" t="str">
        <f>_xlfn.IFNA(VLOOKUP($AH70,Programma!$F$3:$R$1101,13,0),"")</f>
        <v>1w</v>
      </c>
      <c r="AU70" s="185" t="str">
        <f>_xlfn.IFNA(VLOOKUP($AH70,Programma!$F$3:$S$1101,14,0),"")</f>
        <v>1m</v>
      </c>
      <c r="AV70" s="185" t="str">
        <f>_xlfn.IFNA(VLOOKUP($AH70,Programma!$F$3:$T$1101,15,0),"")</f>
        <v>2j</v>
      </c>
      <c r="AW70" s="185" t="str">
        <f>_xlfn.IFNA(VLOOKUP($AH70,Programma!$F$3:$U$1101,16,0),"")</f>
        <v>1j</v>
      </c>
      <c r="AX70" s="185" t="str">
        <f>_xlfn.IFNA(VLOOKUP($AH70,Programma!$F$3:$V$1101,17,0),"")</f>
        <v>_</v>
      </c>
      <c r="AY70" s="185" t="str">
        <f>_xlfn.IFNA(VLOOKUP($AH70,Programma!$F$3:$W$1101,18,0),"")</f>
        <v>_</v>
      </c>
      <c r="AZ70" s="185" t="str">
        <f>_xlfn.IFNA(VLOOKUP($AH70,Programma!$F$3:$X$1101,19,0),"")</f>
        <v>_</v>
      </c>
      <c r="BA70" s="185" t="str">
        <f>_xlfn.IFNA(VLOOKUP($AH70,Programma!$F$3:$Y$1101,20,0),"")</f>
        <v>_</v>
      </c>
      <c r="BB70" s="182"/>
      <c r="BC70" s="181" t="str">
        <f>IF(Ruimtestaat[[#This Row],[Frequentie weekend]]="","",_xlfn.CONCAT(Ruimtestaat[[#This Row],[Ruimte code]],"-",Ruimtestaat[[#This Row],[Frequentie weekend]]," ",Ruimtestaat[[#This Row],[Vloer code]]))</f>
        <v/>
      </c>
      <c r="BD70" s="185" t="str">
        <f>_xlfn.IFNA(VLOOKUP($BC70,Programma!$F$3:$G$1101,2,0),"")</f>
        <v/>
      </c>
      <c r="BE70" s="185" t="str">
        <f>_xlfn.IFNA(VLOOKUP($BC70,Programma!$F$3:$H$1101,3,0),"")</f>
        <v/>
      </c>
      <c r="BF70" s="185" t="str">
        <f>_xlfn.IFNA(VLOOKUP($BC70,Programma!$F$3:$I$1101,4,0),"")</f>
        <v/>
      </c>
      <c r="BG70" s="185" t="str">
        <f>_xlfn.IFNA(VLOOKUP($BC70,Programma!$F$3:$J$1101,5,0),"")</f>
        <v/>
      </c>
      <c r="BH70" s="185" t="str">
        <f>_xlfn.IFNA(VLOOKUP($BC70,Programma!$F$3:$K$1101,6,0),"")</f>
        <v/>
      </c>
      <c r="BI70" s="185" t="str">
        <f>_xlfn.IFNA(VLOOKUP($BC70,Programma!$F$3:$L$1101,7,0),"")</f>
        <v/>
      </c>
      <c r="BJ70" s="185" t="str">
        <f>_xlfn.IFNA(VLOOKUP($BC70,Programma!$F$3:$M$1101,8,0),"")</f>
        <v/>
      </c>
      <c r="BK70" s="185" t="str">
        <f>_xlfn.IFNA(VLOOKUP($BC70,Programma!$F$3:$N$1101,9,0),"")</f>
        <v/>
      </c>
      <c r="BL70" s="185" t="str">
        <f>_xlfn.IFNA(VLOOKUP($BC70,Programma!$F$3:$O$1101,10,0),"")</f>
        <v/>
      </c>
      <c r="BM70" s="185" t="str">
        <f>_xlfn.IFNA(VLOOKUP($BC70,Programma!$F$3:$P$1101,11,0),"")</f>
        <v/>
      </c>
      <c r="BN70" s="185" t="str">
        <f>_xlfn.IFNA(VLOOKUP($BC70,Programma!$F$3:$Q$1101,12,0),"")</f>
        <v/>
      </c>
      <c r="BO70" s="185" t="str">
        <f>_xlfn.IFNA(VLOOKUP($BC70,Programma!$F$3:$R$1101,13,0),"")</f>
        <v/>
      </c>
      <c r="BP70" s="185" t="str">
        <f>_xlfn.IFNA(VLOOKUP($BC70,Programma!$F$3:$S$1101,14,0),"")</f>
        <v/>
      </c>
      <c r="BQ70" s="185" t="str">
        <f>_xlfn.IFNA(VLOOKUP($BC70,Programma!$F$3:$T$1101,15,0),"")</f>
        <v/>
      </c>
      <c r="BR70" s="185" t="str">
        <f>_xlfn.IFNA(VLOOKUP($BC70,Programma!$F$3:$U$1101,16,0),"")</f>
        <v/>
      </c>
      <c r="BS70" s="185" t="str">
        <f>_xlfn.IFNA(VLOOKUP($BC70,Programma!$F$3:$V$1101,17,0),"")</f>
        <v/>
      </c>
      <c r="BT70" s="185" t="str">
        <f>_xlfn.IFNA(VLOOKUP($BC70,Programma!$F$3:$W$1101,18,0),"")</f>
        <v/>
      </c>
      <c r="BU70" s="185" t="str">
        <f>_xlfn.IFNA(VLOOKUP($BC70,Programma!$F$3:$X$1101,19,0),"")</f>
        <v/>
      </c>
      <c r="BV70" s="185" t="str">
        <f>_xlfn.IFNA(VLOOKUP($BC70,Programma!$F$3:$Y$1101,20,0),"")</f>
        <v/>
      </c>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c r="EO70" s="78"/>
      <c r="EP70" s="78"/>
      <c r="EQ70" s="78"/>
      <c r="ER70" s="78"/>
      <c r="ES70" s="78"/>
      <c r="ET70" s="78"/>
      <c r="EU70" s="78"/>
      <c r="EV70" s="78"/>
      <c r="EW70" s="78"/>
      <c r="EX70" s="78"/>
      <c r="EY70" s="78"/>
      <c r="EZ70" s="78"/>
      <c r="FA70" s="78"/>
      <c r="FB70" s="78"/>
      <c r="FC70" s="78"/>
      <c r="FD70" s="78"/>
      <c r="FE70" s="78"/>
      <c r="FF70" s="78"/>
      <c r="FG70" s="78"/>
      <c r="FH70" s="78"/>
      <c r="FI70" s="78"/>
      <c r="FJ70" s="78"/>
      <c r="FK70" s="78"/>
      <c r="FL70" s="78"/>
      <c r="FM70" s="78"/>
      <c r="FN70" s="78"/>
      <c r="FO70" s="78"/>
      <c r="FP70" s="78"/>
      <c r="FQ70" s="78"/>
      <c r="FR70" s="78"/>
      <c r="FS70" s="78"/>
      <c r="FT70" s="78"/>
      <c r="FU70" s="78"/>
      <c r="FV70" s="78"/>
      <c r="FW70" s="78"/>
      <c r="FX70" s="78"/>
      <c r="FY70" s="78"/>
      <c r="FZ70" s="78"/>
      <c r="GA70" s="78"/>
      <c r="GB70" s="78"/>
      <c r="GC70" s="78"/>
      <c r="GD70" s="78"/>
      <c r="GE70" s="78"/>
      <c r="GF70" s="78"/>
      <c r="GG70" s="78"/>
      <c r="GH70" s="78"/>
      <c r="GI70" s="78"/>
      <c r="GJ70" s="78"/>
      <c r="GK70" s="78"/>
      <c r="GL70" s="78"/>
      <c r="GM70" s="78"/>
      <c r="GN70" s="78"/>
      <c r="GO70" s="78"/>
      <c r="GP70" s="78"/>
      <c r="GQ70" s="78"/>
      <c r="GR70" s="78"/>
      <c r="GS70" s="78"/>
      <c r="GT70" s="78"/>
      <c r="GU70" s="78"/>
      <c r="GV70" s="78"/>
      <c r="GW70" s="78"/>
      <c r="GX70" s="78"/>
      <c r="GY70" s="78"/>
      <c r="GZ70" s="78"/>
      <c r="HA70" s="78"/>
      <c r="HB70" s="78"/>
      <c r="HC70" s="78"/>
      <c r="HD70" s="78"/>
      <c r="HE70" s="78"/>
      <c r="HF70" s="78"/>
      <c r="HG70" s="78"/>
      <c r="HH70" s="78"/>
      <c r="HI70" s="78"/>
      <c r="HJ70" s="78"/>
      <c r="HK70" s="78"/>
    </row>
    <row r="71" spans="1:219" ht="15" customHeight="1">
      <c r="A71" s="149">
        <v>3</v>
      </c>
      <c r="B71" s="176" t="str">
        <f>VLOOKUP(Ruimtestaat[[#This Row],[Code]],Locaties[[Code]:[Locatie]],2,FALSE)</f>
        <v>OBS De Spinner</v>
      </c>
      <c r="C71" s="176" t="str">
        <f>VLOOKUP(Ruimtestaat[[#This Row],[Code]],Locaties[[#All],[Code]:[Adres]],4,FALSE)</f>
        <v>Spinnerstraat 29</v>
      </c>
      <c r="D71" s="176" t="str">
        <f>VLOOKUP(Ruimtestaat[[#This Row],[Code]],Locaties[[#All],[Code]:[Postcode]],5,FALSE)</f>
        <v>7545 TP</v>
      </c>
      <c r="E71" s="176" t="str">
        <f>VLOOKUP(Ruimtestaat[[#This Row],[Code]],Locaties[#All],6,FALSE)</f>
        <v>Enschede</v>
      </c>
      <c r="F71" s="149"/>
      <c r="G71" s="149" t="s">
        <v>1646</v>
      </c>
      <c r="H71" s="300" t="s">
        <v>1650</v>
      </c>
      <c r="I71" s="301" t="s">
        <v>1655</v>
      </c>
      <c r="J71" s="99">
        <v>5</v>
      </c>
      <c r="K71" s="183" t="str">
        <f>VLOOKUP(Ruimtestaat[[#This Row],[Ruimte code]],Ruimtegroepen[[#All],[Code]:[Ruimte omschrijving]],2,FALSE)</f>
        <v>Sanitair</v>
      </c>
      <c r="L71" s="149" t="s">
        <v>101</v>
      </c>
      <c r="M71" s="301" t="s">
        <v>1682</v>
      </c>
      <c r="N71" s="177">
        <v>4.8</v>
      </c>
      <c r="O71" s="177"/>
      <c r="P71" s="178" t="str">
        <f>VLOOKUP(Ruimtestaat[[#This Row],[Ruimte code]],Ruimtegroepen[],4,FALSE)</f>
        <v>Sa</v>
      </c>
      <c r="Q71" s="149">
        <v>40</v>
      </c>
      <c r="R71" s="149" t="s">
        <v>2</v>
      </c>
      <c r="S71" s="149">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 s="149">
        <f>IF(S71&gt;0,VLOOKUP($J71,Ruimtegroepen[],3,FALSE)*VLOOKUP($L71,Vloersoorten[],3,FALSE)*VLOOKUP($R71,Frequenties[],3,FALSE)*VLOOKUP($A71,Locaties[],3,FALSE),0)</f>
        <v>0</v>
      </c>
      <c r="U71" s="149">
        <f>Ruimtestaat[[#This Row],[Uitvoeringen werkdagen]]*Ruimtestaat[[#This Row],[Oppervlak (netto)]]</f>
        <v>960</v>
      </c>
      <c r="V71" s="179">
        <f>IF(T71&gt;0,Ruimtestaat[[#This Row],[Prest. (m2 /jaar) werkdagen]]/Ruimtestaat[[#This Row],[Norm (m2/uur) werkdagen]],0)</f>
        <v>0</v>
      </c>
      <c r="W71" s="180">
        <f>Ruimtestaat[[#This Row],[uren / jaar werkdagen]]*Tariefsopbouw!$E$35</f>
        <v>0</v>
      </c>
      <c r="X71" s="149"/>
      <c r="Y71" s="149">
        <f>IF(Ruimtestaat[[#This Row],[Frequentie weekend]]&gt;0,VALUE(LEFT(X71,1))*Q71,0)</f>
        <v>0</v>
      </c>
      <c r="Z71" s="148">
        <f>IF($Y71&gt;0,VLOOKUP($J71,Ruimtegroepen[],3,FALSE)*VLOOKUP($L71,Vloersoorten[],3,FALSE)*VLOOKUP($X71,Frequenties[],3,FALSE)*VLOOKUP(Ruimtestaat[[#This Row],[Code]],Locaties[],3,FALSE),0)</f>
        <v>0</v>
      </c>
      <c r="AA71" s="148">
        <f>Ruimtestaat[[#This Row],[Uitvoeringen weekend]]*Ruimtestaat[[#This Row],[Oppervlak (netto)]]</f>
        <v>0</v>
      </c>
      <c r="AB71" s="148">
        <f>IF(Z71&gt;0,Ruimtestaat[[#This Row],[Prest. (m2 /jaar) weekend]]/Ruimtestaat[[#This Row],[Norm (m2/uur) weekend]],0)</f>
        <v>0</v>
      </c>
      <c r="AC71" s="180">
        <f>Ruimtestaat[[#This Row],[uren / jaar weekend]]*Tariefsopbouw!$D$40</f>
        <v>0</v>
      </c>
      <c r="AD71" s="179">
        <f>Ruimtestaat[[#This Row],[Prest. (m2 /jaar) weekend]]+Ruimtestaat[[#This Row],[Prest. (m2 /jaar) werkdagen]]</f>
        <v>960</v>
      </c>
      <c r="AE71" s="179">
        <f>Ruimtestaat[[#This Row],[uren / jaar weekend]]+Ruimtestaat[[#This Row],[uren / jaar werkdagen]]</f>
        <v>0</v>
      </c>
      <c r="AF71" s="174">
        <f>Ruimtestaat[[#This Row],[kosten / jaar weekend]]+Ruimtestaat[[#This Row],[kosten / jaar werkdagen]]</f>
        <v>0</v>
      </c>
      <c r="AG71" s="174"/>
      <c r="AH71" s="181" t="str">
        <f>IF(Ruimtestaat[[#This Row],[Frequentie werkdagen]]="","",_xlfn.CONCAT(Ruimtestaat[[#This Row],[Ruimte code]],"-",Ruimtestaat[[#This Row],[Frequentie werkdagen]]," ",Ruimtestaat[[#This Row],[Vloer code]]))</f>
        <v>5-5w S</v>
      </c>
      <c r="AI71" s="185" t="str">
        <f>_xlfn.IFNA(VLOOKUP($AH71,Programma!$F$3:$G$1101,2,0),"")</f>
        <v>_</v>
      </c>
      <c r="AJ71" s="185" t="str">
        <f>_xlfn.IFNA(VLOOKUP($AH71,Programma!$F$3:$H$1101,3,0),"")</f>
        <v>_</v>
      </c>
      <c r="AK71" s="185" t="str">
        <f>_xlfn.IFNA(VLOOKUP($AH71,Programma!$F$3:$I$1101,4,0),"")</f>
        <v>_</v>
      </c>
      <c r="AL71" s="185" t="str">
        <f>_xlfn.IFNA(VLOOKUP($AH71,Programma!$F$3:$J$1101,5,0),"")</f>
        <v>4w</v>
      </c>
      <c r="AM71" s="185" t="str">
        <f>_xlfn.IFNA(VLOOKUP($AH71,Programma!$F$3:$K$1101,6,0),"")</f>
        <v>1w</v>
      </c>
      <c r="AN71" s="185" t="str">
        <f>_xlfn.IFNA(VLOOKUP($AH71,Programma!$F$3:$L$1101,7,0),"")</f>
        <v>_</v>
      </c>
      <c r="AO71" s="185" t="str">
        <f>_xlfn.IFNA(VLOOKUP($AH71,Programma!$F$3:$M$1101,8,0),"")</f>
        <v>_</v>
      </c>
      <c r="AP71" s="185" t="str">
        <f>_xlfn.IFNA(VLOOKUP($AH71,Programma!$F$3:$N$1101,9,0),"")</f>
        <v>_</v>
      </c>
      <c r="AQ71" s="185" t="str">
        <f>_xlfn.IFNA(VLOOKUP($AH71,Programma!$F$3:$O$1101,10,0),"")</f>
        <v>_</v>
      </c>
      <c r="AR71" s="185" t="str">
        <f>_xlfn.IFNA(VLOOKUP($AH71,Programma!$F$3:$P$1101,11,0),"")</f>
        <v>_</v>
      </c>
      <c r="AS71" s="185" t="str">
        <f>_xlfn.IFNA(VLOOKUP($AH71,Programma!$F$3:$Q$1101,12,0),"")</f>
        <v>_</v>
      </c>
      <c r="AT71" s="185" t="str">
        <f>_xlfn.IFNA(VLOOKUP($AH71,Programma!$F$3:$R$1101,13,0),"")</f>
        <v>_</v>
      </c>
      <c r="AU71" s="185" t="str">
        <f>_xlfn.IFNA(VLOOKUP($AH71,Programma!$F$3:$S$1101,14,0),"")</f>
        <v>_</v>
      </c>
      <c r="AV71" s="185" t="str">
        <f>_xlfn.IFNA(VLOOKUP($AH71,Programma!$F$3:$T$1101,15,0),"")</f>
        <v>_</v>
      </c>
      <c r="AW71" s="185" t="str">
        <f>_xlfn.IFNA(VLOOKUP($AH71,Programma!$F$3:$U$1101,16,0),"")</f>
        <v>_</v>
      </c>
      <c r="AX71" s="185" t="str">
        <f>_xlfn.IFNA(VLOOKUP($AH71,Programma!$F$3:$V$1101,17,0),"")</f>
        <v>_</v>
      </c>
      <c r="AY71" s="185" t="str">
        <f>_xlfn.IFNA(VLOOKUP($AH71,Programma!$F$3:$W$1101,18,0),"")</f>
        <v>4w</v>
      </c>
      <c r="AZ71" s="185" t="str">
        <f>_xlfn.IFNA(VLOOKUP($AH71,Programma!$F$3:$X$1101,19,0),"")</f>
        <v>1w</v>
      </c>
      <c r="BA71" s="185" t="str">
        <f>_xlfn.IFNA(VLOOKUP($AH71,Programma!$F$3:$Y$1101,20,0),"")</f>
        <v>_</v>
      </c>
      <c r="BB71" s="182"/>
      <c r="BC71" s="181" t="str">
        <f>IF(Ruimtestaat[[#This Row],[Frequentie weekend]]="","",_xlfn.CONCAT(Ruimtestaat[[#This Row],[Ruimte code]],"-",Ruimtestaat[[#This Row],[Frequentie weekend]]," ",Ruimtestaat[[#This Row],[Vloer code]]))</f>
        <v/>
      </c>
      <c r="BD71" s="185" t="str">
        <f>_xlfn.IFNA(VLOOKUP($BC71,Programma!$F$3:$G$1101,2,0),"")</f>
        <v/>
      </c>
      <c r="BE71" s="185" t="str">
        <f>_xlfn.IFNA(VLOOKUP($BC71,Programma!$F$3:$H$1101,3,0),"")</f>
        <v/>
      </c>
      <c r="BF71" s="185" t="str">
        <f>_xlfn.IFNA(VLOOKUP($BC71,Programma!$F$3:$I$1101,4,0),"")</f>
        <v/>
      </c>
      <c r="BG71" s="185" t="str">
        <f>_xlfn.IFNA(VLOOKUP($BC71,Programma!$F$3:$J$1101,5,0),"")</f>
        <v/>
      </c>
      <c r="BH71" s="185" t="str">
        <f>_xlfn.IFNA(VLOOKUP($BC71,Programma!$F$3:$K$1101,6,0),"")</f>
        <v/>
      </c>
      <c r="BI71" s="185" t="str">
        <f>_xlfn.IFNA(VLOOKUP($BC71,Programma!$F$3:$L$1101,7,0),"")</f>
        <v/>
      </c>
      <c r="BJ71" s="185" t="str">
        <f>_xlfn.IFNA(VLOOKUP($BC71,Programma!$F$3:$M$1101,8,0),"")</f>
        <v/>
      </c>
      <c r="BK71" s="185" t="str">
        <f>_xlfn.IFNA(VLOOKUP($BC71,Programma!$F$3:$N$1101,9,0),"")</f>
        <v/>
      </c>
      <c r="BL71" s="185" t="str">
        <f>_xlfn.IFNA(VLOOKUP($BC71,Programma!$F$3:$O$1101,10,0),"")</f>
        <v/>
      </c>
      <c r="BM71" s="185" t="str">
        <f>_xlfn.IFNA(VLOOKUP($BC71,Programma!$F$3:$P$1101,11,0),"")</f>
        <v/>
      </c>
      <c r="BN71" s="185" t="str">
        <f>_xlfn.IFNA(VLOOKUP($BC71,Programma!$F$3:$Q$1101,12,0),"")</f>
        <v/>
      </c>
      <c r="BO71" s="185" t="str">
        <f>_xlfn.IFNA(VLOOKUP($BC71,Programma!$F$3:$R$1101,13,0),"")</f>
        <v/>
      </c>
      <c r="BP71" s="185" t="str">
        <f>_xlfn.IFNA(VLOOKUP($BC71,Programma!$F$3:$S$1101,14,0),"")</f>
        <v/>
      </c>
      <c r="BQ71" s="185" t="str">
        <f>_xlfn.IFNA(VLOOKUP($BC71,Programma!$F$3:$T$1101,15,0),"")</f>
        <v/>
      </c>
      <c r="BR71" s="185" t="str">
        <f>_xlfn.IFNA(VLOOKUP($BC71,Programma!$F$3:$U$1101,16,0),"")</f>
        <v/>
      </c>
      <c r="BS71" s="185" t="str">
        <f>_xlfn.IFNA(VLOOKUP($BC71,Programma!$F$3:$V$1101,17,0),"")</f>
        <v/>
      </c>
      <c r="BT71" s="185" t="str">
        <f>_xlfn.IFNA(VLOOKUP($BC71,Programma!$F$3:$W$1101,18,0),"")</f>
        <v/>
      </c>
      <c r="BU71" s="185" t="str">
        <f>_xlfn.IFNA(VLOOKUP($BC71,Programma!$F$3:$X$1101,19,0),"")</f>
        <v/>
      </c>
      <c r="BV71" s="185" t="str">
        <f>_xlfn.IFNA(VLOOKUP($BC71,Programma!$F$3:$Y$1101,20,0),"")</f>
        <v/>
      </c>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c r="EO71" s="78"/>
      <c r="EP71" s="78"/>
      <c r="EQ71" s="78"/>
      <c r="ER71" s="78"/>
      <c r="ES71" s="78"/>
      <c r="ET71" s="78"/>
      <c r="EU71" s="78"/>
      <c r="EV71" s="78"/>
      <c r="EW71" s="78"/>
      <c r="EX71" s="78"/>
      <c r="EY71" s="78"/>
      <c r="EZ71" s="78"/>
      <c r="FA71" s="78"/>
      <c r="FB71" s="78"/>
      <c r="FC71" s="78"/>
      <c r="FD71" s="78"/>
      <c r="FE71" s="78"/>
      <c r="FF71" s="78"/>
      <c r="FG71" s="78"/>
      <c r="FH71" s="78"/>
      <c r="FI71" s="78"/>
      <c r="FJ71" s="78"/>
      <c r="FK71" s="78"/>
      <c r="FL71" s="78"/>
      <c r="FM71" s="78"/>
      <c r="FN71" s="78"/>
      <c r="FO71" s="78"/>
      <c r="FP71" s="78"/>
      <c r="FQ71" s="78"/>
      <c r="FR71" s="78"/>
      <c r="FS71" s="78"/>
      <c r="FT71" s="78"/>
      <c r="FU71" s="78"/>
      <c r="FV71" s="78"/>
      <c r="FW71" s="78"/>
      <c r="FX71" s="78"/>
      <c r="FY71" s="78"/>
      <c r="FZ71" s="78"/>
      <c r="GA71" s="78"/>
      <c r="GB71" s="78"/>
      <c r="GC71" s="78"/>
      <c r="GD71" s="78"/>
      <c r="GE71" s="78"/>
      <c r="GF71" s="78"/>
      <c r="GG71" s="78"/>
      <c r="GH71" s="78"/>
      <c r="GI71" s="78"/>
      <c r="GJ71" s="78"/>
      <c r="GK71" s="78"/>
      <c r="GL71" s="78"/>
      <c r="GM71" s="78"/>
      <c r="GN71" s="78"/>
      <c r="GO71" s="78"/>
      <c r="GP71" s="78"/>
      <c r="GQ71" s="78"/>
      <c r="GR71" s="78"/>
      <c r="GS71" s="78"/>
      <c r="GT71" s="78"/>
      <c r="GU71" s="78"/>
      <c r="GV71" s="78"/>
      <c r="GW71" s="78"/>
      <c r="GX71" s="78"/>
      <c r="GY71" s="78"/>
      <c r="GZ71" s="78"/>
      <c r="HA71" s="78"/>
      <c r="HB71" s="78"/>
      <c r="HC71" s="78"/>
      <c r="HD71" s="78"/>
      <c r="HE71" s="78"/>
      <c r="HF71" s="78"/>
      <c r="HG71" s="78"/>
      <c r="HH71" s="78"/>
      <c r="HI71" s="78"/>
      <c r="HJ71" s="78"/>
      <c r="HK71" s="78"/>
    </row>
    <row r="72" spans="1:219" ht="15" customHeight="1">
      <c r="A72" s="149">
        <v>3</v>
      </c>
      <c r="B72" s="176" t="str">
        <f>VLOOKUP(Ruimtestaat[[#This Row],[Code]],Locaties[[Code]:[Locatie]],2,FALSE)</f>
        <v>OBS De Spinner</v>
      </c>
      <c r="C72" s="176" t="str">
        <f>VLOOKUP(Ruimtestaat[[#This Row],[Code]],Locaties[[#All],[Code]:[Adres]],4,FALSE)</f>
        <v>Spinnerstraat 29</v>
      </c>
      <c r="D72" s="176" t="str">
        <f>VLOOKUP(Ruimtestaat[[#This Row],[Code]],Locaties[[#All],[Code]:[Postcode]],5,FALSE)</f>
        <v>7545 TP</v>
      </c>
      <c r="E72" s="176" t="str">
        <f>VLOOKUP(Ruimtestaat[[#This Row],[Code]],Locaties[#All],6,FALSE)</f>
        <v>Enschede</v>
      </c>
      <c r="F72" s="149"/>
      <c r="G72" s="149" t="s">
        <v>1646</v>
      </c>
      <c r="H72" s="300" t="s">
        <v>1652</v>
      </c>
      <c r="I72" s="301" t="s">
        <v>1655</v>
      </c>
      <c r="J72" s="99">
        <v>5</v>
      </c>
      <c r="K72" s="183" t="str">
        <f>VLOOKUP(Ruimtestaat[[#This Row],[Ruimte code]],Ruimtegroepen[[#All],[Code]:[Ruimte omschrijving]],2,FALSE)</f>
        <v>Sanitair</v>
      </c>
      <c r="L72" s="149" t="s">
        <v>101</v>
      </c>
      <c r="M72" s="301" t="s">
        <v>1682</v>
      </c>
      <c r="N72" s="177">
        <v>4.0999999999999996</v>
      </c>
      <c r="O72" s="177"/>
      <c r="P72" s="178" t="str">
        <f>VLOOKUP(Ruimtestaat[[#This Row],[Ruimte code]],Ruimtegroepen[],4,FALSE)</f>
        <v>Sa</v>
      </c>
      <c r="Q72" s="149">
        <v>40</v>
      </c>
      <c r="R72" s="149" t="s">
        <v>2</v>
      </c>
      <c r="S72" s="149">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149">
        <f>IF(S72&gt;0,VLOOKUP($J72,Ruimtegroepen[],3,FALSE)*VLOOKUP($L72,Vloersoorten[],3,FALSE)*VLOOKUP($R72,Frequenties[],3,FALSE)*VLOOKUP($A72,Locaties[],3,FALSE),0)</f>
        <v>0</v>
      </c>
      <c r="U72" s="149">
        <f>Ruimtestaat[[#This Row],[Uitvoeringen werkdagen]]*Ruimtestaat[[#This Row],[Oppervlak (netto)]]</f>
        <v>819.99999999999989</v>
      </c>
      <c r="V72" s="179">
        <f>IF(T72&gt;0,Ruimtestaat[[#This Row],[Prest. (m2 /jaar) werkdagen]]/Ruimtestaat[[#This Row],[Norm (m2/uur) werkdagen]],0)</f>
        <v>0</v>
      </c>
      <c r="W72" s="180">
        <f>Ruimtestaat[[#This Row],[uren / jaar werkdagen]]*Tariefsopbouw!$E$35</f>
        <v>0</v>
      </c>
      <c r="X72" s="149"/>
      <c r="Y72" s="149">
        <f>IF(Ruimtestaat[[#This Row],[Frequentie weekend]]&gt;0,VALUE(LEFT(X72,1))*Q72,0)</f>
        <v>0</v>
      </c>
      <c r="Z72" s="148">
        <f>IF($Y72&gt;0,VLOOKUP($J72,Ruimtegroepen[],3,FALSE)*VLOOKUP($L72,Vloersoorten[],3,FALSE)*VLOOKUP($X72,Frequenties[],3,FALSE)*VLOOKUP(#REF!,Locaties[],3,FALSE),0)</f>
        <v>0</v>
      </c>
      <c r="AA72" s="148">
        <f>Ruimtestaat[[#This Row],[Uitvoeringen weekend]]*Ruimtestaat[[#This Row],[Oppervlak (netto)]]</f>
        <v>0</v>
      </c>
      <c r="AB72" s="148">
        <f>IF(Z72&gt;0,Ruimtestaat[[#This Row],[Prest. (m2 /jaar) weekend]]/Ruimtestaat[[#This Row],[Norm (m2/uur) weekend]],0)</f>
        <v>0</v>
      </c>
      <c r="AC72" s="180">
        <f>Ruimtestaat[[#This Row],[uren / jaar weekend]]*Tariefsopbouw!$D$40</f>
        <v>0</v>
      </c>
      <c r="AD72" s="179">
        <f>Ruimtestaat[[#This Row],[Prest. (m2 /jaar) weekend]]+Ruimtestaat[[#This Row],[Prest. (m2 /jaar) werkdagen]]</f>
        <v>819.99999999999989</v>
      </c>
      <c r="AE72" s="179">
        <f>Ruimtestaat[[#This Row],[uren / jaar weekend]]+Ruimtestaat[[#This Row],[uren / jaar werkdagen]]</f>
        <v>0</v>
      </c>
      <c r="AF72" s="174">
        <f>Ruimtestaat[[#This Row],[kosten / jaar weekend]]+Ruimtestaat[[#This Row],[kosten / jaar werkdagen]]</f>
        <v>0</v>
      </c>
      <c r="AG72" s="174"/>
      <c r="AH72" s="181" t="str">
        <f>IF(Ruimtestaat[[#This Row],[Frequentie werkdagen]]="","",_xlfn.CONCAT(Ruimtestaat[[#This Row],[Ruimte code]],"-",Ruimtestaat[[#This Row],[Frequentie werkdagen]]," ",Ruimtestaat[[#This Row],[Vloer code]]))</f>
        <v>5-5w S</v>
      </c>
      <c r="AI72" s="185" t="str">
        <f>_xlfn.IFNA(VLOOKUP($AH72,Programma!$F$3:$G$1101,2,0),"")</f>
        <v>_</v>
      </c>
      <c r="AJ72" s="185" t="str">
        <f>_xlfn.IFNA(VLOOKUP($AH72,Programma!$F$3:$H$1101,3,0),"")</f>
        <v>_</v>
      </c>
      <c r="AK72" s="185" t="str">
        <f>_xlfn.IFNA(VLOOKUP($AH72,Programma!$F$3:$I$1101,4,0),"")</f>
        <v>_</v>
      </c>
      <c r="AL72" s="185" t="str">
        <f>_xlfn.IFNA(VLOOKUP($AH72,Programma!$F$3:$J$1101,5,0),"")</f>
        <v>4w</v>
      </c>
      <c r="AM72" s="185" t="str">
        <f>_xlfn.IFNA(VLOOKUP($AH72,Programma!$F$3:$K$1101,6,0),"")</f>
        <v>1w</v>
      </c>
      <c r="AN72" s="185" t="str">
        <f>_xlfn.IFNA(VLOOKUP($AH72,Programma!$F$3:$L$1101,7,0),"")</f>
        <v>_</v>
      </c>
      <c r="AO72" s="185" t="str">
        <f>_xlfn.IFNA(VLOOKUP($AH72,Programma!$F$3:$M$1101,8,0),"")</f>
        <v>_</v>
      </c>
      <c r="AP72" s="185" t="str">
        <f>_xlfn.IFNA(VLOOKUP($AH72,Programma!$F$3:$N$1101,9,0),"")</f>
        <v>_</v>
      </c>
      <c r="AQ72" s="185" t="str">
        <f>_xlfn.IFNA(VLOOKUP($AH72,Programma!$F$3:$O$1101,10,0),"")</f>
        <v>_</v>
      </c>
      <c r="AR72" s="185" t="str">
        <f>_xlfn.IFNA(VLOOKUP($AH72,Programma!$F$3:$P$1101,11,0),"")</f>
        <v>_</v>
      </c>
      <c r="AS72" s="185" t="str">
        <f>_xlfn.IFNA(VLOOKUP($AH72,Programma!$F$3:$Q$1101,12,0),"")</f>
        <v>_</v>
      </c>
      <c r="AT72" s="185" t="str">
        <f>_xlfn.IFNA(VLOOKUP($AH72,Programma!$F$3:$R$1101,13,0),"")</f>
        <v>_</v>
      </c>
      <c r="AU72" s="185" t="str">
        <f>_xlfn.IFNA(VLOOKUP($AH72,Programma!$F$3:$S$1101,14,0),"")</f>
        <v>_</v>
      </c>
      <c r="AV72" s="185" t="str">
        <f>_xlfn.IFNA(VLOOKUP($AH72,Programma!$F$3:$T$1101,15,0),"")</f>
        <v>_</v>
      </c>
      <c r="AW72" s="185" t="str">
        <f>_xlfn.IFNA(VLOOKUP($AH72,Programma!$F$3:$U$1101,16,0),"")</f>
        <v>_</v>
      </c>
      <c r="AX72" s="185" t="str">
        <f>_xlfn.IFNA(VLOOKUP($AH72,Programma!$F$3:$V$1101,17,0),"")</f>
        <v>_</v>
      </c>
      <c r="AY72" s="185" t="str">
        <f>_xlfn.IFNA(VLOOKUP($AH72,Programma!$F$3:$W$1101,18,0),"")</f>
        <v>4w</v>
      </c>
      <c r="AZ72" s="185" t="str">
        <f>_xlfn.IFNA(VLOOKUP($AH72,Programma!$F$3:$X$1101,19,0),"")</f>
        <v>1w</v>
      </c>
      <c r="BA72" s="185" t="str">
        <f>_xlfn.IFNA(VLOOKUP($AH72,Programma!$F$3:$Y$1101,20,0),"")</f>
        <v>_</v>
      </c>
      <c r="BB72" s="182"/>
      <c r="BC72" s="181" t="str">
        <f>IF(Ruimtestaat[[#This Row],[Frequentie weekend]]="","",_xlfn.CONCAT(Ruimtestaat[[#This Row],[Ruimte code]],"-",Ruimtestaat[[#This Row],[Frequentie weekend]]," ",Ruimtestaat[[#This Row],[Vloer code]]))</f>
        <v/>
      </c>
      <c r="BD72" s="185" t="str">
        <f>_xlfn.IFNA(VLOOKUP($BC72,Programma!$F$3:$G$1101,2,0),"")</f>
        <v/>
      </c>
      <c r="BE72" s="185" t="str">
        <f>_xlfn.IFNA(VLOOKUP($BC72,Programma!$F$3:$H$1101,3,0),"")</f>
        <v/>
      </c>
      <c r="BF72" s="185" t="str">
        <f>_xlfn.IFNA(VLOOKUP($BC72,Programma!$F$3:$I$1101,4,0),"")</f>
        <v/>
      </c>
      <c r="BG72" s="185" t="str">
        <f>_xlfn.IFNA(VLOOKUP($BC72,Programma!$F$3:$J$1101,5,0),"")</f>
        <v/>
      </c>
      <c r="BH72" s="185" t="str">
        <f>_xlfn.IFNA(VLOOKUP($BC72,Programma!$F$3:$K$1101,6,0),"")</f>
        <v/>
      </c>
      <c r="BI72" s="185" t="str">
        <f>_xlfn.IFNA(VLOOKUP($BC72,Programma!$F$3:$L$1101,7,0),"")</f>
        <v/>
      </c>
      <c r="BJ72" s="185" t="str">
        <f>_xlfn.IFNA(VLOOKUP($BC72,Programma!$F$3:$M$1101,8,0),"")</f>
        <v/>
      </c>
      <c r="BK72" s="185" t="str">
        <f>_xlfn.IFNA(VLOOKUP($BC72,Programma!$F$3:$N$1101,9,0),"")</f>
        <v/>
      </c>
      <c r="BL72" s="185" t="str">
        <f>_xlfn.IFNA(VLOOKUP($BC72,Programma!$F$3:$O$1101,10,0),"")</f>
        <v/>
      </c>
      <c r="BM72" s="185" t="str">
        <f>_xlfn.IFNA(VLOOKUP($BC72,Programma!$F$3:$P$1101,11,0),"")</f>
        <v/>
      </c>
      <c r="BN72" s="185" t="str">
        <f>_xlfn.IFNA(VLOOKUP($BC72,Programma!$F$3:$Q$1101,12,0),"")</f>
        <v/>
      </c>
      <c r="BO72" s="185" t="str">
        <f>_xlfn.IFNA(VLOOKUP($BC72,Programma!$F$3:$R$1101,13,0),"")</f>
        <v/>
      </c>
      <c r="BP72" s="185" t="str">
        <f>_xlfn.IFNA(VLOOKUP($BC72,Programma!$F$3:$S$1101,14,0),"")</f>
        <v/>
      </c>
      <c r="BQ72" s="185" t="str">
        <f>_xlfn.IFNA(VLOOKUP($BC72,Programma!$F$3:$T$1101,15,0),"")</f>
        <v/>
      </c>
      <c r="BR72" s="185" t="str">
        <f>_xlfn.IFNA(VLOOKUP($BC72,Programma!$F$3:$U$1101,16,0),"")</f>
        <v/>
      </c>
      <c r="BS72" s="185" t="str">
        <f>_xlfn.IFNA(VLOOKUP($BC72,Programma!$F$3:$V$1101,17,0),"")</f>
        <v/>
      </c>
      <c r="BT72" s="185" t="str">
        <f>_xlfn.IFNA(VLOOKUP($BC72,Programma!$F$3:$W$1101,18,0),"")</f>
        <v/>
      </c>
      <c r="BU72" s="185" t="str">
        <f>_xlfn.IFNA(VLOOKUP($BC72,Programma!$F$3:$X$1101,19,0),"")</f>
        <v/>
      </c>
      <c r="BV72" s="185" t="str">
        <f>_xlfn.IFNA(VLOOKUP($BC72,Programma!$F$3:$Y$1101,20,0),"")</f>
        <v/>
      </c>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c r="EO72" s="78"/>
      <c r="EP72" s="78"/>
      <c r="EQ72" s="78"/>
      <c r="ER72" s="78"/>
      <c r="ES72" s="78"/>
      <c r="ET72" s="78"/>
      <c r="EU72" s="78"/>
      <c r="EV72" s="78"/>
      <c r="EW72" s="78"/>
      <c r="EX72" s="78"/>
      <c r="EY72" s="78"/>
      <c r="EZ72" s="78"/>
      <c r="FA72" s="78"/>
      <c r="FB72" s="78"/>
      <c r="FC72" s="78"/>
      <c r="FD72" s="78"/>
      <c r="FE72" s="78"/>
      <c r="FF72" s="78"/>
      <c r="FG72" s="78"/>
      <c r="FH72" s="78"/>
      <c r="FI72" s="78"/>
      <c r="FJ72" s="78"/>
      <c r="FK72" s="78"/>
      <c r="FL72" s="78"/>
      <c r="FM72" s="78"/>
      <c r="FN72" s="78"/>
      <c r="FO72" s="78"/>
      <c r="FP72" s="78"/>
      <c r="FQ72" s="78"/>
      <c r="FR72" s="78"/>
      <c r="FS72" s="78"/>
      <c r="FT72" s="78"/>
      <c r="FU72" s="78"/>
      <c r="FV72" s="78"/>
      <c r="FW72" s="78"/>
      <c r="FX72" s="78"/>
      <c r="FY72" s="78"/>
      <c r="FZ72" s="78"/>
      <c r="GA72" s="78"/>
      <c r="GB72" s="78"/>
      <c r="GC72" s="78"/>
      <c r="GD72" s="78"/>
      <c r="GE72" s="78"/>
      <c r="GF72" s="78"/>
      <c r="GG72" s="78"/>
      <c r="GH72" s="78"/>
      <c r="GI72" s="78"/>
      <c r="GJ72" s="78"/>
      <c r="GK72" s="78"/>
      <c r="GL72" s="78"/>
      <c r="GM72" s="78"/>
      <c r="GN72" s="78"/>
      <c r="GO72" s="78"/>
      <c r="GP72" s="78"/>
      <c r="GQ72" s="78"/>
      <c r="GR72" s="78"/>
      <c r="GS72" s="78"/>
      <c r="GT72" s="78"/>
      <c r="GU72" s="78"/>
      <c r="GV72" s="78"/>
      <c r="GW72" s="78"/>
      <c r="GX72" s="78"/>
      <c r="GY72" s="78"/>
      <c r="GZ72" s="78"/>
      <c r="HA72" s="78"/>
      <c r="HB72" s="78"/>
      <c r="HC72" s="78"/>
      <c r="HD72" s="78"/>
      <c r="HE72" s="78"/>
      <c r="HF72" s="78"/>
      <c r="HG72" s="78"/>
      <c r="HH72" s="78"/>
      <c r="HI72" s="78"/>
      <c r="HJ72" s="78"/>
      <c r="HK72" s="78"/>
    </row>
    <row r="73" spans="1:219" ht="15" customHeight="1">
      <c r="A73" s="149">
        <v>3</v>
      </c>
      <c r="B73" s="176" t="str">
        <f>VLOOKUP(Ruimtestaat[[#This Row],[Code]],Locaties[[Code]:[Locatie]],2,FALSE)</f>
        <v>OBS De Spinner</v>
      </c>
      <c r="C73" s="176" t="str">
        <f>VLOOKUP(Ruimtestaat[[#This Row],[Code]],Locaties[[#All],[Code]:[Adres]],4,FALSE)</f>
        <v>Spinnerstraat 29</v>
      </c>
      <c r="D73" s="176" t="str">
        <f>VLOOKUP(Ruimtestaat[[#This Row],[Code]],Locaties[[#All],[Code]:[Postcode]],5,FALSE)</f>
        <v>7545 TP</v>
      </c>
      <c r="E73" s="176" t="str">
        <f>VLOOKUP(Ruimtestaat[[#This Row],[Code]],Locaties[#All],6,FALSE)</f>
        <v>Enschede</v>
      </c>
      <c r="F73" s="149"/>
      <c r="G73" s="149" t="s">
        <v>1646</v>
      </c>
      <c r="H73" s="300" t="s">
        <v>1653</v>
      </c>
      <c r="I73" s="301" t="s">
        <v>1651</v>
      </c>
      <c r="J73" s="99">
        <v>7</v>
      </c>
      <c r="K73" s="183" t="str">
        <f>VLOOKUP(Ruimtestaat[[#This Row],[Ruimte code]],Ruimtegroepen[[#All],[Code]:[Ruimte omschrijving]],2,FALSE)</f>
        <v>Entree</v>
      </c>
      <c r="L73" s="149" t="s">
        <v>102</v>
      </c>
      <c r="M73" s="301" t="s">
        <v>1699</v>
      </c>
      <c r="N73" s="177">
        <v>63.7</v>
      </c>
      <c r="O73" s="177"/>
      <c r="P73" s="178" t="str">
        <f>VLOOKUP(Ruimtestaat[[#This Row],[Ruimte code]],Ruimtegroepen[],4,FALSE)</f>
        <v>Ve</v>
      </c>
      <c r="Q73" s="149">
        <v>40</v>
      </c>
      <c r="R73" s="149" t="s">
        <v>2</v>
      </c>
      <c r="S73" s="149">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149">
        <f>IF(S73&gt;0,VLOOKUP($J73,Ruimtegroepen[],3,FALSE)*VLOOKUP($L73,Vloersoorten[],3,FALSE)*VLOOKUP($R73,Frequenties[],3,FALSE)*VLOOKUP($A73,Locaties[],3,FALSE),0)</f>
        <v>0</v>
      </c>
      <c r="U73" s="149">
        <f>Ruimtestaat[[#This Row],[Uitvoeringen werkdagen]]*Ruimtestaat[[#This Row],[Oppervlak (netto)]]</f>
        <v>12740</v>
      </c>
      <c r="V73" s="179">
        <f>IF(T73&gt;0,Ruimtestaat[[#This Row],[Prest. (m2 /jaar) werkdagen]]/Ruimtestaat[[#This Row],[Norm (m2/uur) werkdagen]],0)</f>
        <v>0</v>
      </c>
      <c r="W73" s="180">
        <f>Ruimtestaat[[#This Row],[uren / jaar werkdagen]]*Tariefsopbouw!$E$35</f>
        <v>0</v>
      </c>
      <c r="X73" s="149"/>
      <c r="Y73" s="149">
        <f>IF(Ruimtestaat[[#This Row],[Frequentie weekend]]&gt;0,VALUE(LEFT(X73,1))*Q73,0)</f>
        <v>0</v>
      </c>
      <c r="Z73" s="148">
        <f>IF($Y73&gt;0,VLOOKUP($J73,Ruimtegroepen[],3,FALSE)*VLOOKUP($L73,Vloersoorten[],3,FALSE)*VLOOKUP($X73,Frequenties[],3,FALSE)*VLOOKUP(#REF!,Locaties[],3,FALSE),0)</f>
        <v>0</v>
      </c>
      <c r="AA73" s="148">
        <f>Ruimtestaat[[#This Row],[Uitvoeringen weekend]]*Ruimtestaat[[#This Row],[Oppervlak (netto)]]</f>
        <v>0</v>
      </c>
      <c r="AB73" s="148">
        <f>IF(Z73&gt;0,Ruimtestaat[[#This Row],[Prest. (m2 /jaar) weekend]]/Ruimtestaat[[#This Row],[Norm (m2/uur) weekend]],0)</f>
        <v>0</v>
      </c>
      <c r="AC73" s="180">
        <f>Ruimtestaat[[#This Row],[uren / jaar weekend]]*Tariefsopbouw!$D$40</f>
        <v>0</v>
      </c>
      <c r="AD73" s="179">
        <f>Ruimtestaat[[#This Row],[Prest. (m2 /jaar) weekend]]+Ruimtestaat[[#This Row],[Prest. (m2 /jaar) werkdagen]]</f>
        <v>12740</v>
      </c>
      <c r="AE73" s="179">
        <f>Ruimtestaat[[#This Row],[uren / jaar weekend]]+Ruimtestaat[[#This Row],[uren / jaar werkdagen]]</f>
        <v>0</v>
      </c>
      <c r="AF73" s="174">
        <f>Ruimtestaat[[#This Row],[kosten / jaar weekend]]+Ruimtestaat[[#This Row],[kosten / jaar werkdagen]]</f>
        <v>0</v>
      </c>
      <c r="AG73" s="174"/>
      <c r="AH73" s="181" t="str">
        <f>IF(Ruimtestaat[[#This Row],[Frequentie werkdagen]]="","",_xlfn.CONCAT(Ruimtestaat[[#This Row],[Ruimte code]],"-",Ruimtestaat[[#This Row],[Frequentie werkdagen]]," ",Ruimtestaat[[#This Row],[Vloer code]]))</f>
        <v>7-5w P</v>
      </c>
      <c r="AI73" s="185" t="str">
        <f>_xlfn.IFNA(VLOOKUP($AH73,Programma!$F$3:$G$1101,2,0),"")</f>
        <v>_</v>
      </c>
      <c r="AJ73" s="185" t="str">
        <f>_xlfn.IFNA(VLOOKUP($AH73,Programma!$F$3:$H$1101,3,0),"")</f>
        <v>_</v>
      </c>
      <c r="AK73" s="185" t="str">
        <f>_xlfn.IFNA(VLOOKUP($AH73,Programma!$F$3:$I$1101,4,0),"")</f>
        <v>5w</v>
      </c>
      <c r="AL73" s="185" t="str">
        <f>_xlfn.IFNA(VLOOKUP($AH73,Programma!$F$3:$J$1101,5,0),"")</f>
        <v>_</v>
      </c>
      <c r="AM73" s="185" t="str">
        <f>_xlfn.IFNA(VLOOKUP($AH73,Programma!$F$3:$K$1101,6,0),"")</f>
        <v>5w</v>
      </c>
      <c r="AN73" s="185" t="str">
        <f>_xlfn.IFNA(VLOOKUP($AH73,Programma!$F$3:$L$1101,7,0),"")</f>
        <v>_</v>
      </c>
      <c r="AO73" s="185" t="str">
        <f>_xlfn.IFNA(VLOOKUP($AH73,Programma!$F$3:$M$1101,8,0),"")</f>
        <v>_</v>
      </c>
      <c r="AP73" s="185" t="str">
        <f>_xlfn.IFNA(VLOOKUP($AH73,Programma!$F$3:$N$1101,9,0),"")</f>
        <v>_</v>
      </c>
      <c r="AQ73" s="185" t="str">
        <f>_xlfn.IFNA(VLOOKUP($AH73,Programma!$F$3:$O$1101,10,0),"")</f>
        <v>5w</v>
      </c>
      <c r="AR73" s="185" t="str">
        <f>_xlfn.IFNA(VLOOKUP($AH73,Programma!$F$3:$P$1101,11,0),"")</f>
        <v>5w</v>
      </c>
      <c r="AS73" s="185" t="str">
        <f>_xlfn.IFNA(VLOOKUP($AH73,Programma!$F$3:$Q$1101,12,0),"")</f>
        <v>1w</v>
      </c>
      <c r="AT73" s="185" t="str">
        <f>_xlfn.IFNA(VLOOKUP($AH73,Programma!$F$3:$R$1101,13,0),"")</f>
        <v>1w</v>
      </c>
      <c r="AU73" s="185" t="str">
        <f>_xlfn.IFNA(VLOOKUP($AH73,Programma!$F$3:$S$1101,14,0),"")</f>
        <v>1m</v>
      </c>
      <c r="AV73" s="185" t="str">
        <f>_xlfn.IFNA(VLOOKUP($AH73,Programma!$F$3:$T$1101,15,0),"")</f>
        <v>2j</v>
      </c>
      <c r="AW73" s="185" t="str">
        <f>_xlfn.IFNA(VLOOKUP($AH73,Programma!$F$3:$U$1101,16,0),"")</f>
        <v>1j</v>
      </c>
      <c r="AX73" s="185" t="str">
        <f>_xlfn.IFNA(VLOOKUP($AH73,Programma!$F$3:$V$1101,17,0),"")</f>
        <v>_</v>
      </c>
      <c r="AY73" s="185" t="str">
        <f>_xlfn.IFNA(VLOOKUP($AH73,Programma!$F$3:$W$1101,18,0),"")</f>
        <v>_</v>
      </c>
      <c r="AZ73" s="185" t="str">
        <f>_xlfn.IFNA(VLOOKUP($AH73,Programma!$F$3:$X$1101,19,0),"")</f>
        <v>_</v>
      </c>
      <c r="BA73" s="185" t="str">
        <f>_xlfn.IFNA(VLOOKUP($AH73,Programma!$F$3:$Y$1101,20,0),"")</f>
        <v>_</v>
      </c>
      <c r="BB73" s="182"/>
      <c r="BC73" s="181" t="str">
        <f>IF(Ruimtestaat[[#This Row],[Frequentie weekend]]="","",_xlfn.CONCAT(Ruimtestaat[[#This Row],[Ruimte code]],"-",Ruimtestaat[[#This Row],[Frequentie weekend]]," ",Ruimtestaat[[#This Row],[Vloer code]]))</f>
        <v/>
      </c>
      <c r="BD73" s="185" t="str">
        <f>_xlfn.IFNA(VLOOKUP($BC73,Programma!$F$3:$G$1101,2,0),"")</f>
        <v/>
      </c>
      <c r="BE73" s="185" t="str">
        <f>_xlfn.IFNA(VLOOKUP($BC73,Programma!$F$3:$H$1101,3,0),"")</f>
        <v/>
      </c>
      <c r="BF73" s="185" t="str">
        <f>_xlfn.IFNA(VLOOKUP($BC73,Programma!$F$3:$I$1101,4,0),"")</f>
        <v/>
      </c>
      <c r="BG73" s="185" t="str">
        <f>_xlfn.IFNA(VLOOKUP($BC73,Programma!$F$3:$J$1101,5,0),"")</f>
        <v/>
      </c>
      <c r="BH73" s="185" t="str">
        <f>_xlfn.IFNA(VLOOKUP($BC73,Programma!$F$3:$K$1101,6,0),"")</f>
        <v/>
      </c>
      <c r="BI73" s="185" t="str">
        <f>_xlfn.IFNA(VLOOKUP($BC73,Programma!$F$3:$L$1101,7,0),"")</f>
        <v/>
      </c>
      <c r="BJ73" s="185" t="str">
        <f>_xlfn.IFNA(VLOOKUP($BC73,Programma!$F$3:$M$1101,8,0),"")</f>
        <v/>
      </c>
      <c r="BK73" s="185" t="str">
        <f>_xlfn.IFNA(VLOOKUP($BC73,Programma!$F$3:$N$1101,9,0),"")</f>
        <v/>
      </c>
      <c r="BL73" s="185" t="str">
        <f>_xlfn.IFNA(VLOOKUP($BC73,Programma!$F$3:$O$1101,10,0),"")</f>
        <v/>
      </c>
      <c r="BM73" s="185" t="str">
        <f>_xlfn.IFNA(VLOOKUP($BC73,Programma!$F$3:$P$1101,11,0),"")</f>
        <v/>
      </c>
      <c r="BN73" s="185" t="str">
        <f>_xlfn.IFNA(VLOOKUP($BC73,Programma!$F$3:$Q$1101,12,0),"")</f>
        <v/>
      </c>
      <c r="BO73" s="185" t="str">
        <f>_xlfn.IFNA(VLOOKUP($BC73,Programma!$F$3:$R$1101,13,0),"")</f>
        <v/>
      </c>
      <c r="BP73" s="185" t="str">
        <f>_xlfn.IFNA(VLOOKUP($BC73,Programma!$F$3:$S$1101,14,0),"")</f>
        <v/>
      </c>
      <c r="BQ73" s="185" t="str">
        <f>_xlfn.IFNA(VLOOKUP($BC73,Programma!$F$3:$T$1101,15,0),"")</f>
        <v/>
      </c>
      <c r="BR73" s="185" t="str">
        <f>_xlfn.IFNA(VLOOKUP($BC73,Programma!$F$3:$U$1101,16,0),"")</f>
        <v/>
      </c>
      <c r="BS73" s="185" t="str">
        <f>_xlfn.IFNA(VLOOKUP($BC73,Programma!$F$3:$V$1101,17,0),"")</f>
        <v/>
      </c>
      <c r="BT73" s="185" t="str">
        <f>_xlfn.IFNA(VLOOKUP($BC73,Programma!$F$3:$W$1101,18,0),"")</f>
        <v/>
      </c>
      <c r="BU73" s="185" t="str">
        <f>_xlfn.IFNA(VLOOKUP($BC73,Programma!$F$3:$X$1101,19,0),"")</f>
        <v/>
      </c>
      <c r="BV73" s="185" t="str">
        <f>_xlfn.IFNA(VLOOKUP($BC73,Programma!$F$3:$Y$1101,20,0),"")</f>
        <v/>
      </c>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c r="EO73" s="78"/>
      <c r="EP73" s="78"/>
      <c r="EQ73" s="78"/>
      <c r="ER73" s="78"/>
      <c r="ES73" s="78"/>
      <c r="ET73" s="78"/>
      <c r="EU73" s="78"/>
      <c r="EV73" s="78"/>
      <c r="EW73" s="78"/>
      <c r="EX73" s="78"/>
      <c r="EY73" s="78"/>
      <c r="EZ73" s="78"/>
      <c r="FA73" s="78"/>
      <c r="FB73" s="78"/>
      <c r="FC73" s="78"/>
      <c r="FD73" s="78"/>
      <c r="FE73" s="78"/>
      <c r="FF73" s="78"/>
      <c r="FG73" s="78"/>
      <c r="FH73" s="78"/>
      <c r="FI73" s="78"/>
      <c r="FJ73" s="78"/>
      <c r="FK73" s="78"/>
      <c r="FL73" s="78"/>
      <c r="FM73" s="78"/>
      <c r="FN73" s="78"/>
      <c r="FO73" s="78"/>
      <c r="FP73" s="78"/>
      <c r="FQ73" s="78"/>
      <c r="FR73" s="78"/>
      <c r="FS73" s="78"/>
      <c r="FT73" s="78"/>
      <c r="FU73" s="78"/>
      <c r="FV73" s="78"/>
      <c r="FW73" s="78"/>
      <c r="FX73" s="78"/>
      <c r="FY73" s="78"/>
      <c r="FZ73" s="78"/>
      <c r="GA73" s="78"/>
      <c r="GB73" s="78"/>
      <c r="GC73" s="78"/>
      <c r="GD73" s="78"/>
      <c r="GE73" s="78"/>
      <c r="GF73" s="78"/>
      <c r="GG73" s="78"/>
      <c r="GH73" s="78"/>
      <c r="GI73" s="78"/>
      <c r="GJ73" s="78"/>
      <c r="GK73" s="78"/>
      <c r="GL73" s="78"/>
      <c r="GM73" s="78"/>
      <c r="GN73" s="78"/>
      <c r="GO73" s="78"/>
      <c r="GP73" s="78"/>
      <c r="GQ73" s="78"/>
      <c r="GR73" s="78"/>
      <c r="GS73" s="78"/>
      <c r="GT73" s="78"/>
      <c r="GU73" s="78"/>
      <c r="GV73" s="78"/>
      <c r="GW73" s="78"/>
      <c r="GX73" s="78"/>
      <c r="GY73" s="78"/>
      <c r="GZ73" s="78"/>
      <c r="HA73" s="78"/>
      <c r="HB73" s="78"/>
      <c r="HC73" s="78"/>
      <c r="HD73" s="78"/>
      <c r="HE73" s="78"/>
      <c r="HF73" s="78"/>
      <c r="HG73" s="78"/>
      <c r="HH73" s="78"/>
      <c r="HI73" s="78"/>
      <c r="HJ73" s="78"/>
      <c r="HK73" s="78"/>
    </row>
    <row r="74" spans="1:219" ht="15" customHeight="1">
      <c r="A74" s="149">
        <v>3</v>
      </c>
      <c r="B74" s="176" t="str">
        <f>VLOOKUP(Ruimtestaat[[#This Row],[Code]],Locaties[[Code]:[Locatie]],2,FALSE)</f>
        <v>OBS De Spinner</v>
      </c>
      <c r="C74" s="176" t="str">
        <f>VLOOKUP(Ruimtestaat[[#This Row],[Code]],Locaties[[#All],[Code]:[Adres]],4,FALSE)</f>
        <v>Spinnerstraat 29</v>
      </c>
      <c r="D74" s="176" t="str">
        <f>VLOOKUP(Ruimtestaat[[#This Row],[Code]],Locaties[[#All],[Code]:[Postcode]],5,FALSE)</f>
        <v>7545 TP</v>
      </c>
      <c r="E74" s="176" t="str">
        <f>VLOOKUP(Ruimtestaat[[#This Row],[Code]],Locaties[#All],6,FALSE)</f>
        <v>Enschede</v>
      </c>
      <c r="F74" s="149"/>
      <c r="G74" s="149" t="s">
        <v>1646</v>
      </c>
      <c r="H74" s="300" t="s">
        <v>1654</v>
      </c>
      <c r="I74" s="301" t="s">
        <v>1655</v>
      </c>
      <c r="J74" s="99">
        <v>5</v>
      </c>
      <c r="K74" s="183" t="str">
        <f>VLOOKUP(Ruimtestaat[[#This Row],[Ruimte code]],Ruimtegroepen[[#All],[Code]:[Ruimte omschrijving]],2,FALSE)</f>
        <v>Sanitair</v>
      </c>
      <c r="L74" s="149" t="s">
        <v>102</v>
      </c>
      <c r="M74" s="301" t="s">
        <v>120</v>
      </c>
      <c r="N74" s="177">
        <v>5.9</v>
      </c>
      <c r="O74" s="177"/>
      <c r="P74" s="178" t="str">
        <f>VLOOKUP(Ruimtestaat[[#This Row],[Ruimte code]],Ruimtegroepen[],4,FALSE)</f>
        <v>Sa</v>
      </c>
      <c r="Q74" s="149">
        <v>40</v>
      </c>
      <c r="R74" s="149" t="s">
        <v>2</v>
      </c>
      <c r="S74" s="149">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149">
        <f>IF(S74&gt;0,VLOOKUP($J74,Ruimtegroepen[],3,FALSE)*VLOOKUP($L74,Vloersoorten[],3,FALSE)*VLOOKUP($R74,Frequenties[],3,FALSE)*VLOOKUP($A74,Locaties[],3,FALSE),0)</f>
        <v>0</v>
      </c>
      <c r="U74" s="149">
        <f>Ruimtestaat[[#This Row],[Uitvoeringen werkdagen]]*Ruimtestaat[[#This Row],[Oppervlak (netto)]]</f>
        <v>1180</v>
      </c>
      <c r="V74" s="179">
        <f>IF(T74&gt;0,Ruimtestaat[[#This Row],[Prest. (m2 /jaar) werkdagen]]/Ruimtestaat[[#This Row],[Norm (m2/uur) werkdagen]],0)</f>
        <v>0</v>
      </c>
      <c r="W74" s="180">
        <f>Ruimtestaat[[#This Row],[uren / jaar werkdagen]]*Tariefsopbouw!$E$35</f>
        <v>0</v>
      </c>
      <c r="X74" s="149"/>
      <c r="Y74" s="149">
        <f>IF(Ruimtestaat[[#This Row],[Frequentie weekend]]&gt;0,VALUE(LEFT(X74,1))*Q74,0)</f>
        <v>0</v>
      </c>
      <c r="Z74" s="148">
        <f>IF($Y74&gt;0,VLOOKUP($J74,Ruimtegroepen[],3,FALSE)*VLOOKUP($L74,Vloersoorten[],3,FALSE)*VLOOKUP($X74,Frequenties[],3,FALSE)*VLOOKUP(#REF!,Locaties[],3,FALSE),0)</f>
        <v>0</v>
      </c>
      <c r="AA74" s="148">
        <f>Ruimtestaat[[#This Row],[Uitvoeringen weekend]]*Ruimtestaat[[#This Row],[Oppervlak (netto)]]</f>
        <v>0</v>
      </c>
      <c r="AB74" s="148">
        <f>IF(Z74&gt;0,Ruimtestaat[[#This Row],[Prest. (m2 /jaar) weekend]]/Ruimtestaat[[#This Row],[Norm (m2/uur) weekend]],0)</f>
        <v>0</v>
      </c>
      <c r="AC74" s="180">
        <f>Ruimtestaat[[#This Row],[uren / jaar weekend]]*Tariefsopbouw!$D$40</f>
        <v>0</v>
      </c>
      <c r="AD74" s="179">
        <f>Ruimtestaat[[#This Row],[Prest. (m2 /jaar) weekend]]+Ruimtestaat[[#This Row],[Prest. (m2 /jaar) werkdagen]]</f>
        <v>1180</v>
      </c>
      <c r="AE74" s="179">
        <f>Ruimtestaat[[#This Row],[uren / jaar weekend]]+Ruimtestaat[[#This Row],[uren / jaar werkdagen]]</f>
        <v>0</v>
      </c>
      <c r="AF74" s="174">
        <f>Ruimtestaat[[#This Row],[kosten / jaar weekend]]+Ruimtestaat[[#This Row],[kosten / jaar werkdagen]]</f>
        <v>0</v>
      </c>
      <c r="AG74" s="174"/>
      <c r="AH74" s="181" t="str">
        <f>IF(Ruimtestaat[[#This Row],[Frequentie werkdagen]]="","",_xlfn.CONCAT(Ruimtestaat[[#This Row],[Ruimte code]],"-",Ruimtestaat[[#This Row],[Frequentie werkdagen]]," ",Ruimtestaat[[#This Row],[Vloer code]]))</f>
        <v>5-5w P</v>
      </c>
      <c r="AI74" s="185" t="str">
        <f>_xlfn.IFNA(VLOOKUP($AH74,Programma!$F$3:$G$1101,2,0),"")</f>
        <v>_</v>
      </c>
      <c r="AJ74" s="185" t="str">
        <f>_xlfn.IFNA(VLOOKUP($AH74,Programma!$F$3:$H$1101,3,0),"")</f>
        <v>_</v>
      </c>
      <c r="AK74" s="185" t="str">
        <f>_xlfn.IFNA(VLOOKUP($AH74,Programma!$F$3:$I$1101,4,0),"")</f>
        <v>_</v>
      </c>
      <c r="AL74" s="185" t="str">
        <f>_xlfn.IFNA(VLOOKUP($AH74,Programma!$F$3:$J$1101,5,0),"")</f>
        <v>4w</v>
      </c>
      <c r="AM74" s="185" t="str">
        <f>_xlfn.IFNA(VLOOKUP($AH74,Programma!$F$3:$K$1101,6,0),"")</f>
        <v>1w</v>
      </c>
      <c r="AN74" s="185" t="str">
        <f>_xlfn.IFNA(VLOOKUP($AH74,Programma!$F$3:$L$1101,7,0),"")</f>
        <v>_</v>
      </c>
      <c r="AO74" s="185" t="str">
        <f>_xlfn.IFNA(VLOOKUP($AH74,Programma!$F$3:$M$1101,8,0),"")</f>
        <v>_</v>
      </c>
      <c r="AP74" s="185" t="str">
        <f>_xlfn.IFNA(VLOOKUP($AH74,Programma!$F$3:$N$1101,9,0),"")</f>
        <v>_</v>
      </c>
      <c r="AQ74" s="185" t="str">
        <f>_xlfn.IFNA(VLOOKUP($AH74,Programma!$F$3:$O$1101,10,0),"")</f>
        <v>_</v>
      </c>
      <c r="AR74" s="185" t="str">
        <f>_xlfn.IFNA(VLOOKUP($AH74,Programma!$F$3:$P$1101,11,0),"")</f>
        <v>_</v>
      </c>
      <c r="AS74" s="185" t="str">
        <f>_xlfn.IFNA(VLOOKUP($AH74,Programma!$F$3:$Q$1101,12,0),"")</f>
        <v>_</v>
      </c>
      <c r="AT74" s="185" t="str">
        <f>_xlfn.IFNA(VLOOKUP($AH74,Programma!$F$3:$R$1101,13,0),"")</f>
        <v>_</v>
      </c>
      <c r="AU74" s="185" t="str">
        <f>_xlfn.IFNA(VLOOKUP($AH74,Programma!$F$3:$S$1101,14,0),"")</f>
        <v>_</v>
      </c>
      <c r="AV74" s="185" t="str">
        <f>_xlfn.IFNA(VLOOKUP($AH74,Programma!$F$3:$T$1101,15,0),"")</f>
        <v>_</v>
      </c>
      <c r="AW74" s="185" t="str">
        <f>_xlfn.IFNA(VLOOKUP($AH74,Programma!$F$3:$U$1101,16,0),"")</f>
        <v>_</v>
      </c>
      <c r="AX74" s="185" t="str">
        <f>_xlfn.IFNA(VLOOKUP($AH74,Programma!$F$3:$V$1101,17,0),"")</f>
        <v>_</v>
      </c>
      <c r="AY74" s="185" t="str">
        <f>_xlfn.IFNA(VLOOKUP($AH74,Programma!$F$3:$W$1101,18,0),"")</f>
        <v>4w</v>
      </c>
      <c r="AZ74" s="185" t="str">
        <f>_xlfn.IFNA(VLOOKUP($AH74,Programma!$F$3:$X$1101,19,0),"")</f>
        <v>1w</v>
      </c>
      <c r="BA74" s="185" t="str">
        <f>_xlfn.IFNA(VLOOKUP($AH74,Programma!$F$3:$Y$1101,20,0),"")</f>
        <v>_</v>
      </c>
      <c r="BB74" s="182"/>
      <c r="BC74" s="181" t="str">
        <f>IF(Ruimtestaat[[#This Row],[Frequentie weekend]]="","",_xlfn.CONCAT(Ruimtestaat[[#This Row],[Ruimte code]],"-",Ruimtestaat[[#This Row],[Frequentie weekend]]," ",Ruimtestaat[[#This Row],[Vloer code]]))</f>
        <v/>
      </c>
      <c r="BD74" s="185" t="str">
        <f>_xlfn.IFNA(VLOOKUP($BC74,Programma!$F$3:$G$1101,2,0),"")</f>
        <v/>
      </c>
      <c r="BE74" s="185" t="str">
        <f>_xlfn.IFNA(VLOOKUP($BC74,Programma!$F$3:$H$1101,3,0),"")</f>
        <v/>
      </c>
      <c r="BF74" s="185" t="str">
        <f>_xlfn.IFNA(VLOOKUP($BC74,Programma!$F$3:$I$1101,4,0),"")</f>
        <v/>
      </c>
      <c r="BG74" s="185" t="str">
        <f>_xlfn.IFNA(VLOOKUP($BC74,Programma!$F$3:$J$1101,5,0),"")</f>
        <v/>
      </c>
      <c r="BH74" s="185" t="str">
        <f>_xlfn.IFNA(VLOOKUP($BC74,Programma!$F$3:$K$1101,6,0),"")</f>
        <v/>
      </c>
      <c r="BI74" s="185" t="str">
        <f>_xlfn.IFNA(VLOOKUP($BC74,Programma!$F$3:$L$1101,7,0),"")</f>
        <v/>
      </c>
      <c r="BJ74" s="185" t="str">
        <f>_xlfn.IFNA(VLOOKUP($BC74,Programma!$F$3:$M$1101,8,0),"")</f>
        <v/>
      </c>
      <c r="BK74" s="185" t="str">
        <f>_xlfn.IFNA(VLOOKUP($BC74,Programma!$F$3:$N$1101,9,0),"")</f>
        <v/>
      </c>
      <c r="BL74" s="185" t="str">
        <f>_xlfn.IFNA(VLOOKUP($BC74,Programma!$F$3:$O$1101,10,0),"")</f>
        <v/>
      </c>
      <c r="BM74" s="185" t="str">
        <f>_xlfn.IFNA(VLOOKUP($BC74,Programma!$F$3:$P$1101,11,0),"")</f>
        <v/>
      </c>
      <c r="BN74" s="185" t="str">
        <f>_xlfn.IFNA(VLOOKUP($BC74,Programma!$F$3:$Q$1101,12,0),"")</f>
        <v/>
      </c>
      <c r="BO74" s="185" t="str">
        <f>_xlfn.IFNA(VLOOKUP($BC74,Programma!$F$3:$R$1101,13,0),"")</f>
        <v/>
      </c>
      <c r="BP74" s="185" t="str">
        <f>_xlfn.IFNA(VLOOKUP($BC74,Programma!$F$3:$S$1101,14,0),"")</f>
        <v/>
      </c>
      <c r="BQ74" s="185" t="str">
        <f>_xlfn.IFNA(VLOOKUP($BC74,Programma!$F$3:$T$1101,15,0),"")</f>
        <v/>
      </c>
      <c r="BR74" s="185" t="str">
        <f>_xlfn.IFNA(VLOOKUP($BC74,Programma!$F$3:$U$1101,16,0),"")</f>
        <v/>
      </c>
      <c r="BS74" s="185" t="str">
        <f>_xlfn.IFNA(VLOOKUP($BC74,Programma!$F$3:$V$1101,17,0),"")</f>
        <v/>
      </c>
      <c r="BT74" s="185" t="str">
        <f>_xlfn.IFNA(VLOOKUP($BC74,Programma!$F$3:$W$1101,18,0),"")</f>
        <v/>
      </c>
      <c r="BU74" s="185" t="str">
        <f>_xlfn.IFNA(VLOOKUP($BC74,Programma!$F$3:$X$1101,19,0),"")</f>
        <v/>
      </c>
      <c r="BV74" s="185" t="str">
        <f>_xlfn.IFNA(VLOOKUP($BC74,Programma!$F$3:$Y$1101,20,0),"")</f>
        <v/>
      </c>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c r="EO74" s="78"/>
      <c r="EP74" s="78"/>
      <c r="EQ74" s="78"/>
      <c r="ER74" s="78"/>
      <c r="ES74" s="78"/>
      <c r="ET74" s="78"/>
      <c r="EU74" s="78"/>
      <c r="EV74" s="78"/>
      <c r="EW74" s="78"/>
      <c r="EX74" s="78"/>
      <c r="EY74" s="78"/>
      <c r="EZ74" s="78"/>
      <c r="FA74" s="78"/>
      <c r="FB74" s="78"/>
      <c r="FC74" s="78"/>
      <c r="FD74" s="78"/>
      <c r="FE74" s="78"/>
      <c r="FF74" s="78"/>
      <c r="FG74" s="78"/>
      <c r="FH74" s="78"/>
      <c r="FI74" s="78"/>
      <c r="FJ74" s="78"/>
      <c r="FK74" s="78"/>
      <c r="FL74" s="78"/>
      <c r="FM74" s="78"/>
      <c r="FN74" s="78"/>
      <c r="FO74" s="78"/>
      <c r="FP74" s="78"/>
      <c r="FQ74" s="78"/>
      <c r="FR74" s="78"/>
      <c r="FS74" s="78"/>
      <c r="FT74" s="78"/>
      <c r="FU74" s="78"/>
      <c r="FV74" s="78"/>
      <c r="FW74" s="78"/>
      <c r="FX74" s="78"/>
      <c r="FY74" s="78"/>
      <c r="FZ74" s="78"/>
      <c r="GA74" s="78"/>
      <c r="GB74" s="78"/>
      <c r="GC74" s="78"/>
      <c r="GD74" s="78"/>
      <c r="GE74" s="78"/>
      <c r="GF74" s="78"/>
      <c r="GG74" s="78"/>
      <c r="GH74" s="78"/>
      <c r="GI74" s="78"/>
      <c r="GJ74" s="78"/>
      <c r="GK74" s="78"/>
      <c r="GL74" s="78"/>
      <c r="GM74" s="78"/>
      <c r="GN74" s="78"/>
      <c r="GO74" s="78"/>
      <c r="GP74" s="78"/>
      <c r="GQ74" s="78"/>
      <c r="GR74" s="78"/>
      <c r="GS74" s="78"/>
      <c r="GT74" s="78"/>
      <c r="GU74" s="78"/>
      <c r="GV74" s="78"/>
      <c r="GW74" s="78"/>
      <c r="GX74" s="78"/>
      <c r="GY74" s="78"/>
      <c r="GZ74" s="78"/>
      <c r="HA74" s="78"/>
      <c r="HB74" s="78"/>
      <c r="HC74" s="78"/>
      <c r="HD74" s="78"/>
      <c r="HE74" s="78"/>
      <c r="HF74" s="78"/>
      <c r="HG74" s="78"/>
      <c r="HH74" s="78"/>
      <c r="HI74" s="78"/>
      <c r="HJ74" s="78"/>
      <c r="HK74" s="78"/>
    </row>
    <row r="75" spans="1:219" ht="15" customHeight="1">
      <c r="A75" s="149">
        <v>3</v>
      </c>
      <c r="B75" s="176" t="str">
        <f>VLOOKUP(Ruimtestaat[[#This Row],[Code]],Locaties[[Code]:[Locatie]],2,FALSE)</f>
        <v>OBS De Spinner</v>
      </c>
      <c r="C75" s="176" t="str">
        <f>VLOOKUP(Ruimtestaat[[#This Row],[Code]],Locaties[[#All],[Code]:[Adres]],4,FALSE)</f>
        <v>Spinnerstraat 29</v>
      </c>
      <c r="D75" s="176" t="str">
        <f>VLOOKUP(Ruimtestaat[[#This Row],[Code]],Locaties[[#All],[Code]:[Postcode]],5,FALSE)</f>
        <v>7545 TP</v>
      </c>
      <c r="E75" s="176" t="str">
        <f>VLOOKUP(Ruimtestaat[[#This Row],[Code]],Locaties[#All],6,FALSE)</f>
        <v>Enschede</v>
      </c>
      <c r="F75" s="149"/>
      <c r="G75" s="149" t="s">
        <v>1646</v>
      </c>
      <c r="H75" s="300" t="s">
        <v>1730</v>
      </c>
      <c r="I75" s="301" t="s">
        <v>1651</v>
      </c>
      <c r="J75" s="99">
        <v>16</v>
      </c>
      <c r="K75" s="183" t="str">
        <f>VLOOKUP(Ruimtestaat[[#This Row],[Ruimte code]],Ruimtegroepen[[#All],[Code]:[Ruimte omschrijving]],2,FALSE)</f>
        <v>Leslokalen</v>
      </c>
      <c r="L75" s="149" t="s">
        <v>102</v>
      </c>
      <c r="M75" s="301" t="s">
        <v>1699</v>
      </c>
      <c r="N75" s="177">
        <v>45.2</v>
      </c>
      <c r="O75" s="177"/>
      <c r="P75" s="178" t="str">
        <f>VLOOKUP(Ruimtestaat[[#This Row],[Ruimte code]],Ruimtegroepen[],4,FALSE)</f>
        <v>Le</v>
      </c>
      <c r="Q75" s="149">
        <v>40</v>
      </c>
      <c r="R75" s="149" t="s">
        <v>2</v>
      </c>
      <c r="S75" s="149">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5" s="149">
        <f>IF(S75&gt;0,VLOOKUP($J75,Ruimtegroepen[],3,FALSE)*VLOOKUP($L75,Vloersoorten[],3,FALSE)*VLOOKUP($R75,Frequenties[],3,FALSE)*VLOOKUP($A75,Locaties[],3,FALSE),0)</f>
        <v>0</v>
      </c>
      <c r="U75" s="149">
        <f>Ruimtestaat[[#This Row],[Uitvoeringen werkdagen]]*Ruimtestaat[[#This Row],[Oppervlak (netto)]]</f>
        <v>9040</v>
      </c>
      <c r="V75" s="179">
        <f>IF(T75&gt;0,Ruimtestaat[[#This Row],[Prest. (m2 /jaar) werkdagen]]/Ruimtestaat[[#This Row],[Norm (m2/uur) werkdagen]],0)</f>
        <v>0</v>
      </c>
      <c r="W75" s="180">
        <f>Ruimtestaat[[#This Row],[uren / jaar werkdagen]]*Tariefsopbouw!$E$35</f>
        <v>0</v>
      </c>
      <c r="X75" s="149"/>
      <c r="Y75" s="149">
        <f>IF(Ruimtestaat[[#This Row],[Frequentie weekend]]&gt;0,VALUE(LEFT(X75,1))*Q75,0)</f>
        <v>0</v>
      </c>
      <c r="Z75" s="148">
        <f>IF($Y75&gt;0,VLOOKUP($J75,Ruimtegroepen[],3,FALSE)*VLOOKUP($L75,Vloersoorten[],3,FALSE)*VLOOKUP($X75,Frequenties[],3,FALSE)*VLOOKUP(#REF!,Locaties[],3,FALSE),0)</f>
        <v>0</v>
      </c>
      <c r="AA75" s="148">
        <f>Ruimtestaat[[#This Row],[Uitvoeringen weekend]]*Ruimtestaat[[#This Row],[Oppervlak (netto)]]</f>
        <v>0</v>
      </c>
      <c r="AB75" s="148">
        <f>IF(Z75&gt;0,Ruimtestaat[[#This Row],[Prest. (m2 /jaar) weekend]]/Ruimtestaat[[#This Row],[Norm (m2/uur) weekend]],0)</f>
        <v>0</v>
      </c>
      <c r="AC75" s="180">
        <f>Ruimtestaat[[#This Row],[uren / jaar weekend]]*Tariefsopbouw!$D$40</f>
        <v>0</v>
      </c>
      <c r="AD75" s="179">
        <f>Ruimtestaat[[#This Row],[Prest. (m2 /jaar) weekend]]+Ruimtestaat[[#This Row],[Prest. (m2 /jaar) werkdagen]]</f>
        <v>9040</v>
      </c>
      <c r="AE75" s="179">
        <f>Ruimtestaat[[#This Row],[uren / jaar weekend]]+Ruimtestaat[[#This Row],[uren / jaar werkdagen]]</f>
        <v>0</v>
      </c>
      <c r="AF75" s="174">
        <f>Ruimtestaat[[#This Row],[kosten / jaar weekend]]+Ruimtestaat[[#This Row],[kosten / jaar werkdagen]]</f>
        <v>0</v>
      </c>
      <c r="AG75" s="174"/>
      <c r="AH75" s="181" t="str">
        <f>IF(Ruimtestaat[[#This Row],[Frequentie werkdagen]]="","",_xlfn.CONCAT(Ruimtestaat[[#This Row],[Ruimte code]],"-",Ruimtestaat[[#This Row],[Frequentie werkdagen]]," ",Ruimtestaat[[#This Row],[Vloer code]]))</f>
        <v>16-5w P</v>
      </c>
      <c r="AI75" s="185" t="str">
        <f>_xlfn.IFNA(VLOOKUP($AH75,Programma!$F$3:$G$1101,2,0),"")</f>
        <v>_</v>
      </c>
      <c r="AJ75" s="185" t="str">
        <f>_xlfn.IFNA(VLOOKUP($AH75,Programma!$F$3:$H$1101,3,0),"")</f>
        <v>_</v>
      </c>
      <c r="AK75" s="185" t="str">
        <f>_xlfn.IFNA(VLOOKUP($AH75,Programma!$F$3:$I$1101,4,0),"")</f>
        <v>4w</v>
      </c>
      <c r="AL75" s="185" t="str">
        <f>_xlfn.IFNA(VLOOKUP($AH75,Programma!$F$3:$J$1101,5,0),"")</f>
        <v>1w</v>
      </c>
      <c r="AM75" s="185" t="str">
        <f>_xlfn.IFNA(VLOOKUP($AH75,Programma!$F$3:$K$1101,6,0),"")</f>
        <v>1m</v>
      </c>
      <c r="AN75" s="185" t="str">
        <f>_xlfn.IFNA(VLOOKUP($AH75,Programma!$F$3:$L$1101,7,0),"")</f>
        <v>_</v>
      </c>
      <c r="AO75" s="185" t="str">
        <f>_xlfn.IFNA(VLOOKUP($AH75,Programma!$F$3:$M$1101,8,0),"")</f>
        <v>_</v>
      </c>
      <c r="AP75" s="185" t="str">
        <f>_xlfn.IFNA(VLOOKUP($AH75,Programma!$F$3:$N$1101,9,0),"")</f>
        <v>_</v>
      </c>
      <c r="AQ75" s="185" t="str">
        <f>_xlfn.IFNA(VLOOKUP($AH75,Programma!$F$3:$O$1101,10,0),"")</f>
        <v>5w</v>
      </c>
      <c r="AR75" s="185" t="str">
        <f>_xlfn.IFNA(VLOOKUP($AH75,Programma!$F$3:$P$1101,11,0),"")</f>
        <v>5w</v>
      </c>
      <c r="AS75" s="185" t="str">
        <f>_xlfn.IFNA(VLOOKUP($AH75,Programma!$F$3:$Q$1101,12,0),"")</f>
        <v>1w</v>
      </c>
      <c r="AT75" s="185" t="str">
        <f>_xlfn.IFNA(VLOOKUP($AH75,Programma!$F$3:$R$1101,13,0),"")</f>
        <v>1w</v>
      </c>
      <c r="AU75" s="185" t="str">
        <f>_xlfn.IFNA(VLOOKUP($AH75,Programma!$F$3:$S$1101,14,0),"")</f>
        <v>1m</v>
      </c>
      <c r="AV75" s="185" t="str">
        <f>_xlfn.IFNA(VLOOKUP($AH75,Programma!$F$3:$T$1101,15,0),"")</f>
        <v>2j</v>
      </c>
      <c r="AW75" s="185" t="str">
        <f>_xlfn.IFNA(VLOOKUP($AH75,Programma!$F$3:$U$1101,16,0),"")</f>
        <v>1j</v>
      </c>
      <c r="AX75" s="185" t="str">
        <f>_xlfn.IFNA(VLOOKUP($AH75,Programma!$F$3:$V$1101,17,0),"")</f>
        <v>_</v>
      </c>
      <c r="AY75" s="185" t="str">
        <f>_xlfn.IFNA(VLOOKUP($AH75,Programma!$F$3:$W$1101,18,0),"")</f>
        <v>_</v>
      </c>
      <c r="AZ75" s="185" t="str">
        <f>_xlfn.IFNA(VLOOKUP($AH75,Programma!$F$3:$X$1101,19,0),"")</f>
        <v>_</v>
      </c>
      <c r="BA75" s="185" t="str">
        <f>_xlfn.IFNA(VLOOKUP($AH75,Programma!$F$3:$Y$1101,20,0),"")</f>
        <v>_</v>
      </c>
      <c r="BB75" s="182"/>
      <c r="BC75" s="181" t="str">
        <f>IF(Ruimtestaat[[#This Row],[Frequentie weekend]]="","",_xlfn.CONCAT(Ruimtestaat[[#This Row],[Ruimte code]],"-",Ruimtestaat[[#This Row],[Frequentie weekend]]," ",Ruimtestaat[[#This Row],[Vloer code]]))</f>
        <v/>
      </c>
      <c r="BD75" s="185" t="str">
        <f>_xlfn.IFNA(VLOOKUP($BC75,Programma!$F$3:$G$1101,2,0),"")</f>
        <v/>
      </c>
      <c r="BE75" s="185" t="str">
        <f>_xlfn.IFNA(VLOOKUP($BC75,Programma!$F$3:$H$1101,3,0),"")</f>
        <v/>
      </c>
      <c r="BF75" s="185" t="str">
        <f>_xlfn.IFNA(VLOOKUP($BC75,Programma!$F$3:$I$1101,4,0),"")</f>
        <v/>
      </c>
      <c r="BG75" s="185" t="str">
        <f>_xlfn.IFNA(VLOOKUP($BC75,Programma!$F$3:$J$1101,5,0),"")</f>
        <v/>
      </c>
      <c r="BH75" s="185" t="str">
        <f>_xlfn.IFNA(VLOOKUP($BC75,Programma!$F$3:$K$1101,6,0),"")</f>
        <v/>
      </c>
      <c r="BI75" s="185" t="str">
        <f>_xlfn.IFNA(VLOOKUP($BC75,Programma!$F$3:$L$1101,7,0),"")</f>
        <v/>
      </c>
      <c r="BJ75" s="185" t="str">
        <f>_xlfn.IFNA(VLOOKUP($BC75,Programma!$F$3:$M$1101,8,0),"")</f>
        <v/>
      </c>
      <c r="BK75" s="185" t="str">
        <f>_xlfn.IFNA(VLOOKUP($BC75,Programma!$F$3:$N$1101,9,0),"")</f>
        <v/>
      </c>
      <c r="BL75" s="185" t="str">
        <f>_xlfn.IFNA(VLOOKUP($BC75,Programma!$F$3:$O$1101,10,0),"")</f>
        <v/>
      </c>
      <c r="BM75" s="185" t="str">
        <f>_xlfn.IFNA(VLOOKUP($BC75,Programma!$F$3:$P$1101,11,0),"")</f>
        <v/>
      </c>
      <c r="BN75" s="185" t="str">
        <f>_xlfn.IFNA(VLOOKUP($BC75,Programma!$F$3:$Q$1101,12,0),"")</f>
        <v/>
      </c>
      <c r="BO75" s="185" t="str">
        <f>_xlfn.IFNA(VLOOKUP($BC75,Programma!$F$3:$R$1101,13,0),"")</f>
        <v/>
      </c>
      <c r="BP75" s="185" t="str">
        <f>_xlfn.IFNA(VLOOKUP($BC75,Programma!$F$3:$S$1101,14,0),"")</f>
        <v/>
      </c>
      <c r="BQ75" s="185" t="str">
        <f>_xlfn.IFNA(VLOOKUP($BC75,Programma!$F$3:$T$1101,15,0),"")</f>
        <v/>
      </c>
      <c r="BR75" s="185" t="str">
        <f>_xlfn.IFNA(VLOOKUP($BC75,Programma!$F$3:$U$1101,16,0),"")</f>
        <v/>
      </c>
      <c r="BS75" s="185" t="str">
        <f>_xlfn.IFNA(VLOOKUP($BC75,Programma!$F$3:$V$1101,17,0),"")</f>
        <v/>
      </c>
      <c r="BT75" s="185" t="str">
        <f>_xlfn.IFNA(VLOOKUP($BC75,Programma!$F$3:$W$1101,18,0),"")</f>
        <v/>
      </c>
      <c r="BU75" s="185" t="str">
        <f>_xlfn.IFNA(VLOOKUP($BC75,Programma!$F$3:$X$1101,19,0),"")</f>
        <v/>
      </c>
      <c r="BV75" s="185" t="str">
        <f>_xlfn.IFNA(VLOOKUP($BC75,Programma!$F$3:$Y$1101,20,0),"")</f>
        <v/>
      </c>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c r="EO75" s="78"/>
      <c r="EP75" s="78"/>
      <c r="EQ75" s="78"/>
      <c r="ER75" s="78"/>
      <c r="ES75" s="78"/>
      <c r="ET75" s="78"/>
      <c r="EU75" s="78"/>
      <c r="EV75" s="78"/>
      <c r="EW75" s="78"/>
      <c r="EX75" s="78"/>
      <c r="EY75" s="78"/>
      <c r="EZ75" s="78"/>
      <c r="FA75" s="78"/>
      <c r="FB75" s="78"/>
      <c r="FC75" s="78"/>
      <c r="FD75" s="78"/>
      <c r="FE75" s="78"/>
      <c r="FF75" s="78"/>
      <c r="FG75" s="78"/>
      <c r="FH75" s="78"/>
      <c r="FI75" s="78"/>
      <c r="FJ75" s="78"/>
      <c r="FK75" s="78"/>
      <c r="FL75" s="78"/>
      <c r="FM75" s="78"/>
      <c r="FN75" s="78"/>
      <c r="FO75" s="78"/>
      <c r="FP75" s="78"/>
      <c r="FQ75" s="78"/>
      <c r="FR75" s="78"/>
      <c r="FS75" s="78"/>
      <c r="FT75" s="78"/>
      <c r="FU75" s="78"/>
      <c r="FV75" s="78"/>
      <c r="FW75" s="78"/>
      <c r="FX75" s="78"/>
      <c r="FY75" s="78"/>
      <c r="FZ75" s="78"/>
      <c r="GA75" s="78"/>
      <c r="GB75" s="78"/>
      <c r="GC75" s="78"/>
      <c r="GD75" s="78"/>
      <c r="GE75" s="78"/>
      <c r="GF75" s="78"/>
      <c r="GG75" s="78"/>
      <c r="GH75" s="78"/>
      <c r="GI75" s="78"/>
      <c r="GJ75" s="78"/>
      <c r="GK75" s="78"/>
      <c r="GL75" s="78"/>
      <c r="GM75" s="78"/>
      <c r="GN75" s="78"/>
      <c r="GO75" s="78"/>
      <c r="GP75" s="78"/>
      <c r="GQ75" s="78"/>
      <c r="GR75" s="78"/>
      <c r="GS75" s="78"/>
      <c r="GT75" s="78"/>
      <c r="GU75" s="78"/>
      <c r="GV75" s="78"/>
      <c r="GW75" s="78"/>
      <c r="GX75" s="78"/>
      <c r="GY75" s="78"/>
      <c r="GZ75" s="78"/>
      <c r="HA75" s="78"/>
      <c r="HB75" s="78"/>
      <c r="HC75" s="78"/>
      <c r="HD75" s="78"/>
      <c r="HE75" s="78"/>
      <c r="HF75" s="78"/>
      <c r="HG75" s="78"/>
      <c r="HH75" s="78"/>
      <c r="HI75" s="78"/>
      <c r="HJ75" s="78"/>
      <c r="HK75" s="78"/>
    </row>
    <row r="76" spans="1:219" ht="15" customHeight="1">
      <c r="A76" s="149">
        <v>3</v>
      </c>
      <c r="B76" s="176" t="str">
        <f>VLOOKUP(Ruimtestaat[[#This Row],[Code]],Locaties[[Code]:[Locatie]],2,FALSE)</f>
        <v>OBS De Spinner</v>
      </c>
      <c r="C76" s="176" t="str">
        <f>VLOOKUP(Ruimtestaat[[#This Row],[Code]],Locaties[[#All],[Code]:[Adres]],4,FALSE)</f>
        <v>Spinnerstraat 29</v>
      </c>
      <c r="D76" s="176" t="str">
        <f>VLOOKUP(Ruimtestaat[[#This Row],[Code]],Locaties[[#All],[Code]:[Postcode]],5,FALSE)</f>
        <v>7545 TP</v>
      </c>
      <c r="E76" s="176" t="str">
        <f>VLOOKUP(Ruimtestaat[[#This Row],[Code]],Locaties[#All],6,FALSE)</f>
        <v>Enschede</v>
      </c>
      <c r="F76" s="149"/>
      <c r="G76" s="149" t="s">
        <v>1646</v>
      </c>
      <c r="H76" s="300" t="s">
        <v>1656</v>
      </c>
      <c r="I76" s="301" t="s">
        <v>1679</v>
      </c>
      <c r="J76" s="99">
        <v>15</v>
      </c>
      <c r="K76" s="183" t="str">
        <f>VLOOKUP(Ruimtestaat[[#This Row],[Ruimte code]],Ruimtegroepen[[#All],[Code]:[Ruimte omschrijving]],2,FALSE)</f>
        <v>Keuken/pantry</v>
      </c>
      <c r="L76" s="149" t="s">
        <v>102</v>
      </c>
      <c r="M76" s="301" t="s">
        <v>120</v>
      </c>
      <c r="N76" s="177">
        <v>12.7</v>
      </c>
      <c r="O76" s="177"/>
      <c r="P76" s="178" t="str">
        <f>VLOOKUP(Ruimtestaat[[#This Row],[Ruimte code]],Ruimtegroepen[],4,FALSE)</f>
        <v>Ve</v>
      </c>
      <c r="Q76" s="149">
        <v>40</v>
      </c>
      <c r="R76" s="149" t="s">
        <v>2</v>
      </c>
      <c r="S76" s="149">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 s="149">
        <f>IF(S76&gt;0,VLOOKUP($J76,Ruimtegroepen[],3,FALSE)*VLOOKUP($L76,Vloersoorten[],3,FALSE)*VLOOKUP($R76,Frequenties[],3,FALSE)*VLOOKUP($A76,Locaties[],3,FALSE),0)</f>
        <v>0</v>
      </c>
      <c r="U76" s="149">
        <f>Ruimtestaat[[#This Row],[Uitvoeringen werkdagen]]*Ruimtestaat[[#This Row],[Oppervlak (netto)]]</f>
        <v>2540</v>
      </c>
      <c r="V76" s="179">
        <f>IF(T76&gt;0,Ruimtestaat[[#This Row],[Prest. (m2 /jaar) werkdagen]]/Ruimtestaat[[#This Row],[Norm (m2/uur) werkdagen]],0)</f>
        <v>0</v>
      </c>
      <c r="W76" s="180">
        <f>Ruimtestaat[[#This Row],[uren / jaar werkdagen]]*Tariefsopbouw!$E$35</f>
        <v>0</v>
      </c>
      <c r="X76" s="149"/>
      <c r="Y76" s="149">
        <f>IF(Ruimtestaat[[#This Row],[Frequentie weekend]]&gt;0,VALUE(LEFT(X76,1))*Q76,0)</f>
        <v>0</v>
      </c>
      <c r="Z76" s="148">
        <f>IF($Y76&gt;0,VLOOKUP($J76,Ruimtegroepen[],3,FALSE)*VLOOKUP($L76,Vloersoorten[],3,FALSE)*VLOOKUP($X76,Frequenties[],3,FALSE)*VLOOKUP(#REF!,Locaties[],3,FALSE),0)</f>
        <v>0</v>
      </c>
      <c r="AA76" s="148">
        <f>Ruimtestaat[[#This Row],[Uitvoeringen weekend]]*Ruimtestaat[[#This Row],[Oppervlak (netto)]]</f>
        <v>0</v>
      </c>
      <c r="AB76" s="148">
        <f>IF(Z76&gt;0,Ruimtestaat[[#This Row],[Prest. (m2 /jaar) weekend]]/Ruimtestaat[[#This Row],[Norm (m2/uur) weekend]],0)</f>
        <v>0</v>
      </c>
      <c r="AC76" s="180">
        <f>Ruimtestaat[[#This Row],[uren / jaar weekend]]*Tariefsopbouw!$D$40</f>
        <v>0</v>
      </c>
      <c r="AD76" s="179">
        <f>Ruimtestaat[[#This Row],[Prest. (m2 /jaar) weekend]]+Ruimtestaat[[#This Row],[Prest. (m2 /jaar) werkdagen]]</f>
        <v>2540</v>
      </c>
      <c r="AE76" s="179">
        <f>Ruimtestaat[[#This Row],[uren / jaar weekend]]+Ruimtestaat[[#This Row],[uren / jaar werkdagen]]</f>
        <v>0</v>
      </c>
      <c r="AF76" s="174">
        <f>Ruimtestaat[[#This Row],[kosten / jaar weekend]]+Ruimtestaat[[#This Row],[kosten / jaar werkdagen]]</f>
        <v>0</v>
      </c>
      <c r="AG76" s="174"/>
      <c r="AH76" s="181" t="str">
        <f>IF(Ruimtestaat[[#This Row],[Frequentie werkdagen]]="","",_xlfn.CONCAT(Ruimtestaat[[#This Row],[Ruimte code]],"-",Ruimtestaat[[#This Row],[Frequentie werkdagen]]," ",Ruimtestaat[[#This Row],[Vloer code]]))</f>
        <v>15-5w P</v>
      </c>
      <c r="AI76" s="185" t="str">
        <f>_xlfn.IFNA(VLOOKUP($AH76,Programma!$F$3:$G$1101,2,0),"")</f>
        <v>_</v>
      </c>
      <c r="AJ76" s="185" t="str">
        <f>_xlfn.IFNA(VLOOKUP($AH76,Programma!$F$3:$H$1101,3,0),"")</f>
        <v>_</v>
      </c>
      <c r="AK76" s="185" t="str">
        <f>_xlfn.IFNA(VLOOKUP($AH76,Programma!$F$3:$I$1101,4,0),"")</f>
        <v>5w</v>
      </c>
      <c r="AL76" s="185" t="str">
        <f>_xlfn.IFNA(VLOOKUP($AH76,Programma!$F$3:$J$1101,5,0),"")</f>
        <v>_</v>
      </c>
      <c r="AM76" s="185" t="str">
        <f>_xlfn.IFNA(VLOOKUP($AH76,Programma!$F$3:$K$1101,6,0),"")</f>
        <v>5w</v>
      </c>
      <c r="AN76" s="185" t="str">
        <f>_xlfn.IFNA(VLOOKUP($AH76,Programma!$F$3:$L$1101,7,0),"")</f>
        <v>_</v>
      </c>
      <c r="AO76" s="185" t="str">
        <f>_xlfn.IFNA(VLOOKUP($AH76,Programma!$F$3:$M$1101,8,0),"")</f>
        <v>_</v>
      </c>
      <c r="AP76" s="185" t="str">
        <f>_xlfn.IFNA(VLOOKUP($AH76,Programma!$F$3:$N$1101,9,0),"")</f>
        <v>_</v>
      </c>
      <c r="AQ76" s="185" t="str">
        <f>_xlfn.IFNA(VLOOKUP($AH76,Programma!$F$3:$O$1101,10,0),"")</f>
        <v>5w</v>
      </c>
      <c r="AR76" s="185" t="str">
        <f>_xlfn.IFNA(VLOOKUP($AH76,Programma!$F$3:$P$1101,11,0),"")</f>
        <v>5w</v>
      </c>
      <c r="AS76" s="185" t="str">
        <f>_xlfn.IFNA(VLOOKUP($AH76,Programma!$F$3:$Q$1101,12,0),"")</f>
        <v>1w</v>
      </c>
      <c r="AT76" s="185" t="str">
        <f>_xlfn.IFNA(VLOOKUP($AH76,Programma!$F$3:$R$1101,13,0),"")</f>
        <v>1w</v>
      </c>
      <c r="AU76" s="185" t="str">
        <f>_xlfn.IFNA(VLOOKUP($AH76,Programma!$F$3:$S$1101,14,0),"")</f>
        <v>1m</v>
      </c>
      <c r="AV76" s="185" t="str">
        <f>_xlfn.IFNA(VLOOKUP($AH76,Programma!$F$3:$T$1101,15,0),"")</f>
        <v>2j</v>
      </c>
      <c r="AW76" s="185" t="str">
        <f>_xlfn.IFNA(VLOOKUP($AH76,Programma!$F$3:$U$1101,16,0),"")</f>
        <v>1j</v>
      </c>
      <c r="AX76" s="185" t="str">
        <f>_xlfn.IFNA(VLOOKUP($AH76,Programma!$F$3:$V$1101,17,0),"")</f>
        <v>_</v>
      </c>
      <c r="AY76" s="185" t="str">
        <f>_xlfn.IFNA(VLOOKUP($AH76,Programma!$F$3:$W$1101,18,0),"")</f>
        <v>_</v>
      </c>
      <c r="AZ76" s="185" t="str">
        <f>_xlfn.IFNA(VLOOKUP($AH76,Programma!$F$3:$X$1101,19,0),"")</f>
        <v>_</v>
      </c>
      <c r="BA76" s="185" t="str">
        <f>_xlfn.IFNA(VLOOKUP($AH76,Programma!$F$3:$Y$1101,20,0),"")</f>
        <v>_</v>
      </c>
      <c r="BB76" s="182"/>
      <c r="BC76" s="181" t="str">
        <f>IF(Ruimtestaat[[#This Row],[Frequentie weekend]]="","",_xlfn.CONCAT(Ruimtestaat[[#This Row],[Ruimte code]],"-",Ruimtestaat[[#This Row],[Frequentie weekend]]," ",Ruimtestaat[[#This Row],[Vloer code]]))</f>
        <v/>
      </c>
      <c r="BD76" s="185" t="str">
        <f>_xlfn.IFNA(VLOOKUP($BC76,Programma!$F$3:$G$1101,2,0),"")</f>
        <v/>
      </c>
      <c r="BE76" s="185" t="str">
        <f>_xlfn.IFNA(VLOOKUP($BC76,Programma!$F$3:$H$1101,3,0),"")</f>
        <v/>
      </c>
      <c r="BF76" s="185" t="str">
        <f>_xlfn.IFNA(VLOOKUP($BC76,Programma!$F$3:$I$1101,4,0),"")</f>
        <v/>
      </c>
      <c r="BG76" s="185" t="str">
        <f>_xlfn.IFNA(VLOOKUP($BC76,Programma!$F$3:$J$1101,5,0),"")</f>
        <v/>
      </c>
      <c r="BH76" s="185" t="str">
        <f>_xlfn.IFNA(VLOOKUP($BC76,Programma!$F$3:$K$1101,6,0),"")</f>
        <v/>
      </c>
      <c r="BI76" s="185" t="str">
        <f>_xlfn.IFNA(VLOOKUP($BC76,Programma!$F$3:$L$1101,7,0),"")</f>
        <v/>
      </c>
      <c r="BJ76" s="185" t="str">
        <f>_xlfn.IFNA(VLOOKUP($BC76,Programma!$F$3:$M$1101,8,0),"")</f>
        <v/>
      </c>
      <c r="BK76" s="185" t="str">
        <f>_xlfn.IFNA(VLOOKUP($BC76,Programma!$F$3:$N$1101,9,0),"")</f>
        <v/>
      </c>
      <c r="BL76" s="185" t="str">
        <f>_xlfn.IFNA(VLOOKUP($BC76,Programma!$F$3:$O$1101,10,0),"")</f>
        <v/>
      </c>
      <c r="BM76" s="185" t="str">
        <f>_xlfn.IFNA(VLOOKUP($BC76,Programma!$F$3:$P$1101,11,0),"")</f>
        <v/>
      </c>
      <c r="BN76" s="185" t="str">
        <f>_xlfn.IFNA(VLOOKUP($BC76,Programma!$F$3:$Q$1101,12,0),"")</f>
        <v/>
      </c>
      <c r="BO76" s="185" t="str">
        <f>_xlfn.IFNA(VLOOKUP($BC76,Programma!$F$3:$R$1101,13,0),"")</f>
        <v/>
      </c>
      <c r="BP76" s="185" t="str">
        <f>_xlfn.IFNA(VLOOKUP($BC76,Programma!$F$3:$S$1101,14,0),"")</f>
        <v/>
      </c>
      <c r="BQ76" s="185" t="str">
        <f>_xlfn.IFNA(VLOOKUP($BC76,Programma!$F$3:$T$1101,15,0),"")</f>
        <v/>
      </c>
      <c r="BR76" s="185" t="str">
        <f>_xlfn.IFNA(VLOOKUP($BC76,Programma!$F$3:$U$1101,16,0),"")</f>
        <v/>
      </c>
      <c r="BS76" s="185" t="str">
        <f>_xlfn.IFNA(VLOOKUP($BC76,Programma!$F$3:$V$1101,17,0),"")</f>
        <v/>
      </c>
      <c r="BT76" s="185" t="str">
        <f>_xlfn.IFNA(VLOOKUP($BC76,Programma!$F$3:$W$1101,18,0),"")</f>
        <v/>
      </c>
      <c r="BU76" s="185" t="str">
        <f>_xlfn.IFNA(VLOOKUP($BC76,Programma!$F$3:$X$1101,19,0),"")</f>
        <v/>
      </c>
      <c r="BV76" s="185" t="str">
        <f>_xlfn.IFNA(VLOOKUP($BC76,Programma!$F$3:$Y$1101,20,0),"")</f>
        <v/>
      </c>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8"/>
      <c r="FF76" s="78"/>
      <c r="FG76" s="78"/>
      <c r="FH76" s="78"/>
      <c r="FI76" s="78"/>
      <c r="FJ76" s="78"/>
      <c r="FK76" s="78"/>
      <c r="FL76" s="78"/>
      <c r="FM76" s="78"/>
      <c r="FN76" s="78"/>
      <c r="FO76" s="78"/>
      <c r="FP76" s="78"/>
      <c r="FQ76" s="78"/>
      <c r="FR76" s="78"/>
      <c r="FS76" s="78"/>
      <c r="FT76" s="78"/>
      <c r="FU76" s="78"/>
      <c r="FV76" s="78"/>
      <c r="FW76" s="78"/>
      <c r="FX76" s="78"/>
      <c r="FY76" s="78"/>
      <c r="FZ76" s="78"/>
      <c r="GA76" s="78"/>
      <c r="GB76" s="78"/>
      <c r="GC76" s="78"/>
      <c r="GD76" s="78"/>
      <c r="GE76" s="78"/>
      <c r="GF76" s="78"/>
      <c r="GG76" s="78"/>
      <c r="GH76" s="78"/>
      <c r="GI76" s="78"/>
      <c r="GJ76" s="78"/>
      <c r="GK76" s="78"/>
      <c r="GL76" s="78"/>
      <c r="GM76" s="78"/>
      <c r="GN76" s="78"/>
      <c r="GO76" s="78"/>
      <c r="GP76" s="78"/>
      <c r="GQ76" s="78"/>
      <c r="GR76" s="78"/>
      <c r="GS76" s="78"/>
      <c r="GT76" s="78"/>
      <c r="GU76" s="78"/>
      <c r="GV76" s="78"/>
      <c r="GW76" s="78"/>
      <c r="GX76" s="78"/>
      <c r="GY76" s="78"/>
      <c r="GZ76" s="78"/>
      <c r="HA76" s="78"/>
      <c r="HB76" s="78"/>
      <c r="HC76" s="78"/>
      <c r="HD76" s="78"/>
      <c r="HE76" s="78"/>
      <c r="HF76" s="78"/>
      <c r="HG76" s="78"/>
      <c r="HH76" s="78"/>
      <c r="HI76" s="78"/>
      <c r="HJ76" s="78"/>
      <c r="HK76" s="78"/>
    </row>
    <row r="77" spans="1:219" ht="15" customHeight="1">
      <c r="A77" s="149">
        <v>3</v>
      </c>
      <c r="B77" s="176" t="str">
        <f>VLOOKUP(Ruimtestaat[[#This Row],[Code]],Locaties[[Code]:[Locatie]],2,FALSE)</f>
        <v>OBS De Spinner</v>
      </c>
      <c r="C77" s="176" t="str">
        <f>VLOOKUP(Ruimtestaat[[#This Row],[Code]],Locaties[[#All],[Code]:[Adres]],4,FALSE)</f>
        <v>Spinnerstraat 29</v>
      </c>
      <c r="D77" s="176" t="str">
        <f>VLOOKUP(Ruimtestaat[[#This Row],[Code]],Locaties[[#All],[Code]:[Postcode]],5,FALSE)</f>
        <v>7545 TP</v>
      </c>
      <c r="E77" s="176" t="str">
        <f>VLOOKUP(Ruimtestaat[[#This Row],[Code]],Locaties[#All],6,FALSE)</f>
        <v>Enschede</v>
      </c>
      <c r="F77" s="149"/>
      <c r="G77" s="149" t="s">
        <v>1646</v>
      </c>
      <c r="H77" s="300" t="s">
        <v>1657</v>
      </c>
      <c r="I77" s="301" t="s">
        <v>1681</v>
      </c>
      <c r="J77" s="99">
        <v>6</v>
      </c>
      <c r="K77" s="183" t="str">
        <f>VLOOKUP(Ruimtestaat[[#This Row],[Ruimte code]],Ruimtegroepen[[#All],[Code]:[Ruimte omschrijving]],2,FALSE)</f>
        <v>Gangen/hallen</v>
      </c>
      <c r="L77" s="149" t="s">
        <v>100</v>
      </c>
      <c r="M77" s="301" t="s">
        <v>1697</v>
      </c>
      <c r="N77" s="177">
        <v>114.1</v>
      </c>
      <c r="O77" s="177"/>
      <c r="P77" s="178" t="str">
        <f>VLOOKUP(Ruimtestaat[[#This Row],[Ruimte code]],Ruimtegroepen[],4,FALSE)</f>
        <v>Ve</v>
      </c>
      <c r="Q77" s="149">
        <v>40</v>
      </c>
      <c r="R77" s="149" t="s">
        <v>2</v>
      </c>
      <c r="S77" s="149">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149">
        <f>IF(S77&gt;0,VLOOKUP($J77,Ruimtegroepen[],3,FALSE)*VLOOKUP($L77,Vloersoorten[],3,FALSE)*VLOOKUP($R77,Frequenties[],3,FALSE)*VLOOKUP($A77,Locaties[],3,FALSE),0)</f>
        <v>0</v>
      </c>
      <c r="U77" s="149">
        <f>Ruimtestaat[[#This Row],[Uitvoeringen werkdagen]]*Ruimtestaat[[#This Row],[Oppervlak (netto)]]</f>
        <v>22820</v>
      </c>
      <c r="V77" s="179">
        <f>IF(T77&gt;0,Ruimtestaat[[#This Row],[Prest. (m2 /jaar) werkdagen]]/Ruimtestaat[[#This Row],[Norm (m2/uur) werkdagen]],0)</f>
        <v>0</v>
      </c>
      <c r="W77" s="180">
        <f>Ruimtestaat[[#This Row],[uren / jaar werkdagen]]*Tariefsopbouw!$E$35</f>
        <v>0</v>
      </c>
      <c r="X77" s="149"/>
      <c r="Y77" s="149">
        <f>IF(Ruimtestaat[[#This Row],[Frequentie weekend]]&gt;0,VALUE(LEFT(X77,1))*Q77,0)</f>
        <v>0</v>
      </c>
      <c r="Z77" s="148">
        <f>IF($Y77&gt;0,VLOOKUP($J77,Ruimtegroepen[],3,FALSE)*VLOOKUP($L77,Vloersoorten[],3,FALSE)*VLOOKUP($X77,Frequenties[],3,FALSE)*VLOOKUP(#REF!,Locaties[],3,FALSE),0)</f>
        <v>0</v>
      </c>
      <c r="AA77" s="148">
        <f>Ruimtestaat[[#This Row],[Uitvoeringen weekend]]*Ruimtestaat[[#This Row],[Oppervlak (netto)]]</f>
        <v>0</v>
      </c>
      <c r="AB77" s="148">
        <f>IF(Z77&gt;0,Ruimtestaat[[#This Row],[Prest. (m2 /jaar) weekend]]/Ruimtestaat[[#This Row],[Norm (m2/uur) weekend]],0)</f>
        <v>0</v>
      </c>
      <c r="AC77" s="180">
        <f>Ruimtestaat[[#This Row],[uren / jaar weekend]]*Tariefsopbouw!$D$40</f>
        <v>0</v>
      </c>
      <c r="AD77" s="179">
        <f>Ruimtestaat[[#This Row],[Prest. (m2 /jaar) weekend]]+Ruimtestaat[[#This Row],[Prest. (m2 /jaar) werkdagen]]</f>
        <v>22820</v>
      </c>
      <c r="AE77" s="179">
        <f>Ruimtestaat[[#This Row],[uren / jaar weekend]]+Ruimtestaat[[#This Row],[uren / jaar werkdagen]]</f>
        <v>0</v>
      </c>
      <c r="AF77" s="174">
        <f>Ruimtestaat[[#This Row],[kosten / jaar weekend]]+Ruimtestaat[[#This Row],[kosten / jaar werkdagen]]</f>
        <v>0</v>
      </c>
      <c r="AG77" s="174"/>
      <c r="AH77" s="181" t="str">
        <f>IF(Ruimtestaat[[#This Row],[Frequentie werkdagen]]="","",_xlfn.CONCAT(Ruimtestaat[[#This Row],[Ruimte code]],"-",Ruimtestaat[[#This Row],[Frequentie werkdagen]]," ",Ruimtestaat[[#This Row],[Vloer code]]))</f>
        <v>6-5w L</v>
      </c>
      <c r="AI77" s="185" t="str">
        <f>_xlfn.IFNA(VLOOKUP($AH77,Programma!$F$3:$G$1101,2,0),"")</f>
        <v>_</v>
      </c>
      <c r="AJ77" s="185" t="str">
        <f>_xlfn.IFNA(VLOOKUP($AH77,Programma!$F$3:$H$1101,3,0),"")</f>
        <v>_</v>
      </c>
      <c r="AK77" s="185" t="str">
        <f>_xlfn.IFNA(VLOOKUP($AH77,Programma!$F$3:$I$1101,4,0),"")</f>
        <v>_</v>
      </c>
      <c r="AL77" s="185" t="str">
        <f>_xlfn.IFNA(VLOOKUP($AH77,Programma!$F$3:$J$1101,5,0),"")</f>
        <v>5w</v>
      </c>
      <c r="AM77" s="185" t="str">
        <f>_xlfn.IFNA(VLOOKUP($AH77,Programma!$F$3:$K$1101,6,0),"")</f>
        <v>_</v>
      </c>
      <c r="AN77" s="185" t="str">
        <f>_xlfn.IFNA(VLOOKUP($AH77,Programma!$F$3:$L$1101,7,0),"")</f>
        <v>_</v>
      </c>
      <c r="AO77" s="185" t="str">
        <f>_xlfn.IFNA(VLOOKUP($AH77,Programma!$F$3:$M$1101,8,0),"")</f>
        <v>_</v>
      </c>
      <c r="AP77" s="185" t="str">
        <f>_xlfn.IFNA(VLOOKUP($AH77,Programma!$F$3:$N$1101,9,0),"")</f>
        <v>_</v>
      </c>
      <c r="AQ77" s="185" t="str">
        <f>_xlfn.IFNA(VLOOKUP($AH77,Programma!$F$3:$O$1101,10,0),"")</f>
        <v>5w</v>
      </c>
      <c r="AR77" s="185" t="str">
        <f>_xlfn.IFNA(VLOOKUP($AH77,Programma!$F$3:$P$1101,11,0),"")</f>
        <v>5w</v>
      </c>
      <c r="AS77" s="185" t="str">
        <f>_xlfn.IFNA(VLOOKUP($AH77,Programma!$F$3:$Q$1101,12,0),"")</f>
        <v>1w</v>
      </c>
      <c r="AT77" s="185" t="str">
        <f>_xlfn.IFNA(VLOOKUP($AH77,Programma!$F$3:$R$1101,13,0),"")</f>
        <v>1w</v>
      </c>
      <c r="AU77" s="185" t="str">
        <f>_xlfn.IFNA(VLOOKUP($AH77,Programma!$F$3:$S$1101,14,0),"")</f>
        <v>1m</v>
      </c>
      <c r="AV77" s="185" t="str">
        <f>_xlfn.IFNA(VLOOKUP($AH77,Programma!$F$3:$T$1101,15,0),"")</f>
        <v>2j</v>
      </c>
      <c r="AW77" s="185" t="str">
        <f>_xlfn.IFNA(VLOOKUP($AH77,Programma!$F$3:$U$1101,16,0),"")</f>
        <v>1j</v>
      </c>
      <c r="AX77" s="185" t="str">
        <f>_xlfn.IFNA(VLOOKUP($AH77,Programma!$F$3:$V$1101,17,0),"")</f>
        <v>_</v>
      </c>
      <c r="AY77" s="185" t="str">
        <f>_xlfn.IFNA(VLOOKUP($AH77,Programma!$F$3:$W$1101,18,0),"")</f>
        <v>_</v>
      </c>
      <c r="AZ77" s="185" t="str">
        <f>_xlfn.IFNA(VLOOKUP($AH77,Programma!$F$3:$X$1101,19,0),"")</f>
        <v>_</v>
      </c>
      <c r="BA77" s="185" t="str">
        <f>_xlfn.IFNA(VLOOKUP($AH77,Programma!$F$3:$Y$1101,20,0),"")</f>
        <v>_</v>
      </c>
      <c r="BB77" s="182"/>
      <c r="BC77" s="181" t="str">
        <f>IF(Ruimtestaat[[#This Row],[Frequentie weekend]]="","",_xlfn.CONCAT(Ruimtestaat[[#This Row],[Ruimte code]],"-",Ruimtestaat[[#This Row],[Frequentie weekend]]," ",Ruimtestaat[[#This Row],[Vloer code]]))</f>
        <v/>
      </c>
      <c r="BD77" s="185" t="str">
        <f>_xlfn.IFNA(VLOOKUP($BC77,Programma!$F$3:$G$1101,2,0),"")</f>
        <v/>
      </c>
      <c r="BE77" s="185" t="str">
        <f>_xlfn.IFNA(VLOOKUP($BC77,Programma!$F$3:$H$1101,3,0),"")</f>
        <v/>
      </c>
      <c r="BF77" s="185" t="str">
        <f>_xlfn.IFNA(VLOOKUP($BC77,Programma!$F$3:$I$1101,4,0),"")</f>
        <v/>
      </c>
      <c r="BG77" s="185" t="str">
        <f>_xlfn.IFNA(VLOOKUP($BC77,Programma!$F$3:$J$1101,5,0),"")</f>
        <v/>
      </c>
      <c r="BH77" s="185" t="str">
        <f>_xlfn.IFNA(VLOOKUP($BC77,Programma!$F$3:$K$1101,6,0),"")</f>
        <v/>
      </c>
      <c r="BI77" s="185" t="str">
        <f>_xlfn.IFNA(VLOOKUP($BC77,Programma!$F$3:$L$1101,7,0),"")</f>
        <v/>
      </c>
      <c r="BJ77" s="185" t="str">
        <f>_xlfn.IFNA(VLOOKUP($BC77,Programma!$F$3:$M$1101,8,0),"")</f>
        <v/>
      </c>
      <c r="BK77" s="185" t="str">
        <f>_xlfn.IFNA(VLOOKUP($BC77,Programma!$F$3:$N$1101,9,0),"")</f>
        <v/>
      </c>
      <c r="BL77" s="185" t="str">
        <f>_xlfn.IFNA(VLOOKUP($BC77,Programma!$F$3:$O$1101,10,0),"")</f>
        <v/>
      </c>
      <c r="BM77" s="185" t="str">
        <f>_xlfn.IFNA(VLOOKUP($BC77,Programma!$F$3:$P$1101,11,0),"")</f>
        <v/>
      </c>
      <c r="BN77" s="185" t="str">
        <f>_xlfn.IFNA(VLOOKUP($BC77,Programma!$F$3:$Q$1101,12,0),"")</f>
        <v/>
      </c>
      <c r="BO77" s="185" t="str">
        <f>_xlfn.IFNA(VLOOKUP($BC77,Programma!$F$3:$R$1101,13,0),"")</f>
        <v/>
      </c>
      <c r="BP77" s="185" t="str">
        <f>_xlfn.IFNA(VLOOKUP($BC77,Programma!$F$3:$S$1101,14,0),"")</f>
        <v/>
      </c>
      <c r="BQ77" s="185" t="str">
        <f>_xlfn.IFNA(VLOOKUP($BC77,Programma!$F$3:$T$1101,15,0),"")</f>
        <v/>
      </c>
      <c r="BR77" s="185" t="str">
        <f>_xlfn.IFNA(VLOOKUP($BC77,Programma!$F$3:$U$1101,16,0),"")</f>
        <v/>
      </c>
      <c r="BS77" s="185" t="str">
        <f>_xlfn.IFNA(VLOOKUP($BC77,Programma!$F$3:$V$1101,17,0),"")</f>
        <v/>
      </c>
      <c r="BT77" s="185" t="str">
        <f>_xlfn.IFNA(VLOOKUP($BC77,Programma!$F$3:$W$1101,18,0),"")</f>
        <v/>
      </c>
      <c r="BU77" s="185" t="str">
        <f>_xlfn.IFNA(VLOOKUP($BC77,Programma!$F$3:$X$1101,19,0),"")</f>
        <v/>
      </c>
      <c r="BV77" s="185" t="str">
        <f>_xlfn.IFNA(VLOOKUP($BC77,Programma!$F$3:$Y$1101,20,0),"")</f>
        <v/>
      </c>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c r="EO77" s="78"/>
      <c r="EP77" s="78"/>
      <c r="EQ77" s="78"/>
      <c r="ER77" s="78"/>
      <c r="ES77" s="78"/>
      <c r="ET77" s="78"/>
      <c r="EU77" s="78"/>
      <c r="EV77" s="78"/>
      <c r="EW77" s="78"/>
      <c r="EX77" s="78"/>
      <c r="EY77" s="78"/>
      <c r="EZ77" s="78"/>
      <c r="FA77" s="78"/>
      <c r="FB77" s="78"/>
      <c r="FC77" s="78"/>
      <c r="FD77" s="78"/>
      <c r="FE77" s="78"/>
      <c r="FF77" s="78"/>
      <c r="FG77" s="78"/>
      <c r="FH77" s="78"/>
      <c r="FI77" s="78"/>
      <c r="FJ77" s="78"/>
      <c r="FK77" s="78"/>
      <c r="FL77" s="78"/>
      <c r="FM77" s="78"/>
      <c r="FN77" s="78"/>
      <c r="FO77" s="78"/>
      <c r="FP77" s="78"/>
      <c r="FQ77" s="78"/>
      <c r="FR77" s="78"/>
      <c r="FS77" s="78"/>
      <c r="FT77" s="78"/>
      <c r="FU77" s="78"/>
      <c r="FV77" s="78"/>
      <c r="FW77" s="78"/>
      <c r="FX77" s="78"/>
      <c r="FY77" s="78"/>
      <c r="FZ77" s="78"/>
      <c r="GA77" s="78"/>
      <c r="GB77" s="78"/>
      <c r="GC77" s="78"/>
      <c r="GD77" s="78"/>
      <c r="GE77" s="78"/>
      <c r="GF77" s="78"/>
      <c r="GG77" s="78"/>
      <c r="GH77" s="78"/>
      <c r="GI77" s="78"/>
      <c r="GJ77" s="78"/>
      <c r="GK77" s="78"/>
      <c r="GL77" s="78"/>
      <c r="GM77" s="78"/>
      <c r="GN77" s="78"/>
      <c r="GO77" s="78"/>
      <c r="GP77" s="78"/>
      <c r="GQ77" s="78"/>
      <c r="GR77" s="78"/>
      <c r="GS77" s="78"/>
      <c r="GT77" s="78"/>
      <c r="GU77" s="78"/>
      <c r="GV77" s="78"/>
      <c r="GW77" s="78"/>
      <c r="GX77" s="78"/>
      <c r="GY77" s="78"/>
      <c r="GZ77" s="78"/>
      <c r="HA77" s="78"/>
      <c r="HB77" s="78"/>
      <c r="HC77" s="78"/>
      <c r="HD77" s="78"/>
      <c r="HE77" s="78"/>
      <c r="HF77" s="78"/>
      <c r="HG77" s="78"/>
      <c r="HH77" s="78"/>
      <c r="HI77" s="78"/>
      <c r="HJ77" s="78"/>
      <c r="HK77" s="78"/>
    </row>
    <row r="78" spans="1:219" ht="15" customHeight="1">
      <c r="A78" s="149">
        <v>3</v>
      </c>
      <c r="B78" s="176" t="str">
        <f>VLOOKUP(Ruimtestaat[[#This Row],[Code]],Locaties[[Code]:[Locatie]],2,FALSE)</f>
        <v>OBS De Spinner</v>
      </c>
      <c r="C78" s="176" t="str">
        <f>VLOOKUP(Ruimtestaat[[#This Row],[Code]],Locaties[[#All],[Code]:[Adres]],4,FALSE)</f>
        <v>Spinnerstraat 29</v>
      </c>
      <c r="D78" s="176" t="str">
        <f>VLOOKUP(Ruimtestaat[[#This Row],[Code]],Locaties[[#All],[Code]:[Postcode]],5,FALSE)</f>
        <v>7545 TP</v>
      </c>
      <c r="E78" s="176" t="str">
        <f>VLOOKUP(Ruimtestaat[[#This Row],[Code]],Locaties[#All],6,FALSE)</f>
        <v>Enschede</v>
      </c>
      <c r="F78" s="149"/>
      <c r="G78" s="149" t="s">
        <v>1646</v>
      </c>
      <c r="H78" s="300" t="s">
        <v>1659</v>
      </c>
      <c r="I78" s="301" t="s">
        <v>1651</v>
      </c>
      <c r="J78" s="99">
        <v>16</v>
      </c>
      <c r="K78" s="183" t="str">
        <f>VLOOKUP(Ruimtestaat[[#This Row],[Ruimte code]],Ruimtegroepen[[#All],[Code]:[Ruimte omschrijving]],2,FALSE)</f>
        <v>Leslokalen</v>
      </c>
      <c r="L78" s="149" t="s">
        <v>100</v>
      </c>
      <c r="M78" s="301" t="s">
        <v>1697</v>
      </c>
      <c r="N78" s="177">
        <v>73.599999999999994</v>
      </c>
      <c r="O78" s="177"/>
      <c r="P78" s="178" t="str">
        <f>VLOOKUP(Ruimtestaat[[#This Row],[Ruimte code]],Ruimtegroepen[],4,FALSE)</f>
        <v>Le</v>
      </c>
      <c r="Q78" s="149">
        <v>40</v>
      </c>
      <c r="R78" s="149" t="s">
        <v>2</v>
      </c>
      <c r="S78" s="149">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149">
        <f>IF(S78&gt;0,VLOOKUP($J78,Ruimtegroepen[],3,FALSE)*VLOOKUP($L78,Vloersoorten[],3,FALSE)*VLOOKUP($R78,Frequenties[],3,FALSE)*VLOOKUP($A78,Locaties[],3,FALSE),0)</f>
        <v>0</v>
      </c>
      <c r="U78" s="149">
        <f>Ruimtestaat[[#This Row],[Uitvoeringen werkdagen]]*Ruimtestaat[[#This Row],[Oppervlak (netto)]]</f>
        <v>14719.999999999998</v>
      </c>
      <c r="V78" s="179">
        <f>IF(T78&gt;0,Ruimtestaat[[#This Row],[Prest. (m2 /jaar) werkdagen]]/Ruimtestaat[[#This Row],[Norm (m2/uur) werkdagen]],0)</f>
        <v>0</v>
      </c>
      <c r="W78" s="180">
        <f>Ruimtestaat[[#This Row],[uren / jaar werkdagen]]*Tariefsopbouw!$E$35</f>
        <v>0</v>
      </c>
      <c r="X78" s="149"/>
      <c r="Y78" s="149">
        <f>IF(Ruimtestaat[[#This Row],[Frequentie weekend]]&gt;0,VALUE(LEFT(X78,1))*Q78,0)</f>
        <v>0</v>
      </c>
      <c r="Z78" s="148">
        <f>IF($Y78&gt;0,VLOOKUP($J78,Ruimtegroepen[],3,FALSE)*VLOOKUP($L78,Vloersoorten[],3,FALSE)*VLOOKUP($X78,Frequenties[],3,FALSE)*VLOOKUP(#REF!,Locaties[],3,FALSE),0)</f>
        <v>0</v>
      </c>
      <c r="AA78" s="148">
        <f>Ruimtestaat[[#This Row],[Uitvoeringen weekend]]*Ruimtestaat[[#This Row],[Oppervlak (netto)]]</f>
        <v>0</v>
      </c>
      <c r="AB78" s="148">
        <f>IF(Z78&gt;0,Ruimtestaat[[#This Row],[Prest. (m2 /jaar) weekend]]/Ruimtestaat[[#This Row],[Norm (m2/uur) weekend]],0)</f>
        <v>0</v>
      </c>
      <c r="AC78" s="180">
        <f>Ruimtestaat[[#This Row],[uren / jaar weekend]]*Tariefsopbouw!$D$40</f>
        <v>0</v>
      </c>
      <c r="AD78" s="179">
        <f>Ruimtestaat[[#This Row],[Prest. (m2 /jaar) weekend]]+Ruimtestaat[[#This Row],[Prest. (m2 /jaar) werkdagen]]</f>
        <v>14719.999999999998</v>
      </c>
      <c r="AE78" s="179">
        <f>Ruimtestaat[[#This Row],[uren / jaar weekend]]+Ruimtestaat[[#This Row],[uren / jaar werkdagen]]</f>
        <v>0</v>
      </c>
      <c r="AF78" s="174">
        <f>Ruimtestaat[[#This Row],[kosten / jaar weekend]]+Ruimtestaat[[#This Row],[kosten / jaar werkdagen]]</f>
        <v>0</v>
      </c>
      <c r="AG78" s="174"/>
      <c r="AH78" s="181" t="str">
        <f>IF(Ruimtestaat[[#This Row],[Frequentie werkdagen]]="","",_xlfn.CONCAT(Ruimtestaat[[#This Row],[Ruimte code]],"-",Ruimtestaat[[#This Row],[Frequentie werkdagen]]," ",Ruimtestaat[[#This Row],[Vloer code]]))</f>
        <v>16-5w L</v>
      </c>
      <c r="AI78" s="185" t="str">
        <f>_xlfn.IFNA(VLOOKUP($AH78,Programma!$F$3:$G$1101,2,0),"")</f>
        <v>_</v>
      </c>
      <c r="AJ78" s="185" t="str">
        <f>_xlfn.IFNA(VLOOKUP($AH78,Programma!$F$3:$H$1101,3,0),"")</f>
        <v>_</v>
      </c>
      <c r="AK78" s="185" t="str">
        <f>_xlfn.IFNA(VLOOKUP($AH78,Programma!$F$3:$I$1101,4,0),"")</f>
        <v>4w</v>
      </c>
      <c r="AL78" s="185" t="str">
        <f>_xlfn.IFNA(VLOOKUP($AH78,Programma!$F$3:$J$1101,5,0),"")</f>
        <v>1w</v>
      </c>
      <c r="AM78" s="185" t="str">
        <f>_xlfn.IFNA(VLOOKUP($AH78,Programma!$F$3:$K$1101,6,0),"")</f>
        <v>_</v>
      </c>
      <c r="AN78" s="185" t="str">
        <f>_xlfn.IFNA(VLOOKUP($AH78,Programma!$F$3:$L$1101,7,0),"")</f>
        <v>_</v>
      </c>
      <c r="AO78" s="185" t="str">
        <f>_xlfn.IFNA(VLOOKUP($AH78,Programma!$F$3:$M$1101,8,0),"")</f>
        <v>_</v>
      </c>
      <c r="AP78" s="185" t="str">
        <f>_xlfn.IFNA(VLOOKUP($AH78,Programma!$F$3:$N$1101,9,0),"")</f>
        <v>_</v>
      </c>
      <c r="AQ78" s="185" t="str">
        <f>_xlfn.IFNA(VLOOKUP($AH78,Programma!$F$3:$O$1101,10,0),"")</f>
        <v>5w</v>
      </c>
      <c r="AR78" s="185" t="str">
        <f>_xlfn.IFNA(VLOOKUP($AH78,Programma!$F$3:$P$1101,11,0),"")</f>
        <v>5w</v>
      </c>
      <c r="AS78" s="185" t="str">
        <f>_xlfn.IFNA(VLOOKUP($AH78,Programma!$F$3:$Q$1101,12,0),"")</f>
        <v>1w</v>
      </c>
      <c r="AT78" s="185" t="str">
        <f>_xlfn.IFNA(VLOOKUP($AH78,Programma!$F$3:$R$1101,13,0),"")</f>
        <v>1w</v>
      </c>
      <c r="AU78" s="185" t="str">
        <f>_xlfn.IFNA(VLOOKUP($AH78,Programma!$F$3:$S$1101,14,0),"")</f>
        <v>1m</v>
      </c>
      <c r="AV78" s="185" t="str">
        <f>_xlfn.IFNA(VLOOKUP($AH78,Programma!$F$3:$T$1101,15,0),"")</f>
        <v>2j</v>
      </c>
      <c r="AW78" s="185" t="str">
        <f>_xlfn.IFNA(VLOOKUP($AH78,Programma!$F$3:$U$1101,16,0),"")</f>
        <v>1j</v>
      </c>
      <c r="AX78" s="185" t="str">
        <f>_xlfn.IFNA(VLOOKUP($AH78,Programma!$F$3:$V$1101,17,0),"")</f>
        <v>_</v>
      </c>
      <c r="AY78" s="185" t="str">
        <f>_xlfn.IFNA(VLOOKUP($AH78,Programma!$F$3:$W$1101,18,0),"")</f>
        <v>_</v>
      </c>
      <c r="AZ78" s="185" t="str">
        <f>_xlfn.IFNA(VLOOKUP($AH78,Programma!$F$3:$X$1101,19,0),"")</f>
        <v>_</v>
      </c>
      <c r="BA78" s="185" t="str">
        <f>_xlfn.IFNA(VLOOKUP($AH78,Programma!$F$3:$Y$1101,20,0),"")</f>
        <v>_</v>
      </c>
      <c r="BB78" s="182"/>
      <c r="BC78" s="181" t="str">
        <f>IF(Ruimtestaat[[#This Row],[Frequentie weekend]]="","",_xlfn.CONCAT(Ruimtestaat[[#This Row],[Ruimte code]],"-",Ruimtestaat[[#This Row],[Frequentie weekend]]," ",Ruimtestaat[[#This Row],[Vloer code]]))</f>
        <v/>
      </c>
      <c r="BD78" s="185" t="str">
        <f>_xlfn.IFNA(VLOOKUP($BC78,Programma!$F$3:$G$1101,2,0),"")</f>
        <v/>
      </c>
      <c r="BE78" s="185" t="str">
        <f>_xlfn.IFNA(VLOOKUP($BC78,Programma!$F$3:$H$1101,3,0),"")</f>
        <v/>
      </c>
      <c r="BF78" s="185" t="str">
        <f>_xlfn.IFNA(VLOOKUP($BC78,Programma!$F$3:$I$1101,4,0),"")</f>
        <v/>
      </c>
      <c r="BG78" s="185" t="str">
        <f>_xlfn.IFNA(VLOOKUP($BC78,Programma!$F$3:$J$1101,5,0),"")</f>
        <v/>
      </c>
      <c r="BH78" s="185" t="str">
        <f>_xlfn.IFNA(VLOOKUP($BC78,Programma!$F$3:$K$1101,6,0),"")</f>
        <v/>
      </c>
      <c r="BI78" s="185" t="str">
        <f>_xlfn.IFNA(VLOOKUP($BC78,Programma!$F$3:$L$1101,7,0),"")</f>
        <v/>
      </c>
      <c r="BJ78" s="185" t="str">
        <f>_xlfn.IFNA(VLOOKUP($BC78,Programma!$F$3:$M$1101,8,0),"")</f>
        <v/>
      </c>
      <c r="BK78" s="185" t="str">
        <f>_xlfn.IFNA(VLOOKUP($BC78,Programma!$F$3:$N$1101,9,0),"")</f>
        <v/>
      </c>
      <c r="BL78" s="185" t="str">
        <f>_xlfn.IFNA(VLOOKUP($BC78,Programma!$F$3:$O$1101,10,0),"")</f>
        <v/>
      </c>
      <c r="BM78" s="185" t="str">
        <f>_xlfn.IFNA(VLOOKUP($BC78,Programma!$F$3:$P$1101,11,0),"")</f>
        <v/>
      </c>
      <c r="BN78" s="185" t="str">
        <f>_xlfn.IFNA(VLOOKUP($BC78,Programma!$F$3:$Q$1101,12,0),"")</f>
        <v/>
      </c>
      <c r="BO78" s="185" t="str">
        <f>_xlfn.IFNA(VLOOKUP($BC78,Programma!$F$3:$R$1101,13,0),"")</f>
        <v/>
      </c>
      <c r="BP78" s="185" t="str">
        <f>_xlfn.IFNA(VLOOKUP($BC78,Programma!$F$3:$S$1101,14,0),"")</f>
        <v/>
      </c>
      <c r="BQ78" s="185" t="str">
        <f>_xlfn.IFNA(VLOOKUP($BC78,Programma!$F$3:$T$1101,15,0),"")</f>
        <v/>
      </c>
      <c r="BR78" s="185" t="str">
        <f>_xlfn.IFNA(VLOOKUP($BC78,Programma!$F$3:$U$1101,16,0),"")</f>
        <v/>
      </c>
      <c r="BS78" s="185" t="str">
        <f>_xlfn.IFNA(VLOOKUP($BC78,Programma!$F$3:$V$1101,17,0),"")</f>
        <v/>
      </c>
      <c r="BT78" s="185" t="str">
        <f>_xlfn.IFNA(VLOOKUP($BC78,Programma!$F$3:$W$1101,18,0),"")</f>
        <v/>
      </c>
      <c r="BU78" s="185" t="str">
        <f>_xlfn.IFNA(VLOOKUP($BC78,Programma!$F$3:$X$1101,19,0),"")</f>
        <v/>
      </c>
      <c r="BV78" s="185" t="str">
        <f>_xlfn.IFNA(VLOOKUP($BC78,Programma!$F$3:$Y$1101,20,0),"")</f>
        <v/>
      </c>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c r="EO78" s="78"/>
      <c r="EP78" s="78"/>
      <c r="EQ78" s="78"/>
      <c r="ER78" s="78"/>
      <c r="ES78" s="78"/>
      <c r="ET78" s="78"/>
      <c r="EU78" s="78"/>
      <c r="EV78" s="78"/>
      <c r="EW78" s="78"/>
      <c r="EX78" s="78"/>
      <c r="EY78" s="78"/>
      <c r="EZ78" s="78"/>
      <c r="FA78" s="78"/>
      <c r="FB78" s="78"/>
      <c r="FC78" s="78"/>
      <c r="FD78" s="78"/>
      <c r="FE78" s="78"/>
      <c r="FF78" s="78"/>
      <c r="FG78" s="78"/>
      <c r="FH78" s="78"/>
      <c r="FI78" s="78"/>
      <c r="FJ78" s="78"/>
      <c r="FK78" s="78"/>
      <c r="FL78" s="78"/>
      <c r="FM78" s="78"/>
      <c r="FN78" s="78"/>
      <c r="FO78" s="78"/>
      <c r="FP78" s="78"/>
      <c r="FQ78" s="78"/>
      <c r="FR78" s="78"/>
      <c r="FS78" s="78"/>
      <c r="FT78" s="78"/>
      <c r="FU78" s="78"/>
      <c r="FV78" s="78"/>
      <c r="FW78" s="78"/>
      <c r="FX78" s="78"/>
      <c r="FY78" s="78"/>
      <c r="FZ78" s="78"/>
      <c r="GA78" s="78"/>
      <c r="GB78" s="78"/>
      <c r="GC78" s="78"/>
      <c r="GD78" s="78"/>
      <c r="GE78" s="78"/>
      <c r="GF78" s="78"/>
      <c r="GG78" s="78"/>
      <c r="GH78" s="78"/>
      <c r="GI78" s="78"/>
      <c r="GJ78" s="78"/>
      <c r="GK78" s="78"/>
      <c r="GL78" s="78"/>
      <c r="GM78" s="78"/>
      <c r="GN78" s="78"/>
      <c r="GO78" s="78"/>
      <c r="GP78" s="78"/>
      <c r="GQ78" s="78"/>
      <c r="GR78" s="78"/>
      <c r="GS78" s="78"/>
      <c r="GT78" s="78"/>
      <c r="GU78" s="78"/>
      <c r="GV78" s="78"/>
      <c r="GW78" s="78"/>
      <c r="GX78" s="78"/>
      <c r="GY78" s="78"/>
      <c r="GZ78" s="78"/>
      <c r="HA78" s="78"/>
      <c r="HB78" s="78"/>
      <c r="HC78" s="78"/>
      <c r="HD78" s="78"/>
      <c r="HE78" s="78"/>
      <c r="HF78" s="78"/>
      <c r="HG78" s="78"/>
      <c r="HH78" s="78"/>
      <c r="HI78" s="78"/>
      <c r="HJ78" s="78"/>
      <c r="HK78" s="78"/>
    </row>
    <row r="79" spans="1:219" ht="15" customHeight="1">
      <c r="A79" s="149">
        <v>3</v>
      </c>
      <c r="B79" s="176" t="str">
        <f>VLOOKUP(Ruimtestaat[[#This Row],[Code]],Locaties[[Code]:[Locatie]],2,FALSE)</f>
        <v>OBS De Spinner</v>
      </c>
      <c r="C79" s="176" t="str">
        <f>VLOOKUP(Ruimtestaat[[#This Row],[Code]],Locaties[[#All],[Code]:[Adres]],4,FALSE)</f>
        <v>Spinnerstraat 29</v>
      </c>
      <c r="D79" s="176" t="str">
        <f>VLOOKUP(Ruimtestaat[[#This Row],[Code]],Locaties[[#All],[Code]:[Postcode]],5,FALSE)</f>
        <v>7545 TP</v>
      </c>
      <c r="E79" s="176" t="str">
        <f>VLOOKUP(Ruimtestaat[[#This Row],[Code]],Locaties[#All],6,FALSE)</f>
        <v>Enschede</v>
      </c>
      <c r="F79" s="149"/>
      <c r="G79" s="149" t="s">
        <v>1646</v>
      </c>
      <c r="H79" s="300" t="s">
        <v>1660</v>
      </c>
      <c r="I79" s="301" t="s">
        <v>1651</v>
      </c>
      <c r="J79" s="99">
        <v>16</v>
      </c>
      <c r="K79" s="183" t="str">
        <f>VLOOKUP(Ruimtestaat[[#This Row],[Ruimte code]],Ruimtegroepen[[#All],[Code]:[Ruimte omschrijving]],2,FALSE)</f>
        <v>Leslokalen</v>
      </c>
      <c r="L79" s="149" t="s">
        <v>100</v>
      </c>
      <c r="M79" s="301" t="s">
        <v>1697</v>
      </c>
      <c r="N79" s="177">
        <v>59.7</v>
      </c>
      <c r="O79" s="177"/>
      <c r="P79" s="178" t="str">
        <f>VLOOKUP(Ruimtestaat[[#This Row],[Ruimte code]],Ruimtegroepen[],4,FALSE)</f>
        <v>Le</v>
      </c>
      <c r="Q79" s="149">
        <v>40</v>
      </c>
      <c r="R79" s="149" t="s">
        <v>2</v>
      </c>
      <c r="S79" s="149">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9" s="149">
        <f>IF(S79&gt;0,VLOOKUP($J79,Ruimtegroepen[],3,FALSE)*VLOOKUP($L79,Vloersoorten[],3,FALSE)*VLOOKUP($R79,Frequenties[],3,FALSE)*VLOOKUP($A79,Locaties[],3,FALSE),0)</f>
        <v>0</v>
      </c>
      <c r="U79" s="149">
        <f>Ruimtestaat[[#This Row],[Uitvoeringen werkdagen]]*Ruimtestaat[[#This Row],[Oppervlak (netto)]]</f>
        <v>11940</v>
      </c>
      <c r="V79" s="179">
        <f>IF(T79&gt;0,Ruimtestaat[[#This Row],[Prest. (m2 /jaar) werkdagen]]/Ruimtestaat[[#This Row],[Norm (m2/uur) werkdagen]],0)</f>
        <v>0</v>
      </c>
      <c r="W79" s="180">
        <f>Ruimtestaat[[#This Row],[uren / jaar werkdagen]]*Tariefsopbouw!$E$35</f>
        <v>0</v>
      </c>
      <c r="X79" s="149"/>
      <c r="Y79" s="149">
        <f>IF(Ruimtestaat[[#This Row],[Frequentie weekend]]&gt;0,VALUE(LEFT(X79,1))*Q79,0)</f>
        <v>0</v>
      </c>
      <c r="Z79" s="148">
        <f>IF($Y79&gt;0,VLOOKUP($J79,Ruimtegroepen[],3,FALSE)*VLOOKUP($L79,Vloersoorten[],3,FALSE)*VLOOKUP($X79,Frequenties[],3,FALSE)*VLOOKUP(#REF!,Locaties[],3,FALSE),0)</f>
        <v>0</v>
      </c>
      <c r="AA79" s="148">
        <f>Ruimtestaat[[#This Row],[Uitvoeringen weekend]]*Ruimtestaat[[#This Row],[Oppervlak (netto)]]</f>
        <v>0</v>
      </c>
      <c r="AB79" s="148">
        <f>IF(Z79&gt;0,Ruimtestaat[[#This Row],[Prest. (m2 /jaar) weekend]]/Ruimtestaat[[#This Row],[Norm (m2/uur) weekend]],0)</f>
        <v>0</v>
      </c>
      <c r="AC79" s="180">
        <f>Ruimtestaat[[#This Row],[uren / jaar weekend]]*Tariefsopbouw!$D$40</f>
        <v>0</v>
      </c>
      <c r="AD79" s="179">
        <f>Ruimtestaat[[#This Row],[Prest. (m2 /jaar) weekend]]+Ruimtestaat[[#This Row],[Prest. (m2 /jaar) werkdagen]]</f>
        <v>11940</v>
      </c>
      <c r="AE79" s="179">
        <f>Ruimtestaat[[#This Row],[uren / jaar weekend]]+Ruimtestaat[[#This Row],[uren / jaar werkdagen]]</f>
        <v>0</v>
      </c>
      <c r="AF79" s="174">
        <f>Ruimtestaat[[#This Row],[kosten / jaar weekend]]+Ruimtestaat[[#This Row],[kosten / jaar werkdagen]]</f>
        <v>0</v>
      </c>
      <c r="AG79" s="174"/>
      <c r="AH79" s="181" t="str">
        <f>IF(Ruimtestaat[[#This Row],[Frequentie werkdagen]]="","",_xlfn.CONCAT(Ruimtestaat[[#This Row],[Ruimte code]],"-",Ruimtestaat[[#This Row],[Frequentie werkdagen]]," ",Ruimtestaat[[#This Row],[Vloer code]]))</f>
        <v>16-5w L</v>
      </c>
      <c r="AI79" s="185" t="str">
        <f>_xlfn.IFNA(VLOOKUP($AH79,Programma!$F$3:$G$1101,2,0),"")</f>
        <v>_</v>
      </c>
      <c r="AJ79" s="185" t="str">
        <f>_xlfn.IFNA(VLOOKUP($AH79,Programma!$F$3:$H$1101,3,0),"")</f>
        <v>_</v>
      </c>
      <c r="AK79" s="185" t="str">
        <f>_xlfn.IFNA(VLOOKUP($AH79,Programma!$F$3:$I$1101,4,0),"")</f>
        <v>4w</v>
      </c>
      <c r="AL79" s="185" t="str">
        <f>_xlfn.IFNA(VLOOKUP($AH79,Programma!$F$3:$J$1101,5,0),"")</f>
        <v>1w</v>
      </c>
      <c r="AM79" s="185" t="str">
        <f>_xlfn.IFNA(VLOOKUP($AH79,Programma!$F$3:$K$1101,6,0),"")</f>
        <v>_</v>
      </c>
      <c r="AN79" s="185" t="str">
        <f>_xlfn.IFNA(VLOOKUP($AH79,Programma!$F$3:$L$1101,7,0),"")</f>
        <v>_</v>
      </c>
      <c r="AO79" s="185" t="str">
        <f>_xlfn.IFNA(VLOOKUP($AH79,Programma!$F$3:$M$1101,8,0),"")</f>
        <v>_</v>
      </c>
      <c r="AP79" s="185" t="str">
        <f>_xlfn.IFNA(VLOOKUP($AH79,Programma!$F$3:$N$1101,9,0),"")</f>
        <v>_</v>
      </c>
      <c r="AQ79" s="185" t="str">
        <f>_xlfn.IFNA(VLOOKUP($AH79,Programma!$F$3:$O$1101,10,0),"")</f>
        <v>5w</v>
      </c>
      <c r="AR79" s="185" t="str">
        <f>_xlfn.IFNA(VLOOKUP($AH79,Programma!$F$3:$P$1101,11,0),"")</f>
        <v>5w</v>
      </c>
      <c r="AS79" s="185" t="str">
        <f>_xlfn.IFNA(VLOOKUP($AH79,Programma!$F$3:$Q$1101,12,0),"")</f>
        <v>1w</v>
      </c>
      <c r="AT79" s="185" t="str">
        <f>_xlfn.IFNA(VLOOKUP($AH79,Programma!$F$3:$R$1101,13,0),"")</f>
        <v>1w</v>
      </c>
      <c r="AU79" s="185" t="str">
        <f>_xlfn.IFNA(VLOOKUP($AH79,Programma!$F$3:$S$1101,14,0),"")</f>
        <v>1m</v>
      </c>
      <c r="AV79" s="185" t="str">
        <f>_xlfn.IFNA(VLOOKUP($AH79,Programma!$F$3:$T$1101,15,0),"")</f>
        <v>2j</v>
      </c>
      <c r="AW79" s="185" t="str">
        <f>_xlfn.IFNA(VLOOKUP($AH79,Programma!$F$3:$U$1101,16,0),"")</f>
        <v>1j</v>
      </c>
      <c r="AX79" s="185" t="str">
        <f>_xlfn.IFNA(VLOOKUP($AH79,Programma!$F$3:$V$1101,17,0),"")</f>
        <v>_</v>
      </c>
      <c r="AY79" s="185" t="str">
        <f>_xlfn.IFNA(VLOOKUP($AH79,Programma!$F$3:$W$1101,18,0),"")</f>
        <v>_</v>
      </c>
      <c r="AZ79" s="185" t="str">
        <f>_xlfn.IFNA(VLOOKUP($AH79,Programma!$F$3:$X$1101,19,0),"")</f>
        <v>_</v>
      </c>
      <c r="BA79" s="185" t="str">
        <f>_xlfn.IFNA(VLOOKUP($AH79,Programma!$F$3:$Y$1101,20,0),"")</f>
        <v>_</v>
      </c>
      <c r="BB79" s="182"/>
      <c r="BC79" s="181" t="str">
        <f>IF(Ruimtestaat[[#This Row],[Frequentie weekend]]="","",_xlfn.CONCAT(Ruimtestaat[[#This Row],[Ruimte code]],"-",Ruimtestaat[[#This Row],[Frequentie weekend]]," ",Ruimtestaat[[#This Row],[Vloer code]]))</f>
        <v/>
      </c>
      <c r="BD79" s="185" t="str">
        <f>_xlfn.IFNA(VLOOKUP($BC79,Programma!$F$3:$G$1101,2,0),"")</f>
        <v/>
      </c>
      <c r="BE79" s="185" t="str">
        <f>_xlfn.IFNA(VLOOKUP($BC79,Programma!$F$3:$H$1101,3,0),"")</f>
        <v/>
      </c>
      <c r="BF79" s="185" t="str">
        <f>_xlfn.IFNA(VLOOKUP($BC79,Programma!$F$3:$I$1101,4,0),"")</f>
        <v/>
      </c>
      <c r="BG79" s="185" t="str">
        <f>_xlfn.IFNA(VLOOKUP($BC79,Programma!$F$3:$J$1101,5,0),"")</f>
        <v/>
      </c>
      <c r="BH79" s="185" t="str">
        <f>_xlfn.IFNA(VLOOKUP($BC79,Programma!$F$3:$K$1101,6,0),"")</f>
        <v/>
      </c>
      <c r="BI79" s="185" t="str">
        <f>_xlfn.IFNA(VLOOKUP($BC79,Programma!$F$3:$L$1101,7,0),"")</f>
        <v/>
      </c>
      <c r="BJ79" s="185" t="str">
        <f>_xlfn.IFNA(VLOOKUP($BC79,Programma!$F$3:$M$1101,8,0),"")</f>
        <v/>
      </c>
      <c r="BK79" s="185" t="str">
        <f>_xlfn.IFNA(VLOOKUP($BC79,Programma!$F$3:$N$1101,9,0),"")</f>
        <v/>
      </c>
      <c r="BL79" s="185" t="str">
        <f>_xlfn.IFNA(VLOOKUP($BC79,Programma!$F$3:$O$1101,10,0),"")</f>
        <v/>
      </c>
      <c r="BM79" s="185" t="str">
        <f>_xlfn.IFNA(VLOOKUP($BC79,Programma!$F$3:$P$1101,11,0),"")</f>
        <v/>
      </c>
      <c r="BN79" s="185" t="str">
        <f>_xlfn.IFNA(VLOOKUP($BC79,Programma!$F$3:$Q$1101,12,0),"")</f>
        <v/>
      </c>
      <c r="BO79" s="185" t="str">
        <f>_xlfn.IFNA(VLOOKUP($BC79,Programma!$F$3:$R$1101,13,0),"")</f>
        <v/>
      </c>
      <c r="BP79" s="185" t="str">
        <f>_xlfn.IFNA(VLOOKUP($BC79,Programma!$F$3:$S$1101,14,0),"")</f>
        <v/>
      </c>
      <c r="BQ79" s="185" t="str">
        <f>_xlfn.IFNA(VLOOKUP($BC79,Programma!$F$3:$T$1101,15,0),"")</f>
        <v/>
      </c>
      <c r="BR79" s="185" t="str">
        <f>_xlfn.IFNA(VLOOKUP($BC79,Programma!$F$3:$U$1101,16,0),"")</f>
        <v/>
      </c>
      <c r="BS79" s="185" t="str">
        <f>_xlfn.IFNA(VLOOKUP($BC79,Programma!$F$3:$V$1101,17,0),"")</f>
        <v/>
      </c>
      <c r="BT79" s="185" t="str">
        <f>_xlfn.IFNA(VLOOKUP($BC79,Programma!$F$3:$W$1101,18,0),"")</f>
        <v/>
      </c>
      <c r="BU79" s="185" t="str">
        <f>_xlfn.IFNA(VLOOKUP($BC79,Programma!$F$3:$X$1101,19,0),"")</f>
        <v/>
      </c>
      <c r="BV79" s="185" t="str">
        <f>_xlfn.IFNA(VLOOKUP($BC79,Programma!$F$3:$Y$1101,20,0),"")</f>
        <v/>
      </c>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c r="EO79" s="78"/>
      <c r="EP79" s="78"/>
      <c r="EQ79" s="78"/>
      <c r="ER79" s="78"/>
      <c r="ES79" s="78"/>
      <c r="ET79" s="78"/>
      <c r="EU79" s="78"/>
      <c r="EV79" s="78"/>
      <c r="EW79" s="78"/>
      <c r="EX79" s="78"/>
      <c r="EY79" s="78"/>
      <c r="EZ79" s="78"/>
      <c r="FA79" s="78"/>
      <c r="FB79" s="78"/>
      <c r="FC79" s="78"/>
      <c r="FD79" s="78"/>
      <c r="FE79" s="78"/>
      <c r="FF79" s="78"/>
      <c r="FG79" s="78"/>
      <c r="FH79" s="78"/>
      <c r="FI79" s="78"/>
      <c r="FJ79" s="78"/>
      <c r="FK79" s="78"/>
      <c r="FL79" s="78"/>
      <c r="FM79" s="78"/>
      <c r="FN79" s="78"/>
      <c r="FO79" s="78"/>
      <c r="FP79" s="78"/>
      <c r="FQ79" s="78"/>
      <c r="FR79" s="78"/>
      <c r="FS79" s="78"/>
      <c r="FT79" s="78"/>
      <c r="FU79" s="78"/>
      <c r="FV79" s="78"/>
      <c r="FW79" s="78"/>
      <c r="FX79" s="78"/>
      <c r="FY79" s="78"/>
      <c r="FZ79" s="78"/>
      <c r="GA79" s="78"/>
      <c r="GB79" s="78"/>
      <c r="GC79" s="78"/>
      <c r="GD79" s="78"/>
      <c r="GE79" s="78"/>
      <c r="GF79" s="78"/>
      <c r="GG79" s="78"/>
      <c r="GH79" s="78"/>
      <c r="GI79" s="78"/>
      <c r="GJ79" s="78"/>
      <c r="GK79" s="78"/>
      <c r="GL79" s="78"/>
      <c r="GM79" s="78"/>
      <c r="GN79" s="78"/>
      <c r="GO79" s="78"/>
      <c r="GP79" s="78"/>
      <c r="GQ79" s="78"/>
      <c r="GR79" s="78"/>
      <c r="GS79" s="78"/>
      <c r="GT79" s="78"/>
      <c r="GU79" s="78"/>
      <c r="GV79" s="78"/>
      <c r="GW79" s="78"/>
      <c r="GX79" s="78"/>
      <c r="GY79" s="78"/>
      <c r="GZ79" s="78"/>
      <c r="HA79" s="78"/>
      <c r="HB79" s="78"/>
      <c r="HC79" s="78"/>
      <c r="HD79" s="78"/>
      <c r="HE79" s="78"/>
      <c r="HF79" s="78"/>
      <c r="HG79" s="78"/>
      <c r="HH79" s="78"/>
      <c r="HI79" s="78"/>
      <c r="HJ79" s="78"/>
      <c r="HK79" s="78"/>
    </row>
    <row r="80" spans="1:219" ht="15" customHeight="1">
      <c r="A80" s="149">
        <v>3</v>
      </c>
      <c r="B80" s="176" t="str">
        <f>VLOOKUP(Ruimtestaat[[#This Row],[Code]],Locaties[[Code]:[Locatie]],2,FALSE)</f>
        <v>OBS De Spinner</v>
      </c>
      <c r="C80" s="176" t="str">
        <f>VLOOKUP(Ruimtestaat[[#This Row],[Code]],Locaties[[#All],[Code]:[Adres]],4,FALSE)</f>
        <v>Spinnerstraat 29</v>
      </c>
      <c r="D80" s="176" t="str">
        <f>VLOOKUP(Ruimtestaat[[#This Row],[Code]],Locaties[[#All],[Code]:[Postcode]],5,FALSE)</f>
        <v>7545 TP</v>
      </c>
      <c r="E80" s="176" t="str">
        <f>VLOOKUP(Ruimtestaat[[#This Row],[Code]],Locaties[#All],6,FALSE)</f>
        <v>Enschede</v>
      </c>
      <c r="F80" s="149"/>
      <c r="G80" s="149" t="s">
        <v>1646</v>
      </c>
      <c r="H80" s="300" t="s">
        <v>1661</v>
      </c>
      <c r="I80" s="301" t="s">
        <v>1651</v>
      </c>
      <c r="J80" s="99">
        <v>16</v>
      </c>
      <c r="K80" s="183" t="str">
        <f>VLOOKUP(Ruimtestaat[[#This Row],[Ruimte code]],Ruimtegroepen[[#All],[Code]:[Ruimte omschrijving]],2,FALSE)</f>
        <v>Leslokalen</v>
      </c>
      <c r="L80" s="149" t="s">
        <v>100</v>
      </c>
      <c r="M80" s="301" t="s">
        <v>1697</v>
      </c>
      <c r="N80" s="177">
        <v>65.900000000000006</v>
      </c>
      <c r="O80" s="177"/>
      <c r="P80" s="178" t="str">
        <f>VLOOKUP(Ruimtestaat[[#This Row],[Ruimte code]],Ruimtegroepen[],4,FALSE)</f>
        <v>Le</v>
      </c>
      <c r="Q80" s="149">
        <v>40</v>
      </c>
      <c r="R80" s="149" t="s">
        <v>2</v>
      </c>
      <c r="S80" s="149">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0" s="149">
        <f>IF(S80&gt;0,VLOOKUP($J80,Ruimtegroepen[],3,FALSE)*VLOOKUP($L80,Vloersoorten[],3,FALSE)*VLOOKUP($R80,Frequenties[],3,FALSE)*VLOOKUP($A80,Locaties[],3,FALSE),0)</f>
        <v>0</v>
      </c>
      <c r="U80" s="149">
        <f>Ruimtestaat[[#This Row],[Uitvoeringen werkdagen]]*Ruimtestaat[[#This Row],[Oppervlak (netto)]]</f>
        <v>13180.000000000002</v>
      </c>
      <c r="V80" s="179">
        <f>IF(T80&gt;0,Ruimtestaat[[#This Row],[Prest. (m2 /jaar) werkdagen]]/Ruimtestaat[[#This Row],[Norm (m2/uur) werkdagen]],0)</f>
        <v>0</v>
      </c>
      <c r="W80" s="180">
        <f>Ruimtestaat[[#This Row],[uren / jaar werkdagen]]*Tariefsopbouw!$E$35</f>
        <v>0</v>
      </c>
      <c r="X80" s="149"/>
      <c r="Y80" s="149">
        <f>IF(Ruimtestaat[[#This Row],[Frequentie weekend]]&gt;0,VALUE(LEFT(X80,1))*Q80,0)</f>
        <v>0</v>
      </c>
      <c r="Z80" s="148">
        <f>IF($Y80&gt;0,VLOOKUP($J80,Ruimtegroepen[],3,FALSE)*VLOOKUP($L80,Vloersoorten[],3,FALSE)*VLOOKUP($X80,Frequenties[],3,FALSE)*VLOOKUP(#REF!,Locaties[],3,FALSE),0)</f>
        <v>0</v>
      </c>
      <c r="AA80" s="148">
        <f>Ruimtestaat[[#This Row],[Uitvoeringen weekend]]*Ruimtestaat[[#This Row],[Oppervlak (netto)]]</f>
        <v>0</v>
      </c>
      <c r="AB80" s="148">
        <f>IF(Z80&gt;0,Ruimtestaat[[#This Row],[Prest. (m2 /jaar) weekend]]/Ruimtestaat[[#This Row],[Norm (m2/uur) weekend]],0)</f>
        <v>0</v>
      </c>
      <c r="AC80" s="180">
        <f>Ruimtestaat[[#This Row],[uren / jaar weekend]]*Tariefsopbouw!$D$40</f>
        <v>0</v>
      </c>
      <c r="AD80" s="179">
        <f>Ruimtestaat[[#This Row],[Prest. (m2 /jaar) weekend]]+Ruimtestaat[[#This Row],[Prest. (m2 /jaar) werkdagen]]</f>
        <v>13180.000000000002</v>
      </c>
      <c r="AE80" s="179">
        <f>Ruimtestaat[[#This Row],[uren / jaar weekend]]+Ruimtestaat[[#This Row],[uren / jaar werkdagen]]</f>
        <v>0</v>
      </c>
      <c r="AF80" s="174">
        <f>Ruimtestaat[[#This Row],[kosten / jaar weekend]]+Ruimtestaat[[#This Row],[kosten / jaar werkdagen]]</f>
        <v>0</v>
      </c>
      <c r="AG80" s="174"/>
      <c r="AH80" s="181" t="str">
        <f>IF(Ruimtestaat[[#This Row],[Frequentie werkdagen]]="","",_xlfn.CONCAT(Ruimtestaat[[#This Row],[Ruimte code]],"-",Ruimtestaat[[#This Row],[Frequentie werkdagen]]," ",Ruimtestaat[[#This Row],[Vloer code]]))</f>
        <v>16-5w L</v>
      </c>
      <c r="AI80" s="185" t="str">
        <f>_xlfn.IFNA(VLOOKUP($AH80,Programma!$F$3:$G$1101,2,0),"")</f>
        <v>_</v>
      </c>
      <c r="AJ80" s="185" t="str">
        <f>_xlfn.IFNA(VLOOKUP($AH80,Programma!$F$3:$H$1101,3,0),"")</f>
        <v>_</v>
      </c>
      <c r="AK80" s="185" t="str">
        <f>_xlfn.IFNA(VLOOKUP($AH80,Programma!$F$3:$I$1101,4,0),"")</f>
        <v>4w</v>
      </c>
      <c r="AL80" s="185" t="str">
        <f>_xlfn.IFNA(VLOOKUP($AH80,Programma!$F$3:$J$1101,5,0),"")</f>
        <v>1w</v>
      </c>
      <c r="AM80" s="185" t="str">
        <f>_xlfn.IFNA(VLOOKUP($AH80,Programma!$F$3:$K$1101,6,0),"")</f>
        <v>_</v>
      </c>
      <c r="AN80" s="185" t="str">
        <f>_xlfn.IFNA(VLOOKUP($AH80,Programma!$F$3:$L$1101,7,0),"")</f>
        <v>_</v>
      </c>
      <c r="AO80" s="185" t="str">
        <f>_xlfn.IFNA(VLOOKUP($AH80,Programma!$F$3:$M$1101,8,0),"")</f>
        <v>_</v>
      </c>
      <c r="AP80" s="185" t="str">
        <f>_xlfn.IFNA(VLOOKUP($AH80,Programma!$F$3:$N$1101,9,0),"")</f>
        <v>_</v>
      </c>
      <c r="AQ80" s="185" t="str">
        <f>_xlfn.IFNA(VLOOKUP($AH80,Programma!$F$3:$O$1101,10,0),"")</f>
        <v>5w</v>
      </c>
      <c r="AR80" s="185" t="str">
        <f>_xlfn.IFNA(VLOOKUP($AH80,Programma!$F$3:$P$1101,11,0),"")</f>
        <v>5w</v>
      </c>
      <c r="AS80" s="185" t="str">
        <f>_xlfn.IFNA(VLOOKUP($AH80,Programma!$F$3:$Q$1101,12,0),"")</f>
        <v>1w</v>
      </c>
      <c r="AT80" s="185" t="str">
        <f>_xlfn.IFNA(VLOOKUP($AH80,Programma!$F$3:$R$1101,13,0),"")</f>
        <v>1w</v>
      </c>
      <c r="AU80" s="185" t="str">
        <f>_xlfn.IFNA(VLOOKUP($AH80,Programma!$F$3:$S$1101,14,0),"")</f>
        <v>1m</v>
      </c>
      <c r="AV80" s="185" t="str">
        <f>_xlfn.IFNA(VLOOKUP($AH80,Programma!$F$3:$T$1101,15,0),"")</f>
        <v>2j</v>
      </c>
      <c r="AW80" s="185" t="str">
        <f>_xlfn.IFNA(VLOOKUP($AH80,Programma!$F$3:$U$1101,16,0),"")</f>
        <v>1j</v>
      </c>
      <c r="AX80" s="185" t="str">
        <f>_xlfn.IFNA(VLOOKUP($AH80,Programma!$F$3:$V$1101,17,0),"")</f>
        <v>_</v>
      </c>
      <c r="AY80" s="185" t="str">
        <f>_xlfn.IFNA(VLOOKUP($AH80,Programma!$F$3:$W$1101,18,0),"")</f>
        <v>_</v>
      </c>
      <c r="AZ80" s="185" t="str">
        <f>_xlfn.IFNA(VLOOKUP($AH80,Programma!$F$3:$X$1101,19,0),"")</f>
        <v>_</v>
      </c>
      <c r="BA80" s="185" t="str">
        <f>_xlfn.IFNA(VLOOKUP($AH80,Programma!$F$3:$Y$1101,20,0),"")</f>
        <v>_</v>
      </c>
      <c r="BB80" s="182"/>
      <c r="BC80" s="181" t="str">
        <f>IF(Ruimtestaat[[#This Row],[Frequentie weekend]]="","",_xlfn.CONCAT(Ruimtestaat[[#This Row],[Ruimte code]],"-",Ruimtestaat[[#This Row],[Frequentie weekend]]," ",Ruimtestaat[[#This Row],[Vloer code]]))</f>
        <v/>
      </c>
      <c r="BD80" s="185" t="str">
        <f>_xlfn.IFNA(VLOOKUP($BC80,Programma!$F$3:$G$1101,2,0),"")</f>
        <v/>
      </c>
      <c r="BE80" s="185" t="str">
        <f>_xlfn.IFNA(VLOOKUP($BC80,Programma!$F$3:$H$1101,3,0),"")</f>
        <v/>
      </c>
      <c r="BF80" s="185" t="str">
        <f>_xlfn.IFNA(VLOOKUP($BC80,Programma!$F$3:$I$1101,4,0),"")</f>
        <v/>
      </c>
      <c r="BG80" s="185" t="str">
        <f>_xlfn.IFNA(VLOOKUP($BC80,Programma!$F$3:$J$1101,5,0),"")</f>
        <v/>
      </c>
      <c r="BH80" s="185" t="str">
        <f>_xlfn.IFNA(VLOOKUP($BC80,Programma!$F$3:$K$1101,6,0),"")</f>
        <v/>
      </c>
      <c r="BI80" s="185" t="str">
        <f>_xlfn.IFNA(VLOOKUP($BC80,Programma!$F$3:$L$1101,7,0),"")</f>
        <v/>
      </c>
      <c r="BJ80" s="185" t="str">
        <f>_xlfn.IFNA(VLOOKUP($BC80,Programma!$F$3:$M$1101,8,0),"")</f>
        <v/>
      </c>
      <c r="BK80" s="185" t="str">
        <f>_xlfn.IFNA(VLOOKUP($BC80,Programma!$F$3:$N$1101,9,0),"")</f>
        <v/>
      </c>
      <c r="BL80" s="185" t="str">
        <f>_xlfn.IFNA(VLOOKUP($BC80,Programma!$F$3:$O$1101,10,0),"")</f>
        <v/>
      </c>
      <c r="BM80" s="185" t="str">
        <f>_xlfn.IFNA(VLOOKUP($BC80,Programma!$F$3:$P$1101,11,0),"")</f>
        <v/>
      </c>
      <c r="BN80" s="185" t="str">
        <f>_xlfn.IFNA(VLOOKUP($BC80,Programma!$F$3:$Q$1101,12,0),"")</f>
        <v/>
      </c>
      <c r="BO80" s="185" t="str">
        <f>_xlfn.IFNA(VLOOKUP($BC80,Programma!$F$3:$R$1101,13,0),"")</f>
        <v/>
      </c>
      <c r="BP80" s="185" t="str">
        <f>_xlfn.IFNA(VLOOKUP($BC80,Programma!$F$3:$S$1101,14,0),"")</f>
        <v/>
      </c>
      <c r="BQ80" s="185" t="str">
        <f>_xlfn.IFNA(VLOOKUP($BC80,Programma!$F$3:$T$1101,15,0),"")</f>
        <v/>
      </c>
      <c r="BR80" s="185" t="str">
        <f>_xlfn.IFNA(VLOOKUP($BC80,Programma!$F$3:$U$1101,16,0),"")</f>
        <v/>
      </c>
      <c r="BS80" s="185" t="str">
        <f>_xlfn.IFNA(VLOOKUP($BC80,Programma!$F$3:$V$1101,17,0),"")</f>
        <v/>
      </c>
      <c r="BT80" s="185" t="str">
        <f>_xlfn.IFNA(VLOOKUP($BC80,Programma!$F$3:$W$1101,18,0),"")</f>
        <v/>
      </c>
      <c r="BU80" s="185" t="str">
        <f>_xlfn.IFNA(VLOOKUP($BC80,Programma!$F$3:$X$1101,19,0),"")</f>
        <v/>
      </c>
      <c r="BV80" s="185" t="str">
        <f>_xlfn.IFNA(VLOOKUP($BC80,Programma!$F$3:$Y$1101,20,0),"")</f>
        <v/>
      </c>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c r="EO80" s="78"/>
      <c r="EP80" s="78"/>
      <c r="EQ80" s="78"/>
      <c r="ER80" s="78"/>
      <c r="ES80" s="78"/>
      <c r="ET80" s="78"/>
      <c r="EU80" s="78"/>
      <c r="EV80" s="78"/>
      <c r="EW80" s="78"/>
      <c r="EX80" s="78"/>
      <c r="EY80" s="78"/>
      <c r="EZ80" s="78"/>
      <c r="FA80" s="78"/>
      <c r="FB80" s="78"/>
      <c r="FC80" s="78"/>
      <c r="FD80" s="78"/>
      <c r="FE80" s="78"/>
      <c r="FF80" s="78"/>
      <c r="FG80" s="78"/>
      <c r="FH80" s="78"/>
      <c r="FI80" s="78"/>
      <c r="FJ80" s="78"/>
      <c r="FK80" s="78"/>
      <c r="FL80" s="78"/>
      <c r="FM80" s="78"/>
      <c r="FN80" s="78"/>
      <c r="FO80" s="78"/>
      <c r="FP80" s="78"/>
      <c r="FQ80" s="78"/>
      <c r="FR80" s="78"/>
      <c r="FS80" s="78"/>
      <c r="FT80" s="78"/>
      <c r="FU80" s="78"/>
      <c r="FV80" s="78"/>
      <c r="FW80" s="78"/>
      <c r="FX80" s="78"/>
      <c r="FY80" s="78"/>
      <c r="FZ80" s="78"/>
      <c r="GA80" s="78"/>
      <c r="GB80" s="78"/>
      <c r="GC80" s="78"/>
      <c r="GD80" s="78"/>
      <c r="GE80" s="78"/>
      <c r="GF80" s="78"/>
      <c r="GG80" s="78"/>
      <c r="GH80" s="78"/>
      <c r="GI80" s="78"/>
      <c r="GJ80" s="78"/>
      <c r="GK80" s="78"/>
      <c r="GL80" s="78"/>
      <c r="GM80" s="78"/>
      <c r="GN80" s="78"/>
      <c r="GO80" s="78"/>
      <c r="GP80" s="78"/>
      <c r="GQ80" s="78"/>
      <c r="GR80" s="78"/>
      <c r="GS80" s="78"/>
      <c r="GT80" s="78"/>
      <c r="GU80" s="78"/>
      <c r="GV80" s="78"/>
      <c r="GW80" s="78"/>
      <c r="GX80" s="78"/>
      <c r="GY80" s="78"/>
      <c r="GZ80" s="78"/>
      <c r="HA80" s="78"/>
      <c r="HB80" s="78"/>
      <c r="HC80" s="78"/>
      <c r="HD80" s="78"/>
      <c r="HE80" s="78"/>
      <c r="HF80" s="78"/>
      <c r="HG80" s="78"/>
      <c r="HH80" s="78"/>
      <c r="HI80" s="78"/>
      <c r="HJ80" s="78"/>
      <c r="HK80" s="78"/>
    </row>
    <row r="81" spans="1:219" ht="15" customHeight="1">
      <c r="A81" s="149">
        <v>3</v>
      </c>
      <c r="B81" s="176" t="str">
        <f>VLOOKUP(Ruimtestaat[[#This Row],[Code]],Locaties[[Code]:[Locatie]],2,FALSE)</f>
        <v>OBS De Spinner</v>
      </c>
      <c r="C81" s="176" t="str">
        <f>VLOOKUP(Ruimtestaat[[#This Row],[Code]],Locaties[[#All],[Code]:[Adres]],4,FALSE)</f>
        <v>Spinnerstraat 29</v>
      </c>
      <c r="D81" s="176" t="str">
        <f>VLOOKUP(Ruimtestaat[[#This Row],[Code]],Locaties[[#All],[Code]:[Postcode]],5,FALSE)</f>
        <v>7545 TP</v>
      </c>
      <c r="E81" s="176" t="str">
        <f>VLOOKUP(Ruimtestaat[[#This Row],[Code]],Locaties[#All],6,FALSE)</f>
        <v>Enschede</v>
      </c>
      <c r="F81" s="149"/>
      <c r="G81" s="149" t="s">
        <v>1646</v>
      </c>
      <c r="H81" s="300" t="s">
        <v>1663</v>
      </c>
      <c r="I81" s="301" t="s">
        <v>1655</v>
      </c>
      <c r="J81" s="99">
        <v>5</v>
      </c>
      <c r="K81" s="183" t="str">
        <f>VLOOKUP(Ruimtestaat[[#This Row],[Ruimte code]],Ruimtegroepen[[#All],[Code]:[Ruimte omschrijving]],2,FALSE)</f>
        <v>Sanitair</v>
      </c>
      <c r="L81" s="149" t="s">
        <v>101</v>
      </c>
      <c r="M81" s="301" t="s">
        <v>1682</v>
      </c>
      <c r="N81" s="177">
        <v>3</v>
      </c>
      <c r="O81" s="177"/>
      <c r="P81" s="178" t="str">
        <f>VLOOKUP(Ruimtestaat[[#This Row],[Ruimte code]],Ruimtegroepen[],4,FALSE)</f>
        <v>Sa</v>
      </c>
      <c r="Q81" s="149">
        <v>40</v>
      </c>
      <c r="R81" s="149" t="s">
        <v>2</v>
      </c>
      <c r="S81" s="149">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149">
        <f>IF(S81&gt;0,VLOOKUP($J81,Ruimtegroepen[],3,FALSE)*VLOOKUP($L81,Vloersoorten[],3,FALSE)*VLOOKUP($R81,Frequenties[],3,FALSE)*VLOOKUP($A81,Locaties[],3,FALSE),0)</f>
        <v>0</v>
      </c>
      <c r="U81" s="149">
        <f>Ruimtestaat[[#This Row],[Uitvoeringen werkdagen]]*Ruimtestaat[[#This Row],[Oppervlak (netto)]]</f>
        <v>600</v>
      </c>
      <c r="V81" s="179">
        <f>IF(T81&gt;0,Ruimtestaat[[#This Row],[Prest. (m2 /jaar) werkdagen]]/Ruimtestaat[[#This Row],[Norm (m2/uur) werkdagen]],0)</f>
        <v>0</v>
      </c>
      <c r="W81" s="180">
        <f>Ruimtestaat[[#This Row],[uren / jaar werkdagen]]*Tariefsopbouw!$E$35</f>
        <v>0</v>
      </c>
      <c r="X81" s="149"/>
      <c r="Y81" s="149">
        <f>IF(Ruimtestaat[[#This Row],[Frequentie weekend]]&gt;0,VALUE(LEFT(X81,1))*Q81,0)</f>
        <v>0</v>
      </c>
      <c r="Z81" s="148">
        <f>IF($Y81&gt;0,VLOOKUP($J81,Ruimtegroepen[],3,FALSE)*VLOOKUP($L81,Vloersoorten[],3,FALSE)*VLOOKUP($X81,Frequenties[],3,FALSE)*VLOOKUP(#REF!,Locaties[],3,FALSE),0)</f>
        <v>0</v>
      </c>
      <c r="AA81" s="148">
        <f>Ruimtestaat[[#This Row],[Uitvoeringen weekend]]*Ruimtestaat[[#This Row],[Oppervlak (netto)]]</f>
        <v>0</v>
      </c>
      <c r="AB81" s="148">
        <f>IF(Z81&gt;0,Ruimtestaat[[#This Row],[Prest. (m2 /jaar) weekend]]/Ruimtestaat[[#This Row],[Norm (m2/uur) weekend]],0)</f>
        <v>0</v>
      </c>
      <c r="AC81" s="180">
        <f>Ruimtestaat[[#This Row],[uren / jaar weekend]]*Tariefsopbouw!$D$40</f>
        <v>0</v>
      </c>
      <c r="AD81" s="179">
        <f>Ruimtestaat[[#This Row],[Prest. (m2 /jaar) weekend]]+Ruimtestaat[[#This Row],[Prest. (m2 /jaar) werkdagen]]</f>
        <v>600</v>
      </c>
      <c r="AE81" s="179">
        <f>Ruimtestaat[[#This Row],[uren / jaar weekend]]+Ruimtestaat[[#This Row],[uren / jaar werkdagen]]</f>
        <v>0</v>
      </c>
      <c r="AF81" s="174">
        <f>Ruimtestaat[[#This Row],[kosten / jaar weekend]]+Ruimtestaat[[#This Row],[kosten / jaar werkdagen]]</f>
        <v>0</v>
      </c>
      <c r="AG81" s="174"/>
      <c r="AH81" s="181" t="str">
        <f>IF(Ruimtestaat[[#This Row],[Frequentie werkdagen]]="","",_xlfn.CONCAT(Ruimtestaat[[#This Row],[Ruimte code]],"-",Ruimtestaat[[#This Row],[Frequentie werkdagen]]," ",Ruimtestaat[[#This Row],[Vloer code]]))</f>
        <v>5-5w S</v>
      </c>
      <c r="AI81" s="185" t="str">
        <f>_xlfn.IFNA(VLOOKUP($AH81,Programma!$F$3:$G$1101,2,0),"")</f>
        <v>_</v>
      </c>
      <c r="AJ81" s="185" t="str">
        <f>_xlfn.IFNA(VLOOKUP($AH81,Programma!$F$3:$H$1101,3,0),"")</f>
        <v>_</v>
      </c>
      <c r="AK81" s="185" t="str">
        <f>_xlfn.IFNA(VLOOKUP($AH81,Programma!$F$3:$I$1101,4,0),"")</f>
        <v>_</v>
      </c>
      <c r="AL81" s="185" t="str">
        <f>_xlfn.IFNA(VLOOKUP($AH81,Programma!$F$3:$J$1101,5,0),"")</f>
        <v>4w</v>
      </c>
      <c r="AM81" s="185" t="str">
        <f>_xlfn.IFNA(VLOOKUP($AH81,Programma!$F$3:$K$1101,6,0),"")</f>
        <v>1w</v>
      </c>
      <c r="AN81" s="185" t="str">
        <f>_xlfn.IFNA(VLOOKUP($AH81,Programma!$F$3:$L$1101,7,0),"")</f>
        <v>_</v>
      </c>
      <c r="AO81" s="185" t="str">
        <f>_xlfn.IFNA(VLOOKUP($AH81,Programma!$F$3:$M$1101,8,0),"")</f>
        <v>_</v>
      </c>
      <c r="AP81" s="185" t="str">
        <f>_xlfn.IFNA(VLOOKUP($AH81,Programma!$F$3:$N$1101,9,0),"")</f>
        <v>_</v>
      </c>
      <c r="AQ81" s="185" t="str">
        <f>_xlfn.IFNA(VLOOKUP($AH81,Programma!$F$3:$O$1101,10,0),"")</f>
        <v>_</v>
      </c>
      <c r="AR81" s="185" t="str">
        <f>_xlfn.IFNA(VLOOKUP($AH81,Programma!$F$3:$P$1101,11,0),"")</f>
        <v>_</v>
      </c>
      <c r="AS81" s="185" t="str">
        <f>_xlfn.IFNA(VLOOKUP($AH81,Programma!$F$3:$Q$1101,12,0),"")</f>
        <v>_</v>
      </c>
      <c r="AT81" s="185" t="str">
        <f>_xlfn.IFNA(VLOOKUP($AH81,Programma!$F$3:$R$1101,13,0),"")</f>
        <v>_</v>
      </c>
      <c r="AU81" s="185" t="str">
        <f>_xlfn.IFNA(VLOOKUP($AH81,Programma!$F$3:$S$1101,14,0),"")</f>
        <v>_</v>
      </c>
      <c r="AV81" s="185" t="str">
        <f>_xlfn.IFNA(VLOOKUP($AH81,Programma!$F$3:$T$1101,15,0),"")</f>
        <v>_</v>
      </c>
      <c r="AW81" s="185" t="str">
        <f>_xlfn.IFNA(VLOOKUP($AH81,Programma!$F$3:$U$1101,16,0),"")</f>
        <v>_</v>
      </c>
      <c r="AX81" s="185" t="str">
        <f>_xlfn.IFNA(VLOOKUP($AH81,Programma!$F$3:$V$1101,17,0),"")</f>
        <v>_</v>
      </c>
      <c r="AY81" s="185" t="str">
        <f>_xlfn.IFNA(VLOOKUP($AH81,Programma!$F$3:$W$1101,18,0),"")</f>
        <v>4w</v>
      </c>
      <c r="AZ81" s="185" t="str">
        <f>_xlfn.IFNA(VLOOKUP($AH81,Programma!$F$3:$X$1101,19,0),"")</f>
        <v>1w</v>
      </c>
      <c r="BA81" s="185" t="str">
        <f>_xlfn.IFNA(VLOOKUP($AH81,Programma!$F$3:$Y$1101,20,0),"")</f>
        <v>_</v>
      </c>
      <c r="BB81" s="182"/>
      <c r="BC81" s="181" t="str">
        <f>IF(Ruimtestaat[[#This Row],[Frequentie weekend]]="","",_xlfn.CONCAT(Ruimtestaat[[#This Row],[Ruimte code]],"-",Ruimtestaat[[#This Row],[Frequentie weekend]]," ",Ruimtestaat[[#This Row],[Vloer code]]))</f>
        <v/>
      </c>
      <c r="BD81" s="185" t="str">
        <f>_xlfn.IFNA(VLOOKUP($BC81,Programma!$F$3:$G$1101,2,0),"")</f>
        <v/>
      </c>
      <c r="BE81" s="185" t="str">
        <f>_xlfn.IFNA(VLOOKUP($BC81,Programma!$F$3:$H$1101,3,0),"")</f>
        <v/>
      </c>
      <c r="BF81" s="185" t="str">
        <f>_xlfn.IFNA(VLOOKUP($BC81,Programma!$F$3:$I$1101,4,0),"")</f>
        <v/>
      </c>
      <c r="BG81" s="185" t="str">
        <f>_xlfn.IFNA(VLOOKUP($BC81,Programma!$F$3:$J$1101,5,0),"")</f>
        <v/>
      </c>
      <c r="BH81" s="185" t="str">
        <f>_xlfn.IFNA(VLOOKUP($BC81,Programma!$F$3:$K$1101,6,0),"")</f>
        <v/>
      </c>
      <c r="BI81" s="185" t="str">
        <f>_xlfn.IFNA(VLOOKUP($BC81,Programma!$F$3:$L$1101,7,0),"")</f>
        <v/>
      </c>
      <c r="BJ81" s="185" t="str">
        <f>_xlfn.IFNA(VLOOKUP($BC81,Programma!$F$3:$M$1101,8,0),"")</f>
        <v/>
      </c>
      <c r="BK81" s="185" t="str">
        <f>_xlfn.IFNA(VLOOKUP($BC81,Programma!$F$3:$N$1101,9,0),"")</f>
        <v/>
      </c>
      <c r="BL81" s="185" t="str">
        <f>_xlfn.IFNA(VLOOKUP($BC81,Programma!$F$3:$O$1101,10,0),"")</f>
        <v/>
      </c>
      <c r="BM81" s="185" t="str">
        <f>_xlfn.IFNA(VLOOKUP($BC81,Programma!$F$3:$P$1101,11,0),"")</f>
        <v/>
      </c>
      <c r="BN81" s="185" t="str">
        <f>_xlfn.IFNA(VLOOKUP($BC81,Programma!$F$3:$Q$1101,12,0),"")</f>
        <v/>
      </c>
      <c r="BO81" s="185" t="str">
        <f>_xlfn.IFNA(VLOOKUP($BC81,Programma!$F$3:$R$1101,13,0),"")</f>
        <v/>
      </c>
      <c r="BP81" s="185" t="str">
        <f>_xlfn.IFNA(VLOOKUP($BC81,Programma!$F$3:$S$1101,14,0),"")</f>
        <v/>
      </c>
      <c r="BQ81" s="185" t="str">
        <f>_xlfn.IFNA(VLOOKUP($BC81,Programma!$F$3:$T$1101,15,0),"")</f>
        <v/>
      </c>
      <c r="BR81" s="185" t="str">
        <f>_xlfn.IFNA(VLOOKUP($BC81,Programma!$F$3:$U$1101,16,0),"")</f>
        <v/>
      </c>
      <c r="BS81" s="185" t="str">
        <f>_xlfn.IFNA(VLOOKUP($BC81,Programma!$F$3:$V$1101,17,0),"")</f>
        <v/>
      </c>
      <c r="BT81" s="185" t="str">
        <f>_xlfn.IFNA(VLOOKUP($BC81,Programma!$F$3:$W$1101,18,0),"")</f>
        <v/>
      </c>
      <c r="BU81" s="185" t="str">
        <f>_xlfn.IFNA(VLOOKUP($BC81,Programma!$F$3:$X$1101,19,0),"")</f>
        <v/>
      </c>
      <c r="BV81" s="185" t="str">
        <f>_xlfn.IFNA(VLOOKUP($BC81,Programma!$F$3:$Y$1101,20,0),"")</f>
        <v/>
      </c>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c r="EO81" s="78"/>
      <c r="EP81" s="78"/>
      <c r="EQ81" s="78"/>
      <c r="ER81" s="78"/>
      <c r="ES81" s="78"/>
      <c r="ET81" s="78"/>
      <c r="EU81" s="78"/>
      <c r="EV81" s="78"/>
      <c r="EW81" s="78"/>
      <c r="EX81" s="78"/>
      <c r="EY81" s="78"/>
      <c r="EZ81" s="78"/>
      <c r="FA81" s="78"/>
      <c r="FB81" s="78"/>
      <c r="FC81" s="78"/>
      <c r="FD81" s="78"/>
      <c r="FE81" s="78"/>
      <c r="FF81" s="78"/>
      <c r="FG81" s="78"/>
      <c r="FH81" s="78"/>
      <c r="FI81" s="78"/>
      <c r="FJ81" s="78"/>
      <c r="FK81" s="78"/>
      <c r="FL81" s="78"/>
      <c r="FM81" s="78"/>
      <c r="FN81" s="78"/>
      <c r="FO81" s="78"/>
      <c r="FP81" s="78"/>
      <c r="FQ81" s="78"/>
      <c r="FR81" s="78"/>
      <c r="FS81" s="78"/>
      <c r="FT81" s="78"/>
      <c r="FU81" s="78"/>
      <c r="FV81" s="78"/>
      <c r="FW81" s="78"/>
      <c r="FX81" s="78"/>
      <c r="FY81" s="78"/>
      <c r="FZ81" s="78"/>
      <c r="GA81" s="78"/>
      <c r="GB81" s="78"/>
      <c r="GC81" s="78"/>
      <c r="GD81" s="78"/>
      <c r="GE81" s="78"/>
      <c r="GF81" s="78"/>
      <c r="GG81" s="78"/>
      <c r="GH81" s="78"/>
      <c r="GI81" s="78"/>
      <c r="GJ81" s="78"/>
      <c r="GK81" s="78"/>
      <c r="GL81" s="78"/>
      <c r="GM81" s="78"/>
      <c r="GN81" s="78"/>
      <c r="GO81" s="78"/>
      <c r="GP81" s="78"/>
      <c r="GQ81" s="78"/>
      <c r="GR81" s="78"/>
      <c r="GS81" s="78"/>
      <c r="GT81" s="78"/>
      <c r="GU81" s="78"/>
      <c r="GV81" s="78"/>
      <c r="GW81" s="78"/>
      <c r="GX81" s="78"/>
      <c r="GY81" s="78"/>
      <c r="GZ81" s="78"/>
      <c r="HA81" s="78"/>
      <c r="HB81" s="78"/>
      <c r="HC81" s="78"/>
      <c r="HD81" s="78"/>
      <c r="HE81" s="78"/>
      <c r="HF81" s="78"/>
      <c r="HG81" s="78"/>
      <c r="HH81" s="78"/>
      <c r="HI81" s="78"/>
      <c r="HJ81" s="78"/>
      <c r="HK81" s="78"/>
    </row>
    <row r="82" spans="1:219" ht="15" customHeight="1">
      <c r="A82" s="149">
        <v>3</v>
      </c>
      <c r="B82" s="176" t="str">
        <f>VLOOKUP(Ruimtestaat[[#This Row],[Code]],Locaties[[Code]:[Locatie]],2,FALSE)</f>
        <v>OBS De Spinner</v>
      </c>
      <c r="C82" s="176" t="str">
        <f>VLOOKUP(Ruimtestaat[[#This Row],[Code]],Locaties[[#All],[Code]:[Adres]],4,FALSE)</f>
        <v>Spinnerstraat 29</v>
      </c>
      <c r="D82" s="176" t="str">
        <f>VLOOKUP(Ruimtestaat[[#This Row],[Code]],Locaties[[#All],[Code]:[Postcode]],5,FALSE)</f>
        <v>7545 TP</v>
      </c>
      <c r="E82" s="176" t="str">
        <f>VLOOKUP(Ruimtestaat[[#This Row],[Code]],Locaties[#All],6,FALSE)</f>
        <v>Enschede</v>
      </c>
      <c r="F82" s="149"/>
      <c r="G82" s="149" t="s">
        <v>1646</v>
      </c>
      <c r="H82" s="300" t="s">
        <v>1664</v>
      </c>
      <c r="I82" s="301" t="s">
        <v>1649</v>
      </c>
      <c r="J82" s="99">
        <v>2</v>
      </c>
      <c r="K82" s="183" t="str">
        <f>VLOOKUP(Ruimtestaat[[#This Row],[Ruimte code]],Ruimtegroepen[[#All],[Code]:[Ruimte omschrijving]],2,FALSE)</f>
        <v>Kantoren</v>
      </c>
      <c r="L82" s="149" t="s">
        <v>99</v>
      </c>
      <c r="M82" s="301" t="s">
        <v>36</v>
      </c>
      <c r="N82" s="177">
        <v>13.6</v>
      </c>
      <c r="O82" s="177"/>
      <c r="P82" s="178" t="str">
        <f>VLOOKUP(Ruimtestaat[[#This Row],[Ruimte code]],Ruimtegroepen[],4,FALSE)</f>
        <v>Bu</v>
      </c>
      <c r="Q82" s="149">
        <v>40</v>
      </c>
      <c r="R82" s="149" t="s">
        <v>2</v>
      </c>
      <c r="S82" s="149">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2" s="149">
        <f>IF(S82&gt;0,VLOOKUP($J82,Ruimtegroepen[],3,FALSE)*VLOOKUP($L82,Vloersoorten[],3,FALSE)*VLOOKUP($R82,Frequenties[],3,FALSE)*VLOOKUP($A82,Locaties[],3,FALSE),0)</f>
        <v>0</v>
      </c>
      <c r="U82" s="149">
        <f>Ruimtestaat[[#This Row],[Uitvoeringen werkdagen]]*Ruimtestaat[[#This Row],[Oppervlak (netto)]]</f>
        <v>2720</v>
      </c>
      <c r="V82" s="179">
        <f>IF(T82&gt;0,Ruimtestaat[[#This Row],[Prest. (m2 /jaar) werkdagen]]/Ruimtestaat[[#This Row],[Norm (m2/uur) werkdagen]],0)</f>
        <v>0</v>
      </c>
      <c r="W82" s="180">
        <f>Ruimtestaat[[#This Row],[uren / jaar werkdagen]]*Tariefsopbouw!$E$35</f>
        <v>0</v>
      </c>
      <c r="X82" s="149"/>
      <c r="Y82" s="149">
        <f>IF(Ruimtestaat[[#This Row],[Frequentie weekend]]&gt;0,VALUE(LEFT(X82,1))*Q82,0)</f>
        <v>0</v>
      </c>
      <c r="Z82" s="148">
        <f>IF($Y82&gt;0,VLOOKUP($J82,Ruimtegroepen[],3,FALSE)*VLOOKUP($L82,Vloersoorten[],3,FALSE)*VLOOKUP($X82,Frequenties[],3,FALSE)*VLOOKUP(#REF!,Locaties[],3,FALSE),0)</f>
        <v>0</v>
      </c>
      <c r="AA82" s="148">
        <f>Ruimtestaat[[#This Row],[Uitvoeringen weekend]]*Ruimtestaat[[#This Row],[Oppervlak (netto)]]</f>
        <v>0</v>
      </c>
      <c r="AB82" s="148">
        <f>IF(Z82&gt;0,Ruimtestaat[[#This Row],[Prest. (m2 /jaar) weekend]]/Ruimtestaat[[#This Row],[Norm (m2/uur) weekend]],0)</f>
        <v>0</v>
      </c>
      <c r="AC82" s="180">
        <f>Ruimtestaat[[#This Row],[uren / jaar weekend]]*Tariefsopbouw!$D$40</f>
        <v>0</v>
      </c>
      <c r="AD82" s="179">
        <f>Ruimtestaat[[#This Row],[Prest. (m2 /jaar) weekend]]+Ruimtestaat[[#This Row],[Prest. (m2 /jaar) werkdagen]]</f>
        <v>2720</v>
      </c>
      <c r="AE82" s="179">
        <f>Ruimtestaat[[#This Row],[uren / jaar weekend]]+Ruimtestaat[[#This Row],[uren / jaar werkdagen]]</f>
        <v>0</v>
      </c>
      <c r="AF82" s="174">
        <f>Ruimtestaat[[#This Row],[kosten / jaar weekend]]+Ruimtestaat[[#This Row],[kosten / jaar werkdagen]]</f>
        <v>0</v>
      </c>
      <c r="AG82" s="174"/>
      <c r="AH82" s="181" t="str">
        <f>IF(Ruimtestaat[[#This Row],[Frequentie werkdagen]]="","",_xlfn.CONCAT(Ruimtestaat[[#This Row],[Ruimte code]],"-",Ruimtestaat[[#This Row],[Frequentie werkdagen]]," ",Ruimtestaat[[#This Row],[Vloer code]]))</f>
        <v>2-5w T</v>
      </c>
      <c r="AI82" s="185" t="str">
        <f>_xlfn.IFNA(VLOOKUP($AH82,Programma!$F$3:$G$1101,2,0),"")</f>
        <v>4w</v>
      </c>
      <c r="AJ82" s="185" t="str">
        <f>_xlfn.IFNA(VLOOKUP($AH82,Programma!$F$3:$H$1101,3,0),"")</f>
        <v>1w</v>
      </c>
      <c r="AK82" s="185" t="str">
        <f>_xlfn.IFNA(VLOOKUP($AH82,Programma!$F$3:$I$1101,4,0),"")</f>
        <v>_</v>
      </c>
      <c r="AL82" s="185" t="str">
        <f>_xlfn.IFNA(VLOOKUP($AH82,Programma!$F$3:$J$1101,5,0),"")</f>
        <v>_</v>
      </c>
      <c r="AM82" s="185" t="str">
        <f>_xlfn.IFNA(VLOOKUP($AH82,Programma!$F$3:$K$1101,6,0),"")</f>
        <v>_</v>
      </c>
      <c r="AN82" s="185" t="str">
        <f>_xlfn.IFNA(VLOOKUP($AH82,Programma!$F$3:$L$1101,7,0),"")</f>
        <v>_</v>
      </c>
      <c r="AO82" s="185" t="str">
        <f>_xlfn.IFNA(VLOOKUP($AH82,Programma!$F$3:$M$1101,8,0),"")</f>
        <v>_</v>
      </c>
      <c r="AP82" s="185" t="str">
        <f>_xlfn.IFNA(VLOOKUP($AH82,Programma!$F$3:$N$1101,9,0),"")</f>
        <v>_</v>
      </c>
      <c r="AQ82" s="185" t="str">
        <f>_xlfn.IFNA(VLOOKUP($AH82,Programma!$F$3:$O$1101,10,0),"")</f>
        <v>5w</v>
      </c>
      <c r="AR82" s="185" t="str">
        <f>_xlfn.IFNA(VLOOKUP($AH82,Programma!$F$3:$P$1101,11,0),"")</f>
        <v>5w</v>
      </c>
      <c r="AS82" s="185" t="str">
        <f>_xlfn.IFNA(VLOOKUP($AH82,Programma!$F$3:$Q$1101,12,0),"")</f>
        <v>1w</v>
      </c>
      <c r="AT82" s="185" t="str">
        <f>_xlfn.IFNA(VLOOKUP($AH82,Programma!$F$3:$R$1101,13,0),"")</f>
        <v>1w</v>
      </c>
      <c r="AU82" s="185" t="str">
        <f>_xlfn.IFNA(VLOOKUP($AH82,Programma!$F$3:$S$1101,14,0),"")</f>
        <v>1m</v>
      </c>
      <c r="AV82" s="185" t="str">
        <f>_xlfn.IFNA(VLOOKUP($AH82,Programma!$F$3:$T$1101,15,0),"")</f>
        <v>2j</v>
      </c>
      <c r="AW82" s="185" t="str">
        <f>_xlfn.IFNA(VLOOKUP($AH82,Programma!$F$3:$U$1101,16,0),"")</f>
        <v>1j</v>
      </c>
      <c r="AX82" s="185" t="str">
        <f>_xlfn.IFNA(VLOOKUP($AH82,Programma!$F$3:$V$1101,17,0),"")</f>
        <v>_</v>
      </c>
      <c r="AY82" s="185" t="str">
        <f>_xlfn.IFNA(VLOOKUP($AH82,Programma!$F$3:$W$1101,18,0),"")</f>
        <v>_</v>
      </c>
      <c r="AZ82" s="185" t="str">
        <f>_xlfn.IFNA(VLOOKUP($AH82,Programma!$F$3:$X$1101,19,0),"")</f>
        <v>_</v>
      </c>
      <c r="BA82" s="185" t="str">
        <f>_xlfn.IFNA(VLOOKUP($AH82,Programma!$F$3:$Y$1101,20,0),"")</f>
        <v>_</v>
      </c>
      <c r="BB82" s="182"/>
      <c r="BC82" s="181" t="str">
        <f>IF(Ruimtestaat[[#This Row],[Frequentie weekend]]="","",_xlfn.CONCAT(Ruimtestaat[[#This Row],[Ruimte code]],"-",Ruimtestaat[[#This Row],[Frequentie weekend]]," ",Ruimtestaat[[#This Row],[Vloer code]]))</f>
        <v/>
      </c>
      <c r="BD82" s="185" t="str">
        <f>_xlfn.IFNA(VLOOKUP($BC82,Programma!$F$3:$G$1101,2,0),"")</f>
        <v/>
      </c>
      <c r="BE82" s="185" t="str">
        <f>_xlfn.IFNA(VLOOKUP($BC82,Programma!$F$3:$H$1101,3,0),"")</f>
        <v/>
      </c>
      <c r="BF82" s="185" t="str">
        <f>_xlfn.IFNA(VLOOKUP($BC82,Programma!$F$3:$I$1101,4,0),"")</f>
        <v/>
      </c>
      <c r="BG82" s="185" t="str">
        <f>_xlfn.IFNA(VLOOKUP($BC82,Programma!$F$3:$J$1101,5,0),"")</f>
        <v/>
      </c>
      <c r="BH82" s="185" t="str">
        <f>_xlfn.IFNA(VLOOKUP($BC82,Programma!$F$3:$K$1101,6,0),"")</f>
        <v/>
      </c>
      <c r="BI82" s="185" t="str">
        <f>_xlfn.IFNA(VLOOKUP($BC82,Programma!$F$3:$L$1101,7,0),"")</f>
        <v/>
      </c>
      <c r="BJ82" s="185" t="str">
        <f>_xlfn.IFNA(VLOOKUP($BC82,Programma!$F$3:$M$1101,8,0),"")</f>
        <v/>
      </c>
      <c r="BK82" s="185" t="str">
        <f>_xlfn.IFNA(VLOOKUP($BC82,Programma!$F$3:$N$1101,9,0),"")</f>
        <v/>
      </c>
      <c r="BL82" s="185" t="str">
        <f>_xlfn.IFNA(VLOOKUP($BC82,Programma!$F$3:$O$1101,10,0),"")</f>
        <v/>
      </c>
      <c r="BM82" s="185" t="str">
        <f>_xlfn.IFNA(VLOOKUP($BC82,Programma!$F$3:$P$1101,11,0),"")</f>
        <v/>
      </c>
      <c r="BN82" s="185" t="str">
        <f>_xlfn.IFNA(VLOOKUP($BC82,Programma!$F$3:$Q$1101,12,0),"")</f>
        <v/>
      </c>
      <c r="BO82" s="185" t="str">
        <f>_xlfn.IFNA(VLOOKUP($BC82,Programma!$F$3:$R$1101,13,0),"")</f>
        <v/>
      </c>
      <c r="BP82" s="185" t="str">
        <f>_xlfn.IFNA(VLOOKUP($BC82,Programma!$F$3:$S$1101,14,0),"")</f>
        <v/>
      </c>
      <c r="BQ82" s="185" t="str">
        <f>_xlfn.IFNA(VLOOKUP($BC82,Programma!$F$3:$T$1101,15,0),"")</f>
        <v/>
      </c>
      <c r="BR82" s="185" t="str">
        <f>_xlfn.IFNA(VLOOKUP($BC82,Programma!$F$3:$U$1101,16,0),"")</f>
        <v/>
      </c>
      <c r="BS82" s="185" t="str">
        <f>_xlfn.IFNA(VLOOKUP($BC82,Programma!$F$3:$V$1101,17,0),"")</f>
        <v/>
      </c>
      <c r="BT82" s="185" t="str">
        <f>_xlfn.IFNA(VLOOKUP($BC82,Programma!$F$3:$W$1101,18,0),"")</f>
        <v/>
      </c>
      <c r="BU82" s="185" t="str">
        <f>_xlfn.IFNA(VLOOKUP($BC82,Programma!$F$3:$X$1101,19,0),"")</f>
        <v/>
      </c>
      <c r="BV82" s="185" t="str">
        <f>_xlfn.IFNA(VLOOKUP($BC82,Programma!$F$3:$Y$1101,20,0),"")</f>
        <v/>
      </c>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c r="EO82" s="78"/>
      <c r="EP82" s="78"/>
      <c r="EQ82" s="78"/>
      <c r="ER82" s="78"/>
      <c r="ES82" s="78"/>
      <c r="ET82" s="78"/>
      <c r="EU82" s="78"/>
      <c r="EV82" s="78"/>
      <c r="EW82" s="78"/>
      <c r="EX82" s="78"/>
      <c r="EY82" s="78"/>
      <c r="EZ82" s="78"/>
      <c r="FA82" s="78"/>
      <c r="FB82" s="78"/>
      <c r="FC82" s="78"/>
      <c r="FD82" s="78"/>
      <c r="FE82" s="78"/>
      <c r="FF82" s="78"/>
      <c r="FG82" s="78"/>
      <c r="FH82" s="78"/>
      <c r="FI82" s="78"/>
      <c r="FJ82" s="78"/>
      <c r="FK82" s="78"/>
      <c r="FL82" s="78"/>
      <c r="FM82" s="78"/>
      <c r="FN82" s="78"/>
      <c r="FO82" s="78"/>
      <c r="FP82" s="78"/>
      <c r="FQ82" s="78"/>
      <c r="FR82" s="78"/>
      <c r="FS82" s="78"/>
      <c r="FT82" s="78"/>
      <c r="FU82" s="78"/>
      <c r="FV82" s="78"/>
      <c r="FW82" s="78"/>
      <c r="FX82" s="78"/>
      <c r="FY82" s="78"/>
      <c r="FZ82" s="78"/>
      <c r="GA82" s="78"/>
      <c r="GB82" s="78"/>
      <c r="GC82" s="78"/>
      <c r="GD82" s="78"/>
      <c r="GE82" s="78"/>
      <c r="GF82" s="78"/>
      <c r="GG82" s="78"/>
      <c r="GH82" s="78"/>
      <c r="GI82" s="78"/>
      <c r="GJ82" s="78"/>
      <c r="GK82" s="78"/>
      <c r="GL82" s="78"/>
      <c r="GM82" s="78"/>
      <c r="GN82" s="78"/>
      <c r="GO82" s="78"/>
      <c r="GP82" s="78"/>
      <c r="GQ82" s="78"/>
      <c r="GR82" s="78"/>
      <c r="GS82" s="78"/>
      <c r="GT82" s="78"/>
      <c r="GU82" s="78"/>
      <c r="GV82" s="78"/>
      <c r="GW82" s="78"/>
      <c r="GX82" s="78"/>
      <c r="GY82" s="78"/>
      <c r="GZ82" s="78"/>
      <c r="HA82" s="78"/>
      <c r="HB82" s="78"/>
      <c r="HC82" s="78"/>
      <c r="HD82" s="78"/>
      <c r="HE82" s="78"/>
      <c r="HF82" s="78"/>
      <c r="HG82" s="78"/>
      <c r="HH82" s="78"/>
      <c r="HI82" s="78"/>
      <c r="HJ82" s="78"/>
      <c r="HK82" s="78"/>
    </row>
    <row r="83" spans="1:219" ht="15" customHeight="1">
      <c r="A83" s="149">
        <v>3</v>
      </c>
      <c r="B83" s="176" t="str">
        <f>VLOOKUP(Ruimtestaat[[#This Row],[Code]],Locaties[[Code]:[Locatie]],2,FALSE)</f>
        <v>OBS De Spinner</v>
      </c>
      <c r="C83" s="176" t="str">
        <f>VLOOKUP(Ruimtestaat[[#This Row],[Code]],Locaties[[#All],[Code]:[Adres]],4,FALSE)</f>
        <v>Spinnerstraat 29</v>
      </c>
      <c r="D83" s="176" t="str">
        <f>VLOOKUP(Ruimtestaat[[#This Row],[Code]],Locaties[[#All],[Code]:[Postcode]],5,FALSE)</f>
        <v>7545 TP</v>
      </c>
      <c r="E83" s="176" t="str">
        <f>VLOOKUP(Ruimtestaat[[#This Row],[Code]],Locaties[#All],6,FALSE)</f>
        <v>Enschede</v>
      </c>
      <c r="F83" s="149"/>
      <c r="G83" s="149" t="s">
        <v>1646</v>
      </c>
      <c r="H83" s="300" t="s">
        <v>1731</v>
      </c>
      <c r="I83" s="301" t="s">
        <v>1649</v>
      </c>
      <c r="J83" s="99">
        <v>2</v>
      </c>
      <c r="K83" s="183" t="str">
        <f>VLOOKUP(Ruimtestaat[[#This Row],[Ruimte code]],Ruimtegroepen[[#All],[Code]:[Ruimte omschrijving]],2,FALSE)</f>
        <v>Kantoren</v>
      </c>
      <c r="L83" s="149" t="s">
        <v>99</v>
      </c>
      <c r="M83" s="301" t="s">
        <v>36</v>
      </c>
      <c r="N83" s="177">
        <v>16.2</v>
      </c>
      <c r="O83" s="177"/>
      <c r="P83" s="178" t="str">
        <f>VLOOKUP(Ruimtestaat[[#This Row],[Ruimte code]],Ruimtegroepen[],4,FALSE)</f>
        <v>Bu</v>
      </c>
      <c r="Q83" s="149">
        <v>40</v>
      </c>
      <c r="R83" s="149" t="s">
        <v>2</v>
      </c>
      <c r="S83" s="149">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149">
        <f>IF(S83&gt;0,VLOOKUP($J83,Ruimtegroepen[],3,FALSE)*VLOOKUP($L83,Vloersoorten[],3,FALSE)*VLOOKUP($R83,Frequenties[],3,FALSE)*VLOOKUP($A83,Locaties[],3,FALSE),0)</f>
        <v>0</v>
      </c>
      <c r="U83" s="149">
        <f>Ruimtestaat[[#This Row],[Uitvoeringen werkdagen]]*Ruimtestaat[[#This Row],[Oppervlak (netto)]]</f>
        <v>3240</v>
      </c>
      <c r="V83" s="179">
        <f>IF(T83&gt;0,Ruimtestaat[[#This Row],[Prest. (m2 /jaar) werkdagen]]/Ruimtestaat[[#This Row],[Norm (m2/uur) werkdagen]],0)</f>
        <v>0</v>
      </c>
      <c r="W83" s="180">
        <f>Ruimtestaat[[#This Row],[uren / jaar werkdagen]]*Tariefsopbouw!$E$35</f>
        <v>0</v>
      </c>
      <c r="X83" s="149"/>
      <c r="Y83" s="149">
        <f>IF(Ruimtestaat[[#This Row],[Frequentie weekend]]&gt;0,VALUE(LEFT(X83,1))*Q83,0)</f>
        <v>0</v>
      </c>
      <c r="Z83" s="148">
        <f>IF($Y83&gt;0,VLOOKUP($J83,Ruimtegroepen[],3,FALSE)*VLOOKUP($L83,Vloersoorten[],3,FALSE)*VLOOKUP($X83,Frequenties[],3,FALSE)*VLOOKUP(#REF!,Locaties[],3,FALSE),0)</f>
        <v>0</v>
      </c>
      <c r="AA83" s="148">
        <f>Ruimtestaat[[#This Row],[Uitvoeringen weekend]]*Ruimtestaat[[#This Row],[Oppervlak (netto)]]</f>
        <v>0</v>
      </c>
      <c r="AB83" s="148">
        <f>IF(Z83&gt;0,Ruimtestaat[[#This Row],[Prest. (m2 /jaar) weekend]]/Ruimtestaat[[#This Row],[Norm (m2/uur) weekend]],0)</f>
        <v>0</v>
      </c>
      <c r="AC83" s="180">
        <f>Ruimtestaat[[#This Row],[uren / jaar weekend]]*Tariefsopbouw!$D$40</f>
        <v>0</v>
      </c>
      <c r="AD83" s="179">
        <f>Ruimtestaat[[#This Row],[Prest. (m2 /jaar) weekend]]+Ruimtestaat[[#This Row],[Prest. (m2 /jaar) werkdagen]]</f>
        <v>3240</v>
      </c>
      <c r="AE83" s="179">
        <f>Ruimtestaat[[#This Row],[uren / jaar weekend]]+Ruimtestaat[[#This Row],[uren / jaar werkdagen]]</f>
        <v>0</v>
      </c>
      <c r="AF83" s="174">
        <f>Ruimtestaat[[#This Row],[kosten / jaar weekend]]+Ruimtestaat[[#This Row],[kosten / jaar werkdagen]]</f>
        <v>0</v>
      </c>
      <c r="AG83" s="174"/>
      <c r="AH83" s="181" t="str">
        <f>IF(Ruimtestaat[[#This Row],[Frequentie werkdagen]]="","",_xlfn.CONCAT(Ruimtestaat[[#This Row],[Ruimte code]],"-",Ruimtestaat[[#This Row],[Frequentie werkdagen]]," ",Ruimtestaat[[#This Row],[Vloer code]]))</f>
        <v>2-5w T</v>
      </c>
      <c r="AI83" s="185" t="str">
        <f>_xlfn.IFNA(VLOOKUP($AH83,Programma!$F$3:$G$1101,2,0),"")</f>
        <v>4w</v>
      </c>
      <c r="AJ83" s="185" t="str">
        <f>_xlfn.IFNA(VLOOKUP($AH83,Programma!$F$3:$H$1101,3,0),"")</f>
        <v>1w</v>
      </c>
      <c r="AK83" s="185" t="str">
        <f>_xlfn.IFNA(VLOOKUP($AH83,Programma!$F$3:$I$1101,4,0),"")</f>
        <v>_</v>
      </c>
      <c r="AL83" s="185" t="str">
        <f>_xlfn.IFNA(VLOOKUP($AH83,Programma!$F$3:$J$1101,5,0),"")</f>
        <v>_</v>
      </c>
      <c r="AM83" s="185" t="str">
        <f>_xlfn.IFNA(VLOOKUP($AH83,Programma!$F$3:$K$1101,6,0),"")</f>
        <v>_</v>
      </c>
      <c r="AN83" s="185" t="str">
        <f>_xlfn.IFNA(VLOOKUP($AH83,Programma!$F$3:$L$1101,7,0),"")</f>
        <v>_</v>
      </c>
      <c r="AO83" s="185" t="str">
        <f>_xlfn.IFNA(VLOOKUP($AH83,Programma!$F$3:$M$1101,8,0),"")</f>
        <v>_</v>
      </c>
      <c r="AP83" s="185" t="str">
        <f>_xlfn.IFNA(VLOOKUP($AH83,Programma!$F$3:$N$1101,9,0),"")</f>
        <v>_</v>
      </c>
      <c r="AQ83" s="185" t="str">
        <f>_xlfn.IFNA(VLOOKUP($AH83,Programma!$F$3:$O$1101,10,0),"")</f>
        <v>5w</v>
      </c>
      <c r="AR83" s="185" t="str">
        <f>_xlfn.IFNA(VLOOKUP($AH83,Programma!$F$3:$P$1101,11,0),"")</f>
        <v>5w</v>
      </c>
      <c r="AS83" s="185" t="str">
        <f>_xlfn.IFNA(VLOOKUP($AH83,Programma!$F$3:$Q$1101,12,0),"")</f>
        <v>1w</v>
      </c>
      <c r="AT83" s="185" t="str">
        <f>_xlfn.IFNA(VLOOKUP($AH83,Programma!$F$3:$R$1101,13,0),"")</f>
        <v>1w</v>
      </c>
      <c r="AU83" s="185" t="str">
        <f>_xlfn.IFNA(VLOOKUP($AH83,Programma!$F$3:$S$1101,14,0),"")</f>
        <v>1m</v>
      </c>
      <c r="AV83" s="185" t="str">
        <f>_xlfn.IFNA(VLOOKUP($AH83,Programma!$F$3:$T$1101,15,0),"")</f>
        <v>2j</v>
      </c>
      <c r="AW83" s="185" t="str">
        <f>_xlfn.IFNA(VLOOKUP($AH83,Programma!$F$3:$U$1101,16,0),"")</f>
        <v>1j</v>
      </c>
      <c r="AX83" s="185" t="str">
        <f>_xlfn.IFNA(VLOOKUP($AH83,Programma!$F$3:$V$1101,17,0),"")</f>
        <v>_</v>
      </c>
      <c r="AY83" s="185" t="str">
        <f>_xlfn.IFNA(VLOOKUP($AH83,Programma!$F$3:$W$1101,18,0),"")</f>
        <v>_</v>
      </c>
      <c r="AZ83" s="185" t="str">
        <f>_xlfn.IFNA(VLOOKUP($AH83,Programma!$F$3:$X$1101,19,0),"")</f>
        <v>_</v>
      </c>
      <c r="BA83" s="185" t="str">
        <f>_xlfn.IFNA(VLOOKUP($AH83,Programma!$F$3:$Y$1101,20,0),"")</f>
        <v>_</v>
      </c>
      <c r="BB83" s="182"/>
      <c r="BC83" s="181" t="str">
        <f>IF(Ruimtestaat[[#This Row],[Frequentie weekend]]="","",_xlfn.CONCAT(Ruimtestaat[[#This Row],[Ruimte code]],"-",Ruimtestaat[[#This Row],[Frequentie weekend]]," ",Ruimtestaat[[#This Row],[Vloer code]]))</f>
        <v/>
      </c>
      <c r="BD83" s="185" t="str">
        <f>_xlfn.IFNA(VLOOKUP($BC83,Programma!$F$3:$G$1101,2,0),"")</f>
        <v/>
      </c>
      <c r="BE83" s="185" t="str">
        <f>_xlfn.IFNA(VLOOKUP($BC83,Programma!$F$3:$H$1101,3,0),"")</f>
        <v/>
      </c>
      <c r="BF83" s="185" t="str">
        <f>_xlfn.IFNA(VLOOKUP($BC83,Programma!$F$3:$I$1101,4,0),"")</f>
        <v/>
      </c>
      <c r="BG83" s="185" t="str">
        <f>_xlfn.IFNA(VLOOKUP($BC83,Programma!$F$3:$J$1101,5,0),"")</f>
        <v/>
      </c>
      <c r="BH83" s="185" t="str">
        <f>_xlfn.IFNA(VLOOKUP($BC83,Programma!$F$3:$K$1101,6,0),"")</f>
        <v/>
      </c>
      <c r="BI83" s="185" t="str">
        <f>_xlfn.IFNA(VLOOKUP($BC83,Programma!$F$3:$L$1101,7,0),"")</f>
        <v/>
      </c>
      <c r="BJ83" s="185" t="str">
        <f>_xlfn.IFNA(VLOOKUP($BC83,Programma!$F$3:$M$1101,8,0),"")</f>
        <v/>
      </c>
      <c r="BK83" s="185" t="str">
        <f>_xlfn.IFNA(VLOOKUP($BC83,Programma!$F$3:$N$1101,9,0),"")</f>
        <v/>
      </c>
      <c r="BL83" s="185" t="str">
        <f>_xlfn.IFNA(VLOOKUP($BC83,Programma!$F$3:$O$1101,10,0),"")</f>
        <v/>
      </c>
      <c r="BM83" s="185" t="str">
        <f>_xlfn.IFNA(VLOOKUP($BC83,Programma!$F$3:$P$1101,11,0),"")</f>
        <v/>
      </c>
      <c r="BN83" s="185" t="str">
        <f>_xlfn.IFNA(VLOOKUP($BC83,Programma!$F$3:$Q$1101,12,0),"")</f>
        <v/>
      </c>
      <c r="BO83" s="185" t="str">
        <f>_xlfn.IFNA(VLOOKUP($BC83,Programma!$F$3:$R$1101,13,0),"")</f>
        <v/>
      </c>
      <c r="BP83" s="185" t="str">
        <f>_xlfn.IFNA(VLOOKUP($BC83,Programma!$F$3:$S$1101,14,0),"")</f>
        <v/>
      </c>
      <c r="BQ83" s="185" t="str">
        <f>_xlfn.IFNA(VLOOKUP($BC83,Programma!$F$3:$T$1101,15,0),"")</f>
        <v/>
      </c>
      <c r="BR83" s="185" t="str">
        <f>_xlfn.IFNA(VLOOKUP($BC83,Programma!$F$3:$U$1101,16,0),"")</f>
        <v/>
      </c>
      <c r="BS83" s="185" t="str">
        <f>_xlfn.IFNA(VLOOKUP($BC83,Programma!$F$3:$V$1101,17,0),"")</f>
        <v/>
      </c>
      <c r="BT83" s="185" t="str">
        <f>_xlfn.IFNA(VLOOKUP($BC83,Programma!$F$3:$W$1101,18,0),"")</f>
        <v/>
      </c>
      <c r="BU83" s="185" t="str">
        <f>_xlfn.IFNA(VLOOKUP($BC83,Programma!$F$3:$X$1101,19,0),"")</f>
        <v/>
      </c>
      <c r="BV83" s="185" t="str">
        <f>_xlfn.IFNA(VLOOKUP($BC83,Programma!$F$3:$Y$1101,20,0),"")</f>
        <v/>
      </c>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c r="EO83" s="78"/>
      <c r="EP83" s="78"/>
      <c r="EQ83" s="78"/>
      <c r="ER83" s="78"/>
      <c r="ES83" s="78"/>
      <c r="ET83" s="78"/>
      <c r="EU83" s="78"/>
      <c r="EV83" s="78"/>
      <c r="EW83" s="78"/>
      <c r="EX83" s="78"/>
      <c r="EY83" s="78"/>
      <c r="EZ83" s="78"/>
      <c r="FA83" s="78"/>
      <c r="FB83" s="78"/>
      <c r="FC83" s="78"/>
      <c r="FD83" s="78"/>
      <c r="FE83" s="78"/>
      <c r="FF83" s="78"/>
      <c r="FG83" s="78"/>
      <c r="FH83" s="78"/>
      <c r="FI83" s="78"/>
      <c r="FJ83" s="78"/>
      <c r="FK83" s="78"/>
      <c r="FL83" s="78"/>
      <c r="FM83" s="78"/>
      <c r="FN83" s="78"/>
      <c r="FO83" s="78"/>
      <c r="FP83" s="78"/>
      <c r="FQ83" s="78"/>
      <c r="FR83" s="78"/>
      <c r="FS83" s="78"/>
      <c r="FT83" s="78"/>
      <c r="FU83" s="78"/>
      <c r="FV83" s="78"/>
      <c r="FW83" s="78"/>
      <c r="FX83" s="78"/>
      <c r="FY83" s="78"/>
      <c r="FZ83" s="78"/>
      <c r="GA83" s="78"/>
      <c r="GB83" s="78"/>
      <c r="GC83" s="78"/>
      <c r="GD83" s="78"/>
      <c r="GE83" s="78"/>
      <c r="GF83" s="78"/>
      <c r="GG83" s="78"/>
      <c r="GH83" s="78"/>
      <c r="GI83" s="78"/>
      <c r="GJ83" s="78"/>
      <c r="GK83" s="78"/>
      <c r="GL83" s="78"/>
      <c r="GM83" s="78"/>
      <c r="GN83" s="78"/>
      <c r="GO83" s="78"/>
      <c r="GP83" s="78"/>
      <c r="GQ83" s="78"/>
      <c r="GR83" s="78"/>
      <c r="GS83" s="78"/>
      <c r="GT83" s="78"/>
      <c r="GU83" s="78"/>
      <c r="GV83" s="78"/>
      <c r="GW83" s="78"/>
      <c r="GX83" s="78"/>
      <c r="GY83" s="78"/>
      <c r="GZ83" s="78"/>
      <c r="HA83" s="78"/>
      <c r="HB83" s="78"/>
      <c r="HC83" s="78"/>
      <c r="HD83" s="78"/>
      <c r="HE83" s="78"/>
      <c r="HF83" s="78"/>
      <c r="HG83" s="78"/>
      <c r="HH83" s="78"/>
      <c r="HI83" s="78"/>
      <c r="HJ83" s="78"/>
      <c r="HK83" s="78"/>
    </row>
    <row r="84" spans="1:219" ht="15" customHeight="1">
      <c r="A84" s="149">
        <v>3</v>
      </c>
      <c r="B84" s="176" t="str">
        <f>VLOOKUP(Ruimtestaat[[#This Row],[Code]],Locaties[[Code]:[Locatie]],2,FALSE)</f>
        <v>OBS De Spinner</v>
      </c>
      <c r="C84" s="176" t="str">
        <f>VLOOKUP(Ruimtestaat[[#This Row],[Code]],Locaties[[#All],[Code]:[Adres]],4,FALSE)</f>
        <v>Spinnerstraat 29</v>
      </c>
      <c r="D84" s="176" t="str">
        <f>VLOOKUP(Ruimtestaat[[#This Row],[Code]],Locaties[[#All],[Code]:[Postcode]],5,FALSE)</f>
        <v>7545 TP</v>
      </c>
      <c r="E84" s="176" t="str">
        <f>VLOOKUP(Ruimtestaat[[#This Row],[Code]],Locaties[#All],6,FALSE)</f>
        <v>Enschede</v>
      </c>
      <c r="F84" s="149"/>
      <c r="G84" s="149" t="s">
        <v>1646</v>
      </c>
      <c r="H84" s="300" t="s">
        <v>1666</v>
      </c>
      <c r="I84" s="301" t="s">
        <v>1658</v>
      </c>
      <c r="J84" s="99">
        <v>6</v>
      </c>
      <c r="K84" s="183" t="str">
        <f>VLOOKUP(Ruimtestaat[[#This Row],[Ruimte code]],Ruimtegroepen[[#All],[Code]:[Ruimte omschrijving]],2,FALSE)</f>
        <v>Gangen/hallen</v>
      </c>
      <c r="L84" s="149" t="s">
        <v>100</v>
      </c>
      <c r="M84" s="301" t="s">
        <v>1697</v>
      </c>
      <c r="N84" s="177">
        <v>75.7</v>
      </c>
      <c r="O84" s="177"/>
      <c r="P84" s="178" t="str">
        <f>VLOOKUP(Ruimtestaat[[#This Row],[Ruimte code]],Ruimtegroepen[],4,FALSE)</f>
        <v>Ve</v>
      </c>
      <c r="Q84" s="149">
        <v>40</v>
      </c>
      <c r="R84" s="149" t="s">
        <v>2</v>
      </c>
      <c r="S84" s="149">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4" s="149">
        <f>IF(S84&gt;0,VLOOKUP($J84,Ruimtegroepen[],3,FALSE)*VLOOKUP($L84,Vloersoorten[],3,FALSE)*VLOOKUP($R84,Frequenties[],3,FALSE)*VLOOKUP($A84,Locaties[],3,FALSE),0)</f>
        <v>0</v>
      </c>
      <c r="U84" s="149">
        <f>Ruimtestaat[[#This Row],[Uitvoeringen werkdagen]]*Ruimtestaat[[#This Row],[Oppervlak (netto)]]</f>
        <v>15140</v>
      </c>
      <c r="V84" s="179">
        <f>IF(T84&gt;0,Ruimtestaat[[#This Row],[Prest. (m2 /jaar) werkdagen]]/Ruimtestaat[[#This Row],[Norm (m2/uur) werkdagen]],0)</f>
        <v>0</v>
      </c>
      <c r="W84" s="180">
        <f>Ruimtestaat[[#This Row],[uren / jaar werkdagen]]*Tariefsopbouw!$E$35</f>
        <v>0</v>
      </c>
      <c r="X84" s="149"/>
      <c r="Y84" s="149">
        <f>IF(Ruimtestaat[[#This Row],[Frequentie weekend]]&gt;0,VALUE(LEFT(X84,1))*Q84,0)</f>
        <v>0</v>
      </c>
      <c r="Z84" s="148">
        <f>IF($Y84&gt;0,VLOOKUP($J84,Ruimtegroepen[],3,FALSE)*VLOOKUP($L84,Vloersoorten[],3,FALSE)*VLOOKUP($X84,Frequenties[],3,FALSE)*VLOOKUP(#REF!,Locaties[],3,FALSE),0)</f>
        <v>0</v>
      </c>
      <c r="AA84" s="148">
        <f>Ruimtestaat[[#This Row],[Uitvoeringen weekend]]*Ruimtestaat[[#This Row],[Oppervlak (netto)]]</f>
        <v>0</v>
      </c>
      <c r="AB84" s="148">
        <f>IF(Z84&gt;0,Ruimtestaat[[#This Row],[Prest. (m2 /jaar) weekend]]/Ruimtestaat[[#This Row],[Norm (m2/uur) weekend]],0)</f>
        <v>0</v>
      </c>
      <c r="AC84" s="180">
        <f>Ruimtestaat[[#This Row],[uren / jaar weekend]]*Tariefsopbouw!$D$40</f>
        <v>0</v>
      </c>
      <c r="AD84" s="179">
        <f>Ruimtestaat[[#This Row],[Prest. (m2 /jaar) weekend]]+Ruimtestaat[[#This Row],[Prest. (m2 /jaar) werkdagen]]</f>
        <v>15140</v>
      </c>
      <c r="AE84" s="179">
        <f>Ruimtestaat[[#This Row],[uren / jaar weekend]]+Ruimtestaat[[#This Row],[uren / jaar werkdagen]]</f>
        <v>0</v>
      </c>
      <c r="AF84" s="174">
        <f>Ruimtestaat[[#This Row],[kosten / jaar weekend]]+Ruimtestaat[[#This Row],[kosten / jaar werkdagen]]</f>
        <v>0</v>
      </c>
      <c r="AG84" s="174"/>
      <c r="AH84" s="181" t="str">
        <f>IF(Ruimtestaat[[#This Row],[Frequentie werkdagen]]="","",_xlfn.CONCAT(Ruimtestaat[[#This Row],[Ruimte code]],"-",Ruimtestaat[[#This Row],[Frequentie werkdagen]]," ",Ruimtestaat[[#This Row],[Vloer code]]))</f>
        <v>6-5w L</v>
      </c>
      <c r="AI84" s="185" t="str">
        <f>_xlfn.IFNA(VLOOKUP($AH84,Programma!$F$3:$G$1101,2,0),"")</f>
        <v>_</v>
      </c>
      <c r="AJ84" s="185" t="str">
        <f>_xlfn.IFNA(VLOOKUP($AH84,Programma!$F$3:$H$1101,3,0),"")</f>
        <v>_</v>
      </c>
      <c r="AK84" s="185" t="str">
        <f>_xlfn.IFNA(VLOOKUP($AH84,Programma!$F$3:$I$1101,4,0),"")</f>
        <v>_</v>
      </c>
      <c r="AL84" s="185" t="str">
        <f>_xlfn.IFNA(VLOOKUP($AH84,Programma!$F$3:$J$1101,5,0),"")</f>
        <v>5w</v>
      </c>
      <c r="AM84" s="185" t="str">
        <f>_xlfn.IFNA(VLOOKUP($AH84,Programma!$F$3:$K$1101,6,0),"")</f>
        <v>_</v>
      </c>
      <c r="AN84" s="185" t="str">
        <f>_xlfn.IFNA(VLOOKUP($AH84,Programma!$F$3:$L$1101,7,0),"")</f>
        <v>_</v>
      </c>
      <c r="AO84" s="185" t="str">
        <f>_xlfn.IFNA(VLOOKUP($AH84,Programma!$F$3:$M$1101,8,0),"")</f>
        <v>_</v>
      </c>
      <c r="AP84" s="185" t="str">
        <f>_xlfn.IFNA(VLOOKUP($AH84,Programma!$F$3:$N$1101,9,0),"")</f>
        <v>_</v>
      </c>
      <c r="AQ84" s="185" t="str">
        <f>_xlfn.IFNA(VLOOKUP($AH84,Programma!$F$3:$O$1101,10,0),"")</f>
        <v>5w</v>
      </c>
      <c r="AR84" s="185" t="str">
        <f>_xlfn.IFNA(VLOOKUP($AH84,Programma!$F$3:$P$1101,11,0),"")</f>
        <v>5w</v>
      </c>
      <c r="AS84" s="185" t="str">
        <f>_xlfn.IFNA(VLOOKUP($AH84,Programma!$F$3:$Q$1101,12,0),"")</f>
        <v>1w</v>
      </c>
      <c r="AT84" s="185" t="str">
        <f>_xlfn.IFNA(VLOOKUP($AH84,Programma!$F$3:$R$1101,13,0),"")</f>
        <v>1w</v>
      </c>
      <c r="AU84" s="185" t="str">
        <f>_xlfn.IFNA(VLOOKUP($AH84,Programma!$F$3:$S$1101,14,0),"")</f>
        <v>1m</v>
      </c>
      <c r="AV84" s="185" t="str">
        <f>_xlfn.IFNA(VLOOKUP($AH84,Programma!$F$3:$T$1101,15,0),"")</f>
        <v>2j</v>
      </c>
      <c r="AW84" s="185" t="str">
        <f>_xlfn.IFNA(VLOOKUP($AH84,Programma!$F$3:$U$1101,16,0),"")</f>
        <v>1j</v>
      </c>
      <c r="AX84" s="185" t="str">
        <f>_xlfn.IFNA(VLOOKUP($AH84,Programma!$F$3:$V$1101,17,0),"")</f>
        <v>_</v>
      </c>
      <c r="AY84" s="185" t="str">
        <f>_xlfn.IFNA(VLOOKUP($AH84,Programma!$F$3:$W$1101,18,0),"")</f>
        <v>_</v>
      </c>
      <c r="AZ84" s="185" t="str">
        <f>_xlfn.IFNA(VLOOKUP($AH84,Programma!$F$3:$X$1101,19,0),"")</f>
        <v>_</v>
      </c>
      <c r="BA84" s="185" t="str">
        <f>_xlfn.IFNA(VLOOKUP($AH84,Programma!$F$3:$Y$1101,20,0),"")</f>
        <v>_</v>
      </c>
      <c r="BB84" s="182"/>
      <c r="BC84" s="181" t="str">
        <f>IF(Ruimtestaat[[#This Row],[Frequentie weekend]]="","",_xlfn.CONCAT(Ruimtestaat[[#This Row],[Ruimte code]],"-",Ruimtestaat[[#This Row],[Frequentie weekend]]," ",Ruimtestaat[[#This Row],[Vloer code]]))</f>
        <v/>
      </c>
      <c r="BD84" s="185" t="str">
        <f>_xlfn.IFNA(VLOOKUP($BC84,Programma!$F$3:$G$1101,2,0),"")</f>
        <v/>
      </c>
      <c r="BE84" s="185" t="str">
        <f>_xlfn.IFNA(VLOOKUP($BC84,Programma!$F$3:$H$1101,3,0),"")</f>
        <v/>
      </c>
      <c r="BF84" s="185" t="str">
        <f>_xlfn.IFNA(VLOOKUP($BC84,Programma!$F$3:$I$1101,4,0),"")</f>
        <v/>
      </c>
      <c r="BG84" s="185" t="str">
        <f>_xlfn.IFNA(VLOOKUP($BC84,Programma!$F$3:$J$1101,5,0),"")</f>
        <v/>
      </c>
      <c r="BH84" s="185" t="str">
        <f>_xlfn.IFNA(VLOOKUP($BC84,Programma!$F$3:$K$1101,6,0),"")</f>
        <v/>
      </c>
      <c r="BI84" s="185" t="str">
        <f>_xlfn.IFNA(VLOOKUP($BC84,Programma!$F$3:$L$1101,7,0),"")</f>
        <v/>
      </c>
      <c r="BJ84" s="185" t="str">
        <f>_xlfn.IFNA(VLOOKUP($BC84,Programma!$F$3:$M$1101,8,0),"")</f>
        <v/>
      </c>
      <c r="BK84" s="185" t="str">
        <f>_xlfn.IFNA(VLOOKUP($BC84,Programma!$F$3:$N$1101,9,0),"")</f>
        <v/>
      </c>
      <c r="BL84" s="185" t="str">
        <f>_xlfn.IFNA(VLOOKUP($BC84,Programma!$F$3:$O$1101,10,0),"")</f>
        <v/>
      </c>
      <c r="BM84" s="185" t="str">
        <f>_xlfn.IFNA(VLOOKUP($BC84,Programma!$F$3:$P$1101,11,0),"")</f>
        <v/>
      </c>
      <c r="BN84" s="185" t="str">
        <f>_xlfn.IFNA(VLOOKUP($BC84,Programma!$F$3:$Q$1101,12,0),"")</f>
        <v/>
      </c>
      <c r="BO84" s="185" t="str">
        <f>_xlfn.IFNA(VLOOKUP($BC84,Programma!$F$3:$R$1101,13,0),"")</f>
        <v/>
      </c>
      <c r="BP84" s="185" t="str">
        <f>_xlfn.IFNA(VLOOKUP($BC84,Programma!$F$3:$S$1101,14,0),"")</f>
        <v/>
      </c>
      <c r="BQ84" s="185" t="str">
        <f>_xlfn.IFNA(VLOOKUP($BC84,Programma!$F$3:$T$1101,15,0),"")</f>
        <v/>
      </c>
      <c r="BR84" s="185" t="str">
        <f>_xlfn.IFNA(VLOOKUP($BC84,Programma!$F$3:$U$1101,16,0),"")</f>
        <v/>
      </c>
      <c r="BS84" s="185" t="str">
        <f>_xlfn.IFNA(VLOOKUP($BC84,Programma!$F$3:$V$1101,17,0),"")</f>
        <v/>
      </c>
      <c r="BT84" s="185" t="str">
        <f>_xlfn.IFNA(VLOOKUP($BC84,Programma!$F$3:$W$1101,18,0),"")</f>
        <v/>
      </c>
      <c r="BU84" s="185" t="str">
        <f>_xlfn.IFNA(VLOOKUP($BC84,Programma!$F$3:$X$1101,19,0),"")</f>
        <v/>
      </c>
      <c r="BV84" s="185" t="str">
        <f>_xlfn.IFNA(VLOOKUP($BC84,Programma!$F$3:$Y$1101,20,0),"")</f>
        <v/>
      </c>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c r="EO84" s="78"/>
      <c r="EP84" s="78"/>
      <c r="EQ84" s="78"/>
      <c r="ER84" s="78"/>
      <c r="ES84" s="78"/>
      <c r="ET84" s="78"/>
      <c r="EU84" s="78"/>
      <c r="EV84" s="78"/>
      <c r="EW84" s="78"/>
      <c r="EX84" s="78"/>
      <c r="EY84" s="78"/>
      <c r="EZ84" s="78"/>
      <c r="FA84" s="78"/>
      <c r="FB84" s="78"/>
      <c r="FC84" s="78"/>
      <c r="FD84" s="78"/>
      <c r="FE84" s="78"/>
      <c r="FF84" s="78"/>
      <c r="FG84" s="78"/>
      <c r="FH84" s="78"/>
      <c r="FI84" s="78"/>
      <c r="FJ84" s="78"/>
      <c r="FK84" s="78"/>
      <c r="FL84" s="78"/>
      <c r="FM84" s="78"/>
      <c r="FN84" s="78"/>
      <c r="FO84" s="78"/>
      <c r="FP84" s="78"/>
      <c r="FQ84" s="78"/>
      <c r="FR84" s="78"/>
      <c r="FS84" s="78"/>
      <c r="FT84" s="78"/>
      <c r="FU84" s="78"/>
      <c r="FV84" s="78"/>
      <c r="FW84" s="78"/>
      <c r="FX84" s="78"/>
      <c r="FY84" s="78"/>
      <c r="FZ84" s="78"/>
      <c r="GA84" s="78"/>
      <c r="GB84" s="78"/>
      <c r="GC84" s="78"/>
      <c r="GD84" s="78"/>
      <c r="GE84" s="78"/>
      <c r="GF84" s="78"/>
      <c r="GG84" s="78"/>
      <c r="GH84" s="78"/>
      <c r="GI84" s="78"/>
      <c r="GJ84" s="78"/>
      <c r="GK84" s="78"/>
      <c r="GL84" s="78"/>
      <c r="GM84" s="78"/>
      <c r="GN84" s="78"/>
      <c r="GO84" s="78"/>
      <c r="GP84" s="78"/>
      <c r="GQ84" s="78"/>
      <c r="GR84" s="78"/>
      <c r="GS84" s="78"/>
      <c r="GT84" s="78"/>
      <c r="GU84" s="78"/>
      <c r="GV84" s="78"/>
      <c r="GW84" s="78"/>
      <c r="GX84" s="78"/>
      <c r="GY84" s="78"/>
      <c r="GZ84" s="78"/>
      <c r="HA84" s="78"/>
      <c r="HB84" s="78"/>
      <c r="HC84" s="78"/>
      <c r="HD84" s="78"/>
      <c r="HE84" s="78"/>
      <c r="HF84" s="78"/>
      <c r="HG84" s="78"/>
      <c r="HH84" s="78"/>
      <c r="HI84" s="78"/>
      <c r="HJ84" s="78"/>
      <c r="HK84" s="78"/>
    </row>
    <row r="85" spans="1:219" ht="15" customHeight="1">
      <c r="A85" s="149">
        <v>3</v>
      </c>
      <c r="B85" s="176" t="str">
        <f>VLOOKUP(Ruimtestaat[[#This Row],[Code]],Locaties[[Code]:[Locatie]],2,FALSE)</f>
        <v>OBS De Spinner</v>
      </c>
      <c r="C85" s="176" t="str">
        <f>VLOOKUP(Ruimtestaat[[#This Row],[Code]],Locaties[[#All],[Code]:[Adres]],4,FALSE)</f>
        <v>Spinnerstraat 29</v>
      </c>
      <c r="D85" s="176" t="str">
        <f>VLOOKUP(Ruimtestaat[[#This Row],[Code]],Locaties[[#All],[Code]:[Postcode]],5,FALSE)</f>
        <v>7545 TP</v>
      </c>
      <c r="E85" s="176" t="str">
        <f>VLOOKUP(Ruimtestaat[[#This Row],[Code]],Locaties[#All],6,FALSE)</f>
        <v>Enschede</v>
      </c>
      <c r="F85" s="149"/>
      <c r="G85" s="149" t="s">
        <v>1646</v>
      </c>
      <c r="H85" s="300" t="s">
        <v>1668</v>
      </c>
      <c r="I85" s="301" t="s">
        <v>1702</v>
      </c>
      <c r="J85" s="99">
        <v>10</v>
      </c>
      <c r="K85" s="183" t="str">
        <f>VLOOKUP(Ruimtestaat[[#This Row],[Ruimte code]],Ruimtegroepen[[#All],[Code]:[Ruimte omschrijving]],2,FALSE)</f>
        <v>Trappenhuizen/lift</v>
      </c>
      <c r="L85" s="149" t="s">
        <v>102</v>
      </c>
      <c r="M85" s="301" t="s">
        <v>1742</v>
      </c>
      <c r="N85" s="177">
        <v>11.1</v>
      </c>
      <c r="O85" s="177"/>
      <c r="P85" s="178" t="str">
        <f>VLOOKUP(Ruimtestaat[[#This Row],[Ruimte code]],Ruimtegroepen[],4,FALSE)</f>
        <v>Ve</v>
      </c>
      <c r="Q85" s="149">
        <v>40</v>
      </c>
      <c r="R85" s="149" t="s">
        <v>2</v>
      </c>
      <c r="S85" s="149">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149">
        <f>IF(S85&gt;0,VLOOKUP($J85,Ruimtegroepen[],3,FALSE)*VLOOKUP($L85,Vloersoorten[],3,FALSE)*VLOOKUP($R85,Frequenties[],3,FALSE)*VLOOKUP($A85,Locaties[],3,FALSE),0)</f>
        <v>0</v>
      </c>
      <c r="U85" s="149">
        <f>Ruimtestaat[[#This Row],[Uitvoeringen werkdagen]]*Ruimtestaat[[#This Row],[Oppervlak (netto)]]</f>
        <v>2220</v>
      </c>
      <c r="V85" s="179">
        <f>IF(T85&gt;0,Ruimtestaat[[#This Row],[Prest. (m2 /jaar) werkdagen]]/Ruimtestaat[[#This Row],[Norm (m2/uur) werkdagen]],0)</f>
        <v>0</v>
      </c>
      <c r="W85" s="180">
        <f>Ruimtestaat[[#This Row],[uren / jaar werkdagen]]*Tariefsopbouw!$E$35</f>
        <v>0</v>
      </c>
      <c r="X85" s="149"/>
      <c r="Y85" s="149">
        <f>IF(Ruimtestaat[[#This Row],[Frequentie weekend]]&gt;0,VALUE(LEFT(X85,1))*Q85,0)</f>
        <v>0</v>
      </c>
      <c r="Z85" s="148">
        <f>IF($Y85&gt;0,VLOOKUP($J85,Ruimtegroepen[],3,FALSE)*VLOOKUP($L85,Vloersoorten[],3,FALSE)*VLOOKUP($X85,Frequenties[],3,FALSE)*VLOOKUP(#REF!,Locaties[],3,FALSE),0)</f>
        <v>0</v>
      </c>
      <c r="AA85" s="148">
        <f>Ruimtestaat[[#This Row],[Uitvoeringen weekend]]*Ruimtestaat[[#This Row],[Oppervlak (netto)]]</f>
        <v>0</v>
      </c>
      <c r="AB85" s="148">
        <f>IF(Z85&gt;0,Ruimtestaat[[#This Row],[Prest. (m2 /jaar) weekend]]/Ruimtestaat[[#This Row],[Norm (m2/uur) weekend]],0)</f>
        <v>0</v>
      </c>
      <c r="AC85" s="180">
        <f>Ruimtestaat[[#This Row],[uren / jaar weekend]]*Tariefsopbouw!$D$40</f>
        <v>0</v>
      </c>
      <c r="AD85" s="179">
        <f>Ruimtestaat[[#This Row],[Prest. (m2 /jaar) weekend]]+Ruimtestaat[[#This Row],[Prest. (m2 /jaar) werkdagen]]</f>
        <v>2220</v>
      </c>
      <c r="AE85" s="179">
        <f>Ruimtestaat[[#This Row],[uren / jaar weekend]]+Ruimtestaat[[#This Row],[uren / jaar werkdagen]]</f>
        <v>0</v>
      </c>
      <c r="AF85" s="174">
        <f>Ruimtestaat[[#This Row],[kosten / jaar weekend]]+Ruimtestaat[[#This Row],[kosten / jaar werkdagen]]</f>
        <v>0</v>
      </c>
      <c r="AG85" s="174"/>
      <c r="AH85" s="181" t="str">
        <f>IF(Ruimtestaat[[#This Row],[Frequentie werkdagen]]="","",_xlfn.CONCAT(Ruimtestaat[[#This Row],[Ruimte code]],"-",Ruimtestaat[[#This Row],[Frequentie werkdagen]]," ",Ruimtestaat[[#This Row],[Vloer code]]))</f>
        <v>10-5w P</v>
      </c>
      <c r="AI85" s="185" t="str">
        <f>_xlfn.IFNA(VLOOKUP($AH85,Programma!$F$3:$G$1101,2,0),"")</f>
        <v>_</v>
      </c>
      <c r="AJ85" s="185" t="str">
        <f>_xlfn.IFNA(VLOOKUP($AH85,Programma!$F$3:$H$1101,3,0),"")</f>
        <v>_</v>
      </c>
      <c r="AK85" s="185" t="str">
        <f>_xlfn.IFNA(VLOOKUP($AH85,Programma!$F$3:$I$1101,4,0),"")</f>
        <v>5w</v>
      </c>
      <c r="AL85" s="185" t="str">
        <f>_xlfn.IFNA(VLOOKUP($AH85,Programma!$F$3:$J$1101,5,0),"")</f>
        <v>_</v>
      </c>
      <c r="AM85" s="185" t="str">
        <f>_xlfn.IFNA(VLOOKUP($AH85,Programma!$F$3:$K$1101,6,0),"")</f>
        <v>4j</v>
      </c>
      <c r="AN85" s="185" t="str">
        <f>_xlfn.IFNA(VLOOKUP($AH85,Programma!$F$3:$L$1101,7,0),"")</f>
        <v>_</v>
      </c>
      <c r="AO85" s="185" t="str">
        <f>_xlfn.IFNA(VLOOKUP($AH85,Programma!$F$3:$M$1101,8,0),"")</f>
        <v>_</v>
      </c>
      <c r="AP85" s="185" t="str">
        <f>_xlfn.IFNA(VLOOKUP($AH85,Programma!$F$3:$N$1101,9,0),"")</f>
        <v>_</v>
      </c>
      <c r="AQ85" s="185" t="str">
        <f>_xlfn.IFNA(VLOOKUP($AH85,Programma!$F$3:$O$1101,10,0),"")</f>
        <v>5w</v>
      </c>
      <c r="AR85" s="185" t="str">
        <f>_xlfn.IFNA(VLOOKUP($AH85,Programma!$F$3:$P$1101,11,0),"")</f>
        <v>5w</v>
      </c>
      <c r="AS85" s="185" t="str">
        <f>_xlfn.IFNA(VLOOKUP($AH85,Programma!$F$3:$Q$1101,12,0),"")</f>
        <v>1w</v>
      </c>
      <c r="AT85" s="185" t="str">
        <f>_xlfn.IFNA(VLOOKUP($AH85,Programma!$F$3:$R$1101,13,0),"")</f>
        <v>1w</v>
      </c>
      <c r="AU85" s="185" t="str">
        <f>_xlfn.IFNA(VLOOKUP($AH85,Programma!$F$3:$S$1101,14,0),"")</f>
        <v>1m</v>
      </c>
      <c r="AV85" s="185" t="str">
        <f>_xlfn.IFNA(VLOOKUP($AH85,Programma!$F$3:$T$1101,15,0),"")</f>
        <v>2j</v>
      </c>
      <c r="AW85" s="185" t="str">
        <f>_xlfn.IFNA(VLOOKUP($AH85,Programma!$F$3:$U$1101,16,0),"")</f>
        <v>1j</v>
      </c>
      <c r="AX85" s="185" t="str">
        <f>_xlfn.IFNA(VLOOKUP($AH85,Programma!$F$3:$V$1101,17,0),"")</f>
        <v>_</v>
      </c>
      <c r="AY85" s="185" t="str">
        <f>_xlfn.IFNA(VLOOKUP($AH85,Programma!$F$3:$W$1101,18,0),"")</f>
        <v>_</v>
      </c>
      <c r="AZ85" s="185" t="str">
        <f>_xlfn.IFNA(VLOOKUP($AH85,Programma!$F$3:$X$1101,19,0),"")</f>
        <v>_</v>
      </c>
      <c r="BA85" s="185" t="str">
        <f>_xlfn.IFNA(VLOOKUP($AH85,Programma!$F$3:$Y$1101,20,0),"")</f>
        <v>_</v>
      </c>
      <c r="BB85" s="182"/>
      <c r="BC85" s="181" t="str">
        <f>IF(Ruimtestaat[[#This Row],[Frequentie weekend]]="","",_xlfn.CONCAT(Ruimtestaat[[#This Row],[Ruimte code]],"-",Ruimtestaat[[#This Row],[Frequentie weekend]]," ",Ruimtestaat[[#This Row],[Vloer code]]))</f>
        <v/>
      </c>
      <c r="BD85" s="185" t="str">
        <f>_xlfn.IFNA(VLOOKUP($BC85,Programma!$F$3:$G$1101,2,0),"")</f>
        <v/>
      </c>
      <c r="BE85" s="185" t="str">
        <f>_xlfn.IFNA(VLOOKUP($BC85,Programma!$F$3:$H$1101,3,0),"")</f>
        <v/>
      </c>
      <c r="BF85" s="185" t="str">
        <f>_xlfn.IFNA(VLOOKUP($BC85,Programma!$F$3:$I$1101,4,0),"")</f>
        <v/>
      </c>
      <c r="BG85" s="185" t="str">
        <f>_xlfn.IFNA(VLOOKUP($BC85,Programma!$F$3:$J$1101,5,0),"")</f>
        <v/>
      </c>
      <c r="BH85" s="185" t="str">
        <f>_xlfn.IFNA(VLOOKUP($BC85,Programma!$F$3:$K$1101,6,0),"")</f>
        <v/>
      </c>
      <c r="BI85" s="185" t="str">
        <f>_xlfn.IFNA(VLOOKUP($BC85,Programma!$F$3:$L$1101,7,0),"")</f>
        <v/>
      </c>
      <c r="BJ85" s="185" t="str">
        <f>_xlfn.IFNA(VLOOKUP($BC85,Programma!$F$3:$M$1101,8,0),"")</f>
        <v/>
      </c>
      <c r="BK85" s="185" t="str">
        <f>_xlfn.IFNA(VLOOKUP($BC85,Programma!$F$3:$N$1101,9,0),"")</f>
        <v/>
      </c>
      <c r="BL85" s="185" t="str">
        <f>_xlfn.IFNA(VLOOKUP($BC85,Programma!$F$3:$O$1101,10,0),"")</f>
        <v/>
      </c>
      <c r="BM85" s="185" t="str">
        <f>_xlfn.IFNA(VLOOKUP($BC85,Programma!$F$3:$P$1101,11,0),"")</f>
        <v/>
      </c>
      <c r="BN85" s="185" t="str">
        <f>_xlfn.IFNA(VLOOKUP($BC85,Programma!$F$3:$Q$1101,12,0),"")</f>
        <v/>
      </c>
      <c r="BO85" s="185" t="str">
        <f>_xlfn.IFNA(VLOOKUP($BC85,Programma!$F$3:$R$1101,13,0),"")</f>
        <v/>
      </c>
      <c r="BP85" s="185" t="str">
        <f>_xlfn.IFNA(VLOOKUP($BC85,Programma!$F$3:$S$1101,14,0),"")</f>
        <v/>
      </c>
      <c r="BQ85" s="185" t="str">
        <f>_xlfn.IFNA(VLOOKUP($BC85,Programma!$F$3:$T$1101,15,0),"")</f>
        <v/>
      </c>
      <c r="BR85" s="185" t="str">
        <f>_xlfn.IFNA(VLOOKUP($BC85,Programma!$F$3:$U$1101,16,0),"")</f>
        <v/>
      </c>
      <c r="BS85" s="185" t="str">
        <f>_xlfn.IFNA(VLOOKUP($BC85,Programma!$F$3:$V$1101,17,0),"")</f>
        <v/>
      </c>
      <c r="BT85" s="185" t="str">
        <f>_xlfn.IFNA(VLOOKUP($BC85,Programma!$F$3:$W$1101,18,0),"")</f>
        <v/>
      </c>
      <c r="BU85" s="185" t="str">
        <f>_xlfn.IFNA(VLOOKUP($BC85,Programma!$F$3:$X$1101,19,0),"")</f>
        <v/>
      </c>
      <c r="BV85" s="185" t="str">
        <f>_xlfn.IFNA(VLOOKUP($BC85,Programma!$F$3:$Y$1101,20,0),"")</f>
        <v/>
      </c>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c r="EO85" s="78"/>
      <c r="EP85" s="78"/>
      <c r="EQ85" s="78"/>
      <c r="ER85" s="78"/>
      <c r="ES85" s="78"/>
      <c r="ET85" s="78"/>
      <c r="EU85" s="78"/>
      <c r="EV85" s="78"/>
      <c r="EW85" s="78"/>
      <c r="EX85" s="78"/>
      <c r="EY85" s="78"/>
      <c r="EZ85" s="78"/>
      <c r="FA85" s="78"/>
      <c r="FB85" s="78"/>
      <c r="FC85" s="78"/>
      <c r="FD85" s="78"/>
      <c r="FE85" s="78"/>
      <c r="FF85" s="78"/>
      <c r="FG85" s="78"/>
      <c r="FH85" s="78"/>
      <c r="FI85" s="78"/>
      <c r="FJ85" s="78"/>
      <c r="FK85" s="78"/>
      <c r="FL85" s="78"/>
      <c r="FM85" s="78"/>
      <c r="FN85" s="78"/>
      <c r="FO85" s="78"/>
      <c r="FP85" s="78"/>
      <c r="FQ85" s="78"/>
      <c r="FR85" s="78"/>
      <c r="FS85" s="78"/>
      <c r="FT85" s="78"/>
      <c r="FU85" s="78"/>
      <c r="FV85" s="78"/>
      <c r="FW85" s="78"/>
      <c r="FX85" s="78"/>
      <c r="FY85" s="78"/>
      <c r="FZ85" s="78"/>
      <c r="GA85" s="78"/>
      <c r="GB85" s="78"/>
      <c r="GC85" s="78"/>
      <c r="GD85" s="78"/>
      <c r="GE85" s="78"/>
      <c r="GF85" s="78"/>
      <c r="GG85" s="78"/>
      <c r="GH85" s="78"/>
      <c r="GI85" s="78"/>
      <c r="GJ85" s="78"/>
      <c r="GK85" s="78"/>
      <c r="GL85" s="78"/>
      <c r="GM85" s="78"/>
      <c r="GN85" s="78"/>
      <c r="GO85" s="78"/>
      <c r="GP85" s="78"/>
      <c r="GQ85" s="78"/>
      <c r="GR85" s="78"/>
      <c r="GS85" s="78"/>
      <c r="GT85" s="78"/>
      <c r="GU85" s="78"/>
      <c r="GV85" s="78"/>
      <c r="GW85" s="78"/>
      <c r="GX85" s="78"/>
      <c r="GY85" s="78"/>
      <c r="GZ85" s="78"/>
      <c r="HA85" s="78"/>
      <c r="HB85" s="78"/>
      <c r="HC85" s="78"/>
      <c r="HD85" s="78"/>
      <c r="HE85" s="78"/>
      <c r="HF85" s="78"/>
      <c r="HG85" s="78"/>
      <c r="HH85" s="78"/>
      <c r="HI85" s="78"/>
      <c r="HJ85" s="78"/>
      <c r="HK85" s="78"/>
    </row>
    <row r="86" spans="1:219" ht="15" customHeight="1">
      <c r="A86" s="149">
        <v>3</v>
      </c>
      <c r="B86" s="176" t="str">
        <f>VLOOKUP(Ruimtestaat[[#This Row],[Code]],Locaties[[Code]:[Locatie]],2,FALSE)</f>
        <v>OBS De Spinner</v>
      </c>
      <c r="C86" s="176" t="str">
        <f>VLOOKUP(Ruimtestaat[[#This Row],[Code]],Locaties[[#All],[Code]:[Adres]],4,FALSE)</f>
        <v>Spinnerstraat 29</v>
      </c>
      <c r="D86" s="176" t="str">
        <f>VLOOKUP(Ruimtestaat[[#This Row],[Code]],Locaties[[#All],[Code]:[Postcode]],5,FALSE)</f>
        <v>7545 TP</v>
      </c>
      <c r="E86" s="176" t="str">
        <f>VLOOKUP(Ruimtestaat[[#This Row],[Code]],Locaties[#All],6,FALSE)</f>
        <v>Enschede</v>
      </c>
      <c r="F86" s="149"/>
      <c r="G86" s="149" t="s">
        <v>1714</v>
      </c>
      <c r="H86" s="300" t="s">
        <v>1715</v>
      </c>
      <c r="I86" s="301" t="s">
        <v>1732</v>
      </c>
      <c r="J86" s="99">
        <v>6</v>
      </c>
      <c r="K86" s="183" t="str">
        <f>VLOOKUP(Ruimtestaat[[#This Row],[Ruimte code]],Ruimtegroepen[[#All],[Code]:[Ruimte omschrijving]],2,FALSE)</f>
        <v>Gangen/hallen</v>
      </c>
      <c r="L86" s="149" t="s">
        <v>100</v>
      </c>
      <c r="M86" s="301" t="s">
        <v>1697</v>
      </c>
      <c r="N86" s="177">
        <v>7.1</v>
      </c>
      <c r="O86" s="177"/>
      <c r="P86" s="178" t="str">
        <f>VLOOKUP(Ruimtestaat[[#This Row],[Ruimte code]],Ruimtegroepen[],4,FALSE)</f>
        <v>Ve</v>
      </c>
      <c r="Q86" s="149">
        <v>40</v>
      </c>
      <c r="R86" s="149" t="s">
        <v>2</v>
      </c>
      <c r="S86" s="149">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6" s="149">
        <f>IF(S86&gt;0,VLOOKUP($J86,Ruimtegroepen[],3,FALSE)*VLOOKUP($L86,Vloersoorten[],3,FALSE)*VLOOKUP($R86,Frequenties[],3,FALSE)*VLOOKUP($A86,Locaties[],3,FALSE),0)</f>
        <v>0</v>
      </c>
      <c r="U86" s="149">
        <f>Ruimtestaat[[#This Row],[Uitvoeringen werkdagen]]*Ruimtestaat[[#This Row],[Oppervlak (netto)]]</f>
        <v>1420</v>
      </c>
      <c r="V86" s="179">
        <f>IF(T86&gt;0,Ruimtestaat[[#This Row],[Prest. (m2 /jaar) werkdagen]]/Ruimtestaat[[#This Row],[Norm (m2/uur) werkdagen]],0)</f>
        <v>0</v>
      </c>
      <c r="W86" s="180">
        <f>Ruimtestaat[[#This Row],[uren / jaar werkdagen]]*Tariefsopbouw!$E$35</f>
        <v>0</v>
      </c>
      <c r="X86" s="149"/>
      <c r="Y86" s="149">
        <f>IF(Ruimtestaat[[#This Row],[Frequentie weekend]]&gt;0,VALUE(LEFT(X86,1))*Q86,0)</f>
        <v>0</v>
      </c>
      <c r="Z86" s="148">
        <f>IF($Y86&gt;0,VLOOKUP($J86,Ruimtegroepen[],3,FALSE)*VLOOKUP($L86,Vloersoorten[],3,FALSE)*VLOOKUP($X86,Frequenties[],3,FALSE)*VLOOKUP(#REF!,Locaties[],3,FALSE),0)</f>
        <v>0</v>
      </c>
      <c r="AA86" s="148">
        <f>Ruimtestaat[[#This Row],[Uitvoeringen weekend]]*Ruimtestaat[[#This Row],[Oppervlak (netto)]]</f>
        <v>0</v>
      </c>
      <c r="AB86" s="148">
        <f>IF(Z86&gt;0,Ruimtestaat[[#This Row],[Prest. (m2 /jaar) weekend]]/Ruimtestaat[[#This Row],[Norm (m2/uur) weekend]],0)</f>
        <v>0</v>
      </c>
      <c r="AC86" s="180">
        <f>Ruimtestaat[[#This Row],[uren / jaar weekend]]*Tariefsopbouw!$D$40</f>
        <v>0</v>
      </c>
      <c r="AD86" s="179">
        <f>Ruimtestaat[[#This Row],[Prest. (m2 /jaar) weekend]]+Ruimtestaat[[#This Row],[Prest. (m2 /jaar) werkdagen]]</f>
        <v>1420</v>
      </c>
      <c r="AE86" s="179">
        <f>Ruimtestaat[[#This Row],[uren / jaar weekend]]+Ruimtestaat[[#This Row],[uren / jaar werkdagen]]</f>
        <v>0</v>
      </c>
      <c r="AF86" s="174">
        <f>Ruimtestaat[[#This Row],[kosten / jaar weekend]]+Ruimtestaat[[#This Row],[kosten / jaar werkdagen]]</f>
        <v>0</v>
      </c>
      <c r="AG86" s="174"/>
      <c r="AH86" s="181" t="str">
        <f>IF(Ruimtestaat[[#This Row],[Frequentie werkdagen]]="","",_xlfn.CONCAT(Ruimtestaat[[#This Row],[Ruimte code]],"-",Ruimtestaat[[#This Row],[Frequentie werkdagen]]," ",Ruimtestaat[[#This Row],[Vloer code]]))</f>
        <v>6-5w L</v>
      </c>
      <c r="AI86" s="185" t="str">
        <f>_xlfn.IFNA(VLOOKUP($AH86,Programma!$F$3:$G$1101,2,0),"")</f>
        <v>_</v>
      </c>
      <c r="AJ86" s="185" t="str">
        <f>_xlfn.IFNA(VLOOKUP($AH86,Programma!$F$3:$H$1101,3,0),"")</f>
        <v>_</v>
      </c>
      <c r="AK86" s="185" t="str">
        <f>_xlfn.IFNA(VLOOKUP($AH86,Programma!$F$3:$I$1101,4,0),"")</f>
        <v>_</v>
      </c>
      <c r="AL86" s="185" t="str">
        <f>_xlfn.IFNA(VLOOKUP($AH86,Programma!$F$3:$J$1101,5,0),"")</f>
        <v>5w</v>
      </c>
      <c r="AM86" s="185" t="str">
        <f>_xlfn.IFNA(VLOOKUP($AH86,Programma!$F$3:$K$1101,6,0),"")</f>
        <v>_</v>
      </c>
      <c r="AN86" s="185" t="str">
        <f>_xlfn.IFNA(VLOOKUP($AH86,Programma!$F$3:$L$1101,7,0),"")</f>
        <v>_</v>
      </c>
      <c r="AO86" s="185" t="str">
        <f>_xlfn.IFNA(VLOOKUP($AH86,Programma!$F$3:$M$1101,8,0),"")</f>
        <v>_</v>
      </c>
      <c r="AP86" s="185" t="str">
        <f>_xlfn.IFNA(VLOOKUP($AH86,Programma!$F$3:$N$1101,9,0),"")</f>
        <v>_</v>
      </c>
      <c r="AQ86" s="185" t="str">
        <f>_xlfn.IFNA(VLOOKUP($AH86,Programma!$F$3:$O$1101,10,0),"")</f>
        <v>5w</v>
      </c>
      <c r="AR86" s="185" t="str">
        <f>_xlfn.IFNA(VLOOKUP($AH86,Programma!$F$3:$P$1101,11,0),"")</f>
        <v>5w</v>
      </c>
      <c r="AS86" s="185" t="str">
        <f>_xlfn.IFNA(VLOOKUP($AH86,Programma!$F$3:$Q$1101,12,0),"")</f>
        <v>1w</v>
      </c>
      <c r="AT86" s="185" t="str">
        <f>_xlfn.IFNA(VLOOKUP($AH86,Programma!$F$3:$R$1101,13,0),"")</f>
        <v>1w</v>
      </c>
      <c r="AU86" s="185" t="str">
        <f>_xlfn.IFNA(VLOOKUP($AH86,Programma!$F$3:$S$1101,14,0),"")</f>
        <v>1m</v>
      </c>
      <c r="AV86" s="185" t="str">
        <f>_xlfn.IFNA(VLOOKUP($AH86,Programma!$F$3:$T$1101,15,0),"")</f>
        <v>2j</v>
      </c>
      <c r="AW86" s="185" t="str">
        <f>_xlfn.IFNA(VLOOKUP($AH86,Programma!$F$3:$U$1101,16,0),"")</f>
        <v>1j</v>
      </c>
      <c r="AX86" s="185" t="str">
        <f>_xlfn.IFNA(VLOOKUP($AH86,Programma!$F$3:$V$1101,17,0),"")</f>
        <v>_</v>
      </c>
      <c r="AY86" s="185" t="str">
        <f>_xlfn.IFNA(VLOOKUP($AH86,Programma!$F$3:$W$1101,18,0),"")</f>
        <v>_</v>
      </c>
      <c r="AZ86" s="185" t="str">
        <f>_xlfn.IFNA(VLOOKUP($AH86,Programma!$F$3:$X$1101,19,0),"")</f>
        <v>_</v>
      </c>
      <c r="BA86" s="185" t="str">
        <f>_xlfn.IFNA(VLOOKUP($AH86,Programma!$F$3:$Y$1101,20,0),"")</f>
        <v>_</v>
      </c>
      <c r="BB86" s="182"/>
      <c r="BC86" s="181" t="str">
        <f>IF(Ruimtestaat[[#This Row],[Frequentie weekend]]="","",_xlfn.CONCAT(Ruimtestaat[[#This Row],[Ruimte code]],"-",Ruimtestaat[[#This Row],[Frequentie weekend]]," ",Ruimtestaat[[#This Row],[Vloer code]]))</f>
        <v/>
      </c>
      <c r="BD86" s="185" t="str">
        <f>_xlfn.IFNA(VLOOKUP($BC86,Programma!$F$3:$G$1101,2,0),"")</f>
        <v/>
      </c>
      <c r="BE86" s="185" t="str">
        <f>_xlfn.IFNA(VLOOKUP($BC86,Programma!$F$3:$H$1101,3,0),"")</f>
        <v/>
      </c>
      <c r="BF86" s="185" t="str">
        <f>_xlfn.IFNA(VLOOKUP($BC86,Programma!$F$3:$I$1101,4,0),"")</f>
        <v/>
      </c>
      <c r="BG86" s="185" t="str">
        <f>_xlfn.IFNA(VLOOKUP($BC86,Programma!$F$3:$J$1101,5,0),"")</f>
        <v/>
      </c>
      <c r="BH86" s="185" t="str">
        <f>_xlfn.IFNA(VLOOKUP($BC86,Programma!$F$3:$K$1101,6,0),"")</f>
        <v/>
      </c>
      <c r="BI86" s="185" t="str">
        <f>_xlfn.IFNA(VLOOKUP($BC86,Programma!$F$3:$L$1101,7,0),"")</f>
        <v/>
      </c>
      <c r="BJ86" s="185" t="str">
        <f>_xlfn.IFNA(VLOOKUP($BC86,Programma!$F$3:$M$1101,8,0),"")</f>
        <v/>
      </c>
      <c r="BK86" s="185" t="str">
        <f>_xlfn.IFNA(VLOOKUP($BC86,Programma!$F$3:$N$1101,9,0),"")</f>
        <v/>
      </c>
      <c r="BL86" s="185" t="str">
        <f>_xlfn.IFNA(VLOOKUP($BC86,Programma!$F$3:$O$1101,10,0),"")</f>
        <v/>
      </c>
      <c r="BM86" s="185" t="str">
        <f>_xlfn.IFNA(VLOOKUP($BC86,Programma!$F$3:$P$1101,11,0),"")</f>
        <v/>
      </c>
      <c r="BN86" s="185" t="str">
        <f>_xlfn.IFNA(VLOOKUP($BC86,Programma!$F$3:$Q$1101,12,0),"")</f>
        <v/>
      </c>
      <c r="BO86" s="185" t="str">
        <f>_xlfn.IFNA(VLOOKUP($BC86,Programma!$F$3:$R$1101,13,0),"")</f>
        <v/>
      </c>
      <c r="BP86" s="185" t="str">
        <f>_xlfn.IFNA(VLOOKUP($BC86,Programma!$F$3:$S$1101,14,0),"")</f>
        <v/>
      </c>
      <c r="BQ86" s="185" t="str">
        <f>_xlfn.IFNA(VLOOKUP($BC86,Programma!$F$3:$T$1101,15,0),"")</f>
        <v/>
      </c>
      <c r="BR86" s="185" t="str">
        <f>_xlfn.IFNA(VLOOKUP($BC86,Programma!$F$3:$U$1101,16,0),"")</f>
        <v/>
      </c>
      <c r="BS86" s="185" t="str">
        <f>_xlfn.IFNA(VLOOKUP($BC86,Programma!$F$3:$V$1101,17,0),"")</f>
        <v/>
      </c>
      <c r="BT86" s="185" t="str">
        <f>_xlfn.IFNA(VLOOKUP($BC86,Programma!$F$3:$W$1101,18,0),"")</f>
        <v/>
      </c>
      <c r="BU86" s="185" t="str">
        <f>_xlfn.IFNA(VLOOKUP($BC86,Programma!$F$3:$X$1101,19,0),"")</f>
        <v/>
      </c>
      <c r="BV86" s="185" t="str">
        <f>_xlfn.IFNA(VLOOKUP($BC86,Programma!$F$3:$Y$1101,20,0),"")</f>
        <v/>
      </c>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c r="EO86" s="78"/>
      <c r="EP86" s="78"/>
      <c r="EQ86" s="78"/>
      <c r="ER86" s="78"/>
      <c r="ES86" s="78"/>
      <c r="ET86" s="78"/>
      <c r="EU86" s="78"/>
      <c r="EV86" s="78"/>
      <c r="EW86" s="78"/>
      <c r="EX86" s="78"/>
      <c r="EY86" s="78"/>
      <c r="EZ86" s="78"/>
      <c r="FA86" s="78"/>
      <c r="FB86" s="78"/>
      <c r="FC86" s="78"/>
      <c r="FD86" s="78"/>
      <c r="FE86" s="78"/>
      <c r="FF86" s="78"/>
      <c r="FG86" s="78"/>
      <c r="FH86" s="78"/>
      <c r="FI86" s="78"/>
      <c r="FJ86" s="78"/>
      <c r="FK86" s="78"/>
      <c r="FL86" s="78"/>
      <c r="FM86" s="78"/>
      <c r="FN86" s="78"/>
      <c r="FO86" s="78"/>
      <c r="FP86" s="78"/>
      <c r="FQ86" s="78"/>
      <c r="FR86" s="78"/>
      <c r="FS86" s="78"/>
      <c r="FT86" s="78"/>
      <c r="FU86" s="78"/>
      <c r="FV86" s="78"/>
      <c r="FW86" s="78"/>
      <c r="FX86" s="78"/>
      <c r="FY86" s="78"/>
      <c r="FZ86" s="78"/>
      <c r="GA86" s="78"/>
      <c r="GB86" s="78"/>
      <c r="GC86" s="78"/>
      <c r="GD86" s="78"/>
      <c r="GE86" s="78"/>
      <c r="GF86" s="78"/>
      <c r="GG86" s="78"/>
      <c r="GH86" s="78"/>
      <c r="GI86" s="78"/>
      <c r="GJ86" s="78"/>
      <c r="GK86" s="78"/>
      <c r="GL86" s="78"/>
      <c r="GM86" s="78"/>
      <c r="GN86" s="78"/>
      <c r="GO86" s="78"/>
      <c r="GP86" s="78"/>
      <c r="GQ86" s="78"/>
      <c r="GR86" s="78"/>
      <c r="GS86" s="78"/>
      <c r="GT86" s="78"/>
      <c r="GU86" s="78"/>
      <c r="GV86" s="78"/>
      <c r="GW86" s="78"/>
      <c r="GX86" s="78"/>
      <c r="GY86" s="78"/>
      <c r="GZ86" s="78"/>
      <c r="HA86" s="78"/>
      <c r="HB86" s="78"/>
      <c r="HC86" s="78"/>
      <c r="HD86" s="78"/>
      <c r="HE86" s="78"/>
      <c r="HF86" s="78"/>
      <c r="HG86" s="78"/>
      <c r="HH86" s="78"/>
      <c r="HI86" s="78"/>
      <c r="HJ86" s="78"/>
      <c r="HK86" s="78"/>
    </row>
    <row r="87" spans="1:219" ht="15" customHeight="1">
      <c r="A87" s="149">
        <v>3</v>
      </c>
      <c r="B87" s="176" t="str">
        <f>VLOOKUP(Ruimtestaat[[#This Row],[Code]],Locaties[[Code]:[Locatie]],2,FALSE)</f>
        <v>OBS De Spinner</v>
      </c>
      <c r="C87" s="176" t="str">
        <f>VLOOKUP(Ruimtestaat[[#This Row],[Code]],Locaties[[#All],[Code]:[Adres]],4,FALSE)</f>
        <v>Spinnerstraat 29</v>
      </c>
      <c r="D87" s="176" t="str">
        <f>VLOOKUP(Ruimtestaat[[#This Row],[Code]],Locaties[[#All],[Code]:[Postcode]],5,FALSE)</f>
        <v>7545 TP</v>
      </c>
      <c r="E87" s="176" t="str">
        <f>VLOOKUP(Ruimtestaat[[#This Row],[Code]],Locaties[#All],6,FALSE)</f>
        <v>Enschede</v>
      </c>
      <c r="F87" s="149"/>
      <c r="G87" s="149" t="s">
        <v>1714</v>
      </c>
      <c r="H87" s="300" t="s">
        <v>1716</v>
      </c>
      <c r="I87" s="301" t="s">
        <v>1655</v>
      </c>
      <c r="J87" s="99">
        <v>5</v>
      </c>
      <c r="K87" s="183" t="str">
        <f>VLOOKUP(Ruimtestaat[[#This Row],[Ruimte code]],Ruimtegroepen[[#All],[Code]:[Ruimte omschrijving]],2,FALSE)</f>
        <v>Sanitair</v>
      </c>
      <c r="L87" s="149" t="s">
        <v>101</v>
      </c>
      <c r="M87" s="301" t="s">
        <v>1682</v>
      </c>
      <c r="N87" s="177">
        <v>8.9</v>
      </c>
      <c r="O87" s="177"/>
      <c r="P87" s="178" t="str">
        <f>VLOOKUP(Ruimtestaat[[#This Row],[Ruimte code]],Ruimtegroepen[],4,FALSE)</f>
        <v>Sa</v>
      </c>
      <c r="Q87" s="149">
        <v>40</v>
      </c>
      <c r="R87" s="149" t="s">
        <v>2</v>
      </c>
      <c r="S87" s="149">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149">
        <f>IF(S87&gt;0,VLOOKUP($J87,Ruimtegroepen[],3,FALSE)*VLOOKUP($L87,Vloersoorten[],3,FALSE)*VLOOKUP($R87,Frequenties[],3,FALSE)*VLOOKUP($A87,Locaties[],3,FALSE),0)</f>
        <v>0</v>
      </c>
      <c r="U87" s="149">
        <f>Ruimtestaat[[#This Row],[Uitvoeringen werkdagen]]*Ruimtestaat[[#This Row],[Oppervlak (netto)]]</f>
        <v>1780</v>
      </c>
      <c r="V87" s="179">
        <f>IF(T87&gt;0,Ruimtestaat[[#This Row],[Prest. (m2 /jaar) werkdagen]]/Ruimtestaat[[#This Row],[Norm (m2/uur) werkdagen]],0)</f>
        <v>0</v>
      </c>
      <c r="W87" s="180">
        <f>Ruimtestaat[[#This Row],[uren / jaar werkdagen]]*Tariefsopbouw!$E$35</f>
        <v>0</v>
      </c>
      <c r="X87" s="149"/>
      <c r="Y87" s="149">
        <f>IF(Ruimtestaat[[#This Row],[Frequentie weekend]]&gt;0,VALUE(LEFT(X87,1))*Q87,0)</f>
        <v>0</v>
      </c>
      <c r="Z87" s="148">
        <f>IF($Y87&gt;0,VLOOKUP($J87,Ruimtegroepen[],3,FALSE)*VLOOKUP($L87,Vloersoorten[],3,FALSE)*VLOOKUP($X87,Frequenties[],3,FALSE)*VLOOKUP(#REF!,Locaties[],3,FALSE),0)</f>
        <v>0</v>
      </c>
      <c r="AA87" s="148">
        <f>Ruimtestaat[[#This Row],[Uitvoeringen weekend]]*Ruimtestaat[[#This Row],[Oppervlak (netto)]]</f>
        <v>0</v>
      </c>
      <c r="AB87" s="148">
        <f>IF(Z87&gt;0,Ruimtestaat[[#This Row],[Prest. (m2 /jaar) weekend]]/Ruimtestaat[[#This Row],[Norm (m2/uur) weekend]],0)</f>
        <v>0</v>
      </c>
      <c r="AC87" s="180">
        <f>Ruimtestaat[[#This Row],[uren / jaar weekend]]*Tariefsopbouw!$D$40</f>
        <v>0</v>
      </c>
      <c r="AD87" s="179">
        <f>Ruimtestaat[[#This Row],[Prest. (m2 /jaar) weekend]]+Ruimtestaat[[#This Row],[Prest. (m2 /jaar) werkdagen]]</f>
        <v>1780</v>
      </c>
      <c r="AE87" s="179">
        <f>Ruimtestaat[[#This Row],[uren / jaar weekend]]+Ruimtestaat[[#This Row],[uren / jaar werkdagen]]</f>
        <v>0</v>
      </c>
      <c r="AF87" s="174">
        <f>Ruimtestaat[[#This Row],[kosten / jaar weekend]]+Ruimtestaat[[#This Row],[kosten / jaar werkdagen]]</f>
        <v>0</v>
      </c>
      <c r="AG87" s="174"/>
      <c r="AH87" s="181" t="str">
        <f>IF(Ruimtestaat[[#This Row],[Frequentie werkdagen]]="","",_xlfn.CONCAT(Ruimtestaat[[#This Row],[Ruimte code]],"-",Ruimtestaat[[#This Row],[Frequentie werkdagen]]," ",Ruimtestaat[[#This Row],[Vloer code]]))</f>
        <v>5-5w S</v>
      </c>
      <c r="AI87" s="185" t="str">
        <f>_xlfn.IFNA(VLOOKUP($AH87,Programma!$F$3:$G$1101,2,0),"")</f>
        <v>_</v>
      </c>
      <c r="AJ87" s="185" t="str">
        <f>_xlfn.IFNA(VLOOKUP($AH87,Programma!$F$3:$H$1101,3,0),"")</f>
        <v>_</v>
      </c>
      <c r="AK87" s="185" t="str">
        <f>_xlfn.IFNA(VLOOKUP($AH87,Programma!$F$3:$I$1101,4,0),"")</f>
        <v>_</v>
      </c>
      <c r="AL87" s="185" t="str">
        <f>_xlfn.IFNA(VLOOKUP($AH87,Programma!$F$3:$J$1101,5,0),"")</f>
        <v>4w</v>
      </c>
      <c r="AM87" s="185" t="str">
        <f>_xlfn.IFNA(VLOOKUP($AH87,Programma!$F$3:$K$1101,6,0),"")</f>
        <v>1w</v>
      </c>
      <c r="AN87" s="185" t="str">
        <f>_xlfn.IFNA(VLOOKUP($AH87,Programma!$F$3:$L$1101,7,0),"")</f>
        <v>_</v>
      </c>
      <c r="AO87" s="185" t="str">
        <f>_xlfn.IFNA(VLOOKUP($AH87,Programma!$F$3:$M$1101,8,0),"")</f>
        <v>_</v>
      </c>
      <c r="AP87" s="185" t="str">
        <f>_xlfn.IFNA(VLOOKUP($AH87,Programma!$F$3:$N$1101,9,0),"")</f>
        <v>_</v>
      </c>
      <c r="AQ87" s="185" t="str">
        <f>_xlfn.IFNA(VLOOKUP($AH87,Programma!$F$3:$O$1101,10,0),"")</f>
        <v>_</v>
      </c>
      <c r="AR87" s="185" t="str">
        <f>_xlfn.IFNA(VLOOKUP($AH87,Programma!$F$3:$P$1101,11,0),"")</f>
        <v>_</v>
      </c>
      <c r="AS87" s="185" t="str">
        <f>_xlfn.IFNA(VLOOKUP($AH87,Programma!$F$3:$Q$1101,12,0),"")</f>
        <v>_</v>
      </c>
      <c r="AT87" s="185" t="str">
        <f>_xlfn.IFNA(VLOOKUP($AH87,Programma!$F$3:$R$1101,13,0),"")</f>
        <v>_</v>
      </c>
      <c r="AU87" s="185" t="str">
        <f>_xlfn.IFNA(VLOOKUP($AH87,Programma!$F$3:$S$1101,14,0),"")</f>
        <v>_</v>
      </c>
      <c r="AV87" s="185" t="str">
        <f>_xlfn.IFNA(VLOOKUP($AH87,Programma!$F$3:$T$1101,15,0),"")</f>
        <v>_</v>
      </c>
      <c r="AW87" s="185" t="str">
        <f>_xlfn.IFNA(VLOOKUP($AH87,Programma!$F$3:$U$1101,16,0),"")</f>
        <v>_</v>
      </c>
      <c r="AX87" s="185" t="str">
        <f>_xlfn.IFNA(VLOOKUP($AH87,Programma!$F$3:$V$1101,17,0),"")</f>
        <v>_</v>
      </c>
      <c r="AY87" s="185" t="str">
        <f>_xlfn.IFNA(VLOOKUP($AH87,Programma!$F$3:$W$1101,18,0),"")</f>
        <v>4w</v>
      </c>
      <c r="AZ87" s="185" t="str">
        <f>_xlfn.IFNA(VLOOKUP($AH87,Programma!$F$3:$X$1101,19,0),"")</f>
        <v>1w</v>
      </c>
      <c r="BA87" s="185" t="str">
        <f>_xlfn.IFNA(VLOOKUP($AH87,Programma!$F$3:$Y$1101,20,0),"")</f>
        <v>_</v>
      </c>
      <c r="BB87" s="182"/>
      <c r="BC87" s="181" t="str">
        <f>IF(Ruimtestaat[[#This Row],[Frequentie weekend]]="","",_xlfn.CONCAT(Ruimtestaat[[#This Row],[Ruimte code]],"-",Ruimtestaat[[#This Row],[Frequentie weekend]]," ",Ruimtestaat[[#This Row],[Vloer code]]))</f>
        <v/>
      </c>
      <c r="BD87" s="185" t="str">
        <f>_xlfn.IFNA(VLOOKUP($BC87,Programma!$F$3:$G$1101,2,0),"")</f>
        <v/>
      </c>
      <c r="BE87" s="185" t="str">
        <f>_xlfn.IFNA(VLOOKUP($BC87,Programma!$F$3:$H$1101,3,0),"")</f>
        <v/>
      </c>
      <c r="BF87" s="185" t="str">
        <f>_xlfn.IFNA(VLOOKUP($BC87,Programma!$F$3:$I$1101,4,0),"")</f>
        <v/>
      </c>
      <c r="BG87" s="185" t="str">
        <f>_xlfn.IFNA(VLOOKUP($BC87,Programma!$F$3:$J$1101,5,0),"")</f>
        <v/>
      </c>
      <c r="BH87" s="185" t="str">
        <f>_xlfn.IFNA(VLOOKUP($BC87,Programma!$F$3:$K$1101,6,0),"")</f>
        <v/>
      </c>
      <c r="BI87" s="185" t="str">
        <f>_xlfn.IFNA(VLOOKUP($BC87,Programma!$F$3:$L$1101,7,0),"")</f>
        <v/>
      </c>
      <c r="BJ87" s="185" t="str">
        <f>_xlfn.IFNA(VLOOKUP($BC87,Programma!$F$3:$M$1101,8,0),"")</f>
        <v/>
      </c>
      <c r="BK87" s="185" t="str">
        <f>_xlfn.IFNA(VLOOKUP($BC87,Programma!$F$3:$N$1101,9,0),"")</f>
        <v/>
      </c>
      <c r="BL87" s="185" t="str">
        <f>_xlfn.IFNA(VLOOKUP($BC87,Programma!$F$3:$O$1101,10,0),"")</f>
        <v/>
      </c>
      <c r="BM87" s="185" t="str">
        <f>_xlfn.IFNA(VLOOKUP($BC87,Programma!$F$3:$P$1101,11,0),"")</f>
        <v/>
      </c>
      <c r="BN87" s="185" t="str">
        <f>_xlfn.IFNA(VLOOKUP($BC87,Programma!$F$3:$Q$1101,12,0),"")</f>
        <v/>
      </c>
      <c r="BO87" s="185" t="str">
        <f>_xlfn.IFNA(VLOOKUP($BC87,Programma!$F$3:$R$1101,13,0),"")</f>
        <v/>
      </c>
      <c r="BP87" s="185" t="str">
        <f>_xlfn.IFNA(VLOOKUP($BC87,Programma!$F$3:$S$1101,14,0),"")</f>
        <v/>
      </c>
      <c r="BQ87" s="185" t="str">
        <f>_xlfn.IFNA(VLOOKUP($BC87,Programma!$F$3:$T$1101,15,0),"")</f>
        <v/>
      </c>
      <c r="BR87" s="185" t="str">
        <f>_xlfn.IFNA(VLOOKUP($BC87,Programma!$F$3:$U$1101,16,0),"")</f>
        <v/>
      </c>
      <c r="BS87" s="185" t="str">
        <f>_xlfn.IFNA(VLOOKUP($BC87,Programma!$F$3:$V$1101,17,0),"")</f>
        <v/>
      </c>
      <c r="BT87" s="185" t="str">
        <f>_xlfn.IFNA(VLOOKUP($BC87,Programma!$F$3:$W$1101,18,0),"")</f>
        <v/>
      </c>
      <c r="BU87" s="185" t="str">
        <f>_xlfn.IFNA(VLOOKUP($BC87,Programma!$F$3:$X$1101,19,0),"")</f>
        <v/>
      </c>
      <c r="BV87" s="185" t="str">
        <f>_xlfn.IFNA(VLOOKUP($BC87,Programma!$F$3:$Y$1101,20,0),"")</f>
        <v/>
      </c>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c r="EO87" s="78"/>
      <c r="EP87" s="78"/>
      <c r="EQ87" s="78"/>
      <c r="ER87" s="78"/>
      <c r="ES87" s="78"/>
      <c r="ET87" s="78"/>
      <c r="EU87" s="78"/>
      <c r="EV87" s="78"/>
      <c r="EW87" s="78"/>
      <c r="EX87" s="78"/>
      <c r="EY87" s="78"/>
      <c r="EZ87" s="78"/>
      <c r="FA87" s="78"/>
      <c r="FB87" s="78"/>
      <c r="FC87" s="78"/>
      <c r="FD87" s="78"/>
      <c r="FE87" s="78"/>
      <c r="FF87" s="78"/>
      <c r="FG87" s="78"/>
      <c r="FH87" s="78"/>
      <c r="FI87" s="78"/>
      <c r="FJ87" s="78"/>
      <c r="FK87" s="78"/>
      <c r="FL87" s="78"/>
      <c r="FM87" s="78"/>
      <c r="FN87" s="78"/>
      <c r="FO87" s="78"/>
      <c r="FP87" s="78"/>
      <c r="FQ87" s="78"/>
      <c r="FR87" s="78"/>
      <c r="FS87" s="78"/>
      <c r="FT87" s="78"/>
      <c r="FU87" s="78"/>
      <c r="FV87" s="78"/>
      <c r="FW87" s="78"/>
      <c r="FX87" s="78"/>
      <c r="FY87" s="78"/>
      <c r="FZ87" s="78"/>
      <c r="GA87" s="78"/>
      <c r="GB87" s="78"/>
      <c r="GC87" s="78"/>
      <c r="GD87" s="78"/>
      <c r="GE87" s="78"/>
      <c r="GF87" s="78"/>
      <c r="GG87" s="78"/>
      <c r="GH87" s="78"/>
      <c r="GI87" s="78"/>
      <c r="GJ87" s="78"/>
      <c r="GK87" s="78"/>
      <c r="GL87" s="78"/>
      <c r="GM87" s="78"/>
      <c r="GN87" s="78"/>
      <c r="GO87" s="78"/>
      <c r="GP87" s="78"/>
      <c r="GQ87" s="78"/>
      <c r="GR87" s="78"/>
      <c r="GS87" s="78"/>
      <c r="GT87" s="78"/>
      <c r="GU87" s="78"/>
      <c r="GV87" s="78"/>
      <c r="GW87" s="78"/>
      <c r="GX87" s="78"/>
      <c r="GY87" s="78"/>
      <c r="GZ87" s="78"/>
      <c r="HA87" s="78"/>
      <c r="HB87" s="78"/>
      <c r="HC87" s="78"/>
      <c r="HD87" s="78"/>
      <c r="HE87" s="78"/>
      <c r="HF87" s="78"/>
      <c r="HG87" s="78"/>
      <c r="HH87" s="78"/>
      <c r="HI87" s="78"/>
      <c r="HJ87" s="78"/>
      <c r="HK87" s="78"/>
    </row>
    <row r="88" spans="1:219" ht="15" customHeight="1">
      <c r="A88" s="149">
        <v>3</v>
      </c>
      <c r="B88" s="176" t="str">
        <f>VLOOKUP(Ruimtestaat[[#This Row],[Code]],Locaties[[Code]:[Locatie]],2,FALSE)</f>
        <v>OBS De Spinner</v>
      </c>
      <c r="C88" s="176" t="str">
        <f>VLOOKUP(Ruimtestaat[[#This Row],[Code]],Locaties[[#All],[Code]:[Adres]],4,FALSE)</f>
        <v>Spinnerstraat 29</v>
      </c>
      <c r="D88" s="176" t="str">
        <f>VLOOKUP(Ruimtestaat[[#This Row],[Code]],Locaties[[#All],[Code]:[Postcode]],5,FALSE)</f>
        <v>7545 TP</v>
      </c>
      <c r="E88" s="176" t="str">
        <f>VLOOKUP(Ruimtestaat[[#This Row],[Code]],Locaties[#All],6,FALSE)</f>
        <v>Enschede</v>
      </c>
      <c r="F88" s="149"/>
      <c r="G88" s="149" t="s">
        <v>1714</v>
      </c>
      <c r="H88" s="300" t="s">
        <v>1717</v>
      </c>
      <c r="I88" s="301" t="s">
        <v>1655</v>
      </c>
      <c r="J88" s="99">
        <v>5</v>
      </c>
      <c r="K88" s="183" t="str">
        <f>VLOOKUP(Ruimtestaat[[#This Row],[Ruimte code]],Ruimtegroepen[[#All],[Code]:[Ruimte omschrijving]],2,FALSE)</f>
        <v>Sanitair</v>
      </c>
      <c r="L88" s="149" t="s">
        <v>101</v>
      </c>
      <c r="M88" s="301" t="s">
        <v>1682</v>
      </c>
      <c r="N88" s="177">
        <v>10.1</v>
      </c>
      <c r="O88" s="177"/>
      <c r="P88" s="178" t="str">
        <f>VLOOKUP(Ruimtestaat[[#This Row],[Ruimte code]],Ruimtegroepen[],4,FALSE)</f>
        <v>Sa</v>
      </c>
      <c r="Q88" s="149">
        <v>40</v>
      </c>
      <c r="R88" s="149" t="s">
        <v>2</v>
      </c>
      <c r="S88" s="149">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8" s="149">
        <f>IF(S88&gt;0,VLOOKUP($J88,Ruimtegroepen[],3,FALSE)*VLOOKUP($L88,Vloersoorten[],3,FALSE)*VLOOKUP($R88,Frequenties[],3,FALSE)*VLOOKUP($A88,Locaties[],3,FALSE),0)</f>
        <v>0</v>
      </c>
      <c r="U88" s="149">
        <f>Ruimtestaat[[#This Row],[Uitvoeringen werkdagen]]*Ruimtestaat[[#This Row],[Oppervlak (netto)]]</f>
        <v>2020</v>
      </c>
      <c r="V88" s="179">
        <f>IF(T88&gt;0,Ruimtestaat[[#This Row],[Prest. (m2 /jaar) werkdagen]]/Ruimtestaat[[#This Row],[Norm (m2/uur) werkdagen]],0)</f>
        <v>0</v>
      </c>
      <c r="W88" s="180">
        <f>Ruimtestaat[[#This Row],[uren / jaar werkdagen]]*Tariefsopbouw!$E$35</f>
        <v>0</v>
      </c>
      <c r="X88" s="149"/>
      <c r="Y88" s="149">
        <f>IF(Ruimtestaat[[#This Row],[Frequentie weekend]]&gt;0,VALUE(LEFT(X88,1))*Q88,0)</f>
        <v>0</v>
      </c>
      <c r="Z88" s="148">
        <f>IF($Y88&gt;0,VLOOKUP($J88,Ruimtegroepen[],3,FALSE)*VLOOKUP($L88,Vloersoorten[],3,FALSE)*VLOOKUP($X88,Frequenties[],3,FALSE)*VLOOKUP(#REF!,Locaties[],3,FALSE),0)</f>
        <v>0</v>
      </c>
      <c r="AA88" s="148">
        <f>Ruimtestaat[[#This Row],[Uitvoeringen weekend]]*Ruimtestaat[[#This Row],[Oppervlak (netto)]]</f>
        <v>0</v>
      </c>
      <c r="AB88" s="148">
        <f>IF(Z88&gt;0,Ruimtestaat[[#This Row],[Prest. (m2 /jaar) weekend]]/Ruimtestaat[[#This Row],[Norm (m2/uur) weekend]],0)</f>
        <v>0</v>
      </c>
      <c r="AC88" s="180">
        <f>Ruimtestaat[[#This Row],[uren / jaar weekend]]*Tariefsopbouw!$D$40</f>
        <v>0</v>
      </c>
      <c r="AD88" s="179">
        <f>Ruimtestaat[[#This Row],[Prest. (m2 /jaar) weekend]]+Ruimtestaat[[#This Row],[Prest. (m2 /jaar) werkdagen]]</f>
        <v>2020</v>
      </c>
      <c r="AE88" s="179">
        <f>Ruimtestaat[[#This Row],[uren / jaar weekend]]+Ruimtestaat[[#This Row],[uren / jaar werkdagen]]</f>
        <v>0</v>
      </c>
      <c r="AF88" s="174">
        <f>Ruimtestaat[[#This Row],[kosten / jaar weekend]]+Ruimtestaat[[#This Row],[kosten / jaar werkdagen]]</f>
        <v>0</v>
      </c>
      <c r="AG88" s="174"/>
      <c r="AH88" s="181" t="str">
        <f>IF(Ruimtestaat[[#This Row],[Frequentie werkdagen]]="","",_xlfn.CONCAT(Ruimtestaat[[#This Row],[Ruimte code]],"-",Ruimtestaat[[#This Row],[Frequentie werkdagen]]," ",Ruimtestaat[[#This Row],[Vloer code]]))</f>
        <v>5-5w S</v>
      </c>
      <c r="AI88" s="185" t="str">
        <f>_xlfn.IFNA(VLOOKUP($AH88,Programma!$F$3:$G$1101,2,0),"")</f>
        <v>_</v>
      </c>
      <c r="AJ88" s="185" t="str">
        <f>_xlfn.IFNA(VLOOKUP($AH88,Programma!$F$3:$H$1101,3,0),"")</f>
        <v>_</v>
      </c>
      <c r="AK88" s="185" t="str">
        <f>_xlfn.IFNA(VLOOKUP($AH88,Programma!$F$3:$I$1101,4,0),"")</f>
        <v>_</v>
      </c>
      <c r="AL88" s="185" t="str">
        <f>_xlfn.IFNA(VLOOKUP($AH88,Programma!$F$3:$J$1101,5,0),"")</f>
        <v>4w</v>
      </c>
      <c r="AM88" s="185" t="str">
        <f>_xlfn.IFNA(VLOOKUP($AH88,Programma!$F$3:$K$1101,6,0),"")</f>
        <v>1w</v>
      </c>
      <c r="AN88" s="185" t="str">
        <f>_xlfn.IFNA(VLOOKUP($AH88,Programma!$F$3:$L$1101,7,0),"")</f>
        <v>_</v>
      </c>
      <c r="AO88" s="185" t="str">
        <f>_xlfn.IFNA(VLOOKUP($AH88,Programma!$F$3:$M$1101,8,0),"")</f>
        <v>_</v>
      </c>
      <c r="AP88" s="185" t="str">
        <f>_xlfn.IFNA(VLOOKUP($AH88,Programma!$F$3:$N$1101,9,0),"")</f>
        <v>_</v>
      </c>
      <c r="AQ88" s="185" t="str">
        <f>_xlfn.IFNA(VLOOKUP($AH88,Programma!$F$3:$O$1101,10,0),"")</f>
        <v>_</v>
      </c>
      <c r="AR88" s="185" t="str">
        <f>_xlfn.IFNA(VLOOKUP($AH88,Programma!$F$3:$P$1101,11,0),"")</f>
        <v>_</v>
      </c>
      <c r="AS88" s="185" t="str">
        <f>_xlfn.IFNA(VLOOKUP($AH88,Programma!$F$3:$Q$1101,12,0),"")</f>
        <v>_</v>
      </c>
      <c r="AT88" s="185" t="str">
        <f>_xlfn.IFNA(VLOOKUP($AH88,Programma!$F$3:$R$1101,13,0),"")</f>
        <v>_</v>
      </c>
      <c r="AU88" s="185" t="str">
        <f>_xlfn.IFNA(VLOOKUP($AH88,Programma!$F$3:$S$1101,14,0),"")</f>
        <v>_</v>
      </c>
      <c r="AV88" s="185" t="str">
        <f>_xlfn.IFNA(VLOOKUP($AH88,Programma!$F$3:$T$1101,15,0),"")</f>
        <v>_</v>
      </c>
      <c r="AW88" s="185" t="str">
        <f>_xlfn.IFNA(VLOOKUP($AH88,Programma!$F$3:$U$1101,16,0),"")</f>
        <v>_</v>
      </c>
      <c r="AX88" s="185" t="str">
        <f>_xlfn.IFNA(VLOOKUP($AH88,Programma!$F$3:$V$1101,17,0),"")</f>
        <v>_</v>
      </c>
      <c r="AY88" s="185" t="str">
        <f>_xlfn.IFNA(VLOOKUP($AH88,Programma!$F$3:$W$1101,18,0),"")</f>
        <v>4w</v>
      </c>
      <c r="AZ88" s="185" t="str">
        <f>_xlfn.IFNA(VLOOKUP($AH88,Programma!$F$3:$X$1101,19,0),"")</f>
        <v>1w</v>
      </c>
      <c r="BA88" s="185" t="str">
        <f>_xlfn.IFNA(VLOOKUP($AH88,Programma!$F$3:$Y$1101,20,0),"")</f>
        <v>_</v>
      </c>
      <c r="BB88" s="182"/>
      <c r="BC88" s="181" t="str">
        <f>IF(Ruimtestaat[[#This Row],[Frequentie weekend]]="","",_xlfn.CONCAT(Ruimtestaat[[#This Row],[Ruimte code]],"-",Ruimtestaat[[#This Row],[Frequentie weekend]]," ",Ruimtestaat[[#This Row],[Vloer code]]))</f>
        <v/>
      </c>
      <c r="BD88" s="185" t="str">
        <f>_xlfn.IFNA(VLOOKUP($BC88,Programma!$F$3:$G$1101,2,0),"")</f>
        <v/>
      </c>
      <c r="BE88" s="185" t="str">
        <f>_xlfn.IFNA(VLOOKUP($BC88,Programma!$F$3:$H$1101,3,0),"")</f>
        <v/>
      </c>
      <c r="BF88" s="185" t="str">
        <f>_xlfn.IFNA(VLOOKUP($BC88,Programma!$F$3:$I$1101,4,0),"")</f>
        <v/>
      </c>
      <c r="BG88" s="185" t="str">
        <f>_xlfn.IFNA(VLOOKUP($BC88,Programma!$F$3:$J$1101,5,0),"")</f>
        <v/>
      </c>
      <c r="BH88" s="185" t="str">
        <f>_xlfn.IFNA(VLOOKUP($BC88,Programma!$F$3:$K$1101,6,0),"")</f>
        <v/>
      </c>
      <c r="BI88" s="185" t="str">
        <f>_xlfn.IFNA(VLOOKUP($BC88,Programma!$F$3:$L$1101,7,0),"")</f>
        <v/>
      </c>
      <c r="BJ88" s="185" t="str">
        <f>_xlfn.IFNA(VLOOKUP($BC88,Programma!$F$3:$M$1101,8,0),"")</f>
        <v/>
      </c>
      <c r="BK88" s="185" t="str">
        <f>_xlfn.IFNA(VLOOKUP($BC88,Programma!$F$3:$N$1101,9,0),"")</f>
        <v/>
      </c>
      <c r="BL88" s="185" t="str">
        <f>_xlfn.IFNA(VLOOKUP($BC88,Programma!$F$3:$O$1101,10,0),"")</f>
        <v/>
      </c>
      <c r="BM88" s="185" t="str">
        <f>_xlfn.IFNA(VLOOKUP($BC88,Programma!$F$3:$P$1101,11,0),"")</f>
        <v/>
      </c>
      <c r="BN88" s="185" t="str">
        <f>_xlfn.IFNA(VLOOKUP($BC88,Programma!$F$3:$Q$1101,12,0),"")</f>
        <v/>
      </c>
      <c r="BO88" s="185" t="str">
        <f>_xlfn.IFNA(VLOOKUP($BC88,Programma!$F$3:$R$1101,13,0),"")</f>
        <v/>
      </c>
      <c r="BP88" s="185" t="str">
        <f>_xlfn.IFNA(VLOOKUP($BC88,Programma!$F$3:$S$1101,14,0),"")</f>
        <v/>
      </c>
      <c r="BQ88" s="185" t="str">
        <f>_xlfn.IFNA(VLOOKUP($BC88,Programma!$F$3:$T$1101,15,0),"")</f>
        <v/>
      </c>
      <c r="BR88" s="185" t="str">
        <f>_xlfn.IFNA(VLOOKUP($BC88,Programma!$F$3:$U$1101,16,0),"")</f>
        <v/>
      </c>
      <c r="BS88" s="185" t="str">
        <f>_xlfn.IFNA(VLOOKUP($BC88,Programma!$F$3:$V$1101,17,0),"")</f>
        <v/>
      </c>
      <c r="BT88" s="185" t="str">
        <f>_xlfn.IFNA(VLOOKUP($BC88,Programma!$F$3:$W$1101,18,0),"")</f>
        <v/>
      </c>
      <c r="BU88" s="185" t="str">
        <f>_xlfn.IFNA(VLOOKUP($BC88,Programma!$F$3:$X$1101,19,0),"")</f>
        <v/>
      </c>
      <c r="BV88" s="185" t="str">
        <f>_xlfn.IFNA(VLOOKUP($BC88,Programma!$F$3:$Y$1101,20,0),"")</f>
        <v/>
      </c>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c r="EO88" s="78"/>
      <c r="EP88" s="78"/>
      <c r="EQ88" s="78"/>
      <c r="ER88" s="78"/>
      <c r="ES88" s="78"/>
      <c r="ET88" s="78"/>
      <c r="EU88" s="78"/>
      <c r="EV88" s="78"/>
      <c r="EW88" s="78"/>
      <c r="EX88" s="78"/>
      <c r="EY88" s="78"/>
      <c r="EZ88" s="78"/>
      <c r="FA88" s="78"/>
      <c r="FB88" s="78"/>
      <c r="FC88" s="78"/>
      <c r="FD88" s="78"/>
      <c r="FE88" s="78"/>
      <c r="FF88" s="78"/>
      <c r="FG88" s="78"/>
      <c r="FH88" s="78"/>
      <c r="FI88" s="78"/>
      <c r="FJ88" s="78"/>
      <c r="FK88" s="78"/>
      <c r="FL88" s="78"/>
      <c r="FM88" s="78"/>
      <c r="FN88" s="78"/>
      <c r="FO88" s="78"/>
      <c r="FP88" s="78"/>
      <c r="FQ88" s="78"/>
      <c r="FR88" s="78"/>
      <c r="FS88" s="78"/>
      <c r="FT88" s="78"/>
      <c r="FU88" s="78"/>
      <c r="FV88" s="78"/>
      <c r="FW88" s="78"/>
      <c r="FX88" s="78"/>
      <c r="FY88" s="78"/>
      <c r="FZ88" s="78"/>
      <c r="GA88" s="78"/>
      <c r="GB88" s="78"/>
      <c r="GC88" s="78"/>
      <c r="GD88" s="78"/>
      <c r="GE88" s="78"/>
      <c r="GF88" s="78"/>
      <c r="GG88" s="78"/>
      <c r="GH88" s="78"/>
      <c r="GI88" s="78"/>
      <c r="GJ88" s="78"/>
      <c r="GK88" s="78"/>
      <c r="GL88" s="78"/>
      <c r="GM88" s="78"/>
      <c r="GN88" s="78"/>
      <c r="GO88" s="78"/>
      <c r="GP88" s="78"/>
      <c r="GQ88" s="78"/>
      <c r="GR88" s="78"/>
      <c r="GS88" s="78"/>
      <c r="GT88" s="78"/>
      <c r="GU88" s="78"/>
      <c r="GV88" s="78"/>
      <c r="GW88" s="78"/>
      <c r="GX88" s="78"/>
      <c r="GY88" s="78"/>
      <c r="GZ88" s="78"/>
      <c r="HA88" s="78"/>
      <c r="HB88" s="78"/>
      <c r="HC88" s="78"/>
      <c r="HD88" s="78"/>
      <c r="HE88" s="78"/>
      <c r="HF88" s="78"/>
      <c r="HG88" s="78"/>
      <c r="HH88" s="78"/>
      <c r="HI88" s="78"/>
      <c r="HJ88" s="78"/>
      <c r="HK88" s="78"/>
    </row>
    <row r="89" spans="1:219" ht="15" customHeight="1">
      <c r="A89" s="149">
        <v>3</v>
      </c>
      <c r="B89" s="176" t="str">
        <f>VLOOKUP(Ruimtestaat[[#This Row],[Code]],Locaties[[Code]:[Locatie]],2,FALSE)</f>
        <v>OBS De Spinner</v>
      </c>
      <c r="C89" s="176" t="str">
        <f>VLOOKUP(Ruimtestaat[[#This Row],[Code]],Locaties[[#All],[Code]:[Adres]],4,FALSE)</f>
        <v>Spinnerstraat 29</v>
      </c>
      <c r="D89" s="176" t="str">
        <f>VLOOKUP(Ruimtestaat[[#This Row],[Code]],Locaties[[#All],[Code]:[Postcode]],5,FALSE)</f>
        <v>7545 TP</v>
      </c>
      <c r="E89" s="176" t="str">
        <f>VLOOKUP(Ruimtestaat[[#This Row],[Code]],Locaties[#All],6,FALSE)</f>
        <v>Enschede</v>
      </c>
      <c r="F89" s="149"/>
      <c r="G89" s="149" t="s">
        <v>1714</v>
      </c>
      <c r="H89" s="300" t="s">
        <v>1718</v>
      </c>
      <c r="I89" s="301" t="s">
        <v>1649</v>
      </c>
      <c r="J89" s="99">
        <v>2</v>
      </c>
      <c r="K89" s="183" t="str">
        <f>VLOOKUP(Ruimtestaat[[#This Row],[Ruimte code]],Ruimtegroepen[[#All],[Code]:[Ruimte omschrijving]],2,FALSE)</f>
        <v>Kantoren</v>
      </c>
      <c r="L89" s="149" t="s">
        <v>99</v>
      </c>
      <c r="M89" s="301" t="s">
        <v>36</v>
      </c>
      <c r="N89" s="177">
        <v>21.1</v>
      </c>
      <c r="O89" s="177"/>
      <c r="P89" s="178" t="str">
        <f>VLOOKUP(Ruimtestaat[[#This Row],[Ruimte code]],Ruimtegroepen[],4,FALSE)</f>
        <v>Bu</v>
      </c>
      <c r="Q89" s="149">
        <v>40</v>
      </c>
      <c r="R89" s="149" t="s">
        <v>2</v>
      </c>
      <c r="S89" s="149">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149">
        <f>IF(S89&gt;0,VLOOKUP($J89,Ruimtegroepen[],3,FALSE)*VLOOKUP($L89,Vloersoorten[],3,FALSE)*VLOOKUP($R89,Frequenties[],3,FALSE)*VLOOKUP($A89,Locaties[],3,FALSE),0)</f>
        <v>0</v>
      </c>
      <c r="U89" s="149">
        <f>Ruimtestaat[[#This Row],[Uitvoeringen werkdagen]]*Ruimtestaat[[#This Row],[Oppervlak (netto)]]</f>
        <v>4220</v>
      </c>
      <c r="V89" s="179">
        <f>IF(T89&gt;0,Ruimtestaat[[#This Row],[Prest. (m2 /jaar) werkdagen]]/Ruimtestaat[[#This Row],[Norm (m2/uur) werkdagen]],0)</f>
        <v>0</v>
      </c>
      <c r="W89" s="180">
        <f>Ruimtestaat[[#This Row],[uren / jaar werkdagen]]*Tariefsopbouw!$E$35</f>
        <v>0</v>
      </c>
      <c r="X89" s="149"/>
      <c r="Y89" s="149">
        <f>IF(Ruimtestaat[[#This Row],[Frequentie weekend]]&gt;0,VALUE(LEFT(X89,1))*Q89,0)</f>
        <v>0</v>
      </c>
      <c r="Z89" s="148">
        <f>IF($Y89&gt;0,VLOOKUP($J89,Ruimtegroepen[],3,FALSE)*VLOOKUP($L89,Vloersoorten[],3,FALSE)*VLOOKUP($X89,Frequenties[],3,FALSE)*VLOOKUP(#REF!,Locaties[],3,FALSE),0)</f>
        <v>0</v>
      </c>
      <c r="AA89" s="148">
        <f>Ruimtestaat[[#This Row],[Uitvoeringen weekend]]*Ruimtestaat[[#This Row],[Oppervlak (netto)]]</f>
        <v>0</v>
      </c>
      <c r="AB89" s="148">
        <f>IF(Z89&gt;0,Ruimtestaat[[#This Row],[Prest. (m2 /jaar) weekend]]/Ruimtestaat[[#This Row],[Norm (m2/uur) weekend]],0)</f>
        <v>0</v>
      </c>
      <c r="AC89" s="180">
        <f>Ruimtestaat[[#This Row],[uren / jaar weekend]]*Tariefsopbouw!$D$40</f>
        <v>0</v>
      </c>
      <c r="AD89" s="179">
        <f>Ruimtestaat[[#This Row],[Prest. (m2 /jaar) weekend]]+Ruimtestaat[[#This Row],[Prest. (m2 /jaar) werkdagen]]</f>
        <v>4220</v>
      </c>
      <c r="AE89" s="179">
        <f>Ruimtestaat[[#This Row],[uren / jaar weekend]]+Ruimtestaat[[#This Row],[uren / jaar werkdagen]]</f>
        <v>0</v>
      </c>
      <c r="AF89" s="174">
        <f>Ruimtestaat[[#This Row],[kosten / jaar weekend]]+Ruimtestaat[[#This Row],[kosten / jaar werkdagen]]</f>
        <v>0</v>
      </c>
      <c r="AG89" s="174"/>
      <c r="AH89" s="181" t="str">
        <f>IF(Ruimtestaat[[#This Row],[Frequentie werkdagen]]="","",_xlfn.CONCAT(Ruimtestaat[[#This Row],[Ruimte code]],"-",Ruimtestaat[[#This Row],[Frequentie werkdagen]]," ",Ruimtestaat[[#This Row],[Vloer code]]))</f>
        <v>2-5w T</v>
      </c>
      <c r="AI89" s="185" t="str">
        <f>_xlfn.IFNA(VLOOKUP($AH89,Programma!$F$3:$G$1101,2,0),"")</f>
        <v>4w</v>
      </c>
      <c r="AJ89" s="185" t="str">
        <f>_xlfn.IFNA(VLOOKUP($AH89,Programma!$F$3:$H$1101,3,0),"")</f>
        <v>1w</v>
      </c>
      <c r="AK89" s="185" t="str">
        <f>_xlfn.IFNA(VLOOKUP($AH89,Programma!$F$3:$I$1101,4,0),"")</f>
        <v>_</v>
      </c>
      <c r="AL89" s="185" t="str">
        <f>_xlfn.IFNA(VLOOKUP($AH89,Programma!$F$3:$J$1101,5,0),"")</f>
        <v>_</v>
      </c>
      <c r="AM89" s="185" t="str">
        <f>_xlfn.IFNA(VLOOKUP($AH89,Programma!$F$3:$K$1101,6,0),"")</f>
        <v>_</v>
      </c>
      <c r="AN89" s="185" t="str">
        <f>_xlfn.IFNA(VLOOKUP($AH89,Programma!$F$3:$L$1101,7,0),"")</f>
        <v>_</v>
      </c>
      <c r="AO89" s="185" t="str">
        <f>_xlfn.IFNA(VLOOKUP($AH89,Programma!$F$3:$M$1101,8,0),"")</f>
        <v>_</v>
      </c>
      <c r="AP89" s="185" t="str">
        <f>_xlfn.IFNA(VLOOKUP($AH89,Programma!$F$3:$N$1101,9,0),"")</f>
        <v>_</v>
      </c>
      <c r="AQ89" s="185" t="str">
        <f>_xlfn.IFNA(VLOOKUP($AH89,Programma!$F$3:$O$1101,10,0),"")</f>
        <v>5w</v>
      </c>
      <c r="AR89" s="185" t="str">
        <f>_xlfn.IFNA(VLOOKUP($AH89,Programma!$F$3:$P$1101,11,0),"")</f>
        <v>5w</v>
      </c>
      <c r="AS89" s="185" t="str">
        <f>_xlfn.IFNA(VLOOKUP($AH89,Programma!$F$3:$Q$1101,12,0),"")</f>
        <v>1w</v>
      </c>
      <c r="AT89" s="185" t="str">
        <f>_xlfn.IFNA(VLOOKUP($AH89,Programma!$F$3:$R$1101,13,0),"")</f>
        <v>1w</v>
      </c>
      <c r="AU89" s="185" t="str">
        <f>_xlfn.IFNA(VLOOKUP($AH89,Programma!$F$3:$S$1101,14,0),"")</f>
        <v>1m</v>
      </c>
      <c r="AV89" s="185" t="str">
        <f>_xlfn.IFNA(VLOOKUP($AH89,Programma!$F$3:$T$1101,15,0),"")</f>
        <v>2j</v>
      </c>
      <c r="AW89" s="185" t="str">
        <f>_xlfn.IFNA(VLOOKUP($AH89,Programma!$F$3:$U$1101,16,0),"")</f>
        <v>1j</v>
      </c>
      <c r="AX89" s="185" t="str">
        <f>_xlfn.IFNA(VLOOKUP($AH89,Programma!$F$3:$V$1101,17,0),"")</f>
        <v>_</v>
      </c>
      <c r="AY89" s="185" t="str">
        <f>_xlfn.IFNA(VLOOKUP($AH89,Programma!$F$3:$W$1101,18,0),"")</f>
        <v>_</v>
      </c>
      <c r="AZ89" s="185" t="str">
        <f>_xlfn.IFNA(VLOOKUP($AH89,Programma!$F$3:$X$1101,19,0),"")</f>
        <v>_</v>
      </c>
      <c r="BA89" s="185" t="str">
        <f>_xlfn.IFNA(VLOOKUP($AH89,Programma!$F$3:$Y$1101,20,0),"")</f>
        <v>_</v>
      </c>
      <c r="BB89" s="182"/>
      <c r="BC89" s="181" t="str">
        <f>IF(Ruimtestaat[[#This Row],[Frequentie weekend]]="","",_xlfn.CONCAT(Ruimtestaat[[#This Row],[Ruimte code]],"-",Ruimtestaat[[#This Row],[Frequentie weekend]]," ",Ruimtestaat[[#This Row],[Vloer code]]))</f>
        <v/>
      </c>
      <c r="BD89" s="185" t="str">
        <f>_xlfn.IFNA(VLOOKUP($BC89,Programma!$F$3:$G$1101,2,0),"")</f>
        <v/>
      </c>
      <c r="BE89" s="185" t="str">
        <f>_xlfn.IFNA(VLOOKUP($BC89,Programma!$F$3:$H$1101,3,0),"")</f>
        <v/>
      </c>
      <c r="BF89" s="185" t="str">
        <f>_xlfn.IFNA(VLOOKUP($BC89,Programma!$F$3:$I$1101,4,0),"")</f>
        <v/>
      </c>
      <c r="BG89" s="185" t="str">
        <f>_xlfn.IFNA(VLOOKUP($BC89,Programma!$F$3:$J$1101,5,0),"")</f>
        <v/>
      </c>
      <c r="BH89" s="185" t="str">
        <f>_xlfn.IFNA(VLOOKUP($BC89,Programma!$F$3:$K$1101,6,0),"")</f>
        <v/>
      </c>
      <c r="BI89" s="185" t="str">
        <f>_xlfn.IFNA(VLOOKUP($BC89,Programma!$F$3:$L$1101,7,0),"")</f>
        <v/>
      </c>
      <c r="BJ89" s="185" t="str">
        <f>_xlfn.IFNA(VLOOKUP($BC89,Programma!$F$3:$M$1101,8,0),"")</f>
        <v/>
      </c>
      <c r="BK89" s="185" t="str">
        <f>_xlfn.IFNA(VLOOKUP($BC89,Programma!$F$3:$N$1101,9,0),"")</f>
        <v/>
      </c>
      <c r="BL89" s="185" t="str">
        <f>_xlfn.IFNA(VLOOKUP($BC89,Programma!$F$3:$O$1101,10,0),"")</f>
        <v/>
      </c>
      <c r="BM89" s="185" t="str">
        <f>_xlfn.IFNA(VLOOKUP($BC89,Programma!$F$3:$P$1101,11,0),"")</f>
        <v/>
      </c>
      <c r="BN89" s="185" t="str">
        <f>_xlfn.IFNA(VLOOKUP($BC89,Programma!$F$3:$Q$1101,12,0),"")</f>
        <v/>
      </c>
      <c r="BO89" s="185" t="str">
        <f>_xlfn.IFNA(VLOOKUP($BC89,Programma!$F$3:$R$1101,13,0),"")</f>
        <v/>
      </c>
      <c r="BP89" s="185" t="str">
        <f>_xlfn.IFNA(VLOOKUP($BC89,Programma!$F$3:$S$1101,14,0),"")</f>
        <v/>
      </c>
      <c r="BQ89" s="185" t="str">
        <f>_xlfn.IFNA(VLOOKUP($BC89,Programma!$F$3:$T$1101,15,0),"")</f>
        <v/>
      </c>
      <c r="BR89" s="185" t="str">
        <f>_xlfn.IFNA(VLOOKUP($BC89,Programma!$F$3:$U$1101,16,0),"")</f>
        <v/>
      </c>
      <c r="BS89" s="185" t="str">
        <f>_xlfn.IFNA(VLOOKUP($BC89,Programma!$F$3:$V$1101,17,0),"")</f>
        <v/>
      </c>
      <c r="BT89" s="185" t="str">
        <f>_xlfn.IFNA(VLOOKUP($BC89,Programma!$F$3:$W$1101,18,0),"")</f>
        <v/>
      </c>
      <c r="BU89" s="185" t="str">
        <f>_xlfn.IFNA(VLOOKUP($BC89,Programma!$F$3:$X$1101,19,0),"")</f>
        <v/>
      </c>
      <c r="BV89" s="185" t="str">
        <f>_xlfn.IFNA(VLOOKUP($BC89,Programma!$F$3:$Y$1101,20,0),"")</f>
        <v/>
      </c>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c r="EO89" s="78"/>
      <c r="EP89" s="78"/>
      <c r="EQ89" s="78"/>
      <c r="ER89" s="78"/>
      <c r="ES89" s="78"/>
      <c r="ET89" s="78"/>
      <c r="EU89" s="78"/>
      <c r="EV89" s="78"/>
      <c r="EW89" s="78"/>
      <c r="EX89" s="78"/>
      <c r="EY89" s="78"/>
      <c r="EZ89" s="78"/>
      <c r="FA89" s="78"/>
      <c r="FB89" s="78"/>
      <c r="FC89" s="78"/>
      <c r="FD89" s="78"/>
      <c r="FE89" s="78"/>
      <c r="FF89" s="78"/>
      <c r="FG89" s="78"/>
      <c r="FH89" s="78"/>
      <c r="FI89" s="78"/>
      <c r="FJ89" s="78"/>
      <c r="FK89" s="78"/>
      <c r="FL89" s="78"/>
      <c r="FM89" s="78"/>
      <c r="FN89" s="78"/>
      <c r="FO89" s="78"/>
      <c r="FP89" s="78"/>
      <c r="FQ89" s="78"/>
      <c r="FR89" s="78"/>
      <c r="FS89" s="78"/>
      <c r="FT89" s="78"/>
      <c r="FU89" s="78"/>
      <c r="FV89" s="78"/>
      <c r="FW89" s="78"/>
      <c r="FX89" s="78"/>
      <c r="FY89" s="78"/>
      <c r="FZ89" s="78"/>
      <c r="GA89" s="78"/>
      <c r="GB89" s="78"/>
      <c r="GC89" s="78"/>
      <c r="GD89" s="78"/>
      <c r="GE89" s="78"/>
      <c r="GF89" s="78"/>
      <c r="GG89" s="78"/>
      <c r="GH89" s="78"/>
      <c r="GI89" s="78"/>
      <c r="GJ89" s="78"/>
      <c r="GK89" s="78"/>
      <c r="GL89" s="78"/>
      <c r="GM89" s="78"/>
      <c r="GN89" s="78"/>
      <c r="GO89" s="78"/>
      <c r="GP89" s="78"/>
      <c r="GQ89" s="78"/>
      <c r="GR89" s="78"/>
      <c r="GS89" s="78"/>
      <c r="GT89" s="78"/>
      <c r="GU89" s="78"/>
      <c r="GV89" s="78"/>
      <c r="GW89" s="78"/>
      <c r="GX89" s="78"/>
      <c r="GY89" s="78"/>
      <c r="GZ89" s="78"/>
      <c r="HA89" s="78"/>
      <c r="HB89" s="78"/>
      <c r="HC89" s="78"/>
      <c r="HD89" s="78"/>
      <c r="HE89" s="78"/>
      <c r="HF89" s="78"/>
      <c r="HG89" s="78"/>
      <c r="HH89" s="78"/>
      <c r="HI89" s="78"/>
      <c r="HJ89" s="78"/>
      <c r="HK89" s="78"/>
    </row>
    <row r="90" spans="1:219" ht="15" customHeight="1">
      <c r="A90" s="149">
        <v>3</v>
      </c>
      <c r="B90" s="176" t="str">
        <f>VLOOKUP(Ruimtestaat[[#This Row],[Code]],Locaties[[Code]:[Locatie]],2,FALSE)</f>
        <v>OBS De Spinner</v>
      </c>
      <c r="C90" s="176" t="str">
        <f>VLOOKUP(Ruimtestaat[[#This Row],[Code]],Locaties[[#All],[Code]:[Adres]],4,FALSE)</f>
        <v>Spinnerstraat 29</v>
      </c>
      <c r="D90" s="176" t="str">
        <f>VLOOKUP(Ruimtestaat[[#This Row],[Code]],Locaties[[#All],[Code]:[Postcode]],5,FALSE)</f>
        <v>7545 TP</v>
      </c>
      <c r="E90" s="176" t="str">
        <f>VLOOKUP(Ruimtestaat[[#This Row],[Code]],Locaties[#All],6,FALSE)</f>
        <v>Enschede</v>
      </c>
      <c r="F90" s="149"/>
      <c r="G90" s="149" t="s">
        <v>1714</v>
      </c>
      <c r="H90" s="300" t="s">
        <v>1733</v>
      </c>
      <c r="I90" s="301" t="s">
        <v>1651</v>
      </c>
      <c r="J90" s="99">
        <v>16</v>
      </c>
      <c r="K90" s="183" t="str">
        <f>VLOOKUP(Ruimtestaat[[#This Row],[Ruimte code]],Ruimtegroepen[[#All],[Code]:[Ruimte omschrijving]],2,FALSE)</f>
        <v>Leslokalen</v>
      </c>
      <c r="L90" s="149" t="s">
        <v>100</v>
      </c>
      <c r="M90" s="301" t="s">
        <v>1697</v>
      </c>
      <c r="N90" s="177">
        <v>44</v>
      </c>
      <c r="O90" s="177"/>
      <c r="P90" s="178" t="str">
        <f>VLOOKUP(Ruimtestaat[[#This Row],[Ruimte code]],Ruimtegroepen[],4,FALSE)</f>
        <v>Le</v>
      </c>
      <c r="Q90" s="149">
        <v>40</v>
      </c>
      <c r="R90" s="149" t="s">
        <v>2</v>
      </c>
      <c r="S90" s="149">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0" s="149">
        <f>IF(S90&gt;0,VLOOKUP($J90,Ruimtegroepen[],3,FALSE)*VLOOKUP($L90,Vloersoorten[],3,FALSE)*VLOOKUP($R90,Frequenties[],3,FALSE)*VLOOKUP($A90,Locaties[],3,FALSE),0)</f>
        <v>0</v>
      </c>
      <c r="U90" s="149">
        <f>Ruimtestaat[[#This Row],[Uitvoeringen werkdagen]]*Ruimtestaat[[#This Row],[Oppervlak (netto)]]</f>
        <v>8800</v>
      </c>
      <c r="V90" s="179">
        <f>IF(T90&gt;0,Ruimtestaat[[#This Row],[Prest. (m2 /jaar) werkdagen]]/Ruimtestaat[[#This Row],[Norm (m2/uur) werkdagen]],0)</f>
        <v>0</v>
      </c>
      <c r="W90" s="180">
        <f>Ruimtestaat[[#This Row],[uren / jaar werkdagen]]*Tariefsopbouw!$E$35</f>
        <v>0</v>
      </c>
      <c r="X90" s="149"/>
      <c r="Y90" s="149">
        <f>IF(Ruimtestaat[[#This Row],[Frequentie weekend]]&gt;0,VALUE(LEFT(X90,1))*Q90,0)</f>
        <v>0</v>
      </c>
      <c r="Z90" s="148">
        <f>IF($Y90&gt;0,VLOOKUP($J90,Ruimtegroepen[],3,FALSE)*VLOOKUP($L90,Vloersoorten[],3,FALSE)*VLOOKUP($X90,Frequenties[],3,FALSE)*VLOOKUP(#REF!,Locaties[],3,FALSE),0)</f>
        <v>0</v>
      </c>
      <c r="AA90" s="148">
        <f>Ruimtestaat[[#This Row],[Uitvoeringen weekend]]*Ruimtestaat[[#This Row],[Oppervlak (netto)]]</f>
        <v>0</v>
      </c>
      <c r="AB90" s="148">
        <f>IF(Z90&gt;0,Ruimtestaat[[#This Row],[Prest. (m2 /jaar) weekend]]/Ruimtestaat[[#This Row],[Norm (m2/uur) weekend]],0)</f>
        <v>0</v>
      </c>
      <c r="AC90" s="180">
        <f>Ruimtestaat[[#This Row],[uren / jaar weekend]]*Tariefsopbouw!$D$40</f>
        <v>0</v>
      </c>
      <c r="AD90" s="179">
        <f>Ruimtestaat[[#This Row],[Prest. (m2 /jaar) weekend]]+Ruimtestaat[[#This Row],[Prest. (m2 /jaar) werkdagen]]</f>
        <v>8800</v>
      </c>
      <c r="AE90" s="179">
        <f>Ruimtestaat[[#This Row],[uren / jaar weekend]]+Ruimtestaat[[#This Row],[uren / jaar werkdagen]]</f>
        <v>0</v>
      </c>
      <c r="AF90" s="174">
        <f>Ruimtestaat[[#This Row],[kosten / jaar weekend]]+Ruimtestaat[[#This Row],[kosten / jaar werkdagen]]</f>
        <v>0</v>
      </c>
      <c r="AG90" s="174"/>
      <c r="AH90" s="181" t="str">
        <f>IF(Ruimtestaat[[#This Row],[Frequentie werkdagen]]="","",_xlfn.CONCAT(Ruimtestaat[[#This Row],[Ruimte code]],"-",Ruimtestaat[[#This Row],[Frequentie werkdagen]]," ",Ruimtestaat[[#This Row],[Vloer code]]))</f>
        <v>16-5w L</v>
      </c>
      <c r="AI90" s="185" t="str">
        <f>_xlfn.IFNA(VLOOKUP($AH90,Programma!$F$3:$G$1101,2,0),"")</f>
        <v>_</v>
      </c>
      <c r="AJ90" s="185" t="str">
        <f>_xlfn.IFNA(VLOOKUP($AH90,Programma!$F$3:$H$1101,3,0),"")</f>
        <v>_</v>
      </c>
      <c r="AK90" s="185" t="str">
        <f>_xlfn.IFNA(VLOOKUP($AH90,Programma!$F$3:$I$1101,4,0),"")</f>
        <v>4w</v>
      </c>
      <c r="AL90" s="185" t="str">
        <f>_xlfn.IFNA(VLOOKUP($AH90,Programma!$F$3:$J$1101,5,0),"")</f>
        <v>1w</v>
      </c>
      <c r="AM90" s="185" t="str">
        <f>_xlfn.IFNA(VLOOKUP($AH90,Programma!$F$3:$K$1101,6,0),"")</f>
        <v>_</v>
      </c>
      <c r="AN90" s="185" t="str">
        <f>_xlfn.IFNA(VLOOKUP($AH90,Programma!$F$3:$L$1101,7,0),"")</f>
        <v>_</v>
      </c>
      <c r="AO90" s="185" t="str">
        <f>_xlfn.IFNA(VLOOKUP($AH90,Programma!$F$3:$M$1101,8,0),"")</f>
        <v>_</v>
      </c>
      <c r="AP90" s="185" t="str">
        <f>_xlfn.IFNA(VLOOKUP($AH90,Programma!$F$3:$N$1101,9,0),"")</f>
        <v>_</v>
      </c>
      <c r="AQ90" s="185" t="str">
        <f>_xlfn.IFNA(VLOOKUP($AH90,Programma!$F$3:$O$1101,10,0),"")</f>
        <v>5w</v>
      </c>
      <c r="AR90" s="185" t="str">
        <f>_xlfn.IFNA(VLOOKUP($AH90,Programma!$F$3:$P$1101,11,0),"")</f>
        <v>5w</v>
      </c>
      <c r="AS90" s="185" t="str">
        <f>_xlfn.IFNA(VLOOKUP($AH90,Programma!$F$3:$Q$1101,12,0),"")</f>
        <v>1w</v>
      </c>
      <c r="AT90" s="185" t="str">
        <f>_xlfn.IFNA(VLOOKUP($AH90,Programma!$F$3:$R$1101,13,0),"")</f>
        <v>1w</v>
      </c>
      <c r="AU90" s="185" t="str">
        <f>_xlfn.IFNA(VLOOKUP($AH90,Programma!$F$3:$S$1101,14,0),"")</f>
        <v>1m</v>
      </c>
      <c r="AV90" s="185" t="str">
        <f>_xlfn.IFNA(VLOOKUP($AH90,Programma!$F$3:$T$1101,15,0),"")</f>
        <v>2j</v>
      </c>
      <c r="AW90" s="185" t="str">
        <f>_xlfn.IFNA(VLOOKUP($AH90,Programma!$F$3:$U$1101,16,0),"")</f>
        <v>1j</v>
      </c>
      <c r="AX90" s="185" t="str">
        <f>_xlfn.IFNA(VLOOKUP($AH90,Programma!$F$3:$V$1101,17,0),"")</f>
        <v>_</v>
      </c>
      <c r="AY90" s="185" t="str">
        <f>_xlfn.IFNA(VLOOKUP($AH90,Programma!$F$3:$W$1101,18,0),"")</f>
        <v>_</v>
      </c>
      <c r="AZ90" s="185" t="str">
        <f>_xlfn.IFNA(VLOOKUP($AH90,Programma!$F$3:$X$1101,19,0),"")</f>
        <v>_</v>
      </c>
      <c r="BA90" s="185" t="str">
        <f>_xlfn.IFNA(VLOOKUP($AH90,Programma!$F$3:$Y$1101,20,0),"")</f>
        <v>_</v>
      </c>
      <c r="BB90" s="182"/>
      <c r="BC90" s="181" t="str">
        <f>IF(Ruimtestaat[[#This Row],[Frequentie weekend]]="","",_xlfn.CONCAT(Ruimtestaat[[#This Row],[Ruimte code]],"-",Ruimtestaat[[#This Row],[Frequentie weekend]]," ",Ruimtestaat[[#This Row],[Vloer code]]))</f>
        <v/>
      </c>
      <c r="BD90" s="185" t="str">
        <f>_xlfn.IFNA(VLOOKUP($BC90,Programma!$F$3:$G$1101,2,0),"")</f>
        <v/>
      </c>
      <c r="BE90" s="185" t="str">
        <f>_xlfn.IFNA(VLOOKUP($BC90,Programma!$F$3:$H$1101,3,0),"")</f>
        <v/>
      </c>
      <c r="BF90" s="185" t="str">
        <f>_xlfn.IFNA(VLOOKUP($BC90,Programma!$F$3:$I$1101,4,0),"")</f>
        <v/>
      </c>
      <c r="BG90" s="185" t="str">
        <f>_xlfn.IFNA(VLOOKUP($BC90,Programma!$F$3:$J$1101,5,0),"")</f>
        <v/>
      </c>
      <c r="BH90" s="185" t="str">
        <f>_xlfn.IFNA(VLOOKUP($BC90,Programma!$F$3:$K$1101,6,0),"")</f>
        <v/>
      </c>
      <c r="BI90" s="185" t="str">
        <f>_xlfn.IFNA(VLOOKUP($BC90,Programma!$F$3:$L$1101,7,0),"")</f>
        <v/>
      </c>
      <c r="BJ90" s="185" t="str">
        <f>_xlfn.IFNA(VLOOKUP($BC90,Programma!$F$3:$M$1101,8,0),"")</f>
        <v/>
      </c>
      <c r="BK90" s="185" t="str">
        <f>_xlfn.IFNA(VLOOKUP($BC90,Programma!$F$3:$N$1101,9,0),"")</f>
        <v/>
      </c>
      <c r="BL90" s="185" t="str">
        <f>_xlfn.IFNA(VLOOKUP($BC90,Programma!$F$3:$O$1101,10,0),"")</f>
        <v/>
      </c>
      <c r="BM90" s="185" t="str">
        <f>_xlfn.IFNA(VLOOKUP($BC90,Programma!$F$3:$P$1101,11,0),"")</f>
        <v/>
      </c>
      <c r="BN90" s="185" t="str">
        <f>_xlfn.IFNA(VLOOKUP($BC90,Programma!$F$3:$Q$1101,12,0),"")</f>
        <v/>
      </c>
      <c r="BO90" s="185" t="str">
        <f>_xlfn.IFNA(VLOOKUP($BC90,Programma!$F$3:$R$1101,13,0),"")</f>
        <v/>
      </c>
      <c r="BP90" s="185" t="str">
        <f>_xlfn.IFNA(VLOOKUP($BC90,Programma!$F$3:$S$1101,14,0),"")</f>
        <v/>
      </c>
      <c r="BQ90" s="185" t="str">
        <f>_xlfn.IFNA(VLOOKUP($BC90,Programma!$F$3:$T$1101,15,0),"")</f>
        <v/>
      </c>
      <c r="BR90" s="185" t="str">
        <f>_xlfn.IFNA(VLOOKUP($BC90,Programma!$F$3:$U$1101,16,0),"")</f>
        <v/>
      </c>
      <c r="BS90" s="185" t="str">
        <f>_xlfn.IFNA(VLOOKUP($BC90,Programma!$F$3:$V$1101,17,0),"")</f>
        <v/>
      </c>
      <c r="BT90" s="185" t="str">
        <f>_xlfn.IFNA(VLOOKUP($BC90,Programma!$F$3:$W$1101,18,0),"")</f>
        <v/>
      </c>
      <c r="BU90" s="185" t="str">
        <f>_xlfn.IFNA(VLOOKUP($BC90,Programma!$F$3:$X$1101,19,0),"")</f>
        <v/>
      </c>
      <c r="BV90" s="185" t="str">
        <f>_xlfn.IFNA(VLOOKUP($BC90,Programma!$F$3:$Y$1101,20,0),"")</f>
        <v/>
      </c>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c r="EO90" s="78"/>
      <c r="EP90" s="78"/>
      <c r="EQ90" s="78"/>
      <c r="ER90" s="78"/>
      <c r="ES90" s="78"/>
      <c r="ET90" s="78"/>
      <c r="EU90" s="78"/>
      <c r="EV90" s="78"/>
      <c r="EW90" s="78"/>
      <c r="EX90" s="78"/>
      <c r="EY90" s="78"/>
      <c r="EZ90" s="78"/>
      <c r="FA90" s="78"/>
      <c r="FB90" s="78"/>
      <c r="FC90" s="78"/>
      <c r="FD90" s="78"/>
      <c r="FE90" s="78"/>
      <c r="FF90" s="78"/>
      <c r="FG90" s="78"/>
      <c r="FH90" s="78"/>
      <c r="FI90" s="78"/>
      <c r="FJ90" s="78"/>
      <c r="FK90" s="78"/>
      <c r="FL90" s="78"/>
      <c r="FM90" s="78"/>
      <c r="FN90" s="78"/>
      <c r="FO90" s="78"/>
      <c r="FP90" s="78"/>
      <c r="FQ90" s="78"/>
      <c r="FR90" s="78"/>
      <c r="FS90" s="78"/>
      <c r="FT90" s="78"/>
      <c r="FU90" s="78"/>
      <c r="FV90" s="78"/>
      <c r="FW90" s="78"/>
      <c r="FX90" s="78"/>
      <c r="FY90" s="78"/>
      <c r="FZ90" s="78"/>
      <c r="GA90" s="78"/>
      <c r="GB90" s="78"/>
      <c r="GC90" s="78"/>
      <c r="GD90" s="78"/>
      <c r="GE90" s="78"/>
      <c r="GF90" s="78"/>
      <c r="GG90" s="78"/>
      <c r="GH90" s="78"/>
      <c r="GI90" s="78"/>
      <c r="GJ90" s="78"/>
      <c r="GK90" s="78"/>
      <c r="GL90" s="78"/>
      <c r="GM90" s="78"/>
      <c r="GN90" s="78"/>
      <c r="GO90" s="78"/>
      <c r="GP90" s="78"/>
      <c r="GQ90" s="78"/>
      <c r="GR90" s="78"/>
      <c r="GS90" s="78"/>
      <c r="GT90" s="78"/>
      <c r="GU90" s="78"/>
      <c r="GV90" s="78"/>
      <c r="GW90" s="78"/>
      <c r="GX90" s="78"/>
      <c r="GY90" s="78"/>
      <c r="GZ90" s="78"/>
      <c r="HA90" s="78"/>
      <c r="HB90" s="78"/>
      <c r="HC90" s="78"/>
      <c r="HD90" s="78"/>
      <c r="HE90" s="78"/>
      <c r="HF90" s="78"/>
      <c r="HG90" s="78"/>
      <c r="HH90" s="78"/>
      <c r="HI90" s="78"/>
      <c r="HJ90" s="78"/>
      <c r="HK90" s="78"/>
    </row>
    <row r="91" spans="1:219" ht="15" customHeight="1">
      <c r="A91" s="149">
        <v>3</v>
      </c>
      <c r="B91" s="176" t="str">
        <f>VLOOKUP(Ruimtestaat[[#This Row],[Code]],Locaties[[Code]:[Locatie]],2,FALSE)</f>
        <v>OBS De Spinner</v>
      </c>
      <c r="C91" s="176" t="str">
        <f>VLOOKUP(Ruimtestaat[[#This Row],[Code]],Locaties[[#All],[Code]:[Adres]],4,FALSE)</f>
        <v>Spinnerstraat 29</v>
      </c>
      <c r="D91" s="176" t="str">
        <f>VLOOKUP(Ruimtestaat[[#This Row],[Code]],Locaties[[#All],[Code]:[Postcode]],5,FALSE)</f>
        <v>7545 TP</v>
      </c>
      <c r="E91" s="176" t="str">
        <f>VLOOKUP(Ruimtestaat[[#This Row],[Code]],Locaties[#All],6,FALSE)</f>
        <v>Enschede</v>
      </c>
      <c r="F91" s="149"/>
      <c r="G91" s="149" t="s">
        <v>1714</v>
      </c>
      <c r="H91" s="300" t="s">
        <v>1734</v>
      </c>
      <c r="I91" s="301" t="s">
        <v>1649</v>
      </c>
      <c r="J91" s="99">
        <v>2</v>
      </c>
      <c r="K91" s="183" t="str">
        <f>VLOOKUP(Ruimtestaat[[#This Row],[Ruimte code]],Ruimtegroepen[[#All],[Code]:[Ruimte omschrijving]],2,FALSE)</f>
        <v>Kantoren</v>
      </c>
      <c r="L91" s="149" t="s">
        <v>100</v>
      </c>
      <c r="M91" s="301" t="s">
        <v>1697</v>
      </c>
      <c r="N91" s="177">
        <v>10.8</v>
      </c>
      <c r="O91" s="177"/>
      <c r="P91" s="178" t="str">
        <f>VLOOKUP(Ruimtestaat[[#This Row],[Ruimte code]],Ruimtegroepen[],4,FALSE)</f>
        <v>Bu</v>
      </c>
      <c r="Q91" s="149">
        <v>40</v>
      </c>
      <c r="R91" s="149" t="s">
        <v>2</v>
      </c>
      <c r="S91" s="149">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1" s="149">
        <f>IF(S91&gt;0,VLOOKUP($J91,Ruimtegroepen[],3,FALSE)*VLOOKUP($L91,Vloersoorten[],3,FALSE)*VLOOKUP($R91,Frequenties[],3,FALSE)*VLOOKUP($A91,Locaties[],3,FALSE),0)</f>
        <v>0</v>
      </c>
      <c r="U91" s="149">
        <f>Ruimtestaat[[#This Row],[Uitvoeringen werkdagen]]*Ruimtestaat[[#This Row],[Oppervlak (netto)]]</f>
        <v>2160</v>
      </c>
      <c r="V91" s="179">
        <f>IF(T91&gt;0,Ruimtestaat[[#This Row],[Prest. (m2 /jaar) werkdagen]]/Ruimtestaat[[#This Row],[Norm (m2/uur) werkdagen]],0)</f>
        <v>0</v>
      </c>
      <c r="W91" s="180">
        <f>Ruimtestaat[[#This Row],[uren / jaar werkdagen]]*Tariefsopbouw!$E$35</f>
        <v>0</v>
      </c>
      <c r="X91" s="149"/>
      <c r="Y91" s="149">
        <f>IF(Ruimtestaat[[#This Row],[Frequentie weekend]]&gt;0,VALUE(LEFT(X91,1))*Q91,0)</f>
        <v>0</v>
      </c>
      <c r="Z91" s="148">
        <f>IF($Y91&gt;0,VLOOKUP($J91,Ruimtegroepen[],3,FALSE)*VLOOKUP($L91,Vloersoorten[],3,FALSE)*VLOOKUP($X91,Frequenties[],3,FALSE)*VLOOKUP(#REF!,Locaties[],3,FALSE),0)</f>
        <v>0</v>
      </c>
      <c r="AA91" s="148">
        <f>Ruimtestaat[[#This Row],[Uitvoeringen weekend]]*Ruimtestaat[[#This Row],[Oppervlak (netto)]]</f>
        <v>0</v>
      </c>
      <c r="AB91" s="148">
        <f>IF(Z91&gt;0,Ruimtestaat[[#This Row],[Prest. (m2 /jaar) weekend]]/Ruimtestaat[[#This Row],[Norm (m2/uur) weekend]],0)</f>
        <v>0</v>
      </c>
      <c r="AC91" s="180">
        <f>Ruimtestaat[[#This Row],[uren / jaar weekend]]*Tariefsopbouw!$D$40</f>
        <v>0</v>
      </c>
      <c r="AD91" s="179">
        <f>Ruimtestaat[[#This Row],[Prest. (m2 /jaar) weekend]]+Ruimtestaat[[#This Row],[Prest. (m2 /jaar) werkdagen]]</f>
        <v>2160</v>
      </c>
      <c r="AE91" s="179">
        <f>Ruimtestaat[[#This Row],[uren / jaar weekend]]+Ruimtestaat[[#This Row],[uren / jaar werkdagen]]</f>
        <v>0</v>
      </c>
      <c r="AF91" s="174">
        <f>Ruimtestaat[[#This Row],[kosten / jaar weekend]]+Ruimtestaat[[#This Row],[kosten / jaar werkdagen]]</f>
        <v>0</v>
      </c>
      <c r="AG91" s="174"/>
      <c r="AH91" s="181" t="str">
        <f>IF(Ruimtestaat[[#This Row],[Frequentie werkdagen]]="","",_xlfn.CONCAT(Ruimtestaat[[#This Row],[Ruimte code]],"-",Ruimtestaat[[#This Row],[Frequentie werkdagen]]," ",Ruimtestaat[[#This Row],[Vloer code]]))</f>
        <v>2-5w L</v>
      </c>
      <c r="AI91" s="185" t="str">
        <f>_xlfn.IFNA(VLOOKUP($AH91,Programma!$F$3:$G$1101,2,0),"")</f>
        <v>_</v>
      </c>
      <c r="AJ91" s="185" t="str">
        <f>_xlfn.IFNA(VLOOKUP($AH91,Programma!$F$3:$H$1101,3,0),"")</f>
        <v>_</v>
      </c>
      <c r="AK91" s="185" t="str">
        <f>_xlfn.IFNA(VLOOKUP($AH91,Programma!$F$3:$I$1101,4,0),"")</f>
        <v>4w</v>
      </c>
      <c r="AL91" s="185" t="str">
        <f>_xlfn.IFNA(VLOOKUP($AH91,Programma!$F$3:$J$1101,5,0),"")</f>
        <v>1w</v>
      </c>
      <c r="AM91" s="185" t="str">
        <f>_xlfn.IFNA(VLOOKUP($AH91,Programma!$F$3:$K$1101,6,0),"")</f>
        <v>_</v>
      </c>
      <c r="AN91" s="185" t="str">
        <f>_xlfn.IFNA(VLOOKUP($AH91,Programma!$F$3:$L$1101,7,0),"")</f>
        <v>_</v>
      </c>
      <c r="AO91" s="185" t="str">
        <f>_xlfn.IFNA(VLOOKUP($AH91,Programma!$F$3:$M$1101,8,0),"")</f>
        <v>_</v>
      </c>
      <c r="AP91" s="185" t="str">
        <f>_xlfn.IFNA(VLOOKUP($AH91,Programma!$F$3:$N$1101,9,0),"")</f>
        <v>_</v>
      </c>
      <c r="AQ91" s="185" t="str">
        <f>_xlfn.IFNA(VLOOKUP($AH91,Programma!$F$3:$O$1101,10,0),"")</f>
        <v>5w</v>
      </c>
      <c r="AR91" s="185" t="str">
        <f>_xlfn.IFNA(VLOOKUP($AH91,Programma!$F$3:$P$1101,11,0),"")</f>
        <v>5w</v>
      </c>
      <c r="AS91" s="185" t="str">
        <f>_xlfn.IFNA(VLOOKUP($AH91,Programma!$F$3:$Q$1101,12,0),"")</f>
        <v>1w</v>
      </c>
      <c r="AT91" s="185" t="str">
        <f>_xlfn.IFNA(VLOOKUP($AH91,Programma!$F$3:$R$1101,13,0),"")</f>
        <v>1w</v>
      </c>
      <c r="AU91" s="185" t="str">
        <f>_xlfn.IFNA(VLOOKUP($AH91,Programma!$F$3:$S$1101,14,0),"")</f>
        <v>1m</v>
      </c>
      <c r="AV91" s="185" t="str">
        <f>_xlfn.IFNA(VLOOKUP($AH91,Programma!$F$3:$T$1101,15,0),"")</f>
        <v>2j</v>
      </c>
      <c r="AW91" s="185" t="str">
        <f>_xlfn.IFNA(VLOOKUP($AH91,Programma!$F$3:$U$1101,16,0),"")</f>
        <v>1j</v>
      </c>
      <c r="AX91" s="185" t="str">
        <f>_xlfn.IFNA(VLOOKUP($AH91,Programma!$F$3:$V$1101,17,0),"")</f>
        <v>_</v>
      </c>
      <c r="AY91" s="185" t="str">
        <f>_xlfn.IFNA(VLOOKUP($AH91,Programma!$F$3:$W$1101,18,0),"")</f>
        <v>_</v>
      </c>
      <c r="AZ91" s="185" t="str">
        <f>_xlfn.IFNA(VLOOKUP($AH91,Programma!$F$3:$X$1101,19,0),"")</f>
        <v>_</v>
      </c>
      <c r="BA91" s="185" t="str">
        <f>_xlfn.IFNA(VLOOKUP($AH91,Programma!$F$3:$Y$1101,20,0),"")</f>
        <v>_</v>
      </c>
      <c r="BB91" s="182"/>
      <c r="BC91" s="181" t="str">
        <f>IF(Ruimtestaat[[#This Row],[Frequentie weekend]]="","",_xlfn.CONCAT(Ruimtestaat[[#This Row],[Ruimte code]],"-",Ruimtestaat[[#This Row],[Frequentie weekend]]," ",Ruimtestaat[[#This Row],[Vloer code]]))</f>
        <v/>
      </c>
      <c r="BD91" s="185" t="str">
        <f>_xlfn.IFNA(VLOOKUP($BC91,Programma!$F$3:$G$1101,2,0),"")</f>
        <v/>
      </c>
      <c r="BE91" s="185" t="str">
        <f>_xlfn.IFNA(VLOOKUP($BC91,Programma!$F$3:$H$1101,3,0),"")</f>
        <v/>
      </c>
      <c r="BF91" s="185" t="str">
        <f>_xlfn.IFNA(VLOOKUP($BC91,Programma!$F$3:$I$1101,4,0),"")</f>
        <v/>
      </c>
      <c r="BG91" s="185" t="str">
        <f>_xlfn.IFNA(VLOOKUP($BC91,Programma!$F$3:$J$1101,5,0),"")</f>
        <v/>
      </c>
      <c r="BH91" s="185" t="str">
        <f>_xlfn.IFNA(VLOOKUP($BC91,Programma!$F$3:$K$1101,6,0),"")</f>
        <v/>
      </c>
      <c r="BI91" s="185" t="str">
        <f>_xlfn.IFNA(VLOOKUP($BC91,Programma!$F$3:$L$1101,7,0),"")</f>
        <v/>
      </c>
      <c r="BJ91" s="185" t="str">
        <f>_xlfn.IFNA(VLOOKUP($BC91,Programma!$F$3:$M$1101,8,0),"")</f>
        <v/>
      </c>
      <c r="BK91" s="185" t="str">
        <f>_xlfn.IFNA(VLOOKUP($BC91,Programma!$F$3:$N$1101,9,0),"")</f>
        <v/>
      </c>
      <c r="BL91" s="185" t="str">
        <f>_xlfn.IFNA(VLOOKUP($BC91,Programma!$F$3:$O$1101,10,0),"")</f>
        <v/>
      </c>
      <c r="BM91" s="185" t="str">
        <f>_xlfn.IFNA(VLOOKUP($BC91,Programma!$F$3:$P$1101,11,0),"")</f>
        <v/>
      </c>
      <c r="BN91" s="185" t="str">
        <f>_xlfn.IFNA(VLOOKUP($BC91,Programma!$F$3:$Q$1101,12,0),"")</f>
        <v/>
      </c>
      <c r="BO91" s="185" t="str">
        <f>_xlfn.IFNA(VLOOKUP($BC91,Programma!$F$3:$R$1101,13,0),"")</f>
        <v/>
      </c>
      <c r="BP91" s="185" t="str">
        <f>_xlfn.IFNA(VLOOKUP($BC91,Programma!$F$3:$S$1101,14,0),"")</f>
        <v/>
      </c>
      <c r="BQ91" s="185" t="str">
        <f>_xlfn.IFNA(VLOOKUP($BC91,Programma!$F$3:$T$1101,15,0),"")</f>
        <v/>
      </c>
      <c r="BR91" s="185" t="str">
        <f>_xlfn.IFNA(VLOOKUP($BC91,Programma!$F$3:$U$1101,16,0),"")</f>
        <v/>
      </c>
      <c r="BS91" s="185" t="str">
        <f>_xlfn.IFNA(VLOOKUP($BC91,Programma!$F$3:$V$1101,17,0),"")</f>
        <v/>
      </c>
      <c r="BT91" s="185" t="str">
        <f>_xlfn.IFNA(VLOOKUP($BC91,Programma!$F$3:$W$1101,18,0),"")</f>
        <v/>
      </c>
      <c r="BU91" s="185" t="str">
        <f>_xlfn.IFNA(VLOOKUP($BC91,Programma!$F$3:$X$1101,19,0),"")</f>
        <v/>
      </c>
      <c r="BV91" s="185" t="str">
        <f>_xlfn.IFNA(VLOOKUP($BC91,Programma!$F$3:$Y$1101,20,0),"")</f>
        <v/>
      </c>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c r="EO91" s="78"/>
      <c r="EP91" s="78"/>
      <c r="EQ91" s="78"/>
      <c r="ER91" s="78"/>
      <c r="ES91" s="78"/>
      <c r="ET91" s="78"/>
      <c r="EU91" s="78"/>
      <c r="EV91" s="78"/>
      <c r="EW91" s="78"/>
      <c r="EX91" s="78"/>
      <c r="EY91" s="78"/>
      <c r="EZ91" s="78"/>
      <c r="FA91" s="78"/>
      <c r="FB91" s="78"/>
      <c r="FC91" s="78"/>
      <c r="FD91" s="78"/>
      <c r="FE91" s="78"/>
      <c r="FF91" s="78"/>
      <c r="FG91" s="78"/>
      <c r="FH91" s="78"/>
      <c r="FI91" s="78"/>
      <c r="FJ91" s="78"/>
      <c r="FK91" s="78"/>
      <c r="FL91" s="78"/>
      <c r="FM91" s="78"/>
      <c r="FN91" s="78"/>
      <c r="FO91" s="78"/>
      <c r="FP91" s="78"/>
      <c r="FQ91" s="78"/>
      <c r="FR91" s="78"/>
      <c r="FS91" s="78"/>
      <c r="FT91" s="78"/>
      <c r="FU91" s="78"/>
      <c r="FV91" s="78"/>
      <c r="FW91" s="78"/>
      <c r="FX91" s="78"/>
      <c r="FY91" s="78"/>
      <c r="FZ91" s="78"/>
      <c r="GA91" s="78"/>
      <c r="GB91" s="78"/>
      <c r="GC91" s="78"/>
      <c r="GD91" s="78"/>
      <c r="GE91" s="78"/>
      <c r="GF91" s="78"/>
      <c r="GG91" s="78"/>
      <c r="GH91" s="78"/>
      <c r="GI91" s="78"/>
      <c r="GJ91" s="78"/>
      <c r="GK91" s="78"/>
      <c r="GL91" s="78"/>
      <c r="GM91" s="78"/>
      <c r="GN91" s="78"/>
      <c r="GO91" s="78"/>
      <c r="GP91" s="78"/>
      <c r="GQ91" s="78"/>
      <c r="GR91" s="78"/>
      <c r="GS91" s="78"/>
      <c r="GT91" s="78"/>
      <c r="GU91" s="78"/>
      <c r="GV91" s="78"/>
      <c r="GW91" s="78"/>
      <c r="GX91" s="78"/>
      <c r="GY91" s="78"/>
      <c r="GZ91" s="78"/>
      <c r="HA91" s="78"/>
      <c r="HB91" s="78"/>
      <c r="HC91" s="78"/>
      <c r="HD91" s="78"/>
      <c r="HE91" s="78"/>
      <c r="HF91" s="78"/>
      <c r="HG91" s="78"/>
      <c r="HH91" s="78"/>
      <c r="HI91" s="78"/>
      <c r="HJ91" s="78"/>
      <c r="HK91" s="78"/>
    </row>
    <row r="92" spans="1:219" ht="15" customHeight="1">
      <c r="A92" s="149">
        <v>3</v>
      </c>
      <c r="B92" s="176" t="str">
        <f>VLOOKUP(Ruimtestaat[[#This Row],[Code]],Locaties[[Code]:[Locatie]],2,FALSE)</f>
        <v>OBS De Spinner</v>
      </c>
      <c r="C92" s="176" t="str">
        <f>VLOOKUP(Ruimtestaat[[#This Row],[Code]],Locaties[[#All],[Code]:[Adres]],4,FALSE)</f>
        <v>Spinnerstraat 29</v>
      </c>
      <c r="D92" s="176" t="str">
        <f>VLOOKUP(Ruimtestaat[[#This Row],[Code]],Locaties[[#All],[Code]:[Postcode]],5,FALSE)</f>
        <v>7545 TP</v>
      </c>
      <c r="E92" s="176" t="str">
        <f>VLOOKUP(Ruimtestaat[[#This Row],[Code]],Locaties[#All],6,FALSE)</f>
        <v>Enschede</v>
      </c>
      <c r="F92" s="149"/>
      <c r="G92" s="149" t="s">
        <v>1714</v>
      </c>
      <c r="H92" s="300" t="s">
        <v>1735</v>
      </c>
      <c r="I92" s="301" t="s">
        <v>1702</v>
      </c>
      <c r="J92" s="99">
        <v>10</v>
      </c>
      <c r="K92" s="183" t="str">
        <f>VLOOKUP(Ruimtestaat[[#This Row],[Ruimte code]],Ruimtegroepen[[#All],[Code]:[Ruimte omschrijving]],2,FALSE)</f>
        <v>Trappenhuizen/lift</v>
      </c>
      <c r="L92" s="149" t="s">
        <v>1309</v>
      </c>
      <c r="M92" s="301" t="s">
        <v>248</v>
      </c>
      <c r="N92" s="177">
        <v>2.7</v>
      </c>
      <c r="O92" s="177"/>
      <c r="P92" s="178" t="str">
        <f>VLOOKUP(Ruimtestaat[[#This Row],[Ruimte code]],Ruimtegroepen[],4,FALSE)</f>
        <v>Ve</v>
      </c>
      <c r="Q92" s="149">
        <v>40</v>
      </c>
      <c r="R92" s="149" t="s">
        <v>2</v>
      </c>
      <c r="S92" s="149">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149">
        <f>IF(S92&gt;0,VLOOKUP($J92,Ruimtegroepen[],3,FALSE)*VLOOKUP($L92,Vloersoorten[],3,FALSE)*VLOOKUP($R92,Frequenties[],3,FALSE)*VLOOKUP($A92,Locaties[],3,FALSE),0)</f>
        <v>0</v>
      </c>
      <c r="U92" s="149">
        <f>Ruimtestaat[[#This Row],[Uitvoeringen werkdagen]]*Ruimtestaat[[#This Row],[Oppervlak (netto)]]</f>
        <v>540</v>
      </c>
      <c r="V92" s="179">
        <f>IF(T92&gt;0,Ruimtestaat[[#This Row],[Prest. (m2 /jaar) werkdagen]]/Ruimtestaat[[#This Row],[Norm (m2/uur) werkdagen]],0)</f>
        <v>0</v>
      </c>
      <c r="W92" s="180">
        <f>Ruimtestaat[[#This Row],[uren / jaar werkdagen]]*Tariefsopbouw!$E$35</f>
        <v>0</v>
      </c>
      <c r="X92" s="149"/>
      <c r="Y92" s="149">
        <f>IF(Ruimtestaat[[#This Row],[Frequentie weekend]]&gt;0,VALUE(LEFT(X92,1))*Q92,0)</f>
        <v>0</v>
      </c>
      <c r="Z92" s="148">
        <f>IF($Y92&gt;0,VLOOKUP($J92,Ruimtegroepen[],3,FALSE)*VLOOKUP($L92,Vloersoorten[],3,FALSE)*VLOOKUP($X92,Frequenties[],3,FALSE)*VLOOKUP(#REF!,Locaties[],3,FALSE),0)</f>
        <v>0</v>
      </c>
      <c r="AA92" s="148">
        <f>Ruimtestaat[[#This Row],[Uitvoeringen weekend]]*Ruimtestaat[[#This Row],[Oppervlak (netto)]]</f>
        <v>0</v>
      </c>
      <c r="AB92" s="148">
        <f>IF(Z92&gt;0,Ruimtestaat[[#This Row],[Prest. (m2 /jaar) weekend]]/Ruimtestaat[[#This Row],[Norm (m2/uur) weekend]],0)</f>
        <v>0</v>
      </c>
      <c r="AC92" s="180">
        <f>Ruimtestaat[[#This Row],[uren / jaar weekend]]*Tariefsopbouw!$D$40</f>
        <v>0</v>
      </c>
      <c r="AD92" s="179">
        <f>Ruimtestaat[[#This Row],[Prest. (m2 /jaar) weekend]]+Ruimtestaat[[#This Row],[Prest. (m2 /jaar) werkdagen]]</f>
        <v>540</v>
      </c>
      <c r="AE92" s="179">
        <f>Ruimtestaat[[#This Row],[uren / jaar weekend]]+Ruimtestaat[[#This Row],[uren / jaar werkdagen]]</f>
        <v>0</v>
      </c>
      <c r="AF92" s="174">
        <f>Ruimtestaat[[#This Row],[kosten / jaar weekend]]+Ruimtestaat[[#This Row],[kosten / jaar werkdagen]]</f>
        <v>0</v>
      </c>
      <c r="AG92" s="174"/>
      <c r="AH92" s="181" t="str">
        <f>IF(Ruimtestaat[[#This Row],[Frequentie werkdagen]]="","",_xlfn.CONCAT(Ruimtestaat[[#This Row],[Ruimte code]],"-",Ruimtestaat[[#This Row],[Frequentie werkdagen]]," ",Ruimtestaat[[#This Row],[Vloer code]]))</f>
        <v>10-5w H</v>
      </c>
      <c r="AI92" s="185" t="str">
        <f>_xlfn.IFNA(VLOOKUP($AH92,Programma!$F$3:$G$1101,2,0),"")</f>
        <v>_</v>
      </c>
      <c r="AJ92" s="185" t="str">
        <f>_xlfn.IFNA(VLOOKUP($AH92,Programma!$F$3:$H$1101,3,0),"")</f>
        <v>_</v>
      </c>
      <c r="AK92" s="185" t="str">
        <f>_xlfn.IFNA(VLOOKUP($AH92,Programma!$F$3:$I$1101,4,0),"")</f>
        <v>5w</v>
      </c>
      <c r="AL92" s="185" t="str">
        <f>_xlfn.IFNA(VLOOKUP($AH92,Programma!$F$3:$J$1101,5,0),"")</f>
        <v>_</v>
      </c>
      <c r="AM92" s="185" t="str">
        <f>_xlfn.IFNA(VLOOKUP($AH92,Programma!$F$3:$K$1101,6,0),"")</f>
        <v>4j</v>
      </c>
      <c r="AN92" s="185" t="str">
        <f>_xlfn.IFNA(VLOOKUP($AH92,Programma!$F$3:$L$1101,7,0),"")</f>
        <v>_</v>
      </c>
      <c r="AO92" s="185" t="str">
        <f>_xlfn.IFNA(VLOOKUP($AH92,Programma!$F$3:$M$1101,8,0),"")</f>
        <v>_</v>
      </c>
      <c r="AP92" s="185" t="str">
        <f>_xlfn.IFNA(VLOOKUP($AH92,Programma!$F$3:$N$1101,9,0),"")</f>
        <v>_</v>
      </c>
      <c r="AQ92" s="185" t="str">
        <f>_xlfn.IFNA(VLOOKUP($AH92,Programma!$F$3:$O$1101,10,0),"")</f>
        <v>5w</v>
      </c>
      <c r="AR92" s="185" t="str">
        <f>_xlfn.IFNA(VLOOKUP($AH92,Programma!$F$3:$P$1101,11,0),"")</f>
        <v>5w</v>
      </c>
      <c r="AS92" s="185" t="str">
        <f>_xlfn.IFNA(VLOOKUP($AH92,Programma!$F$3:$Q$1101,12,0),"")</f>
        <v>1w</v>
      </c>
      <c r="AT92" s="185" t="str">
        <f>_xlfn.IFNA(VLOOKUP($AH92,Programma!$F$3:$R$1101,13,0),"")</f>
        <v>1w</v>
      </c>
      <c r="AU92" s="185" t="str">
        <f>_xlfn.IFNA(VLOOKUP($AH92,Programma!$F$3:$S$1101,14,0),"")</f>
        <v>1m</v>
      </c>
      <c r="AV92" s="185" t="str">
        <f>_xlfn.IFNA(VLOOKUP($AH92,Programma!$F$3:$T$1101,15,0),"")</f>
        <v>2j</v>
      </c>
      <c r="AW92" s="185" t="str">
        <f>_xlfn.IFNA(VLOOKUP($AH92,Programma!$F$3:$U$1101,16,0),"")</f>
        <v>1j</v>
      </c>
      <c r="AX92" s="185" t="str">
        <f>_xlfn.IFNA(VLOOKUP($AH92,Programma!$F$3:$V$1101,17,0),"")</f>
        <v>_</v>
      </c>
      <c r="AY92" s="185" t="str">
        <f>_xlfn.IFNA(VLOOKUP($AH92,Programma!$F$3:$W$1101,18,0),"")</f>
        <v>_</v>
      </c>
      <c r="AZ92" s="185" t="str">
        <f>_xlfn.IFNA(VLOOKUP($AH92,Programma!$F$3:$X$1101,19,0),"")</f>
        <v>_</v>
      </c>
      <c r="BA92" s="185" t="str">
        <f>_xlfn.IFNA(VLOOKUP($AH92,Programma!$F$3:$Y$1101,20,0),"")</f>
        <v>_</v>
      </c>
      <c r="BB92" s="182"/>
      <c r="BC92" s="181" t="str">
        <f>IF(Ruimtestaat[[#This Row],[Frequentie weekend]]="","",_xlfn.CONCAT(Ruimtestaat[[#This Row],[Ruimte code]],"-",Ruimtestaat[[#This Row],[Frequentie weekend]]," ",Ruimtestaat[[#This Row],[Vloer code]]))</f>
        <v/>
      </c>
      <c r="BD92" s="185" t="str">
        <f>_xlfn.IFNA(VLOOKUP($BC92,Programma!$F$3:$G$1101,2,0),"")</f>
        <v/>
      </c>
      <c r="BE92" s="185" t="str">
        <f>_xlfn.IFNA(VLOOKUP($BC92,Programma!$F$3:$H$1101,3,0),"")</f>
        <v/>
      </c>
      <c r="BF92" s="185" t="str">
        <f>_xlfn.IFNA(VLOOKUP($BC92,Programma!$F$3:$I$1101,4,0),"")</f>
        <v/>
      </c>
      <c r="BG92" s="185" t="str">
        <f>_xlfn.IFNA(VLOOKUP($BC92,Programma!$F$3:$J$1101,5,0),"")</f>
        <v/>
      </c>
      <c r="BH92" s="185" t="str">
        <f>_xlfn.IFNA(VLOOKUP($BC92,Programma!$F$3:$K$1101,6,0),"")</f>
        <v/>
      </c>
      <c r="BI92" s="185" t="str">
        <f>_xlfn.IFNA(VLOOKUP($BC92,Programma!$F$3:$L$1101,7,0),"")</f>
        <v/>
      </c>
      <c r="BJ92" s="185" t="str">
        <f>_xlfn.IFNA(VLOOKUP($BC92,Programma!$F$3:$M$1101,8,0),"")</f>
        <v/>
      </c>
      <c r="BK92" s="185" t="str">
        <f>_xlfn.IFNA(VLOOKUP($BC92,Programma!$F$3:$N$1101,9,0),"")</f>
        <v/>
      </c>
      <c r="BL92" s="185" t="str">
        <f>_xlfn.IFNA(VLOOKUP($BC92,Programma!$F$3:$O$1101,10,0),"")</f>
        <v/>
      </c>
      <c r="BM92" s="185" t="str">
        <f>_xlfn.IFNA(VLOOKUP($BC92,Programma!$F$3:$P$1101,11,0),"")</f>
        <v/>
      </c>
      <c r="BN92" s="185" t="str">
        <f>_xlfn.IFNA(VLOOKUP($BC92,Programma!$F$3:$Q$1101,12,0),"")</f>
        <v/>
      </c>
      <c r="BO92" s="185" t="str">
        <f>_xlfn.IFNA(VLOOKUP($BC92,Programma!$F$3:$R$1101,13,0),"")</f>
        <v/>
      </c>
      <c r="BP92" s="185" t="str">
        <f>_xlfn.IFNA(VLOOKUP($BC92,Programma!$F$3:$S$1101,14,0),"")</f>
        <v/>
      </c>
      <c r="BQ92" s="185" t="str">
        <f>_xlfn.IFNA(VLOOKUP($BC92,Programma!$F$3:$T$1101,15,0),"")</f>
        <v/>
      </c>
      <c r="BR92" s="185" t="str">
        <f>_xlfn.IFNA(VLOOKUP($BC92,Programma!$F$3:$U$1101,16,0),"")</f>
        <v/>
      </c>
      <c r="BS92" s="185" t="str">
        <f>_xlfn.IFNA(VLOOKUP($BC92,Programma!$F$3:$V$1101,17,0),"")</f>
        <v/>
      </c>
      <c r="BT92" s="185" t="str">
        <f>_xlfn.IFNA(VLOOKUP($BC92,Programma!$F$3:$W$1101,18,0),"")</f>
        <v/>
      </c>
      <c r="BU92" s="185" t="str">
        <f>_xlfn.IFNA(VLOOKUP($BC92,Programma!$F$3:$X$1101,19,0),"")</f>
        <v/>
      </c>
      <c r="BV92" s="185" t="str">
        <f>_xlfn.IFNA(VLOOKUP($BC92,Programma!$F$3:$Y$1101,20,0),"")</f>
        <v/>
      </c>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c r="EO92" s="78"/>
      <c r="EP92" s="78"/>
      <c r="EQ92" s="78"/>
      <c r="ER92" s="78"/>
      <c r="ES92" s="78"/>
      <c r="ET92" s="78"/>
      <c r="EU92" s="78"/>
      <c r="EV92" s="78"/>
      <c r="EW92" s="78"/>
      <c r="EX92" s="78"/>
      <c r="EY92" s="78"/>
      <c r="EZ92" s="78"/>
      <c r="FA92" s="78"/>
      <c r="FB92" s="78"/>
      <c r="FC92" s="78"/>
      <c r="FD92" s="78"/>
      <c r="FE92" s="78"/>
      <c r="FF92" s="78"/>
      <c r="FG92" s="78"/>
      <c r="FH92" s="78"/>
      <c r="FI92" s="78"/>
      <c r="FJ92" s="78"/>
      <c r="FK92" s="78"/>
      <c r="FL92" s="78"/>
      <c r="FM92" s="78"/>
      <c r="FN92" s="78"/>
      <c r="FO92" s="78"/>
      <c r="FP92" s="78"/>
      <c r="FQ92" s="78"/>
      <c r="FR92" s="78"/>
      <c r="FS92" s="78"/>
      <c r="FT92" s="78"/>
      <c r="FU92" s="78"/>
      <c r="FV92" s="78"/>
      <c r="FW92" s="78"/>
      <c r="FX92" s="78"/>
      <c r="FY92" s="78"/>
      <c r="FZ92" s="78"/>
      <c r="GA92" s="78"/>
      <c r="GB92" s="78"/>
      <c r="GC92" s="78"/>
      <c r="GD92" s="78"/>
      <c r="GE92" s="78"/>
      <c r="GF92" s="78"/>
      <c r="GG92" s="78"/>
      <c r="GH92" s="78"/>
      <c r="GI92" s="78"/>
      <c r="GJ92" s="78"/>
      <c r="GK92" s="78"/>
      <c r="GL92" s="78"/>
      <c r="GM92" s="78"/>
      <c r="GN92" s="78"/>
      <c r="GO92" s="78"/>
      <c r="GP92" s="78"/>
      <c r="GQ92" s="78"/>
      <c r="GR92" s="78"/>
      <c r="GS92" s="78"/>
      <c r="GT92" s="78"/>
      <c r="GU92" s="78"/>
      <c r="GV92" s="78"/>
      <c r="GW92" s="78"/>
      <c r="GX92" s="78"/>
      <c r="GY92" s="78"/>
      <c r="GZ92" s="78"/>
      <c r="HA92" s="78"/>
      <c r="HB92" s="78"/>
      <c r="HC92" s="78"/>
      <c r="HD92" s="78"/>
      <c r="HE92" s="78"/>
      <c r="HF92" s="78"/>
      <c r="HG92" s="78"/>
      <c r="HH92" s="78"/>
      <c r="HI92" s="78"/>
      <c r="HJ92" s="78"/>
      <c r="HK92" s="78"/>
    </row>
    <row r="93" spans="1:219" ht="15" customHeight="1">
      <c r="A93" s="149">
        <v>3</v>
      </c>
      <c r="B93" s="176" t="str">
        <f>VLOOKUP(Ruimtestaat[[#This Row],[Code]],Locaties[[Code]:[Locatie]],2,FALSE)</f>
        <v>OBS De Spinner</v>
      </c>
      <c r="C93" s="176" t="str">
        <f>VLOOKUP(Ruimtestaat[[#This Row],[Code]],Locaties[[#All],[Code]:[Adres]],4,FALSE)</f>
        <v>Spinnerstraat 29</v>
      </c>
      <c r="D93" s="176" t="str">
        <f>VLOOKUP(Ruimtestaat[[#This Row],[Code]],Locaties[[#All],[Code]:[Postcode]],5,FALSE)</f>
        <v>7545 TP</v>
      </c>
      <c r="E93" s="176" t="str">
        <f>VLOOKUP(Ruimtestaat[[#This Row],[Code]],Locaties[#All],6,FALSE)</f>
        <v>Enschede</v>
      </c>
      <c r="F93" s="149"/>
      <c r="G93" s="149" t="s">
        <v>1714</v>
      </c>
      <c r="H93" s="300" t="s">
        <v>1736</v>
      </c>
      <c r="I93" s="301" t="s">
        <v>1651</v>
      </c>
      <c r="J93" s="99">
        <v>16</v>
      </c>
      <c r="K93" s="183" t="str">
        <f>VLOOKUP(Ruimtestaat[[#This Row],[Ruimte code]],Ruimtegroepen[[#All],[Code]:[Ruimte omschrijving]],2,FALSE)</f>
        <v>Leslokalen</v>
      </c>
      <c r="L93" s="149" t="s">
        <v>100</v>
      </c>
      <c r="M93" s="301" t="s">
        <v>1697</v>
      </c>
      <c r="N93" s="177">
        <v>79.2</v>
      </c>
      <c r="O93" s="177"/>
      <c r="P93" s="178" t="str">
        <f>VLOOKUP(Ruimtestaat[[#This Row],[Ruimte code]],Ruimtegroepen[],4,FALSE)</f>
        <v>Le</v>
      </c>
      <c r="Q93" s="149">
        <v>40</v>
      </c>
      <c r="R93" s="149" t="s">
        <v>2</v>
      </c>
      <c r="S93" s="149">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149">
        <f>IF(S93&gt;0,VLOOKUP($J93,Ruimtegroepen[],3,FALSE)*VLOOKUP($L93,Vloersoorten[],3,FALSE)*VLOOKUP($R93,Frequenties[],3,FALSE)*VLOOKUP($A93,Locaties[],3,FALSE),0)</f>
        <v>0</v>
      </c>
      <c r="U93" s="149">
        <f>Ruimtestaat[[#This Row],[Uitvoeringen werkdagen]]*Ruimtestaat[[#This Row],[Oppervlak (netto)]]</f>
        <v>15840</v>
      </c>
      <c r="V93" s="179">
        <f>IF(T93&gt;0,Ruimtestaat[[#This Row],[Prest. (m2 /jaar) werkdagen]]/Ruimtestaat[[#This Row],[Norm (m2/uur) werkdagen]],0)</f>
        <v>0</v>
      </c>
      <c r="W93" s="180">
        <f>Ruimtestaat[[#This Row],[uren / jaar werkdagen]]*Tariefsopbouw!$E$35</f>
        <v>0</v>
      </c>
      <c r="X93" s="149"/>
      <c r="Y93" s="149">
        <f>IF(Ruimtestaat[[#This Row],[Frequentie weekend]]&gt;0,VALUE(LEFT(X93,1))*Q93,0)</f>
        <v>0</v>
      </c>
      <c r="Z93" s="148">
        <f>IF($Y93&gt;0,VLOOKUP($J93,Ruimtegroepen[],3,FALSE)*VLOOKUP($L93,Vloersoorten[],3,FALSE)*VLOOKUP($X93,Frequenties[],3,FALSE)*VLOOKUP(#REF!,Locaties[],3,FALSE),0)</f>
        <v>0</v>
      </c>
      <c r="AA93" s="148">
        <f>Ruimtestaat[[#This Row],[Uitvoeringen weekend]]*Ruimtestaat[[#This Row],[Oppervlak (netto)]]</f>
        <v>0</v>
      </c>
      <c r="AB93" s="148">
        <f>IF(Z93&gt;0,Ruimtestaat[[#This Row],[Prest. (m2 /jaar) weekend]]/Ruimtestaat[[#This Row],[Norm (m2/uur) weekend]],0)</f>
        <v>0</v>
      </c>
      <c r="AC93" s="180">
        <f>Ruimtestaat[[#This Row],[uren / jaar weekend]]*Tariefsopbouw!$D$40</f>
        <v>0</v>
      </c>
      <c r="AD93" s="179">
        <f>Ruimtestaat[[#This Row],[Prest. (m2 /jaar) weekend]]+Ruimtestaat[[#This Row],[Prest. (m2 /jaar) werkdagen]]</f>
        <v>15840</v>
      </c>
      <c r="AE93" s="179">
        <f>Ruimtestaat[[#This Row],[uren / jaar weekend]]+Ruimtestaat[[#This Row],[uren / jaar werkdagen]]</f>
        <v>0</v>
      </c>
      <c r="AF93" s="174">
        <f>Ruimtestaat[[#This Row],[kosten / jaar weekend]]+Ruimtestaat[[#This Row],[kosten / jaar werkdagen]]</f>
        <v>0</v>
      </c>
      <c r="AG93" s="174"/>
      <c r="AH93" s="181" t="str">
        <f>IF(Ruimtestaat[[#This Row],[Frequentie werkdagen]]="","",_xlfn.CONCAT(Ruimtestaat[[#This Row],[Ruimte code]],"-",Ruimtestaat[[#This Row],[Frequentie werkdagen]]," ",Ruimtestaat[[#This Row],[Vloer code]]))</f>
        <v>16-5w L</v>
      </c>
      <c r="AI93" s="185" t="str">
        <f>_xlfn.IFNA(VLOOKUP($AH93,Programma!$F$3:$G$1101,2,0),"")</f>
        <v>_</v>
      </c>
      <c r="AJ93" s="185" t="str">
        <f>_xlfn.IFNA(VLOOKUP($AH93,Programma!$F$3:$H$1101,3,0),"")</f>
        <v>_</v>
      </c>
      <c r="AK93" s="185" t="str">
        <f>_xlfn.IFNA(VLOOKUP($AH93,Programma!$F$3:$I$1101,4,0),"")</f>
        <v>4w</v>
      </c>
      <c r="AL93" s="185" t="str">
        <f>_xlfn.IFNA(VLOOKUP($AH93,Programma!$F$3:$J$1101,5,0),"")</f>
        <v>1w</v>
      </c>
      <c r="AM93" s="185" t="str">
        <f>_xlfn.IFNA(VLOOKUP($AH93,Programma!$F$3:$K$1101,6,0),"")</f>
        <v>_</v>
      </c>
      <c r="AN93" s="185" t="str">
        <f>_xlfn.IFNA(VLOOKUP($AH93,Programma!$F$3:$L$1101,7,0),"")</f>
        <v>_</v>
      </c>
      <c r="AO93" s="185" t="str">
        <f>_xlfn.IFNA(VLOOKUP($AH93,Programma!$F$3:$M$1101,8,0),"")</f>
        <v>_</v>
      </c>
      <c r="AP93" s="185" t="str">
        <f>_xlfn.IFNA(VLOOKUP($AH93,Programma!$F$3:$N$1101,9,0),"")</f>
        <v>_</v>
      </c>
      <c r="AQ93" s="185" t="str">
        <f>_xlfn.IFNA(VLOOKUP($AH93,Programma!$F$3:$O$1101,10,0),"")</f>
        <v>5w</v>
      </c>
      <c r="AR93" s="185" t="str">
        <f>_xlfn.IFNA(VLOOKUP($AH93,Programma!$F$3:$P$1101,11,0),"")</f>
        <v>5w</v>
      </c>
      <c r="AS93" s="185" t="str">
        <f>_xlfn.IFNA(VLOOKUP($AH93,Programma!$F$3:$Q$1101,12,0),"")</f>
        <v>1w</v>
      </c>
      <c r="AT93" s="185" t="str">
        <f>_xlfn.IFNA(VLOOKUP($AH93,Programma!$F$3:$R$1101,13,0),"")</f>
        <v>1w</v>
      </c>
      <c r="AU93" s="185" t="str">
        <f>_xlfn.IFNA(VLOOKUP($AH93,Programma!$F$3:$S$1101,14,0),"")</f>
        <v>1m</v>
      </c>
      <c r="AV93" s="185" t="str">
        <f>_xlfn.IFNA(VLOOKUP($AH93,Programma!$F$3:$T$1101,15,0),"")</f>
        <v>2j</v>
      </c>
      <c r="AW93" s="185" t="str">
        <f>_xlfn.IFNA(VLOOKUP($AH93,Programma!$F$3:$U$1101,16,0),"")</f>
        <v>1j</v>
      </c>
      <c r="AX93" s="185" t="str">
        <f>_xlfn.IFNA(VLOOKUP($AH93,Programma!$F$3:$V$1101,17,0),"")</f>
        <v>_</v>
      </c>
      <c r="AY93" s="185" t="str">
        <f>_xlfn.IFNA(VLOOKUP($AH93,Programma!$F$3:$W$1101,18,0),"")</f>
        <v>_</v>
      </c>
      <c r="AZ93" s="185" t="str">
        <f>_xlfn.IFNA(VLOOKUP($AH93,Programma!$F$3:$X$1101,19,0),"")</f>
        <v>_</v>
      </c>
      <c r="BA93" s="185" t="str">
        <f>_xlfn.IFNA(VLOOKUP($AH93,Programma!$F$3:$Y$1101,20,0),"")</f>
        <v>_</v>
      </c>
      <c r="BB93" s="182"/>
      <c r="BC93" s="181" t="str">
        <f>IF(Ruimtestaat[[#This Row],[Frequentie weekend]]="","",_xlfn.CONCAT(Ruimtestaat[[#This Row],[Ruimte code]],"-",Ruimtestaat[[#This Row],[Frequentie weekend]]," ",Ruimtestaat[[#This Row],[Vloer code]]))</f>
        <v/>
      </c>
      <c r="BD93" s="185" t="str">
        <f>_xlfn.IFNA(VLOOKUP($BC93,Programma!$F$3:$G$1101,2,0),"")</f>
        <v/>
      </c>
      <c r="BE93" s="185" t="str">
        <f>_xlfn.IFNA(VLOOKUP($BC93,Programma!$F$3:$H$1101,3,0),"")</f>
        <v/>
      </c>
      <c r="BF93" s="185" t="str">
        <f>_xlfn.IFNA(VLOOKUP($BC93,Programma!$F$3:$I$1101,4,0),"")</f>
        <v/>
      </c>
      <c r="BG93" s="185" t="str">
        <f>_xlfn.IFNA(VLOOKUP($BC93,Programma!$F$3:$J$1101,5,0),"")</f>
        <v/>
      </c>
      <c r="BH93" s="185" t="str">
        <f>_xlfn.IFNA(VLOOKUP($BC93,Programma!$F$3:$K$1101,6,0),"")</f>
        <v/>
      </c>
      <c r="BI93" s="185" t="str">
        <f>_xlfn.IFNA(VLOOKUP($BC93,Programma!$F$3:$L$1101,7,0),"")</f>
        <v/>
      </c>
      <c r="BJ93" s="185" t="str">
        <f>_xlfn.IFNA(VLOOKUP($BC93,Programma!$F$3:$M$1101,8,0),"")</f>
        <v/>
      </c>
      <c r="BK93" s="185" t="str">
        <f>_xlfn.IFNA(VLOOKUP($BC93,Programma!$F$3:$N$1101,9,0),"")</f>
        <v/>
      </c>
      <c r="BL93" s="185" t="str">
        <f>_xlfn.IFNA(VLOOKUP($BC93,Programma!$F$3:$O$1101,10,0),"")</f>
        <v/>
      </c>
      <c r="BM93" s="185" t="str">
        <f>_xlfn.IFNA(VLOOKUP($BC93,Programma!$F$3:$P$1101,11,0),"")</f>
        <v/>
      </c>
      <c r="BN93" s="185" t="str">
        <f>_xlfn.IFNA(VLOOKUP($BC93,Programma!$F$3:$Q$1101,12,0),"")</f>
        <v/>
      </c>
      <c r="BO93" s="185" t="str">
        <f>_xlfn.IFNA(VLOOKUP($BC93,Programma!$F$3:$R$1101,13,0),"")</f>
        <v/>
      </c>
      <c r="BP93" s="185" t="str">
        <f>_xlfn.IFNA(VLOOKUP($BC93,Programma!$F$3:$S$1101,14,0),"")</f>
        <v/>
      </c>
      <c r="BQ93" s="185" t="str">
        <f>_xlfn.IFNA(VLOOKUP($BC93,Programma!$F$3:$T$1101,15,0),"")</f>
        <v/>
      </c>
      <c r="BR93" s="185" t="str">
        <f>_xlfn.IFNA(VLOOKUP($BC93,Programma!$F$3:$U$1101,16,0),"")</f>
        <v/>
      </c>
      <c r="BS93" s="185" t="str">
        <f>_xlfn.IFNA(VLOOKUP($BC93,Programma!$F$3:$V$1101,17,0),"")</f>
        <v/>
      </c>
      <c r="BT93" s="185" t="str">
        <f>_xlfn.IFNA(VLOOKUP($BC93,Programma!$F$3:$W$1101,18,0),"")</f>
        <v/>
      </c>
      <c r="BU93" s="185" t="str">
        <f>_xlfn.IFNA(VLOOKUP($BC93,Programma!$F$3:$X$1101,19,0),"")</f>
        <v/>
      </c>
      <c r="BV93" s="185" t="str">
        <f>_xlfn.IFNA(VLOOKUP($BC93,Programma!$F$3:$Y$1101,20,0),"")</f>
        <v/>
      </c>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c r="EO93" s="78"/>
      <c r="EP93" s="78"/>
      <c r="EQ93" s="78"/>
      <c r="ER93" s="78"/>
      <c r="ES93" s="78"/>
      <c r="ET93" s="78"/>
      <c r="EU93" s="78"/>
      <c r="EV93" s="78"/>
      <c r="EW93" s="78"/>
      <c r="EX93" s="78"/>
      <c r="EY93" s="78"/>
      <c r="EZ93" s="78"/>
      <c r="FA93" s="78"/>
      <c r="FB93" s="78"/>
      <c r="FC93" s="78"/>
      <c r="FD93" s="78"/>
      <c r="FE93" s="78"/>
      <c r="FF93" s="78"/>
      <c r="FG93" s="78"/>
      <c r="FH93" s="78"/>
      <c r="FI93" s="78"/>
      <c r="FJ93" s="78"/>
      <c r="FK93" s="78"/>
      <c r="FL93" s="78"/>
      <c r="FM93" s="78"/>
      <c r="FN93" s="78"/>
      <c r="FO93" s="78"/>
      <c r="FP93" s="78"/>
      <c r="FQ93" s="78"/>
      <c r="FR93" s="78"/>
      <c r="FS93" s="78"/>
      <c r="FT93" s="78"/>
      <c r="FU93" s="78"/>
      <c r="FV93" s="78"/>
      <c r="FW93" s="78"/>
      <c r="FX93" s="78"/>
      <c r="FY93" s="78"/>
      <c r="FZ93" s="78"/>
      <c r="GA93" s="78"/>
      <c r="GB93" s="78"/>
      <c r="GC93" s="78"/>
      <c r="GD93" s="78"/>
      <c r="GE93" s="78"/>
      <c r="GF93" s="78"/>
      <c r="GG93" s="78"/>
      <c r="GH93" s="78"/>
      <c r="GI93" s="78"/>
      <c r="GJ93" s="78"/>
      <c r="GK93" s="78"/>
      <c r="GL93" s="78"/>
      <c r="GM93" s="78"/>
      <c r="GN93" s="78"/>
      <c r="GO93" s="78"/>
      <c r="GP93" s="78"/>
      <c r="GQ93" s="78"/>
      <c r="GR93" s="78"/>
      <c r="GS93" s="78"/>
      <c r="GT93" s="78"/>
      <c r="GU93" s="78"/>
      <c r="GV93" s="78"/>
      <c r="GW93" s="78"/>
      <c r="GX93" s="78"/>
      <c r="GY93" s="78"/>
      <c r="GZ93" s="78"/>
      <c r="HA93" s="78"/>
      <c r="HB93" s="78"/>
      <c r="HC93" s="78"/>
      <c r="HD93" s="78"/>
      <c r="HE93" s="78"/>
      <c r="HF93" s="78"/>
      <c r="HG93" s="78"/>
      <c r="HH93" s="78"/>
      <c r="HI93" s="78"/>
      <c r="HJ93" s="78"/>
      <c r="HK93" s="78"/>
    </row>
    <row r="94" spans="1:219" ht="15" customHeight="1">
      <c r="A94" s="149">
        <v>3</v>
      </c>
      <c r="B94" s="176" t="str">
        <f>VLOOKUP(Ruimtestaat[[#This Row],[Code]],Locaties[[Code]:[Locatie]],2,FALSE)</f>
        <v>OBS De Spinner</v>
      </c>
      <c r="C94" s="176" t="str">
        <f>VLOOKUP(Ruimtestaat[[#This Row],[Code]],Locaties[[#All],[Code]:[Adres]],4,FALSE)</f>
        <v>Spinnerstraat 29</v>
      </c>
      <c r="D94" s="176" t="str">
        <f>VLOOKUP(Ruimtestaat[[#This Row],[Code]],Locaties[[#All],[Code]:[Postcode]],5,FALSE)</f>
        <v>7545 TP</v>
      </c>
      <c r="E94" s="176" t="str">
        <f>VLOOKUP(Ruimtestaat[[#This Row],[Code]],Locaties[#All],6,FALSE)</f>
        <v>Enschede</v>
      </c>
      <c r="F94" s="149"/>
      <c r="G94" s="149" t="s">
        <v>1714</v>
      </c>
      <c r="H94" s="300" t="s">
        <v>1737</v>
      </c>
      <c r="I94" s="301" t="s">
        <v>1658</v>
      </c>
      <c r="J94" s="99">
        <v>6</v>
      </c>
      <c r="K94" s="183" t="str">
        <f>VLOOKUP(Ruimtestaat[[#This Row],[Ruimte code]],Ruimtegroepen[[#All],[Code]:[Ruimte omschrijving]],2,FALSE)</f>
        <v>Gangen/hallen</v>
      </c>
      <c r="L94" s="149" t="s">
        <v>102</v>
      </c>
      <c r="M94" s="301" t="s">
        <v>1727</v>
      </c>
      <c r="N94" s="177">
        <v>32.4</v>
      </c>
      <c r="O94" s="177"/>
      <c r="P94" s="178" t="str">
        <f>VLOOKUP(Ruimtestaat[[#This Row],[Ruimte code]],Ruimtegroepen[],4,FALSE)</f>
        <v>Ve</v>
      </c>
      <c r="Q94" s="149">
        <v>40</v>
      </c>
      <c r="R94" s="149" t="s">
        <v>2</v>
      </c>
      <c r="S94" s="149">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149">
        <f>IF(S94&gt;0,VLOOKUP($J94,Ruimtegroepen[],3,FALSE)*VLOOKUP($L94,Vloersoorten[],3,FALSE)*VLOOKUP($R94,Frequenties[],3,FALSE)*VLOOKUP($A94,Locaties[],3,FALSE),0)</f>
        <v>0</v>
      </c>
      <c r="U94" s="149">
        <f>Ruimtestaat[[#This Row],[Uitvoeringen werkdagen]]*Ruimtestaat[[#This Row],[Oppervlak (netto)]]</f>
        <v>6480</v>
      </c>
      <c r="V94" s="179">
        <f>IF(T94&gt;0,Ruimtestaat[[#This Row],[Prest. (m2 /jaar) werkdagen]]/Ruimtestaat[[#This Row],[Norm (m2/uur) werkdagen]],0)</f>
        <v>0</v>
      </c>
      <c r="W94" s="180">
        <f>Ruimtestaat[[#This Row],[uren / jaar werkdagen]]*Tariefsopbouw!$E$35</f>
        <v>0</v>
      </c>
      <c r="X94" s="149"/>
      <c r="Y94" s="149">
        <f>IF(Ruimtestaat[[#This Row],[Frequentie weekend]]&gt;0,VALUE(LEFT(X94,1))*Q94,0)</f>
        <v>0</v>
      </c>
      <c r="Z94" s="148">
        <f>IF($Y94&gt;0,VLOOKUP($J94,Ruimtegroepen[],3,FALSE)*VLOOKUP($L94,Vloersoorten[],3,FALSE)*VLOOKUP($X94,Frequenties[],3,FALSE)*VLOOKUP(#REF!,Locaties[],3,FALSE),0)</f>
        <v>0</v>
      </c>
      <c r="AA94" s="148">
        <f>Ruimtestaat[[#This Row],[Uitvoeringen weekend]]*Ruimtestaat[[#This Row],[Oppervlak (netto)]]</f>
        <v>0</v>
      </c>
      <c r="AB94" s="148">
        <f>IF(Z94&gt;0,Ruimtestaat[[#This Row],[Prest. (m2 /jaar) weekend]]/Ruimtestaat[[#This Row],[Norm (m2/uur) weekend]],0)</f>
        <v>0</v>
      </c>
      <c r="AC94" s="180">
        <f>Ruimtestaat[[#This Row],[uren / jaar weekend]]*Tariefsopbouw!$D$40</f>
        <v>0</v>
      </c>
      <c r="AD94" s="179">
        <f>Ruimtestaat[[#This Row],[Prest. (m2 /jaar) weekend]]+Ruimtestaat[[#This Row],[Prest. (m2 /jaar) werkdagen]]</f>
        <v>6480</v>
      </c>
      <c r="AE94" s="179">
        <f>Ruimtestaat[[#This Row],[uren / jaar weekend]]+Ruimtestaat[[#This Row],[uren / jaar werkdagen]]</f>
        <v>0</v>
      </c>
      <c r="AF94" s="174">
        <f>Ruimtestaat[[#This Row],[kosten / jaar weekend]]+Ruimtestaat[[#This Row],[kosten / jaar werkdagen]]</f>
        <v>0</v>
      </c>
      <c r="AG94" s="174"/>
      <c r="AH94" s="181" t="str">
        <f>IF(Ruimtestaat[[#This Row],[Frequentie werkdagen]]="","",_xlfn.CONCAT(Ruimtestaat[[#This Row],[Ruimte code]],"-",Ruimtestaat[[#This Row],[Frequentie werkdagen]]," ",Ruimtestaat[[#This Row],[Vloer code]]))</f>
        <v>6-5w P</v>
      </c>
      <c r="AI94" s="185" t="str">
        <f>_xlfn.IFNA(VLOOKUP($AH94,Programma!$F$3:$G$1101,2,0),"")</f>
        <v>_</v>
      </c>
      <c r="AJ94" s="185" t="str">
        <f>_xlfn.IFNA(VLOOKUP($AH94,Programma!$F$3:$H$1101,3,0),"")</f>
        <v>_</v>
      </c>
      <c r="AK94" s="185" t="str">
        <f>_xlfn.IFNA(VLOOKUP($AH94,Programma!$F$3:$I$1101,4,0),"")</f>
        <v>5w</v>
      </c>
      <c r="AL94" s="185" t="str">
        <f>_xlfn.IFNA(VLOOKUP($AH94,Programma!$F$3:$J$1101,5,0),"")</f>
        <v>_</v>
      </c>
      <c r="AM94" s="185" t="str">
        <f>_xlfn.IFNA(VLOOKUP($AH94,Programma!$F$3:$K$1101,6,0),"")</f>
        <v>5w</v>
      </c>
      <c r="AN94" s="185" t="str">
        <f>_xlfn.IFNA(VLOOKUP($AH94,Programma!$F$3:$L$1101,7,0),"")</f>
        <v>_</v>
      </c>
      <c r="AO94" s="185" t="str">
        <f>_xlfn.IFNA(VLOOKUP($AH94,Programma!$F$3:$M$1101,8,0),"")</f>
        <v>_</v>
      </c>
      <c r="AP94" s="185" t="str">
        <f>_xlfn.IFNA(VLOOKUP($AH94,Programma!$F$3:$N$1101,9,0),"")</f>
        <v>_</v>
      </c>
      <c r="AQ94" s="185" t="str">
        <f>_xlfn.IFNA(VLOOKUP($AH94,Programma!$F$3:$O$1101,10,0),"")</f>
        <v>5w</v>
      </c>
      <c r="AR94" s="185" t="str">
        <f>_xlfn.IFNA(VLOOKUP($AH94,Programma!$F$3:$P$1101,11,0),"")</f>
        <v>5w</v>
      </c>
      <c r="AS94" s="185" t="str">
        <f>_xlfn.IFNA(VLOOKUP($AH94,Programma!$F$3:$Q$1101,12,0),"")</f>
        <v>1w</v>
      </c>
      <c r="AT94" s="185" t="str">
        <f>_xlfn.IFNA(VLOOKUP($AH94,Programma!$F$3:$R$1101,13,0),"")</f>
        <v>1w</v>
      </c>
      <c r="AU94" s="185" t="str">
        <f>_xlfn.IFNA(VLOOKUP($AH94,Programma!$F$3:$S$1101,14,0),"")</f>
        <v>1m</v>
      </c>
      <c r="AV94" s="185" t="str">
        <f>_xlfn.IFNA(VLOOKUP($AH94,Programma!$F$3:$T$1101,15,0),"")</f>
        <v>2j</v>
      </c>
      <c r="AW94" s="185" t="str">
        <f>_xlfn.IFNA(VLOOKUP($AH94,Programma!$F$3:$U$1101,16,0),"")</f>
        <v>1j</v>
      </c>
      <c r="AX94" s="185" t="str">
        <f>_xlfn.IFNA(VLOOKUP($AH94,Programma!$F$3:$V$1101,17,0),"")</f>
        <v>_</v>
      </c>
      <c r="AY94" s="185" t="str">
        <f>_xlfn.IFNA(VLOOKUP($AH94,Programma!$F$3:$W$1101,18,0),"")</f>
        <v>_</v>
      </c>
      <c r="AZ94" s="185" t="str">
        <f>_xlfn.IFNA(VLOOKUP($AH94,Programma!$F$3:$X$1101,19,0),"")</f>
        <v>_</v>
      </c>
      <c r="BA94" s="185" t="str">
        <f>_xlfn.IFNA(VLOOKUP($AH94,Programma!$F$3:$Y$1101,20,0),"")</f>
        <v>_</v>
      </c>
      <c r="BB94" s="182"/>
      <c r="BC94" s="181" t="str">
        <f>IF(Ruimtestaat[[#This Row],[Frequentie weekend]]="","",_xlfn.CONCAT(Ruimtestaat[[#This Row],[Ruimte code]],"-",Ruimtestaat[[#This Row],[Frequentie weekend]]," ",Ruimtestaat[[#This Row],[Vloer code]]))</f>
        <v/>
      </c>
      <c r="BD94" s="185" t="str">
        <f>_xlfn.IFNA(VLOOKUP($BC94,Programma!$F$3:$G$1101,2,0),"")</f>
        <v/>
      </c>
      <c r="BE94" s="185" t="str">
        <f>_xlfn.IFNA(VLOOKUP($BC94,Programma!$F$3:$H$1101,3,0),"")</f>
        <v/>
      </c>
      <c r="BF94" s="185" t="str">
        <f>_xlfn.IFNA(VLOOKUP($BC94,Programma!$F$3:$I$1101,4,0),"")</f>
        <v/>
      </c>
      <c r="BG94" s="185" t="str">
        <f>_xlfn.IFNA(VLOOKUP($BC94,Programma!$F$3:$J$1101,5,0),"")</f>
        <v/>
      </c>
      <c r="BH94" s="185" t="str">
        <f>_xlfn.IFNA(VLOOKUP($BC94,Programma!$F$3:$K$1101,6,0),"")</f>
        <v/>
      </c>
      <c r="BI94" s="185" t="str">
        <f>_xlfn.IFNA(VLOOKUP($BC94,Programma!$F$3:$L$1101,7,0),"")</f>
        <v/>
      </c>
      <c r="BJ94" s="185" t="str">
        <f>_xlfn.IFNA(VLOOKUP($BC94,Programma!$F$3:$M$1101,8,0),"")</f>
        <v/>
      </c>
      <c r="BK94" s="185" t="str">
        <f>_xlfn.IFNA(VLOOKUP($BC94,Programma!$F$3:$N$1101,9,0),"")</f>
        <v/>
      </c>
      <c r="BL94" s="185" t="str">
        <f>_xlfn.IFNA(VLOOKUP($BC94,Programma!$F$3:$O$1101,10,0),"")</f>
        <v/>
      </c>
      <c r="BM94" s="185" t="str">
        <f>_xlfn.IFNA(VLOOKUP($BC94,Programma!$F$3:$P$1101,11,0),"")</f>
        <v/>
      </c>
      <c r="BN94" s="185" t="str">
        <f>_xlfn.IFNA(VLOOKUP($BC94,Programma!$F$3:$Q$1101,12,0),"")</f>
        <v/>
      </c>
      <c r="BO94" s="185" t="str">
        <f>_xlfn.IFNA(VLOOKUP($BC94,Programma!$F$3:$R$1101,13,0),"")</f>
        <v/>
      </c>
      <c r="BP94" s="185" t="str">
        <f>_xlfn.IFNA(VLOOKUP($BC94,Programma!$F$3:$S$1101,14,0),"")</f>
        <v/>
      </c>
      <c r="BQ94" s="185" t="str">
        <f>_xlfn.IFNA(VLOOKUP($BC94,Programma!$F$3:$T$1101,15,0),"")</f>
        <v/>
      </c>
      <c r="BR94" s="185" t="str">
        <f>_xlfn.IFNA(VLOOKUP($BC94,Programma!$F$3:$U$1101,16,0),"")</f>
        <v/>
      </c>
      <c r="BS94" s="185" t="str">
        <f>_xlfn.IFNA(VLOOKUP($BC94,Programma!$F$3:$V$1101,17,0),"")</f>
        <v/>
      </c>
      <c r="BT94" s="185" t="str">
        <f>_xlfn.IFNA(VLOOKUP($BC94,Programma!$F$3:$W$1101,18,0),"")</f>
        <v/>
      </c>
      <c r="BU94" s="185" t="str">
        <f>_xlfn.IFNA(VLOOKUP($BC94,Programma!$F$3:$X$1101,19,0),"")</f>
        <v/>
      </c>
      <c r="BV94" s="185" t="str">
        <f>_xlfn.IFNA(VLOOKUP($BC94,Programma!$F$3:$Y$1101,20,0),"")</f>
        <v/>
      </c>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c r="EO94" s="78"/>
      <c r="EP94" s="78"/>
      <c r="EQ94" s="78"/>
      <c r="ER94" s="78"/>
      <c r="ES94" s="78"/>
      <c r="ET94" s="78"/>
      <c r="EU94" s="78"/>
      <c r="EV94" s="78"/>
      <c r="EW94" s="78"/>
      <c r="EX94" s="78"/>
      <c r="EY94" s="78"/>
      <c r="EZ94" s="78"/>
      <c r="FA94" s="78"/>
      <c r="FB94" s="78"/>
      <c r="FC94" s="78"/>
      <c r="FD94" s="78"/>
      <c r="FE94" s="78"/>
      <c r="FF94" s="78"/>
      <c r="FG94" s="78"/>
      <c r="FH94" s="78"/>
      <c r="FI94" s="78"/>
      <c r="FJ94" s="78"/>
      <c r="FK94" s="78"/>
      <c r="FL94" s="78"/>
      <c r="FM94" s="78"/>
      <c r="FN94" s="78"/>
      <c r="FO94" s="78"/>
      <c r="FP94" s="78"/>
      <c r="FQ94" s="78"/>
      <c r="FR94" s="78"/>
      <c r="FS94" s="78"/>
      <c r="FT94" s="78"/>
      <c r="FU94" s="78"/>
      <c r="FV94" s="78"/>
      <c r="FW94" s="78"/>
      <c r="FX94" s="78"/>
      <c r="FY94" s="78"/>
      <c r="FZ94" s="78"/>
      <c r="GA94" s="78"/>
      <c r="GB94" s="78"/>
      <c r="GC94" s="78"/>
      <c r="GD94" s="78"/>
      <c r="GE94" s="78"/>
      <c r="GF94" s="78"/>
      <c r="GG94" s="78"/>
      <c r="GH94" s="78"/>
      <c r="GI94" s="78"/>
      <c r="GJ94" s="78"/>
      <c r="GK94" s="78"/>
      <c r="GL94" s="78"/>
      <c r="GM94" s="78"/>
      <c r="GN94" s="78"/>
      <c r="GO94" s="78"/>
      <c r="GP94" s="78"/>
      <c r="GQ94" s="78"/>
      <c r="GR94" s="78"/>
      <c r="GS94" s="78"/>
      <c r="GT94" s="78"/>
      <c r="GU94" s="78"/>
      <c r="GV94" s="78"/>
      <c r="GW94" s="78"/>
      <c r="GX94" s="78"/>
      <c r="GY94" s="78"/>
      <c r="GZ94" s="78"/>
      <c r="HA94" s="78"/>
      <c r="HB94" s="78"/>
      <c r="HC94" s="78"/>
      <c r="HD94" s="78"/>
      <c r="HE94" s="78"/>
      <c r="HF94" s="78"/>
      <c r="HG94" s="78"/>
      <c r="HH94" s="78"/>
      <c r="HI94" s="78"/>
      <c r="HJ94" s="78"/>
      <c r="HK94" s="78"/>
    </row>
    <row r="95" spans="1:219" ht="15" customHeight="1">
      <c r="A95" s="149">
        <v>3</v>
      </c>
      <c r="B95" s="176" t="str">
        <f>VLOOKUP(Ruimtestaat[[#This Row],[Code]],Locaties[[Code]:[Locatie]],2,FALSE)</f>
        <v>OBS De Spinner</v>
      </c>
      <c r="C95" s="176" t="str">
        <f>VLOOKUP(Ruimtestaat[[#This Row],[Code]],Locaties[[#All],[Code]:[Adres]],4,FALSE)</f>
        <v>Spinnerstraat 29</v>
      </c>
      <c r="D95" s="176" t="str">
        <f>VLOOKUP(Ruimtestaat[[#This Row],[Code]],Locaties[[#All],[Code]:[Postcode]],5,FALSE)</f>
        <v>7545 TP</v>
      </c>
      <c r="E95" s="176" t="str">
        <f>VLOOKUP(Ruimtestaat[[#This Row],[Code]],Locaties[#All],6,FALSE)</f>
        <v>Enschede</v>
      </c>
      <c r="F95" s="149"/>
      <c r="G95" s="149" t="s">
        <v>1714</v>
      </c>
      <c r="H95" s="300" t="s">
        <v>1738</v>
      </c>
      <c r="I95" s="301" t="s">
        <v>1651</v>
      </c>
      <c r="J95" s="99">
        <v>16</v>
      </c>
      <c r="K95" s="183" t="str">
        <f>VLOOKUP(Ruimtestaat[[#This Row],[Ruimte code]],Ruimtegroepen[[#All],[Code]:[Ruimte omschrijving]],2,FALSE)</f>
        <v>Leslokalen</v>
      </c>
      <c r="L95" s="149" t="s">
        <v>100</v>
      </c>
      <c r="M95" s="301" t="s">
        <v>1697</v>
      </c>
      <c r="N95" s="177">
        <v>62.1</v>
      </c>
      <c r="O95" s="177"/>
      <c r="P95" s="178" t="str">
        <f>VLOOKUP(Ruimtestaat[[#This Row],[Ruimte code]],Ruimtegroepen[],4,FALSE)</f>
        <v>Le</v>
      </c>
      <c r="Q95" s="149">
        <v>40</v>
      </c>
      <c r="R95" s="149" t="s">
        <v>2</v>
      </c>
      <c r="S95" s="149">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149">
        <f>IF(S95&gt;0,VLOOKUP($J95,Ruimtegroepen[],3,FALSE)*VLOOKUP($L95,Vloersoorten[],3,FALSE)*VLOOKUP($R95,Frequenties[],3,FALSE)*VLOOKUP($A95,Locaties[],3,FALSE),0)</f>
        <v>0</v>
      </c>
      <c r="U95" s="149">
        <f>Ruimtestaat[[#This Row],[Uitvoeringen werkdagen]]*Ruimtestaat[[#This Row],[Oppervlak (netto)]]</f>
        <v>12420</v>
      </c>
      <c r="V95" s="179">
        <f>IF(T95&gt;0,Ruimtestaat[[#This Row],[Prest. (m2 /jaar) werkdagen]]/Ruimtestaat[[#This Row],[Norm (m2/uur) werkdagen]],0)</f>
        <v>0</v>
      </c>
      <c r="W95" s="180">
        <f>Ruimtestaat[[#This Row],[uren / jaar werkdagen]]*Tariefsopbouw!$E$35</f>
        <v>0</v>
      </c>
      <c r="X95" s="149"/>
      <c r="Y95" s="149">
        <f>IF(Ruimtestaat[[#This Row],[Frequentie weekend]]&gt;0,VALUE(LEFT(X95,1))*Q95,0)</f>
        <v>0</v>
      </c>
      <c r="Z95" s="148">
        <f>IF($Y95&gt;0,VLOOKUP($J95,Ruimtegroepen[],3,FALSE)*VLOOKUP($L95,Vloersoorten[],3,FALSE)*VLOOKUP($X95,Frequenties[],3,FALSE)*VLOOKUP(#REF!,Locaties[],3,FALSE),0)</f>
        <v>0</v>
      </c>
      <c r="AA95" s="148">
        <f>Ruimtestaat[[#This Row],[Uitvoeringen weekend]]*Ruimtestaat[[#This Row],[Oppervlak (netto)]]</f>
        <v>0</v>
      </c>
      <c r="AB95" s="148">
        <f>IF(Z95&gt;0,Ruimtestaat[[#This Row],[Prest. (m2 /jaar) weekend]]/Ruimtestaat[[#This Row],[Norm (m2/uur) weekend]],0)</f>
        <v>0</v>
      </c>
      <c r="AC95" s="180">
        <f>Ruimtestaat[[#This Row],[uren / jaar weekend]]*Tariefsopbouw!$D$40</f>
        <v>0</v>
      </c>
      <c r="AD95" s="179">
        <f>Ruimtestaat[[#This Row],[Prest. (m2 /jaar) weekend]]+Ruimtestaat[[#This Row],[Prest. (m2 /jaar) werkdagen]]</f>
        <v>12420</v>
      </c>
      <c r="AE95" s="179">
        <f>Ruimtestaat[[#This Row],[uren / jaar weekend]]+Ruimtestaat[[#This Row],[uren / jaar werkdagen]]</f>
        <v>0</v>
      </c>
      <c r="AF95" s="174">
        <f>Ruimtestaat[[#This Row],[kosten / jaar weekend]]+Ruimtestaat[[#This Row],[kosten / jaar werkdagen]]</f>
        <v>0</v>
      </c>
      <c r="AG95" s="174"/>
      <c r="AH95" s="181" t="str">
        <f>IF(Ruimtestaat[[#This Row],[Frequentie werkdagen]]="","",_xlfn.CONCAT(Ruimtestaat[[#This Row],[Ruimte code]],"-",Ruimtestaat[[#This Row],[Frequentie werkdagen]]," ",Ruimtestaat[[#This Row],[Vloer code]]))</f>
        <v>16-5w L</v>
      </c>
      <c r="AI95" s="185" t="str">
        <f>_xlfn.IFNA(VLOOKUP($AH95,Programma!$F$3:$G$1101,2,0),"")</f>
        <v>_</v>
      </c>
      <c r="AJ95" s="185" t="str">
        <f>_xlfn.IFNA(VLOOKUP($AH95,Programma!$F$3:$H$1101,3,0),"")</f>
        <v>_</v>
      </c>
      <c r="AK95" s="185" t="str">
        <f>_xlfn.IFNA(VLOOKUP($AH95,Programma!$F$3:$I$1101,4,0),"")</f>
        <v>4w</v>
      </c>
      <c r="AL95" s="185" t="str">
        <f>_xlfn.IFNA(VLOOKUP($AH95,Programma!$F$3:$J$1101,5,0),"")</f>
        <v>1w</v>
      </c>
      <c r="AM95" s="185" t="str">
        <f>_xlfn.IFNA(VLOOKUP($AH95,Programma!$F$3:$K$1101,6,0),"")</f>
        <v>_</v>
      </c>
      <c r="AN95" s="185" t="str">
        <f>_xlfn.IFNA(VLOOKUP($AH95,Programma!$F$3:$L$1101,7,0),"")</f>
        <v>_</v>
      </c>
      <c r="AO95" s="185" t="str">
        <f>_xlfn.IFNA(VLOOKUP($AH95,Programma!$F$3:$M$1101,8,0),"")</f>
        <v>_</v>
      </c>
      <c r="AP95" s="185" t="str">
        <f>_xlfn.IFNA(VLOOKUP($AH95,Programma!$F$3:$N$1101,9,0),"")</f>
        <v>_</v>
      </c>
      <c r="AQ95" s="185" t="str">
        <f>_xlfn.IFNA(VLOOKUP($AH95,Programma!$F$3:$O$1101,10,0),"")</f>
        <v>5w</v>
      </c>
      <c r="AR95" s="185" t="str">
        <f>_xlfn.IFNA(VLOOKUP($AH95,Programma!$F$3:$P$1101,11,0),"")</f>
        <v>5w</v>
      </c>
      <c r="AS95" s="185" t="str">
        <f>_xlfn.IFNA(VLOOKUP($AH95,Programma!$F$3:$Q$1101,12,0),"")</f>
        <v>1w</v>
      </c>
      <c r="AT95" s="185" t="str">
        <f>_xlfn.IFNA(VLOOKUP($AH95,Programma!$F$3:$R$1101,13,0),"")</f>
        <v>1w</v>
      </c>
      <c r="AU95" s="185" t="str">
        <f>_xlfn.IFNA(VLOOKUP($AH95,Programma!$F$3:$S$1101,14,0),"")</f>
        <v>1m</v>
      </c>
      <c r="AV95" s="185" t="str">
        <f>_xlfn.IFNA(VLOOKUP($AH95,Programma!$F$3:$T$1101,15,0),"")</f>
        <v>2j</v>
      </c>
      <c r="AW95" s="185" t="str">
        <f>_xlfn.IFNA(VLOOKUP($AH95,Programma!$F$3:$U$1101,16,0),"")</f>
        <v>1j</v>
      </c>
      <c r="AX95" s="185" t="str">
        <f>_xlfn.IFNA(VLOOKUP($AH95,Programma!$F$3:$V$1101,17,0),"")</f>
        <v>_</v>
      </c>
      <c r="AY95" s="185" t="str">
        <f>_xlfn.IFNA(VLOOKUP($AH95,Programma!$F$3:$W$1101,18,0),"")</f>
        <v>_</v>
      </c>
      <c r="AZ95" s="185" t="str">
        <f>_xlfn.IFNA(VLOOKUP($AH95,Programma!$F$3:$X$1101,19,0),"")</f>
        <v>_</v>
      </c>
      <c r="BA95" s="185" t="str">
        <f>_xlfn.IFNA(VLOOKUP($AH95,Programma!$F$3:$Y$1101,20,0),"")</f>
        <v>_</v>
      </c>
      <c r="BB95" s="182"/>
      <c r="BC95" s="181" t="str">
        <f>IF(Ruimtestaat[[#This Row],[Frequentie weekend]]="","",_xlfn.CONCAT(Ruimtestaat[[#This Row],[Ruimte code]],"-",Ruimtestaat[[#This Row],[Frequentie weekend]]," ",Ruimtestaat[[#This Row],[Vloer code]]))</f>
        <v/>
      </c>
      <c r="BD95" s="185" t="str">
        <f>_xlfn.IFNA(VLOOKUP($BC95,Programma!$F$3:$G$1101,2,0),"")</f>
        <v/>
      </c>
      <c r="BE95" s="185" t="str">
        <f>_xlfn.IFNA(VLOOKUP($BC95,Programma!$F$3:$H$1101,3,0),"")</f>
        <v/>
      </c>
      <c r="BF95" s="185" t="str">
        <f>_xlfn.IFNA(VLOOKUP($BC95,Programma!$F$3:$I$1101,4,0),"")</f>
        <v/>
      </c>
      <c r="BG95" s="185" t="str">
        <f>_xlfn.IFNA(VLOOKUP($BC95,Programma!$F$3:$J$1101,5,0),"")</f>
        <v/>
      </c>
      <c r="BH95" s="185" t="str">
        <f>_xlfn.IFNA(VLOOKUP($BC95,Programma!$F$3:$K$1101,6,0),"")</f>
        <v/>
      </c>
      <c r="BI95" s="185" t="str">
        <f>_xlfn.IFNA(VLOOKUP($BC95,Programma!$F$3:$L$1101,7,0),"")</f>
        <v/>
      </c>
      <c r="BJ95" s="185" t="str">
        <f>_xlfn.IFNA(VLOOKUP($BC95,Programma!$F$3:$M$1101,8,0),"")</f>
        <v/>
      </c>
      <c r="BK95" s="185" t="str">
        <f>_xlfn.IFNA(VLOOKUP($BC95,Programma!$F$3:$N$1101,9,0),"")</f>
        <v/>
      </c>
      <c r="BL95" s="185" t="str">
        <f>_xlfn.IFNA(VLOOKUP($BC95,Programma!$F$3:$O$1101,10,0),"")</f>
        <v/>
      </c>
      <c r="BM95" s="185" t="str">
        <f>_xlfn.IFNA(VLOOKUP($BC95,Programma!$F$3:$P$1101,11,0),"")</f>
        <v/>
      </c>
      <c r="BN95" s="185" t="str">
        <f>_xlfn.IFNA(VLOOKUP($BC95,Programma!$F$3:$Q$1101,12,0),"")</f>
        <v/>
      </c>
      <c r="BO95" s="185" t="str">
        <f>_xlfn.IFNA(VLOOKUP($BC95,Programma!$F$3:$R$1101,13,0),"")</f>
        <v/>
      </c>
      <c r="BP95" s="185" t="str">
        <f>_xlfn.IFNA(VLOOKUP($BC95,Programma!$F$3:$S$1101,14,0),"")</f>
        <v/>
      </c>
      <c r="BQ95" s="185" t="str">
        <f>_xlfn.IFNA(VLOOKUP($BC95,Programma!$F$3:$T$1101,15,0),"")</f>
        <v/>
      </c>
      <c r="BR95" s="185" t="str">
        <f>_xlfn.IFNA(VLOOKUP($BC95,Programma!$F$3:$U$1101,16,0),"")</f>
        <v/>
      </c>
      <c r="BS95" s="185" t="str">
        <f>_xlfn.IFNA(VLOOKUP($BC95,Programma!$F$3:$V$1101,17,0),"")</f>
        <v/>
      </c>
      <c r="BT95" s="185" t="str">
        <f>_xlfn.IFNA(VLOOKUP($BC95,Programma!$F$3:$W$1101,18,0),"")</f>
        <v/>
      </c>
      <c r="BU95" s="185" t="str">
        <f>_xlfn.IFNA(VLOOKUP($BC95,Programma!$F$3:$X$1101,19,0),"")</f>
        <v/>
      </c>
      <c r="BV95" s="185" t="str">
        <f>_xlfn.IFNA(VLOOKUP($BC95,Programma!$F$3:$Y$1101,20,0),"")</f>
        <v/>
      </c>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c r="EO95" s="78"/>
      <c r="EP95" s="78"/>
      <c r="EQ95" s="78"/>
      <c r="ER95" s="78"/>
      <c r="ES95" s="78"/>
      <c r="ET95" s="78"/>
      <c r="EU95" s="78"/>
      <c r="EV95" s="78"/>
      <c r="EW95" s="78"/>
      <c r="EX95" s="78"/>
      <c r="EY95" s="78"/>
      <c r="EZ95" s="78"/>
      <c r="FA95" s="78"/>
      <c r="FB95" s="78"/>
      <c r="FC95" s="78"/>
      <c r="FD95" s="78"/>
      <c r="FE95" s="78"/>
      <c r="FF95" s="78"/>
      <c r="FG95" s="78"/>
      <c r="FH95" s="78"/>
      <c r="FI95" s="78"/>
      <c r="FJ95" s="78"/>
      <c r="FK95" s="78"/>
      <c r="FL95" s="78"/>
      <c r="FM95" s="78"/>
      <c r="FN95" s="78"/>
      <c r="FO95" s="78"/>
      <c r="FP95" s="78"/>
      <c r="FQ95" s="78"/>
      <c r="FR95" s="78"/>
      <c r="FS95" s="78"/>
      <c r="FT95" s="78"/>
      <c r="FU95" s="78"/>
      <c r="FV95" s="78"/>
      <c r="FW95" s="78"/>
      <c r="FX95" s="78"/>
      <c r="FY95" s="78"/>
      <c r="FZ95" s="78"/>
      <c r="GA95" s="78"/>
      <c r="GB95" s="78"/>
      <c r="GC95" s="78"/>
      <c r="GD95" s="78"/>
      <c r="GE95" s="78"/>
      <c r="GF95" s="78"/>
      <c r="GG95" s="78"/>
      <c r="GH95" s="78"/>
      <c r="GI95" s="78"/>
      <c r="GJ95" s="78"/>
      <c r="GK95" s="78"/>
      <c r="GL95" s="78"/>
      <c r="GM95" s="78"/>
      <c r="GN95" s="78"/>
      <c r="GO95" s="78"/>
      <c r="GP95" s="78"/>
      <c r="GQ95" s="78"/>
      <c r="GR95" s="78"/>
      <c r="GS95" s="78"/>
      <c r="GT95" s="78"/>
      <c r="GU95" s="78"/>
      <c r="GV95" s="78"/>
      <c r="GW95" s="78"/>
      <c r="GX95" s="78"/>
      <c r="GY95" s="78"/>
      <c r="GZ95" s="78"/>
      <c r="HA95" s="78"/>
      <c r="HB95" s="78"/>
      <c r="HC95" s="78"/>
      <c r="HD95" s="78"/>
      <c r="HE95" s="78"/>
      <c r="HF95" s="78"/>
      <c r="HG95" s="78"/>
      <c r="HH95" s="78"/>
      <c r="HI95" s="78"/>
      <c r="HJ95" s="78"/>
      <c r="HK95" s="78"/>
    </row>
    <row r="96" spans="1:219" ht="15" customHeight="1">
      <c r="A96" s="149">
        <v>3</v>
      </c>
      <c r="B96" s="176" t="str">
        <f>VLOOKUP(Ruimtestaat[[#This Row],[Code]],Locaties[[Code]:[Locatie]],2,FALSE)</f>
        <v>OBS De Spinner</v>
      </c>
      <c r="C96" s="176" t="str">
        <f>VLOOKUP(Ruimtestaat[[#This Row],[Code]],Locaties[[#All],[Code]:[Adres]],4,FALSE)</f>
        <v>Spinnerstraat 29</v>
      </c>
      <c r="D96" s="176" t="str">
        <f>VLOOKUP(Ruimtestaat[[#This Row],[Code]],Locaties[[#All],[Code]:[Postcode]],5,FALSE)</f>
        <v>7545 TP</v>
      </c>
      <c r="E96" s="176" t="str">
        <f>VLOOKUP(Ruimtestaat[[#This Row],[Code]],Locaties[#All],6,FALSE)</f>
        <v>Enschede</v>
      </c>
      <c r="F96" s="149"/>
      <c r="G96" s="149" t="s">
        <v>1714</v>
      </c>
      <c r="H96" s="300" t="s">
        <v>1739</v>
      </c>
      <c r="I96" s="301" t="s">
        <v>1651</v>
      </c>
      <c r="J96" s="99">
        <v>16</v>
      </c>
      <c r="K96" s="183" t="str">
        <f>VLOOKUP(Ruimtestaat[[#This Row],[Ruimte code]],Ruimtegroepen[[#All],[Code]:[Ruimte omschrijving]],2,FALSE)</f>
        <v>Leslokalen</v>
      </c>
      <c r="L96" s="149" t="s">
        <v>100</v>
      </c>
      <c r="M96" s="301" t="s">
        <v>1697</v>
      </c>
      <c r="N96" s="177">
        <v>58.3</v>
      </c>
      <c r="O96" s="177"/>
      <c r="P96" s="178" t="str">
        <f>VLOOKUP(Ruimtestaat[[#This Row],[Ruimte code]],Ruimtegroepen[],4,FALSE)</f>
        <v>Le</v>
      </c>
      <c r="Q96" s="149">
        <v>40</v>
      </c>
      <c r="R96" s="149" t="s">
        <v>2</v>
      </c>
      <c r="S96" s="149">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6" s="149">
        <f>IF(S96&gt;0,VLOOKUP($J96,Ruimtegroepen[],3,FALSE)*VLOOKUP($L96,Vloersoorten[],3,FALSE)*VLOOKUP($R96,Frequenties[],3,FALSE)*VLOOKUP($A96,Locaties[],3,FALSE),0)</f>
        <v>0</v>
      </c>
      <c r="U96" s="149">
        <f>Ruimtestaat[[#This Row],[Uitvoeringen werkdagen]]*Ruimtestaat[[#This Row],[Oppervlak (netto)]]</f>
        <v>11660</v>
      </c>
      <c r="V96" s="179">
        <f>IF(T96&gt;0,Ruimtestaat[[#This Row],[Prest. (m2 /jaar) werkdagen]]/Ruimtestaat[[#This Row],[Norm (m2/uur) werkdagen]],0)</f>
        <v>0</v>
      </c>
      <c r="W96" s="180">
        <f>Ruimtestaat[[#This Row],[uren / jaar werkdagen]]*Tariefsopbouw!$E$35</f>
        <v>0</v>
      </c>
      <c r="X96" s="149"/>
      <c r="Y96" s="149">
        <f>IF(Ruimtestaat[[#This Row],[Frequentie weekend]]&gt;0,VALUE(LEFT(X96,1))*Q96,0)</f>
        <v>0</v>
      </c>
      <c r="Z96" s="148">
        <f>IF($Y96&gt;0,VLOOKUP($J96,Ruimtegroepen[],3,FALSE)*VLOOKUP($L96,Vloersoorten[],3,FALSE)*VLOOKUP($X96,Frequenties[],3,FALSE)*VLOOKUP(#REF!,Locaties[],3,FALSE),0)</f>
        <v>0</v>
      </c>
      <c r="AA96" s="148">
        <f>Ruimtestaat[[#This Row],[Uitvoeringen weekend]]*Ruimtestaat[[#This Row],[Oppervlak (netto)]]</f>
        <v>0</v>
      </c>
      <c r="AB96" s="148">
        <f>IF(Z96&gt;0,Ruimtestaat[[#This Row],[Prest. (m2 /jaar) weekend]]/Ruimtestaat[[#This Row],[Norm (m2/uur) weekend]],0)</f>
        <v>0</v>
      </c>
      <c r="AC96" s="180">
        <f>Ruimtestaat[[#This Row],[uren / jaar weekend]]*Tariefsopbouw!$D$40</f>
        <v>0</v>
      </c>
      <c r="AD96" s="179">
        <f>Ruimtestaat[[#This Row],[Prest. (m2 /jaar) weekend]]+Ruimtestaat[[#This Row],[Prest. (m2 /jaar) werkdagen]]</f>
        <v>11660</v>
      </c>
      <c r="AE96" s="179">
        <f>Ruimtestaat[[#This Row],[uren / jaar weekend]]+Ruimtestaat[[#This Row],[uren / jaar werkdagen]]</f>
        <v>0</v>
      </c>
      <c r="AF96" s="174">
        <f>Ruimtestaat[[#This Row],[kosten / jaar weekend]]+Ruimtestaat[[#This Row],[kosten / jaar werkdagen]]</f>
        <v>0</v>
      </c>
      <c r="AG96" s="174"/>
      <c r="AH96" s="181" t="str">
        <f>IF(Ruimtestaat[[#This Row],[Frequentie werkdagen]]="","",_xlfn.CONCAT(Ruimtestaat[[#This Row],[Ruimte code]],"-",Ruimtestaat[[#This Row],[Frequentie werkdagen]]," ",Ruimtestaat[[#This Row],[Vloer code]]))</f>
        <v>16-5w L</v>
      </c>
      <c r="AI96" s="185" t="str">
        <f>_xlfn.IFNA(VLOOKUP($AH96,Programma!$F$3:$G$1101,2,0),"")</f>
        <v>_</v>
      </c>
      <c r="AJ96" s="185" t="str">
        <f>_xlfn.IFNA(VLOOKUP($AH96,Programma!$F$3:$H$1101,3,0),"")</f>
        <v>_</v>
      </c>
      <c r="AK96" s="185" t="str">
        <f>_xlfn.IFNA(VLOOKUP($AH96,Programma!$F$3:$I$1101,4,0),"")</f>
        <v>4w</v>
      </c>
      <c r="AL96" s="185" t="str">
        <f>_xlfn.IFNA(VLOOKUP($AH96,Programma!$F$3:$J$1101,5,0),"")</f>
        <v>1w</v>
      </c>
      <c r="AM96" s="185" t="str">
        <f>_xlfn.IFNA(VLOOKUP($AH96,Programma!$F$3:$K$1101,6,0),"")</f>
        <v>_</v>
      </c>
      <c r="AN96" s="185" t="str">
        <f>_xlfn.IFNA(VLOOKUP($AH96,Programma!$F$3:$L$1101,7,0),"")</f>
        <v>_</v>
      </c>
      <c r="AO96" s="185" t="str">
        <f>_xlfn.IFNA(VLOOKUP($AH96,Programma!$F$3:$M$1101,8,0),"")</f>
        <v>_</v>
      </c>
      <c r="AP96" s="185" t="str">
        <f>_xlfn.IFNA(VLOOKUP($AH96,Programma!$F$3:$N$1101,9,0),"")</f>
        <v>_</v>
      </c>
      <c r="AQ96" s="185" t="str">
        <f>_xlfn.IFNA(VLOOKUP($AH96,Programma!$F$3:$O$1101,10,0),"")</f>
        <v>5w</v>
      </c>
      <c r="AR96" s="185" t="str">
        <f>_xlfn.IFNA(VLOOKUP($AH96,Programma!$F$3:$P$1101,11,0),"")</f>
        <v>5w</v>
      </c>
      <c r="AS96" s="185" t="str">
        <f>_xlfn.IFNA(VLOOKUP($AH96,Programma!$F$3:$Q$1101,12,0),"")</f>
        <v>1w</v>
      </c>
      <c r="AT96" s="185" t="str">
        <f>_xlfn.IFNA(VLOOKUP($AH96,Programma!$F$3:$R$1101,13,0),"")</f>
        <v>1w</v>
      </c>
      <c r="AU96" s="185" t="str">
        <f>_xlfn.IFNA(VLOOKUP($AH96,Programma!$F$3:$S$1101,14,0),"")</f>
        <v>1m</v>
      </c>
      <c r="AV96" s="185" t="str">
        <f>_xlfn.IFNA(VLOOKUP($AH96,Programma!$F$3:$T$1101,15,0),"")</f>
        <v>2j</v>
      </c>
      <c r="AW96" s="185" t="str">
        <f>_xlfn.IFNA(VLOOKUP($AH96,Programma!$F$3:$U$1101,16,0),"")</f>
        <v>1j</v>
      </c>
      <c r="AX96" s="185" t="str">
        <f>_xlfn.IFNA(VLOOKUP($AH96,Programma!$F$3:$V$1101,17,0),"")</f>
        <v>_</v>
      </c>
      <c r="AY96" s="185" t="str">
        <f>_xlfn.IFNA(VLOOKUP($AH96,Programma!$F$3:$W$1101,18,0),"")</f>
        <v>_</v>
      </c>
      <c r="AZ96" s="185" t="str">
        <f>_xlfn.IFNA(VLOOKUP($AH96,Programma!$F$3:$X$1101,19,0),"")</f>
        <v>_</v>
      </c>
      <c r="BA96" s="185" t="str">
        <f>_xlfn.IFNA(VLOOKUP($AH96,Programma!$F$3:$Y$1101,20,0),"")</f>
        <v>_</v>
      </c>
      <c r="BB96" s="182"/>
      <c r="BC96" s="181" t="str">
        <f>IF(Ruimtestaat[[#This Row],[Frequentie weekend]]="","",_xlfn.CONCAT(Ruimtestaat[[#This Row],[Ruimte code]],"-",Ruimtestaat[[#This Row],[Frequentie weekend]]," ",Ruimtestaat[[#This Row],[Vloer code]]))</f>
        <v/>
      </c>
      <c r="BD96" s="185" t="str">
        <f>_xlfn.IFNA(VLOOKUP($BC96,Programma!$F$3:$G$1101,2,0),"")</f>
        <v/>
      </c>
      <c r="BE96" s="185" t="str">
        <f>_xlfn.IFNA(VLOOKUP($BC96,Programma!$F$3:$H$1101,3,0),"")</f>
        <v/>
      </c>
      <c r="BF96" s="185" t="str">
        <f>_xlfn.IFNA(VLOOKUP($BC96,Programma!$F$3:$I$1101,4,0),"")</f>
        <v/>
      </c>
      <c r="BG96" s="185" t="str">
        <f>_xlfn.IFNA(VLOOKUP($BC96,Programma!$F$3:$J$1101,5,0),"")</f>
        <v/>
      </c>
      <c r="BH96" s="185" t="str">
        <f>_xlfn.IFNA(VLOOKUP($BC96,Programma!$F$3:$K$1101,6,0),"")</f>
        <v/>
      </c>
      <c r="BI96" s="185" t="str">
        <f>_xlfn.IFNA(VLOOKUP($BC96,Programma!$F$3:$L$1101,7,0),"")</f>
        <v/>
      </c>
      <c r="BJ96" s="185" t="str">
        <f>_xlfn.IFNA(VLOOKUP($BC96,Programma!$F$3:$M$1101,8,0),"")</f>
        <v/>
      </c>
      <c r="BK96" s="185" t="str">
        <f>_xlfn.IFNA(VLOOKUP($BC96,Programma!$F$3:$N$1101,9,0),"")</f>
        <v/>
      </c>
      <c r="BL96" s="185" t="str">
        <f>_xlfn.IFNA(VLOOKUP($BC96,Programma!$F$3:$O$1101,10,0),"")</f>
        <v/>
      </c>
      <c r="BM96" s="185" t="str">
        <f>_xlfn.IFNA(VLOOKUP($BC96,Programma!$F$3:$P$1101,11,0),"")</f>
        <v/>
      </c>
      <c r="BN96" s="185" t="str">
        <f>_xlfn.IFNA(VLOOKUP($BC96,Programma!$F$3:$Q$1101,12,0),"")</f>
        <v/>
      </c>
      <c r="BO96" s="185" t="str">
        <f>_xlfn.IFNA(VLOOKUP($BC96,Programma!$F$3:$R$1101,13,0),"")</f>
        <v/>
      </c>
      <c r="BP96" s="185" t="str">
        <f>_xlfn.IFNA(VLOOKUP($BC96,Programma!$F$3:$S$1101,14,0),"")</f>
        <v/>
      </c>
      <c r="BQ96" s="185" t="str">
        <f>_xlfn.IFNA(VLOOKUP($BC96,Programma!$F$3:$T$1101,15,0),"")</f>
        <v/>
      </c>
      <c r="BR96" s="185" t="str">
        <f>_xlfn.IFNA(VLOOKUP($BC96,Programma!$F$3:$U$1101,16,0),"")</f>
        <v/>
      </c>
      <c r="BS96" s="185" t="str">
        <f>_xlfn.IFNA(VLOOKUP($BC96,Programma!$F$3:$V$1101,17,0),"")</f>
        <v/>
      </c>
      <c r="BT96" s="185" t="str">
        <f>_xlfn.IFNA(VLOOKUP($BC96,Programma!$F$3:$W$1101,18,0),"")</f>
        <v/>
      </c>
      <c r="BU96" s="185" t="str">
        <f>_xlfn.IFNA(VLOOKUP($BC96,Programma!$F$3:$X$1101,19,0),"")</f>
        <v/>
      </c>
      <c r="BV96" s="185" t="str">
        <f>_xlfn.IFNA(VLOOKUP($BC96,Programma!$F$3:$Y$1101,20,0),"")</f>
        <v/>
      </c>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c r="EO96" s="78"/>
      <c r="EP96" s="78"/>
      <c r="EQ96" s="78"/>
      <c r="ER96" s="78"/>
      <c r="ES96" s="78"/>
      <c r="ET96" s="78"/>
      <c r="EU96" s="78"/>
      <c r="EV96" s="78"/>
      <c r="EW96" s="78"/>
      <c r="EX96" s="78"/>
      <c r="EY96" s="78"/>
      <c r="EZ96" s="78"/>
      <c r="FA96" s="78"/>
      <c r="FB96" s="78"/>
      <c r="FC96" s="78"/>
      <c r="FD96" s="78"/>
      <c r="FE96" s="78"/>
      <c r="FF96" s="78"/>
      <c r="FG96" s="78"/>
      <c r="FH96" s="78"/>
      <c r="FI96" s="78"/>
      <c r="FJ96" s="78"/>
      <c r="FK96" s="78"/>
      <c r="FL96" s="78"/>
      <c r="FM96" s="78"/>
      <c r="FN96" s="78"/>
      <c r="FO96" s="78"/>
      <c r="FP96" s="78"/>
      <c r="FQ96" s="78"/>
      <c r="FR96" s="78"/>
      <c r="FS96" s="78"/>
      <c r="FT96" s="78"/>
      <c r="FU96" s="78"/>
      <c r="FV96" s="78"/>
      <c r="FW96" s="78"/>
      <c r="FX96" s="78"/>
      <c r="FY96" s="78"/>
      <c r="FZ96" s="78"/>
      <c r="GA96" s="78"/>
      <c r="GB96" s="78"/>
      <c r="GC96" s="78"/>
      <c r="GD96" s="78"/>
      <c r="GE96" s="78"/>
      <c r="GF96" s="78"/>
      <c r="GG96" s="78"/>
      <c r="GH96" s="78"/>
      <c r="GI96" s="78"/>
      <c r="GJ96" s="78"/>
      <c r="GK96" s="78"/>
      <c r="GL96" s="78"/>
      <c r="GM96" s="78"/>
      <c r="GN96" s="78"/>
      <c r="GO96" s="78"/>
      <c r="GP96" s="78"/>
      <c r="GQ96" s="78"/>
      <c r="GR96" s="78"/>
      <c r="GS96" s="78"/>
      <c r="GT96" s="78"/>
      <c r="GU96" s="78"/>
      <c r="GV96" s="78"/>
      <c r="GW96" s="78"/>
      <c r="GX96" s="78"/>
      <c r="GY96" s="78"/>
      <c r="GZ96" s="78"/>
      <c r="HA96" s="78"/>
      <c r="HB96" s="78"/>
      <c r="HC96" s="78"/>
      <c r="HD96" s="78"/>
      <c r="HE96" s="78"/>
      <c r="HF96" s="78"/>
      <c r="HG96" s="78"/>
      <c r="HH96" s="78"/>
      <c r="HI96" s="78"/>
      <c r="HJ96" s="78"/>
      <c r="HK96" s="78"/>
    </row>
    <row r="97" spans="1:219" ht="15" customHeight="1">
      <c r="A97" s="149">
        <v>3</v>
      </c>
      <c r="B97" s="176" t="str">
        <f>VLOOKUP(Ruimtestaat[[#This Row],[Code]],Locaties[[Code]:[Locatie]],2,FALSE)</f>
        <v>OBS De Spinner</v>
      </c>
      <c r="C97" s="176" t="str">
        <f>VLOOKUP(Ruimtestaat[[#This Row],[Code]],Locaties[[#All],[Code]:[Adres]],4,FALSE)</f>
        <v>Spinnerstraat 29</v>
      </c>
      <c r="D97" s="176" t="str">
        <f>VLOOKUP(Ruimtestaat[[#This Row],[Code]],Locaties[[#All],[Code]:[Postcode]],5,FALSE)</f>
        <v>7545 TP</v>
      </c>
      <c r="E97" s="176" t="str">
        <f>VLOOKUP(Ruimtestaat[[#This Row],[Code]],Locaties[#All],6,FALSE)</f>
        <v>Enschede</v>
      </c>
      <c r="F97" s="149"/>
      <c r="G97" s="149" t="s">
        <v>1714</v>
      </c>
      <c r="H97" s="300" t="s">
        <v>1740</v>
      </c>
      <c r="I97" s="301" t="s">
        <v>1651</v>
      </c>
      <c r="J97" s="99">
        <v>16</v>
      </c>
      <c r="K97" s="183" t="str">
        <f>VLOOKUP(Ruimtestaat[[#This Row],[Ruimte code]],Ruimtegroepen[[#All],[Code]:[Ruimte omschrijving]],2,FALSE)</f>
        <v>Leslokalen</v>
      </c>
      <c r="L97" s="149" t="s">
        <v>100</v>
      </c>
      <c r="M97" s="301" t="s">
        <v>1697</v>
      </c>
      <c r="N97" s="177">
        <v>67.400000000000006</v>
      </c>
      <c r="O97" s="177"/>
      <c r="P97" s="178" t="str">
        <f>VLOOKUP(Ruimtestaat[[#This Row],[Ruimte code]],Ruimtegroepen[],4,FALSE)</f>
        <v>Le</v>
      </c>
      <c r="Q97" s="149">
        <v>40</v>
      </c>
      <c r="R97" s="149" t="s">
        <v>2</v>
      </c>
      <c r="S97" s="149">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7" s="149">
        <f>IF(S97&gt;0,VLOOKUP($J97,Ruimtegroepen[],3,FALSE)*VLOOKUP($L97,Vloersoorten[],3,FALSE)*VLOOKUP($R97,Frequenties[],3,FALSE)*VLOOKUP($A97,Locaties[],3,FALSE),0)</f>
        <v>0</v>
      </c>
      <c r="U97" s="149">
        <f>Ruimtestaat[[#This Row],[Uitvoeringen werkdagen]]*Ruimtestaat[[#This Row],[Oppervlak (netto)]]</f>
        <v>13480.000000000002</v>
      </c>
      <c r="V97" s="179">
        <f>IF(T97&gt;0,Ruimtestaat[[#This Row],[Prest. (m2 /jaar) werkdagen]]/Ruimtestaat[[#This Row],[Norm (m2/uur) werkdagen]],0)</f>
        <v>0</v>
      </c>
      <c r="W97" s="180">
        <f>Ruimtestaat[[#This Row],[uren / jaar werkdagen]]*Tariefsopbouw!$E$35</f>
        <v>0</v>
      </c>
      <c r="X97" s="149"/>
      <c r="Y97" s="149">
        <f>IF(Ruimtestaat[[#This Row],[Frequentie weekend]]&gt;0,VALUE(LEFT(X97,1))*Q97,0)</f>
        <v>0</v>
      </c>
      <c r="Z97" s="148">
        <f>IF($Y97&gt;0,VLOOKUP($J97,Ruimtegroepen[],3,FALSE)*VLOOKUP($L97,Vloersoorten[],3,FALSE)*VLOOKUP($X97,Frequenties[],3,FALSE)*VLOOKUP(#REF!,Locaties[],3,FALSE),0)</f>
        <v>0</v>
      </c>
      <c r="AA97" s="148">
        <f>Ruimtestaat[[#This Row],[Uitvoeringen weekend]]*Ruimtestaat[[#This Row],[Oppervlak (netto)]]</f>
        <v>0</v>
      </c>
      <c r="AB97" s="148">
        <f>IF(Z97&gt;0,Ruimtestaat[[#This Row],[Prest. (m2 /jaar) weekend]]/Ruimtestaat[[#This Row],[Norm (m2/uur) weekend]],0)</f>
        <v>0</v>
      </c>
      <c r="AC97" s="180">
        <f>Ruimtestaat[[#This Row],[uren / jaar weekend]]*Tariefsopbouw!$D$40</f>
        <v>0</v>
      </c>
      <c r="AD97" s="179">
        <f>Ruimtestaat[[#This Row],[Prest. (m2 /jaar) weekend]]+Ruimtestaat[[#This Row],[Prest. (m2 /jaar) werkdagen]]</f>
        <v>13480.000000000002</v>
      </c>
      <c r="AE97" s="179">
        <f>Ruimtestaat[[#This Row],[uren / jaar weekend]]+Ruimtestaat[[#This Row],[uren / jaar werkdagen]]</f>
        <v>0</v>
      </c>
      <c r="AF97" s="174">
        <f>Ruimtestaat[[#This Row],[kosten / jaar weekend]]+Ruimtestaat[[#This Row],[kosten / jaar werkdagen]]</f>
        <v>0</v>
      </c>
      <c r="AG97" s="174"/>
      <c r="AH97" s="181" t="str">
        <f>IF(Ruimtestaat[[#This Row],[Frequentie werkdagen]]="","",_xlfn.CONCAT(Ruimtestaat[[#This Row],[Ruimte code]],"-",Ruimtestaat[[#This Row],[Frequentie werkdagen]]," ",Ruimtestaat[[#This Row],[Vloer code]]))</f>
        <v>16-5w L</v>
      </c>
      <c r="AI97" s="185" t="str">
        <f>_xlfn.IFNA(VLOOKUP($AH97,Programma!$F$3:$G$1101,2,0),"")</f>
        <v>_</v>
      </c>
      <c r="AJ97" s="185" t="str">
        <f>_xlfn.IFNA(VLOOKUP($AH97,Programma!$F$3:$H$1101,3,0),"")</f>
        <v>_</v>
      </c>
      <c r="AK97" s="185" t="str">
        <f>_xlfn.IFNA(VLOOKUP($AH97,Programma!$F$3:$I$1101,4,0),"")</f>
        <v>4w</v>
      </c>
      <c r="AL97" s="185" t="str">
        <f>_xlfn.IFNA(VLOOKUP($AH97,Programma!$F$3:$J$1101,5,0),"")</f>
        <v>1w</v>
      </c>
      <c r="AM97" s="185" t="str">
        <f>_xlfn.IFNA(VLOOKUP($AH97,Programma!$F$3:$K$1101,6,0),"")</f>
        <v>_</v>
      </c>
      <c r="AN97" s="185" t="str">
        <f>_xlfn.IFNA(VLOOKUP($AH97,Programma!$F$3:$L$1101,7,0),"")</f>
        <v>_</v>
      </c>
      <c r="AO97" s="185" t="str">
        <f>_xlfn.IFNA(VLOOKUP($AH97,Programma!$F$3:$M$1101,8,0),"")</f>
        <v>_</v>
      </c>
      <c r="AP97" s="185" t="str">
        <f>_xlfn.IFNA(VLOOKUP($AH97,Programma!$F$3:$N$1101,9,0),"")</f>
        <v>_</v>
      </c>
      <c r="AQ97" s="185" t="str">
        <f>_xlfn.IFNA(VLOOKUP($AH97,Programma!$F$3:$O$1101,10,0),"")</f>
        <v>5w</v>
      </c>
      <c r="AR97" s="185" t="str">
        <f>_xlfn.IFNA(VLOOKUP($AH97,Programma!$F$3:$P$1101,11,0),"")</f>
        <v>5w</v>
      </c>
      <c r="AS97" s="185" t="str">
        <f>_xlfn.IFNA(VLOOKUP($AH97,Programma!$F$3:$Q$1101,12,0),"")</f>
        <v>1w</v>
      </c>
      <c r="AT97" s="185" t="str">
        <f>_xlfn.IFNA(VLOOKUP($AH97,Programma!$F$3:$R$1101,13,0),"")</f>
        <v>1w</v>
      </c>
      <c r="AU97" s="185" t="str">
        <f>_xlfn.IFNA(VLOOKUP($AH97,Programma!$F$3:$S$1101,14,0),"")</f>
        <v>1m</v>
      </c>
      <c r="AV97" s="185" t="str">
        <f>_xlfn.IFNA(VLOOKUP($AH97,Programma!$F$3:$T$1101,15,0),"")</f>
        <v>2j</v>
      </c>
      <c r="AW97" s="185" t="str">
        <f>_xlfn.IFNA(VLOOKUP($AH97,Programma!$F$3:$U$1101,16,0),"")</f>
        <v>1j</v>
      </c>
      <c r="AX97" s="185" t="str">
        <f>_xlfn.IFNA(VLOOKUP($AH97,Programma!$F$3:$V$1101,17,0),"")</f>
        <v>_</v>
      </c>
      <c r="AY97" s="185" t="str">
        <f>_xlfn.IFNA(VLOOKUP($AH97,Programma!$F$3:$W$1101,18,0),"")</f>
        <v>_</v>
      </c>
      <c r="AZ97" s="185" t="str">
        <f>_xlfn.IFNA(VLOOKUP($AH97,Programma!$F$3:$X$1101,19,0),"")</f>
        <v>_</v>
      </c>
      <c r="BA97" s="185" t="str">
        <f>_xlfn.IFNA(VLOOKUP($AH97,Programma!$F$3:$Y$1101,20,0),"")</f>
        <v>_</v>
      </c>
      <c r="BB97" s="182"/>
      <c r="BC97" s="181" t="str">
        <f>IF(Ruimtestaat[[#This Row],[Frequentie weekend]]="","",_xlfn.CONCAT(Ruimtestaat[[#This Row],[Ruimte code]],"-",Ruimtestaat[[#This Row],[Frequentie weekend]]," ",Ruimtestaat[[#This Row],[Vloer code]]))</f>
        <v/>
      </c>
      <c r="BD97" s="185" t="str">
        <f>_xlfn.IFNA(VLOOKUP($BC97,Programma!$F$3:$G$1101,2,0),"")</f>
        <v/>
      </c>
      <c r="BE97" s="185" t="str">
        <f>_xlfn.IFNA(VLOOKUP($BC97,Programma!$F$3:$H$1101,3,0),"")</f>
        <v/>
      </c>
      <c r="BF97" s="185" t="str">
        <f>_xlfn.IFNA(VLOOKUP($BC97,Programma!$F$3:$I$1101,4,0),"")</f>
        <v/>
      </c>
      <c r="BG97" s="185" t="str">
        <f>_xlfn.IFNA(VLOOKUP($BC97,Programma!$F$3:$J$1101,5,0),"")</f>
        <v/>
      </c>
      <c r="BH97" s="185" t="str">
        <f>_xlfn.IFNA(VLOOKUP($BC97,Programma!$F$3:$K$1101,6,0),"")</f>
        <v/>
      </c>
      <c r="BI97" s="185" t="str">
        <f>_xlfn.IFNA(VLOOKUP($BC97,Programma!$F$3:$L$1101,7,0),"")</f>
        <v/>
      </c>
      <c r="BJ97" s="185" t="str">
        <f>_xlfn.IFNA(VLOOKUP($BC97,Programma!$F$3:$M$1101,8,0),"")</f>
        <v/>
      </c>
      <c r="BK97" s="185" t="str">
        <f>_xlfn.IFNA(VLOOKUP($BC97,Programma!$F$3:$N$1101,9,0),"")</f>
        <v/>
      </c>
      <c r="BL97" s="185" t="str">
        <f>_xlfn.IFNA(VLOOKUP($BC97,Programma!$F$3:$O$1101,10,0),"")</f>
        <v/>
      </c>
      <c r="BM97" s="185" t="str">
        <f>_xlfn.IFNA(VLOOKUP($BC97,Programma!$F$3:$P$1101,11,0),"")</f>
        <v/>
      </c>
      <c r="BN97" s="185" t="str">
        <f>_xlfn.IFNA(VLOOKUP($BC97,Programma!$F$3:$Q$1101,12,0),"")</f>
        <v/>
      </c>
      <c r="BO97" s="185" t="str">
        <f>_xlfn.IFNA(VLOOKUP($BC97,Programma!$F$3:$R$1101,13,0),"")</f>
        <v/>
      </c>
      <c r="BP97" s="185" t="str">
        <f>_xlfn.IFNA(VLOOKUP($BC97,Programma!$F$3:$S$1101,14,0),"")</f>
        <v/>
      </c>
      <c r="BQ97" s="185" t="str">
        <f>_xlfn.IFNA(VLOOKUP($BC97,Programma!$F$3:$T$1101,15,0),"")</f>
        <v/>
      </c>
      <c r="BR97" s="185" t="str">
        <f>_xlfn.IFNA(VLOOKUP($BC97,Programma!$F$3:$U$1101,16,0),"")</f>
        <v/>
      </c>
      <c r="BS97" s="185" t="str">
        <f>_xlfn.IFNA(VLOOKUP($BC97,Programma!$F$3:$V$1101,17,0),"")</f>
        <v/>
      </c>
      <c r="BT97" s="185" t="str">
        <f>_xlfn.IFNA(VLOOKUP($BC97,Programma!$F$3:$W$1101,18,0),"")</f>
        <v/>
      </c>
      <c r="BU97" s="185" t="str">
        <f>_xlfn.IFNA(VLOOKUP($BC97,Programma!$F$3:$X$1101,19,0),"")</f>
        <v/>
      </c>
      <c r="BV97" s="185" t="str">
        <f>_xlfn.IFNA(VLOOKUP($BC97,Programma!$F$3:$Y$1101,20,0),"")</f>
        <v/>
      </c>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c r="EO97" s="78"/>
      <c r="EP97" s="78"/>
      <c r="EQ97" s="78"/>
      <c r="ER97" s="78"/>
      <c r="ES97" s="78"/>
      <c r="ET97" s="78"/>
      <c r="EU97" s="78"/>
      <c r="EV97" s="78"/>
      <c r="EW97" s="78"/>
      <c r="EX97" s="78"/>
      <c r="EY97" s="78"/>
      <c r="EZ97" s="78"/>
      <c r="FA97" s="78"/>
      <c r="FB97" s="78"/>
      <c r="FC97" s="78"/>
      <c r="FD97" s="78"/>
      <c r="FE97" s="78"/>
      <c r="FF97" s="78"/>
      <c r="FG97" s="78"/>
      <c r="FH97" s="78"/>
      <c r="FI97" s="78"/>
      <c r="FJ97" s="78"/>
      <c r="FK97" s="78"/>
      <c r="FL97" s="78"/>
      <c r="FM97" s="78"/>
      <c r="FN97" s="78"/>
      <c r="FO97" s="78"/>
      <c r="FP97" s="78"/>
      <c r="FQ97" s="78"/>
      <c r="FR97" s="78"/>
      <c r="FS97" s="78"/>
      <c r="FT97" s="78"/>
      <c r="FU97" s="78"/>
      <c r="FV97" s="78"/>
      <c r="FW97" s="78"/>
      <c r="FX97" s="78"/>
      <c r="FY97" s="78"/>
      <c r="FZ97" s="78"/>
      <c r="GA97" s="78"/>
      <c r="GB97" s="78"/>
      <c r="GC97" s="78"/>
      <c r="GD97" s="78"/>
      <c r="GE97" s="78"/>
      <c r="GF97" s="78"/>
      <c r="GG97" s="78"/>
      <c r="GH97" s="78"/>
      <c r="GI97" s="78"/>
      <c r="GJ97" s="78"/>
      <c r="GK97" s="78"/>
      <c r="GL97" s="78"/>
      <c r="GM97" s="78"/>
      <c r="GN97" s="78"/>
      <c r="GO97" s="78"/>
      <c r="GP97" s="78"/>
      <c r="GQ97" s="78"/>
      <c r="GR97" s="78"/>
      <c r="GS97" s="78"/>
      <c r="GT97" s="78"/>
      <c r="GU97" s="78"/>
      <c r="GV97" s="78"/>
      <c r="GW97" s="78"/>
      <c r="GX97" s="78"/>
      <c r="GY97" s="78"/>
      <c r="GZ97" s="78"/>
      <c r="HA97" s="78"/>
      <c r="HB97" s="78"/>
      <c r="HC97" s="78"/>
      <c r="HD97" s="78"/>
      <c r="HE97" s="78"/>
      <c r="HF97" s="78"/>
      <c r="HG97" s="78"/>
      <c r="HH97" s="78"/>
      <c r="HI97" s="78"/>
      <c r="HJ97" s="78"/>
      <c r="HK97" s="78"/>
    </row>
    <row r="98" spans="1:219" ht="15" customHeight="1">
      <c r="A98" s="149">
        <v>3</v>
      </c>
      <c r="B98" s="176" t="str">
        <f>VLOOKUP(Ruimtestaat[[#This Row],[Code]],Locaties[[Code]:[Locatie]],2,FALSE)</f>
        <v>OBS De Spinner</v>
      </c>
      <c r="C98" s="176" t="str">
        <f>VLOOKUP(Ruimtestaat[[#This Row],[Code]],Locaties[[#All],[Code]:[Adres]],4,FALSE)</f>
        <v>Spinnerstraat 29</v>
      </c>
      <c r="D98" s="176" t="str">
        <f>VLOOKUP(Ruimtestaat[[#This Row],[Code]],Locaties[[#All],[Code]:[Postcode]],5,FALSE)</f>
        <v>7545 TP</v>
      </c>
      <c r="E98" s="176" t="str">
        <f>VLOOKUP(Ruimtestaat[[#This Row],[Code]],Locaties[#All],6,FALSE)</f>
        <v>Enschede</v>
      </c>
      <c r="F98" s="149"/>
      <c r="G98" s="149" t="s">
        <v>1714</v>
      </c>
      <c r="H98" s="300" t="s">
        <v>1741</v>
      </c>
      <c r="I98" s="301" t="s">
        <v>1658</v>
      </c>
      <c r="J98" s="99">
        <v>6</v>
      </c>
      <c r="K98" s="183" t="str">
        <f>VLOOKUP(Ruimtestaat[[#This Row],[Ruimte code]],Ruimtegroepen[[#All],[Code]:[Ruimte omschrijving]],2,FALSE)</f>
        <v>Gangen/hallen</v>
      </c>
      <c r="L98" s="149" t="s">
        <v>101</v>
      </c>
      <c r="M98" s="301" t="s">
        <v>119</v>
      </c>
      <c r="N98" s="177">
        <v>85.1</v>
      </c>
      <c r="O98" s="177"/>
      <c r="P98" s="178" t="str">
        <f>VLOOKUP(Ruimtestaat[[#This Row],[Ruimte code]],Ruimtegroepen[],4,FALSE)</f>
        <v>Ve</v>
      </c>
      <c r="Q98" s="149">
        <v>40</v>
      </c>
      <c r="R98" s="149" t="s">
        <v>2</v>
      </c>
      <c r="S98" s="149">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8" s="149">
        <f>IF(S98&gt;0,VLOOKUP($J98,Ruimtegroepen[],3,FALSE)*VLOOKUP($L98,Vloersoorten[],3,FALSE)*VLOOKUP($R98,Frequenties[],3,FALSE)*VLOOKUP($A98,Locaties[],3,FALSE),0)</f>
        <v>0</v>
      </c>
      <c r="U98" s="149">
        <f>Ruimtestaat[[#This Row],[Uitvoeringen werkdagen]]*Ruimtestaat[[#This Row],[Oppervlak (netto)]]</f>
        <v>17020</v>
      </c>
      <c r="V98" s="179">
        <f>IF(T98&gt;0,Ruimtestaat[[#This Row],[Prest. (m2 /jaar) werkdagen]]/Ruimtestaat[[#This Row],[Norm (m2/uur) werkdagen]],0)</f>
        <v>0</v>
      </c>
      <c r="W98" s="180">
        <f>Ruimtestaat[[#This Row],[uren / jaar werkdagen]]*Tariefsopbouw!$E$35</f>
        <v>0</v>
      </c>
      <c r="X98" s="149"/>
      <c r="Y98" s="149">
        <f>IF(Ruimtestaat[[#This Row],[Frequentie weekend]]&gt;0,VALUE(LEFT(X98,1))*Q98,0)</f>
        <v>0</v>
      </c>
      <c r="Z98" s="148">
        <f>IF($Y98&gt;0,VLOOKUP($J98,Ruimtegroepen[],3,FALSE)*VLOOKUP($L98,Vloersoorten[],3,FALSE)*VLOOKUP($X98,Frequenties[],3,FALSE)*VLOOKUP(#REF!,Locaties[],3,FALSE),0)</f>
        <v>0</v>
      </c>
      <c r="AA98" s="148">
        <f>Ruimtestaat[[#This Row],[Uitvoeringen weekend]]*Ruimtestaat[[#This Row],[Oppervlak (netto)]]</f>
        <v>0</v>
      </c>
      <c r="AB98" s="148">
        <f>IF(Z98&gt;0,Ruimtestaat[[#This Row],[Prest. (m2 /jaar) weekend]]/Ruimtestaat[[#This Row],[Norm (m2/uur) weekend]],0)</f>
        <v>0</v>
      </c>
      <c r="AC98" s="180">
        <f>Ruimtestaat[[#This Row],[uren / jaar weekend]]*Tariefsopbouw!$D$40</f>
        <v>0</v>
      </c>
      <c r="AD98" s="179">
        <f>Ruimtestaat[[#This Row],[Prest. (m2 /jaar) weekend]]+Ruimtestaat[[#This Row],[Prest. (m2 /jaar) werkdagen]]</f>
        <v>17020</v>
      </c>
      <c r="AE98" s="179">
        <f>Ruimtestaat[[#This Row],[uren / jaar weekend]]+Ruimtestaat[[#This Row],[uren / jaar werkdagen]]</f>
        <v>0</v>
      </c>
      <c r="AF98" s="174">
        <f>Ruimtestaat[[#This Row],[kosten / jaar weekend]]+Ruimtestaat[[#This Row],[kosten / jaar werkdagen]]</f>
        <v>0</v>
      </c>
      <c r="AG98" s="174"/>
      <c r="AH98" s="181" t="str">
        <f>IF(Ruimtestaat[[#This Row],[Frequentie werkdagen]]="","",_xlfn.CONCAT(Ruimtestaat[[#This Row],[Ruimte code]],"-",Ruimtestaat[[#This Row],[Frequentie werkdagen]]," ",Ruimtestaat[[#This Row],[Vloer code]]))</f>
        <v>6-5w S</v>
      </c>
      <c r="AI98" s="185" t="str">
        <f>_xlfn.IFNA(VLOOKUP($AH98,Programma!$F$3:$G$1101,2,0),"")</f>
        <v>_</v>
      </c>
      <c r="AJ98" s="185" t="str">
        <f>_xlfn.IFNA(VLOOKUP($AH98,Programma!$F$3:$H$1101,3,0),"")</f>
        <v>_</v>
      </c>
      <c r="AK98" s="185" t="str">
        <f>_xlfn.IFNA(VLOOKUP($AH98,Programma!$F$3:$I$1101,4,0),"")</f>
        <v>5w</v>
      </c>
      <c r="AL98" s="185" t="str">
        <f>_xlfn.IFNA(VLOOKUP($AH98,Programma!$F$3:$J$1101,5,0),"")</f>
        <v>_</v>
      </c>
      <c r="AM98" s="185" t="str">
        <f>_xlfn.IFNA(VLOOKUP($AH98,Programma!$F$3:$K$1101,6,0),"")</f>
        <v>5w</v>
      </c>
      <c r="AN98" s="185" t="str">
        <f>_xlfn.IFNA(VLOOKUP($AH98,Programma!$F$3:$L$1101,7,0),"")</f>
        <v>_</v>
      </c>
      <c r="AO98" s="185" t="str">
        <f>_xlfn.IFNA(VLOOKUP($AH98,Programma!$F$3:$M$1101,8,0),"")</f>
        <v>_</v>
      </c>
      <c r="AP98" s="185" t="str">
        <f>_xlfn.IFNA(VLOOKUP($AH98,Programma!$F$3:$N$1101,9,0),"")</f>
        <v>_</v>
      </c>
      <c r="AQ98" s="185" t="str">
        <f>_xlfn.IFNA(VLOOKUP($AH98,Programma!$F$3:$O$1101,10,0),"")</f>
        <v>5w</v>
      </c>
      <c r="AR98" s="185" t="str">
        <f>_xlfn.IFNA(VLOOKUP($AH98,Programma!$F$3:$P$1101,11,0),"")</f>
        <v>5w</v>
      </c>
      <c r="AS98" s="185" t="str">
        <f>_xlfn.IFNA(VLOOKUP($AH98,Programma!$F$3:$Q$1101,12,0),"")</f>
        <v>1w</v>
      </c>
      <c r="AT98" s="185" t="str">
        <f>_xlfn.IFNA(VLOOKUP($AH98,Programma!$F$3:$R$1101,13,0),"")</f>
        <v>1w</v>
      </c>
      <c r="AU98" s="185" t="str">
        <f>_xlfn.IFNA(VLOOKUP($AH98,Programma!$F$3:$S$1101,14,0),"")</f>
        <v>1m</v>
      </c>
      <c r="AV98" s="185" t="str">
        <f>_xlfn.IFNA(VLOOKUP($AH98,Programma!$F$3:$T$1101,15,0),"")</f>
        <v>2j</v>
      </c>
      <c r="AW98" s="185" t="str">
        <f>_xlfn.IFNA(VLOOKUP($AH98,Programma!$F$3:$U$1101,16,0),"")</f>
        <v>1j</v>
      </c>
      <c r="AX98" s="185" t="str">
        <f>_xlfn.IFNA(VLOOKUP($AH98,Programma!$F$3:$V$1101,17,0),"")</f>
        <v>_</v>
      </c>
      <c r="AY98" s="185" t="str">
        <f>_xlfn.IFNA(VLOOKUP($AH98,Programma!$F$3:$W$1101,18,0),"")</f>
        <v>_</v>
      </c>
      <c r="AZ98" s="185" t="str">
        <f>_xlfn.IFNA(VLOOKUP($AH98,Programma!$F$3:$X$1101,19,0),"")</f>
        <v>_</v>
      </c>
      <c r="BA98" s="185" t="str">
        <f>_xlfn.IFNA(VLOOKUP($AH98,Programma!$F$3:$Y$1101,20,0),"")</f>
        <v>_</v>
      </c>
      <c r="BB98" s="182"/>
      <c r="BC98" s="181" t="str">
        <f>IF(Ruimtestaat[[#This Row],[Frequentie weekend]]="","",_xlfn.CONCAT(Ruimtestaat[[#This Row],[Ruimte code]],"-",Ruimtestaat[[#This Row],[Frequentie weekend]]," ",Ruimtestaat[[#This Row],[Vloer code]]))</f>
        <v/>
      </c>
      <c r="BD98" s="185" t="str">
        <f>_xlfn.IFNA(VLOOKUP($BC98,Programma!$F$3:$G$1101,2,0),"")</f>
        <v/>
      </c>
      <c r="BE98" s="185" t="str">
        <f>_xlfn.IFNA(VLOOKUP($BC98,Programma!$F$3:$H$1101,3,0),"")</f>
        <v/>
      </c>
      <c r="BF98" s="185" t="str">
        <f>_xlfn.IFNA(VLOOKUP($BC98,Programma!$F$3:$I$1101,4,0),"")</f>
        <v/>
      </c>
      <c r="BG98" s="185" t="str">
        <f>_xlfn.IFNA(VLOOKUP($BC98,Programma!$F$3:$J$1101,5,0),"")</f>
        <v/>
      </c>
      <c r="BH98" s="185" t="str">
        <f>_xlfn.IFNA(VLOOKUP($BC98,Programma!$F$3:$K$1101,6,0),"")</f>
        <v/>
      </c>
      <c r="BI98" s="185" t="str">
        <f>_xlfn.IFNA(VLOOKUP($BC98,Programma!$F$3:$L$1101,7,0),"")</f>
        <v/>
      </c>
      <c r="BJ98" s="185" t="str">
        <f>_xlfn.IFNA(VLOOKUP($BC98,Programma!$F$3:$M$1101,8,0),"")</f>
        <v/>
      </c>
      <c r="BK98" s="185" t="str">
        <f>_xlfn.IFNA(VLOOKUP($BC98,Programma!$F$3:$N$1101,9,0),"")</f>
        <v/>
      </c>
      <c r="BL98" s="185" t="str">
        <f>_xlfn.IFNA(VLOOKUP($BC98,Programma!$F$3:$O$1101,10,0),"")</f>
        <v/>
      </c>
      <c r="BM98" s="185" t="str">
        <f>_xlfn.IFNA(VLOOKUP($BC98,Programma!$F$3:$P$1101,11,0),"")</f>
        <v/>
      </c>
      <c r="BN98" s="185" t="str">
        <f>_xlfn.IFNA(VLOOKUP($BC98,Programma!$F$3:$Q$1101,12,0),"")</f>
        <v/>
      </c>
      <c r="BO98" s="185" t="str">
        <f>_xlfn.IFNA(VLOOKUP($BC98,Programma!$F$3:$R$1101,13,0),"")</f>
        <v/>
      </c>
      <c r="BP98" s="185" t="str">
        <f>_xlfn.IFNA(VLOOKUP($BC98,Programma!$F$3:$S$1101,14,0),"")</f>
        <v/>
      </c>
      <c r="BQ98" s="185" t="str">
        <f>_xlfn.IFNA(VLOOKUP($BC98,Programma!$F$3:$T$1101,15,0),"")</f>
        <v/>
      </c>
      <c r="BR98" s="185" t="str">
        <f>_xlfn.IFNA(VLOOKUP($BC98,Programma!$F$3:$U$1101,16,0),"")</f>
        <v/>
      </c>
      <c r="BS98" s="185" t="str">
        <f>_xlfn.IFNA(VLOOKUP($BC98,Programma!$F$3:$V$1101,17,0),"")</f>
        <v/>
      </c>
      <c r="BT98" s="185" t="str">
        <f>_xlfn.IFNA(VLOOKUP($BC98,Programma!$F$3:$W$1101,18,0),"")</f>
        <v/>
      </c>
      <c r="BU98" s="185" t="str">
        <f>_xlfn.IFNA(VLOOKUP($BC98,Programma!$F$3:$X$1101,19,0),"")</f>
        <v/>
      </c>
      <c r="BV98" s="185" t="str">
        <f>_xlfn.IFNA(VLOOKUP($BC98,Programma!$F$3:$Y$1101,20,0),"")</f>
        <v/>
      </c>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c r="EO98" s="78"/>
      <c r="EP98" s="78"/>
      <c r="EQ98" s="78"/>
      <c r="ER98" s="78"/>
      <c r="ES98" s="78"/>
      <c r="ET98" s="78"/>
      <c r="EU98" s="78"/>
      <c r="EV98" s="78"/>
      <c r="EW98" s="78"/>
      <c r="EX98" s="78"/>
      <c r="EY98" s="78"/>
      <c r="EZ98" s="78"/>
      <c r="FA98" s="78"/>
      <c r="FB98" s="78"/>
      <c r="FC98" s="78"/>
      <c r="FD98" s="78"/>
      <c r="FE98" s="78"/>
      <c r="FF98" s="78"/>
      <c r="FG98" s="78"/>
      <c r="FH98" s="78"/>
      <c r="FI98" s="78"/>
      <c r="FJ98" s="78"/>
      <c r="FK98" s="78"/>
      <c r="FL98" s="78"/>
      <c r="FM98" s="78"/>
      <c r="FN98" s="78"/>
      <c r="FO98" s="78"/>
      <c r="FP98" s="78"/>
      <c r="FQ98" s="78"/>
      <c r="FR98" s="78"/>
      <c r="FS98" s="78"/>
      <c r="FT98" s="78"/>
      <c r="FU98" s="78"/>
      <c r="FV98" s="78"/>
      <c r="FW98" s="78"/>
      <c r="FX98" s="78"/>
      <c r="FY98" s="78"/>
      <c r="FZ98" s="78"/>
      <c r="GA98" s="78"/>
      <c r="GB98" s="78"/>
      <c r="GC98" s="78"/>
      <c r="GD98" s="78"/>
      <c r="GE98" s="78"/>
      <c r="GF98" s="78"/>
      <c r="GG98" s="78"/>
      <c r="GH98" s="78"/>
      <c r="GI98" s="78"/>
      <c r="GJ98" s="78"/>
      <c r="GK98" s="78"/>
      <c r="GL98" s="78"/>
      <c r="GM98" s="78"/>
      <c r="GN98" s="78"/>
      <c r="GO98" s="78"/>
      <c r="GP98" s="78"/>
      <c r="GQ98" s="78"/>
      <c r="GR98" s="78"/>
      <c r="GS98" s="78"/>
      <c r="GT98" s="78"/>
      <c r="GU98" s="78"/>
      <c r="GV98" s="78"/>
      <c r="GW98" s="78"/>
      <c r="GX98" s="78"/>
      <c r="GY98" s="78"/>
      <c r="GZ98" s="78"/>
      <c r="HA98" s="78"/>
      <c r="HB98" s="78"/>
      <c r="HC98" s="78"/>
      <c r="HD98" s="78"/>
      <c r="HE98" s="78"/>
      <c r="HF98" s="78"/>
      <c r="HG98" s="78"/>
      <c r="HH98" s="78"/>
      <c r="HI98" s="78"/>
      <c r="HJ98" s="78"/>
      <c r="HK98" s="78"/>
    </row>
    <row r="99" spans="1:219" ht="15" customHeight="1">
      <c r="A99" s="149">
        <v>4</v>
      </c>
      <c r="B99" s="176" t="str">
        <f>VLOOKUP(Ruimtestaat[[#This Row],[Code]],Locaties[[Code]:[Locatie]],2,FALSE)</f>
        <v>OBS De Sterrenborgh</v>
      </c>
      <c r="C99" s="176" t="str">
        <f>VLOOKUP(Ruimtestaat[[#This Row],[Code]],Locaties[[#All],[Code]:[Adres]],4,FALSE)</f>
        <v>Runenberghoek 5</v>
      </c>
      <c r="D99" s="176" t="str">
        <f>VLOOKUP(Ruimtestaat[[#This Row],[Code]],Locaties[[#All],[Code]:[Postcode]],5,FALSE)</f>
        <v>7546 EG</v>
      </c>
      <c r="E99" s="176" t="str">
        <f>VLOOKUP(Ruimtestaat[[#This Row],[Code]],Locaties[#All],6,FALSE)</f>
        <v>Enschede</v>
      </c>
      <c r="F99" s="149"/>
      <c r="G99" s="149" t="s">
        <v>1646</v>
      </c>
      <c r="H99" s="300" t="s">
        <v>1652</v>
      </c>
      <c r="I99" s="301" t="s">
        <v>1655</v>
      </c>
      <c r="J99" s="99">
        <v>5</v>
      </c>
      <c r="K99" s="183" t="str">
        <f>VLOOKUP(Ruimtestaat[[#This Row],[Ruimte code]],Ruimtegroepen[[#All],[Code]:[Ruimte omschrijving]],2,FALSE)</f>
        <v>Sanitair</v>
      </c>
      <c r="L99" s="149" t="s">
        <v>101</v>
      </c>
      <c r="M99" s="301" t="s">
        <v>1682</v>
      </c>
      <c r="N99" s="177">
        <v>4.0999999999999996</v>
      </c>
      <c r="O99" s="177"/>
      <c r="P99" s="178" t="str">
        <f>VLOOKUP(Ruimtestaat[[#This Row],[Ruimte code]],Ruimtegroepen[],4,FALSE)</f>
        <v>Sa</v>
      </c>
      <c r="Q99" s="149">
        <v>40</v>
      </c>
      <c r="R99" s="149" t="s">
        <v>2</v>
      </c>
      <c r="S99" s="149">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9" s="149">
        <f>IF(S99&gt;0,VLOOKUP($J99,Ruimtegroepen[],3,FALSE)*VLOOKUP($L99,Vloersoorten[],3,FALSE)*VLOOKUP($R99,Frequenties[],3,FALSE)*VLOOKUP($A99,Locaties[],3,FALSE),0)</f>
        <v>0</v>
      </c>
      <c r="U99" s="149">
        <f>Ruimtestaat[[#This Row],[Uitvoeringen werkdagen]]*Ruimtestaat[[#This Row],[Oppervlak (netto)]]</f>
        <v>819.99999999999989</v>
      </c>
      <c r="V99" s="179">
        <f>IF(T99&gt;0,Ruimtestaat[[#This Row],[Prest. (m2 /jaar) werkdagen]]/Ruimtestaat[[#This Row],[Norm (m2/uur) werkdagen]],0)</f>
        <v>0</v>
      </c>
      <c r="W99" s="180">
        <f>Ruimtestaat[[#This Row],[uren / jaar werkdagen]]*Tariefsopbouw!$E$35</f>
        <v>0</v>
      </c>
      <c r="X99" s="149"/>
      <c r="Y99" s="149">
        <f>IF(Ruimtestaat[[#This Row],[Frequentie weekend]]&gt;0,VALUE(LEFT(X99,1))*Q99,0)</f>
        <v>0</v>
      </c>
      <c r="Z99" s="148">
        <f>IF($Y99&gt;0,VLOOKUP($J99,Ruimtegroepen[],3,FALSE)*VLOOKUP($L99,Vloersoorten[],3,FALSE)*VLOOKUP($X99,Frequenties[],3,FALSE)*VLOOKUP(Ruimtestaat[[#This Row],[Code]],Locaties[],3,FALSE),0)</f>
        <v>0</v>
      </c>
      <c r="AA99" s="148">
        <f>Ruimtestaat[[#This Row],[Uitvoeringen weekend]]*Ruimtestaat[[#This Row],[Oppervlak (netto)]]</f>
        <v>0</v>
      </c>
      <c r="AB99" s="148">
        <f>IF(Z99&gt;0,Ruimtestaat[[#This Row],[Prest. (m2 /jaar) weekend]]/Ruimtestaat[[#This Row],[Norm (m2/uur) weekend]],0)</f>
        <v>0</v>
      </c>
      <c r="AC99" s="180">
        <f>Ruimtestaat[[#This Row],[uren / jaar weekend]]*Tariefsopbouw!$D$40</f>
        <v>0</v>
      </c>
      <c r="AD99" s="179">
        <f>Ruimtestaat[[#This Row],[Prest. (m2 /jaar) weekend]]+Ruimtestaat[[#This Row],[Prest. (m2 /jaar) werkdagen]]</f>
        <v>819.99999999999989</v>
      </c>
      <c r="AE99" s="179">
        <f>Ruimtestaat[[#This Row],[uren / jaar weekend]]+Ruimtestaat[[#This Row],[uren / jaar werkdagen]]</f>
        <v>0</v>
      </c>
      <c r="AF99" s="174">
        <f>Ruimtestaat[[#This Row],[kosten / jaar weekend]]+Ruimtestaat[[#This Row],[kosten / jaar werkdagen]]</f>
        <v>0</v>
      </c>
      <c r="AG99" s="174"/>
      <c r="AH99" s="181" t="str">
        <f>IF(Ruimtestaat[[#This Row],[Frequentie werkdagen]]="","",_xlfn.CONCAT(Ruimtestaat[[#This Row],[Ruimte code]],"-",Ruimtestaat[[#This Row],[Frequentie werkdagen]]," ",Ruimtestaat[[#This Row],[Vloer code]]))</f>
        <v>5-5w S</v>
      </c>
      <c r="AI99" s="185" t="str">
        <f>_xlfn.IFNA(VLOOKUP($AH99,Programma!$F$3:$G$1101,2,0),"")</f>
        <v>_</v>
      </c>
      <c r="AJ99" s="185" t="str">
        <f>_xlfn.IFNA(VLOOKUP($AH99,Programma!$F$3:$H$1101,3,0),"")</f>
        <v>_</v>
      </c>
      <c r="AK99" s="185" t="str">
        <f>_xlfn.IFNA(VLOOKUP($AH99,Programma!$F$3:$I$1101,4,0),"")</f>
        <v>_</v>
      </c>
      <c r="AL99" s="185" t="str">
        <f>_xlfn.IFNA(VLOOKUP($AH99,Programma!$F$3:$J$1101,5,0),"")</f>
        <v>4w</v>
      </c>
      <c r="AM99" s="185" t="str">
        <f>_xlfn.IFNA(VLOOKUP($AH99,Programma!$F$3:$K$1101,6,0),"")</f>
        <v>1w</v>
      </c>
      <c r="AN99" s="185" t="str">
        <f>_xlfn.IFNA(VLOOKUP($AH99,Programma!$F$3:$L$1101,7,0),"")</f>
        <v>_</v>
      </c>
      <c r="AO99" s="185" t="str">
        <f>_xlfn.IFNA(VLOOKUP($AH99,Programma!$F$3:$M$1101,8,0),"")</f>
        <v>_</v>
      </c>
      <c r="AP99" s="185" t="str">
        <f>_xlfn.IFNA(VLOOKUP($AH99,Programma!$F$3:$N$1101,9,0),"")</f>
        <v>_</v>
      </c>
      <c r="AQ99" s="185" t="str">
        <f>_xlfn.IFNA(VLOOKUP($AH99,Programma!$F$3:$O$1101,10,0),"")</f>
        <v>_</v>
      </c>
      <c r="AR99" s="185" t="str">
        <f>_xlfn.IFNA(VLOOKUP($AH99,Programma!$F$3:$P$1101,11,0),"")</f>
        <v>_</v>
      </c>
      <c r="AS99" s="185" t="str">
        <f>_xlfn.IFNA(VLOOKUP($AH99,Programma!$F$3:$Q$1101,12,0),"")</f>
        <v>_</v>
      </c>
      <c r="AT99" s="185" t="str">
        <f>_xlfn.IFNA(VLOOKUP($AH99,Programma!$F$3:$R$1101,13,0),"")</f>
        <v>_</v>
      </c>
      <c r="AU99" s="185" t="str">
        <f>_xlfn.IFNA(VLOOKUP($AH99,Programma!$F$3:$S$1101,14,0),"")</f>
        <v>_</v>
      </c>
      <c r="AV99" s="185" t="str">
        <f>_xlfn.IFNA(VLOOKUP($AH99,Programma!$F$3:$T$1101,15,0),"")</f>
        <v>_</v>
      </c>
      <c r="AW99" s="185" t="str">
        <f>_xlfn.IFNA(VLOOKUP($AH99,Programma!$F$3:$U$1101,16,0),"")</f>
        <v>_</v>
      </c>
      <c r="AX99" s="185" t="str">
        <f>_xlfn.IFNA(VLOOKUP($AH99,Programma!$F$3:$V$1101,17,0),"")</f>
        <v>_</v>
      </c>
      <c r="AY99" s="185" t="str">
        <f>_xlfn.IFNA(VLOOKUP($AH99,Programma!$F$3:$W$1101,18,0),"")</f>
        <v>4w</v>
      </c>
      <c r="AZ99" s="185" t="str">
        <f>_xlfn.IFNA(VLOOKUP($AH99,Programma!$F$3:$X$1101,19,0),"")</f>
        <v>1w</v>
      </c>
      <c r="BA99" s="185" t="str">
        <f>_xlfn.IFNA(VLOOKUP($AH99,Programma!$F$3:$Y$1101,20,0),"")</f>
        <v>_</v>
      </c>
      <c r="BB99" s="182"/>
      <c r="BC99" s="181" t="str">
        <f>IF(Ruimtestaat[[#This Row],[Frequentie weekend]]="","",_xlfn.CONCAT(Ruimtestaat[[#This Row],[Ruimte code]],"-",Ruimtestaat[[#This Row],[Frequentie weekend]]," ",Ruimtestaat[[#This Row],[Vloer code]]))</f>
        <v/>
      </c>
      <c r="BD99" s="185" t="str">
        <f>_xlfn.IFNA(VLOOKUP($BC99,Programma!$F$3:$G$1101,2,0),"")</f>
        <v/>
      </c>
      <c r="BE99" s="185" t="str">
        <f>_xlfn.IFNA(VLOOKUP($BC99,Programma!$F$3:$H$1101,3,0),"")</f>
        <v/>
      </c>
      <c r="BF99" s="185" t="str">
        <f>_xlfn.IFNA(VLOOKUP($BC99,Programma!$F$3:$I$1101,4,0),"")</f>
        <v/>
      </c>
      <c r="BG99" s="185" t="str">
        <f>_xlfn.IFNA(VLOOKUP($BC99,Programma!$F$3:$J$1101,5,0),"")</f>
        <v/>
      </c>
      <c r="BH99" s="185" t="str">
        <f>_xlfn.IFNA(VLOOKUP($BC99,Programma!$F$3:$K$1101,6,0),"")</f>
        <v/>
      </c>
      <c r="BI99" s="185" t="str">
        <f>_xlfn.IFNA(VLOOKUP($BC99,Programma!$F$3:$L$1101,7,0),"")</f>
        <v/>
      </c>
      <c r="BJ99" s="185" t="str">
        <f>_xlfn.IFNA(VLOOKUP($BC99,Programma!$F$3:$M$1101,8,0),"")</f>
        <v/>
      </c>
      <c r="BK99" s="185" t="str">
        <f>_xlfn.IFNA(VLOOKUP($BC99,Programma!$F$3:$N$1101,9,0),"")</f>
        <v/>
      </c>
      <c r="BL99" s="185" t="str">
        <f>_xlfn.IFNA(VLOOKUP($BC99,Programma!$F$3:$O$1101,10,0),"")</f>
        <v/>
      </c>
      <c r="BM99" s="185" t="str">
        <f>_xlfn.IFNA(VLOOKUP($BC99,Programma!$F$3:$P$1101,11,0),"")</f>
        <v/>
      </c>
      <c r="BN99" s="185" t="str">
        <f>_xlfn.IFNA(VLOOKUP($BC99,Programma!$F$3:$Q$1101,12,0),"")</f>
        <v/>
      </c>
      <c r="BO99" s="185" t="str">
        <f>_xlfn.IFNA(VLOOKUP($BC99,Programma!$F$3:$R$1101,13,0),"")</f>
        <v/>
      </c>
      <c r="BP99" s="185" t="str">
        <f>_xlfn.IFNA(VLOOKUP($BC99,Programma!$F$3:$S$1101,14,0),"")</f>
        <v/>
      </c>
      <c r="BQ99" s="185" t="str">
        <f>_xlfn.IFNA(VLOOKUP($BC99,Programma!$F$3:$T$1101,15,0),"")</f>
        <v/>
      </c>
      <c r="BR99" s="185" t="str">
        <f>_xlfn.IFNA(VLOOKUP($BC99,Programma!$F$3:$U$1101,16,0),"")</f>
        <v/>
      </c>
      <c r="BS99" s="185" t="str">
        <f>_xlfn.IFNA(VLOOKUP($BC99,Programma!$F$3:$V$1101,17,0),"")</f>
        <v/>
      </c>
      <c r="BT99" s="185" t="str">
        <f>_xlfn.IFNA(VLOOKUP($BC99,Programma!$F$3:$W$1101,18,0),"")</f>
        <v/>
      </c>
      <c r="BU99" s="185" t="str">
        <f>_xlfn.IFNA(VLOOKUP($BC99,Programma!$F$3:$X$1101,19,0),"")</f>
        <v/>
      </c>
      <c r="BV99" s="185" t="str">
        <f>_xlfn.IFNA(VLOOKUP($BC99,Programma!$F$3:$Y$1101,20,0),"")</f>
        <v/>
      </c>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c r="EO99" s="78"/>
      <c r="EP99" s="78"/>
      <c r="EQ99" s="78"/>
      <c r="ER99" s="78"/>
      <c r="ES99" s="78"/>
      <c r="ET99" s="78"/>
      <c r="EU99" s="78"/>
      <c r="EV99" s="78"/>
      <c r="EW99" s="78"/>
      <c r="EX99" s="78"/>
      <c r="EY99" s="78"/>
      <c r="EZ99" s="78"/>
      <c r="FA99" s="78"/>
      <c r="FB99" s="78"/>
      <c r="FC99" s="78"/>
      <c r="FD99" s="78"/>
      <c r="FE99" s="78"/>
      <c r="FF99" s="78"/>
      <c r="FG99" s="78"/>
      <c r="FH99" s="78"/>
      <c r="FI99" s="78"/>
      <c r="FJ99" s="78"/>
      <c r="FK99" s="78"/>
      <c r="FL99" s="78"/>
      <c r="FM99" s="78"/>
      <c r="FN99" s="78"/>
      <c r="FO99" s="78"/>
      <c r="FP99" s="78"/>
      <c r="FQ99" s="78"/>
      <c r="FR99" s="78"/>
      <c r="FS99" s="78"/>
      <c r="FT99" s="78"/>
      <c r="FU99" s="78"/>
      <c r="FV99" s="78"/>
      <c r="FW99" s="78"/>
      <c r="FX99" s="78"/>
      <c r="FY99" s="78"/>
      <c r="FZ99" s="78"/>
      <c r="GA99" s="78"/>
      <c r="GB99" s="78"/>
      <c r="GC99" s="78"/>
      <c r="GD99" s="78"/>
      <c r="GE99" s="78"/>
      <c r="GF99" s="78"/>
      <c r="GG99" s="78"/>
      <c r="GH99" s="78"/>
      <c r="GI99" s="78"/>
      <c r="GJ99" s="78"/>
      <c r="GK99" s="78"/>
      <c r="GL99" s="78"/>
      <c r="GM99" s="78"/>
      <c r="GN99" s="78"/>
      <c r="GO99" s="78"/>
      <c r="GP99" s="78"/>
      <c r="GQ99" s="78"/>
      <c r="GR99" s="78"/>
      <c r="GS99" s="78"/>
      <c r="GT99" s="78"/>
      <c r="GU99" s="78"/>
      <c r="GV99" s="78"/>
      <c r="GW99" s="78"/>
      <c r="GX99" s="78"/>
      <c r="GY99" s="78"/>
      <c r="GZ99" s="78"/>
      <c r="HA99" s="78"/>
      <c r="HB99" s="78"/>
      <c r="HC99" s="78"/>
      <c r="HD99" s="78"/>
      <c r="HE99" s="78"/>
      <c r="HF99" s="78"/>
      <c r="HG99" s="78"/>
      <c r="HH99" s="78"/>
      <c r="HI99" s="78"/>
      <c r="HJ99" s="78"/>
      <c r="HK99" s="78"/>
    </row>
    <row r="100" spans="1:219" ht="15" customHeight="1">
      <c r="A100" s="149">
        <v>4</v>
      </c>
      <c r="B100" s="176" t="str">
        <f>VLOOKUP(Ruimtestaat[[#This Row],[Code]],Locaties[[Code]:[Locatie]],2,FALSE)</f>
        <v>OBS De Sterrenborgh</v>
      </c>
      <c r="C100" s="176" t="str">
        <f>VLOOKUP(Ruimtestaat[[#This Row],[Code]],Locaties[[#All],[Code]:[Adres]],4,FALSE)</f>
        <v>Runenberghoek 5</v>
      </c>
      <c r="D100" s="176" t="str">
        <f>VLOOKUP(Ruimtestaat[[#This Row],[Code]],Locaties[[#All],[Code]:[Postcode]],5,FALSE)</f>
        <v>7546 EG</v>
      </c>
      <c r="E100" s="176" t="str">
        <f>VLOOKUP(Ruimtestaat[[#This Row],[Code]],Locaties[#All],6,FALSE)</f>
        <v>Enschede</v>
      </c>
      <c r="F100" s="149"/>
      <c r="G100" s="149" t="s">
        <v>1646</v>
      </c>
      <c r="H100" s="300" t="s">
        <v>1653</v>
      </c>
      <c r="I100" s="301" t="s">
        <v>1651</v>
      </c>
      <c r="J100" s="99">
        <v>16</v>
      </c>
      <c r="K100" s="183" t="str">
        <f>VLOOKUP(Ruimtestaat[[#This Row],[Ruimte code]],Ruimtegroepen[[#All],[Code]:[Ruimte omschrijving]],2,FALSE)</f>
        <v>Leslokalen</v>
      </c>
      <c r="L100" s="149" t="s">
        <v>102</v>
      </c>
      <c r="M100" s="301" t="s">
        <v>1699</v>
      </c>
      <c r="N100" s="177">
        <v>63.7</v>
      </c>
      <c r="O100" s="177"/>
      <c r="P100" s="178" t="str">
        <f>VLOOKUP(Ruimtestaat[[#This Row],[Ruimte code]],Ruimtegroepen[],4,FALSE)</f>
        <v>Le</v>
      </c>
      <c r="Q100" s="149">
        <v>40</v>
      </c>
      <c r="R100" s="149" t="s">
        <v>2</v>
      </c>
      <c r="S100" s="149">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0" s="149">
        <f>IF(S100&gt;0,VLOOKUP($J100,Ruimtegroepen[],3,FALSE)*VLOOKUP($L100,Vloersoorten[],3,FALSE)*VLOOKUP($R100,Frequenties[],3,FALSE)*VLOOKUP($A100,Locaties[],3,FALSE),0)</f>
        <v>0</v>
      </c>
      <c r="U100" s="149">
        <f>Ruimtestaat[[#This Row],[Uitvoeringen werkdagen]]*Ruimtestaat[[#This Row],[Oppervlak (netto)]]</f>
        <v>12740</v>
      </c>
      <c r="V100" s="179">
        <f>IF(T100&gt;0,Ruimtestaat[[#This Row],[Prest. (m2 /jaar) werkdagen]]/Ruimtestaat[[#This Row],[Norm (m2/uur) werkdagen]],0)</f>
        <v>0</v>
      </c>
      <c r="W100" s="180">
        <f>Ruimtestaat[[#This Row],[uren / jaar werkdagen]]*Tariefsopbouw!$E$35</f>
        <v>0</v>
      </c>
      <c r="X100" s="149"/>
      <c r="Y100" s="149">
        <f>IF(Ruimtestaat[[#This Row],[Frequentie weekend]]&gt;0,VALUE(LEFT(X100,1))*Q100,0)</f>
        <v>0</v>
      </c>
      <c r="Z100" s="148">
        <f>IF($Y100&gt;0,VLOOKUP($J100,Ruimtegroepen[],3,FALSE)*VLOOKUP($L100,Vloersoorten[],3,FALSE)*VLOOKUP($X100,Frequenties[],3,FALSE)*VLOOKUP(Ruimtestaat[[#This Row],[Code]],Locaties[],3,FALSE),0)</f>
        <v>0</v>
      </c>
      <c r="AA100" s="148">
        <f>Ruimtestaat[[#This Row],[Uitvoeringen weekend]]*Ruimtestaat[[#This Row],[Oppervlak (netto)]]</f>
        <v>0</v>
      </c>
      <c r="AB100" s="148">
        <f>IF(Z100&gt;0,Ruimtestaat[[#This Row],[Prest. (m2 /jaar) weekend]]/Ruimtestaat[[#This Row],[Norm (m2/uur) weekend]],0)</f>
        <v>0</v>
      </c>
      <c r="AC100" s="180">
        <f>Ruimtestaat[[#This Row],[uren / jaar weekend]]*Tariefsopbouw!$D$40</f>
        <v>0</v>
      </c>
      <c r="AD100" s="179">
        <f>Ruimtestaat[[#This Row],[Prest. (m2 /jaar) weekend]]+Ruimtestaat[[#This Row],[Prest. (m2 /jaar) werkdagen]]</f>
        <v>12740</v>
      </c>
      <c r="AE100" s="179">
        <f>Ruimtestaat[[#This Row],[uren / jaar weekend]]+Ruimtestaat[[#This Row],[uren / jaar werkdagen]]</f>
        <v>0</v>
      </c>
      <c r="AF100" s="174">
        <f>Ruimtestaat[[#This Row],[kosten / jaar weekend]]+Ruimtestaat[[#This Row],[kosten / jaar werkdagen]]</f>
        <v>0</v>
      </c>
      <c r="AG100" s="174"/>
      <c r="AH100" s="181" t="str">
        <f>IF(Ruimtestaat[[#This Row],[Frequentie werkdagen]]="","",_xlfn.CONCAT(Ruimtestaat[[#This Row],[Ruimte code]],"-",Ruimtestaat[[#This Row],[Frequentie werkdagen]]," ",Ruimtestaat[[#This Row],[Vloer code]]))</f>
        <v>16-5w P</v>
      </c>
      <c r="AI100" s="185" t="str">
        <f>_xlfn.IFNA(VLOOKUP($AH100,Programma!$F$3:$G$1101,2,0),"")</f>
        <v>_</v>
      </c>
      <c r="AJ100" s="185" t="str">
        <f>_xlfn.IFNA(VLOOKUP($AH100,Programma!$F$3:$H$1101,3,0),"")</f>
        <v>_</v>
      </c>
      <c r="AK100" s="185" t="str">
        <f>_xlfn.IFNA(VLOOKUP($AH100,Programma!$F$3:$I$1101,4,0),"")</f>
        <v>4w</v>
      </c>
      <c r="AL100" s="185" t="str">
        <f>_xlfn.IFNA(VLOOKUP($AH100,Programma!$F$3:$J$1101,5,0),"")</f>
        <v>1w</v>
      </c>
      <c r="AM100" s="185" t="str">
        <f>_xlfn.IFNA(VLOOKUP($AH100,Programma!$F$3:$K$1101,6,0),"")</f>
        <v>1m</v>
      </c>
      <c r="AN100" s="185" t="str">
        <f>_xlfn.IFNA(VLOOKUP($AH100,Programma!$F$3:$L$1101,7,0),"")</f>
        <v>_</v>
      </c>
      <c r="AO100" s="185" t="str">
        <f>_xlfn.IFNA(VLOOKUP($AH100,Programma!$F$3:$M$1101,8,0),"")</f>
        <v>_</v>
      </c>
      <c r="AP100" s="185" t="str">
        <f>_xlfn.IFNA(VLOOKUP($AH100,Programma!$F$3:$N$1101,9,0),"")</f>
        <v>_</v>
      </c>
      <c r="AQ100" s="185" t="str">
        <f>_xlfn.IFNA(VLOOKUP($AH100,Programma!$F$3:$O$1101,10,0),"")</f>
        <v>5w</v>
      </c>
      <c r="AR100" s="185" t="str">
        <f>_xlfn.IFNA(VLOOKUP($AH100,Programma!$F$3:$P$1101,11,0),"")</f>
        <v>5w</v>
      </c>
      <c r="AS100" s="185" t="str">
        <f>_xlfn.IFNA(VLOOKUP($AH100,Programma!$F$3:$Q$1101,12,0),"")</f>
        <v>1w</v>
      </c>
      <c r="AT100" s="185" t="str">
        <f>_xlfn.IFNA(VLOOKUP($AH100,Programma!$F$3:$R$1101,13,0),"")</f>
        <v>1w</v>
      </c>
      <c r="AU100" s="185" t="str">
        <f>_xlfn.IFNA(VLOOKUP($AH100,Programma!$F$3:$S$1101,14,0),"")</f>
        <v>1m</v>
      </c>
      <c r="AV100" s="185" t="str">
        <f>_xlfn.IFNA(VLOOKUP($AH100,Programma!$F$3:$T$1101,15,0),"")</f>
        <v>2j</v>
      </c>
      <c r="AW100" s="185" t="str">
        <f>_xlfn.IFNA(VLOOKUP($AH100,Programma!$F$3:$U$1101,16,0),"")</f>
        <v>1j</v>
      </c>
      <c r="AX100" s="185" t="str">
        <f>_xlfn.IFNA(VLOOKUP($AH100,Programma!$F$3:$V$1101,17,0),"")</f>
        <v>_</v>
      </c>
      <c r="AY100" s="185" t="str">
        <f>_xlfn.IFNA(VLOOKUP($AH100,Programma!$F$3:$W$1101,18,0),"")</f>
        <v>_</v>
      </c>
      <c r="AZ100" s="185" t="str">
        <f>_xlfn.IFNA(VLOOKUP($AH100,Programma!$F$3:$X$1101,19,0),"")</f>
        <v>_</v>
      </c>
      <c r="BA100" s="185" t="str">
        <f>_xlfn.IFNA(VLOOKUP($AH100,Programma!$F$3:$Y$1101,20,0),"")</f>
        <v>_</v>
      </c>
      <c r="BB100" s="182"/>
      <c r="BC100" s="181" t="str">
        <f>IF(Ruimtestaat[[#This Row],[Frequentie weekend]]="","",_xlfn.CONCAT(Ruimtestaat[[#This Row],[Ruimte code]],"-",Ruimtestaat[[#This Row],[Frequentie weekend]]," ",Ruimtestaat[[#This Row],[Vloer code]]))</f>
        <v/>
      </c>
      <c r="BD100" s="185" t="str">
        <f>_xlfn.IFNA(VLOOKUP($BC100,Programma!$F$3:$G$1101,2,0),"")</f>
        <v/>
      </c>
      <c r="BE100" s="185" t="str">
        <f>_xlfn.IFNA(VLOOKUP($BC100,Programma!$F$3:$H$1101,3,0),"")</f>
        <v/>
      </c>
      <c r="BF100" s="185" t="str">
        <f>_xlfn.IFNA(VLOOKUP($BC100,Programma!$F$3:$I$1101,4,0),"")</f>
        <v/>
      </c>
      <c r="BG100" s="185" t="str">
        <f>_xlfn.IFNA(VLOOKUP($BC100,Programma!$F$3:$J$1101,5,0),"")</f>
        <v/>
      </c>
      <c r="BH100" s="185" t="str">
        <f>_xlfn.IFNA(VLOOKUP($BC100,Programma!$F$3:$K$1101,6,0),"")</f>
        <v/>
      </c>
      <c r="BI100" s="185" t="str">
        <f>_xlfn.IFNA(VLOOKUP($BC100,Programma!$F$3:$L$1101,7,0),"")</f>
        <v/>
      </c>
      <c r="BJ100" s="185" t="str">
        <f>_xlfn.IFNA(VLOOKUP($BC100,Programma!$F$3:$M$1101,8,0),"")</f>
        <v/>
      </c>
      <c r="BK100" s="185" t="str">
        <f>_xlfn.IFNA(VLOOKUP($BC100,Programma!$F$3:$N$1101,9,0),"")</f>
        <v/>
      </c>
      <c r="BL100" s="185" t="str">
        <f>_xlfn.IFNA(VLOOKUP($BC100,Programma!$F$3:$O$1101,10,0),"")</f>
        <v/>
      </c>
      <c r="BM100" s="185" t="str">
        <f>_xlfn.IFNA(VLOOKUP($BC100,Programma!$F$3:$P$1101,11,0),"")</f>
        <v/>
      </c>
      <c r="BN100" s="185" t="str">
        <f>_xlfn.IFNA(VLOOKUP($BC100,Programma!$F$3:$Q$1101,12,0),"")</f>
        <v/>
      </c>
      <c r="BO100" s="185" t="str">
        <f>_xlfn.IFNA(VLOOKUP($BC100,Programma!$F$3:$R$1101,13,0),"")</f>
        <v/>
      </c>
      <c r="BP100" s="185" t="str">
        <f>_xlfn.IFNA(VLOOKUP($BC100,Programma!$F$3:$S$1101,14,0),"")</f>
        <v/>
      </c>
      <c r="BQ100" s="185" t="str">
        <f>_xlfn.IFNA(VLOOKUP($BC100,Programma!$F$3:$T$1101,15,0),"")</f>
        <v/>
      </c>
      <c r="BR100" s="185" t="str">
        <f>_xlfn.IFNA(VLOOKUP($BC100,Programma!$F$3:$U$1101,16,0),"")</f>
        <v/>
      </c>
      <c r="BS100" s="185" t="str">
        <f>_xlfn.IFNA(VLOOKUP($BC100,Programma!$F$3:$V$1101,17,0),"")</f>
        <v/>
      </c>
      <c r="BT100" s="185" t="str">
        <f>_xlfn.IFNA(VLOOKUP($BC100,Programma!$F$3:$W$1101,18,0),"")</f>
        <v/>
      </c>
      <c r="BU100" s="185" t="str">
        <f>_xlfn.IFNA(VLOOKUP($BC100,Programma!$F$3:$X$1101,19,0),"")</f>
        <v/>
      </c>
      <c r="BV100" s="185" t="str">
        <f>_xlfn.IFNA(VLOOKUP($BC100,Programma!$F$3:$Y$1101,20,0),"")</f>
        <v/>
      </c>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c r="EO100" s="78"/>
      <c r="EP100" s="78"/>
      <c r="EQ100" s="78"/>
      <c r="ER100" s="78"/>
      <c r="ES100" s="78"/>
      <c r="ET100" s="78"/>
      <c r="EU100" s="78"/>
      <c r="EV100" s="78"/>
      <c r="EW100" s="78"/>
      <c r="EX100" s="78"/>
      <c r="EY100" s="78"/>
      <c r="EZ100" s="78"/>
      <c r="FA100" s="78"/>
      <c r="FB100" s="78"/>
      <c r="FC100" s="78"/>
      <c r="FD100" s="78"/>
      <c r="FE100" s="78"/>
      <c r="FF100" s="78"/>
      <c r="FG100" s="78"/>
      <c r="FH100" s="78"/>
      <c r="FI100" s="78"/>
      <c r="FJ100" s="78"/>
      <c r="FK100" s="78"/>
      <c r="FL100" s="78"/>
      <c r="FM100" s="78"/>
      <c r="FN100" s="78"/>
      <c r="FO100" s="78"/>
      <c r="FP100" s="78"/>
      <c r="FQ100" s="78"/>
      <c r="FR100" s="78"/>
      <c r="FS100" s="78"/>
      <c r="FT100" s="78"/>
      <c r="FU100" s="78"/>
      <c r="FV100" s="78"/>
      <c r="FW100" s="78"/>
      <c r="FX100" s="78"/>
      <c r="FY100" s="78"/>
      <c r="FZ100" s="78"/>
      <c r="GA100" s="78"/>
      <c r="GB100" s="78"/>
      <c r="GC100" s="78"/>
      <c r="GD100" s="78"/>
      <c r="GE100" s="78"/>
      <c r="GF100" s="78"/>
      <c r="GG100" s="78"/>
      <c r="GH100" s="78"/>
      <c r="GI100" s="78"/>
      <c r="GJ100" s="78"/>
      <c r="GK100" s="78"/>
      <c r="GL100" s="78"/>
      <c r="GM100" s="78"/>
      <c r="GN100" s="78"/>
      <c r="GO100" s="78"/>
      <c r="GP100" s="78"/>
      <c r="GQ100" s="78"/>
      <c r="GR100" s="78"/>
      <c r="GS100" s="78"/>
      <c r="GT100" s="78"/>
      <c r="GU100" s="78"/>
      <c r="GV100" s="78"/>
      <c r="GW100" s="78"/>
      <c r="GX100" s="78"/>
      <c r="GY100" s="78"/>
      <c r="GZ100" s="78"/>
      <c r="HA100" s="78"/>
      <c r="HB100" s="78"/>
      <c r="HC100" s="78"/>
      <c r="HD100" s="78"/>
      <c r="HE100" s="78"/>
      <c r="HF100" s="78"/>
      <c r="HG100" s="78"/>
      <c r="HH100" s="78"/>
      <c r="HI100" s="78"/>
      <c r="HJ100" s="78"/>
      <c r="HK100" s="78"/>
    </row>
    <row r="101" spans="1:219" ht="15" customHeight="1">
      <c r="A101" s="149">
        <v>4</v>
      </c>
      <c r="B101" s="176" t="str">
        <f>VLOOKUP(Ruimtestaat[[#This Row],[Code]],Locaties[[Code]:[Locatie]],2,FALSE)</f>
        <v>OBS De Sterrenborgh</v>
      </c>
      <c r="C101" s="176" t="str">
        <f>VLOOKUP(Ruimtestaat[[#This Row],[Code]],Locaties[[#All],[Code]:[Adres]],4,FALSE)</f>
        <v>Runenberghoek 5</v>
      </c>
      <c r="D101" s="176" t="str">
        <f>VLOOKUP(Ruimtestaat[[#This Row],[Code]],Locaties[[#All],[Code]:[Postcode]],5,FALSE)</f>
        <v>7546 EG</v>
      </c>
      <c r="E101" s="176" t="str">
        <f>VLOOKUP(Ruimtestaat[[#This Row],[Code]],Locaties[#All],6,FALSE)</f>
        <v>Enschede</v>
      </c>
      <c r="F101" s="149"/>
      <c r="G101" s="149" t="s">
        <v>1646</v>
      </c>
      <c r="H101" s="300" t="s">
        <v>1654</v>
      </c>
      <c r="I101" s="301" t="s">
        <v>1655</v>
      </c>
      <c r="J101" s="99">
        <v>5</v>
      </c>
      <c r="K101" s="183" t="str">
        <f>VLOOKUP(Ruimtestaat[[#This Row],[Ruimte code]],Ruimtegroepen[[#All],[Code]:[Ruimte omschrijving]],2,FALSE)</f>
        <v>Sanitair</v>
      </c>
      <c r="L101" s="149" t="s">
        <v>102</v>
      </c>
      <c r="M101" s="301" t="s">
        <v>120</v>
      </c>
      <c r="N101" s="177">
        <v>5.9</v>
      </c>
      <c r="O101" s="177"/>
      <c r="P101" s="178" t="str">
        <f>VLOOKUP(Ruimtestaat[[#This Row],[Ruimte code]],Ruimtegroepen[],4,FALSE)</f>
        <v>Sa</v>
      </c>
      <c r="Q101" s="149">
        <v>40</v>
      </c>
      <c r="R101" s="149" t="s">
        <v>2</v>
      </c>
      <c r="S101" s="149">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149">
        <f>IF(S101&gt;0,VLOOKUP($J101,Ruimtegroepen[],3,FALSE)*VLOOKUP($L101,Vloersoorten[],3,FALSE)*VLOOKUP($R101,Frequenties[],3,FALSE)*VLOOKUP($A101,Locaties[],3,FALSE),0)</f>
        <v>0</v>
      </c>
      <c r="U101" s="149">
        <f>Ruimtestaat[[#This Row],[Uitvoeringen werkdagen]]*Ruimtestaat[[#This Row],[Oppervlak (netto)]]</f>
        <v>1180</v>
      </c>
      <c r="V101" s="179">
        <f>IF(T101&gt;0,Ruimtestaat[[#This Row],[Prest. (m2 /jaar) werkdagen]]/Ruimtestaat[[#This Row],[Norm (m2/uur) werkdagen]],0)</f>
        <v>0</v>
      </c>
      <c r="W101" s="180">
        <f>Ruimtestaat[[#This Row],[uren / jaar werkdagen]]*Tariefsopbouw!$E$35</f>
        <v>0</v>
      </c>
      <c r="X101" s="149"/>
      <c r="Y101" s="149">
        <f>IF(Ruimtestaat[[#This Row],[Frequentie weekend]]&gt;0,VALUE(LEFT(X101,1))*Q101,0)</f>
        <v>0</v>
      </c>
      <c r="Z101" s="148">
        <f>IF($Y101&gt;0,VLOOKUP($J101,Ruimtegroepen[],3,FALSE)*VLOOKUP($L101,Vloersoorten[],3,FALSE)*VLOOKUP($X101,Frequenties[],3,FALSE)*VLOOKUP(Ruimtestaat[[#This Row],[Code]],Locaties[],3,FALSE),0)</f>
        <v>0</v>
      </c>
      <c r="AA101" s="148">
        <f>Ruimtestaat[[#This Row],[Uitvoeringen weekend]]*Ruimtestaat[[#This Row],[Oppervlak (netto)]]</f>
        <v>0</v>
      </c>
      <c r="AB101" s="148">
        <f>IF(Z101&gt;0,Ruimtestaat[[#This Row],[Prest. (m2 /jaar) weekend]]/Ruimtestaat[[#This Row],[Norm (m2/uur) weekend]],0)</f>
        <v>0</v>
      </c>
      <c r="AC101" s="180">
        <f>Ruimtestaat[[#This Row],[uren / jaar weekend]]*Tariefsopbouw!$D$40</f>
        <v>0</v>
      </c>
      <c r="AD101" s="179">
        <f>Ruimtestaat[[#This Row],[Prest. (m2 /jaar) weekend]]+Ruimtestaat[[#This Row],[Prest. (m2 /jaar) werkdagen]]</f>
        <v>1180</v>
      </c>
      <c r="AE101" s="179">
        <f>Ruimtestaat[[#This Row],[uren / jaar weekend]]+Ruimtestaat[[#This Row],[uren / jaar werkdagen]]</f>
        <v>0</v>
      </c>
      <c r="AF101" s="174">
        <f>Ruimtestaat[[#This Row],[kosten / jaar weekend]]+Ruimtestaat[[#This Row],[kosten / jaar werkdagen]]</f>
        <v>0</v>
      </c>
      <c r="AG101" s="174"/>
      <c r="AH101" s="181" t="str">
        <f>IF(Ruimtestaat[[#This Row],[Frequentie werkdagen]]="","",_xlfn.CONCAT(Ruimtestaat[[#This Row],[Ruimte code]],"-",Ruimtestaat[[#This Row],[Frequentie werkdagen]]," ",Ruimtestaat[[#This Row],[Vloer code]]))</f>
        <v>5-5w P</v>
      </c>
      <c r="AI101" s="185" t="str">
        <f>_xlfn.IFNA(VLOOKUP($AH101,Programma!$F$3:$G$1101,2,0),"")</f>
        <v>_</v>
      </c>
      <c r="AJ101" s="185" t="str">
        <f>_xlfn.IFNA(VLOOKUP($AH101,Programma!$F$3:$H$1101,3,0),"")</f>
        <v>_</v>
      </c>
      <c r="AK101" s="185" t="str">
        <f>_xlfn.IFNA(VLOOKUP($AH101,Programma!$F$3:$I$1101,4,0),"")</f>
        <v>_</v>
      </c>
      <c r="AL101" s="185" t="str">
        <f>_xlfn.IFNA(VLOOKUP($AH101,Programma!$F$3:$J$1101,5,0),"")</f>
        <v>4w</v>
      </c>
      <c r="AM101" s="185" t="str">
        <f>_xlfn.IFNA(VLOOKUP($AH101,Programma!$F$3:$K$1101,6,0),"")</f>
        <v>1w</v>
      </c>
      <c r="AN101" s="185" t="str">
        <f>_xlfn.IFNA(VLOOKUP($AH101,Programma!$F$3:$L$1101,7,0),"")</f>
        <v>_</v>
      </c>
      <c r="AO101" s="185" t="str">
        <f>_xlfn.IFNA(VLOOKUP($AH101,Programma!$F$3:$M$1101,8,0),"")</f>
        <v>_</v>
      </c>
      <c r="AP101" s="185" t="str">
        <f>_xlfn.IFNA(VLOOKUP($AH101,Programma!$F$3:$N$1101,9,0),"")</f>
        <v>_</v>
      </c>
      <c r="AQ101" s="185" t="str">
        <f>_xlfn.IFNA(VLOOKUP($AH101,Programma!$F$3:$O$1101,10,0),"")</f>
        <v>_</v>
      </c>
      <c r="AR101" s="185" t="str">
        <f>_xlfn.IFNA(VLOOKUP($AH101,Programma!$F$3:$P$1101,11,0),"")</f>
        <v>_</v>
      </c>
      <c r="AS101" s="185" t="str">
        <f>_xlfn.IFNA(VLOOKUP($AH101,Programma!$F$3:$Q$1101,12,0),"")</f>
        <v>_</v>
      </c>
      <c r="AT101" s="185" t="str">
        <f>_xlfn.IFNA(VLOOKUP($AH101,Programma!$F$3:$R$1101,13,0),"")</f>
        <v>_</v>
      </c>
      <c r="AU101" s="185" t="str">
        <f>_xlfn.IFNA(VLOOKUP($AH101,Programma!$F$3:$S$1101,14,0),"")</f>
        <v>_</v>
      </c>
      <c r="AV101" s="185" t="str">
        <f>_xlfn.IFNA(VLOOKUP($AH101,Programma!$F$3:$T$1101,15,0),"")</f>
        <v>_</v>
      </c>
      <c r="AW101" s="185" t="str">
        <f>_xlfn.IFNA(VLOOKUP($AH101,Programma!$F$3:$U$1101,16,0),"")</f>
        <v>_</v>
      </c>
      <c r="AX101" s="185" t="str">
        <f>_xlfn.IFNA(VLOOKUP($AH101,Programma!$F$3:$V$1101,17,0),"")</f>
        <v>_</v>
      </c>
      <c r="AY101" s="185" t="str">
        <f>_xlfn.IFNA(VLOOKUP($AH101,Programma!$F$3:$W$1101,18,0),"")</f>
        <v>4w</v>
      </c>
      <c r="AZ101" s="185" t="str">
        <f>_xlfn.IFNA(VLOOKUP($AH101,Programma!$F$3:$X$1101,19,0),"")</f>
        <v>1w</v>
      </c>
      <c r="BA101" s="185" t="str">
        <f>_xlfn.IFNA(VLOOKUP($AH101,Programma!$F$3:$Y$1101,20,0),"")</f>
        <v>_</v>
      </c>
      <c r="BB101" s="182"/>
      <c r="BC101" s="181" t="str">
        <f>IF(Ruimtestaat[[#This Row],[Frequentie weekend]]="","",_xlfn.CONCAT(Ruimtestaat[[#This Row],[Ruimte code]],"-",Ruimtestaat[[#This Row],[Frequentie weekend]]," ",Ruimtestaat[[#This Row],[Vloer code]]))</f>
        <v/>
      </c>
      <c r="BD101" s="185" t="str">
        <f>_xlfn.IFNA(VLOOKUP($BC101,Programma!$F$3:$G$1101,2,0),"")</f>
        <v/>
      </c>
      <c r="BE101" s="185" t="str">
        <f>_xlfn.IFNA(VLOOKUP($BC101,Programma!$F$3:$H$1101,3,0),"")</f>
        <v/>
      </c>
      <c r="BF101" s="185" t="str">
        <f>_xlfn.IFNA(VLOOKUP($BC101,Programma!$F$3:$I$1101,4,0),"")</f>
        <v/>
      </c>
      <c r="BG101" s="185" t="str">
        <f>_xlfn.IFNA(VLOOKUP($BC101,Programma!$F$3:$J$1101,5,0),"")</f>
        <v/>
      </c>
      <c r="BH101" s="185" t="str">
        <f>_xlfn.IFNA(VLOOKUP($BC101,Programma!$F$3:$K$1101,6,0),"")</f>
        <v/>
      </c>
      <c r="BI101" s="185" t="str">
        <f>_xlfn.IFNA(VLOOKUP($BC101,Programma!$F$3:$L$1101,7,0),"")</f>
        <v/>
      </c>
      <c r="BJ101" s="185" t="str">
        <f>_xlfn.IFNA(VLOOKUP($BC101,Programma!$F$3:$M$1101,8,0),"")</f>
        <v/>
      </c>
      <c r="BK101" s="185" t="str">
        <f>_xlfn.IFNA(VLOOKUP($BC101,Programma!$F$3:$N$1101,9,0),"")</f>
        <v/>
      </c>
      <c r="BL101" s="185" t="str">
        <f>_xlfn.IFNA(VLOOKUP($BC101,Programma!$F$3:$O$1101,10,0),"")</f>
        <v/>
      </c>
      <c r="BM101" s="185" t="str">
        <f>_xlfn.IFNA(VLOOKUP($BC101,Programma!$F$3:$P$1101,11,0),"")</f>
        <v/>
      </c>
      <c r="BN101" s="185" t="str">
        <f>_xlfn.IFNA(VLOOKUP($BC101,Programma!$F$3:$Q$1101,12,0),"")</f>
        <v/>
      </c>
      <c r="BO101" s="185" t="str">
        <f>_xlfn.IFNA(VLOOKUP($BC101,Programma!$F$3:$R$1101,13,0),"")</f>
        <v/>
      </c>
      <c r="BP101" s="185" t="str">
        <f>_xlfn.IFNA(VLOOKUP($BC101,Programma!$F$3:$S$1101,14,0),"")</f>
        <v/>
      </c>
      <c r="BQ101" s="185" t="str">
        <f>_xlfn.IFNA(VLOOKUP($BC101,Programma!$F$3:$T$1101,15,0),"")</f>
        <v/>
      </c>
      <c r="BR101" s="185" t="str">
        <f>_xlfn.IFNA(VLOOKUP($BC101,Programma!$F$3:$U$1101,16,0),"")</f>
        <v/>
      </c>
      <c r="BS101" s="185" t="str">
        <f>_xlfn.IFNA(VLOOKUP($BC101,Programma!$F$3:$V$1101,17,0),"")</f>
        <v/>
      </c>
      <c r="BT101" s="185" t="str">
        <f>_xlfn.IFNA(VLOOKUP($BC101,Programma!$F$3:$W$1101,18,0),"")</f>
        <v/>
      </c>
      <c r="BU101" s="185" t="str">
        <f>_xlfn.IFNA(VLOOKUP($BC101,Programma!$F$3:$X$1101,19,0),"")</f>
        <v/>
      </c>
      <c r="BV101" s="185" t="str">
        <f>_xlfn.IFNA(VLOOKUP($BC101,Programma!$F$3:$Y$1101,20,0),"")</f>
        <v/>
      </c>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c r="EO101" s="78"/>
      <c r="EP101" s="78"/>
      <c r="EQ101" s="78"/>
      <c r="ER101" s="78"/>
      <c r="ES101" s="78"/>
      <c r="ET101" s="78"/>
      <c r="EU101" s="78"/>
      <c r="EV101" s="78"/>
      <c r="EW101" s="78"/>
      <c r="EX101" s="78"/>
      <c r="EY101" s="78"/>
      <c r="EZ101" s="78"/>
      <c r="FA101" s="78"/>
      <c r="FB101" s="78"/>
      <c r="FC101" s="78"/>
      <c r="FD101" s="78"/>
      <c r="FE101" s="78"/>
      <c r="FF101" s="78"/>
      <c r="FG101" s="78"/>
      <c r="FH101" s="78"/>
      <c r="FI101" s="78"/>
      <c r="FJ101" s="78"/>
      <c r="FK101" s="78"/>
      <c r="FL101" s="78"/>
      <c r="FM101" s="78"/>
      <c r="FN101" s="78"/>
      <c r="FO101" s="78"/>
      <c r="FP101" s="78"/>
      <c r="FQ101" s="78"/>
      <c r="FR101" s="78"/>
      <c r="FS101" s="78"/>
      <c r="FT101" s="78"/>
      <c r="FU101" s="78"/>
      <c r="FV101" s="78"/>
      <c r="FW101" s="78"/>
      <c r="FX101" s="78"/>
      <c r="FY101" s="78"/>
      <c r="FZ101" s="78"/>
      <c r="GA101" s="78"/>
      <c r="GB101" s="78"/>
      <c r="GC101" s="78"/>
      <c r="GD101" s="78"/>
      <c r="GE101" s="78"/>
      <c r="GF101" s="78"/>
      <c r="GG101" s="78"/>
      <c r="GH101" s="78"/>
      <c r="GI101" s="78"/>
      <c r="GJ101" s="78"/>
      <c r="GK101" s="78"/>
      <c r="GL101" s="78"/>
      <c r="GM101" s="78"/>
      <c r="GN101" s="78"/>
      <c r="GO101" s="78"/>
      <c r="GP101" s="78"/>
      <c r="GQ101" s="78"/>
      <c r="GR101" s="78"/>
      <c r="GS101" s="78"/>
      <c r="GT101" s="78"/>
      <c r="GU101" s="78"/>
      <c r="GV101" s="78"/>
      <c r="GW101" s="78"/>
      <c r="GX101" s="78"/>
      <c r="GY101" s="78"/>
      <c r="GZ101" s="78"/>
      <c r="HA101" s="78"/>
      <c r="HB101" s="78"/>
      <c r="HC101" s="78"/>
      <c r="HD101" s="78"/>
      <c r="HE101" s="78"/>
      <c r="HF101" s="78"/>
      <c r="HG101" s="78"/>
      <c r="HH101" s="78"/>
      <c r="HI101" s="78"/>
      <c r="HJ101" s="78"/>
      <c r="HK101" s="78"/>
    </row>
    <row r="102" spans="1:219" ht="15" customHeight="1">
      <c r="A102" s="149">
        <v>4</v>
      </c>
      <c r="B102" s="176" t="str">
        <f>VLOOKUP(Ruimtestaat[[#This Row],[Code]],Locaties[[Code]:[Locatie]],2,FALSE)</f>
        <v>OBS De Sterrenborgh</v>
      </c>
      <c r="C102" s="176" t="str">
        <f>VLOOKUP(Ruimtestaat[[#This Row],[Code]],Locaties[[#All],[Code]:[Adres]],4,FALSE)</f>
        <v>Runenberghoek 5</v>
      </c>
      <c r="D102" s="176" t="str">
        <f>VLOOKUP(Ruimtestaat[[#This Row],[Code]],Locaties[[#All],[Code]:[Postcode]],5,FALSE)</f>
        <v>7546 EG</v>
      </c>
      <c r="E102" s="176" t="str">
        <f>VLOOKUP(Ruimtestaat[[#This Row],[Code]],Locaties[#All],6,FALSE)</f>
        <v>Enschede</v>
      </c>
      <c r="F102" s="149"/>
      <c r="G102" s="149" t="s">
        <v>1646</v>
      </c>
      <c r="H102" s="300" t="s">
        <v>1730</v>
      </c>
      <c r="I102" s="301" t="s">
        <v>1651</v>
      </c>
      <c r="J102" s="99">
        <v>16</v>
      </c>
      <c r="K102" s="183" t="str">
        <f>VLOOKUP(Ruimtestaat[[#This Row],[Ruimte code]],Ruimtegroepen[[#All],[Code]:[Ruimte omschrijving]],2,FALSE)</f>
        <v>Leslokalen</v>
      </c>
      <c r="L102" s="149" t="s">
        <v>102</v>
      </c>
      <c r="M102" s="301" t="s">
        <v>1699</v>
      </c>
      <c r="N102" s="177">
        <v>45.2</v>
      </c>
      <c r="O102" s="177"/>
      <c r="P102" s="178" t="str">
        <f>VLOOKUP(Ruimtestaat[[#This Row],[Ruimte code]],Ruimtegroepen[],4,FALSE)</f>
        <v>Le</v>
      </c>
      <c r="Q102" s="149">
        <v>40</v>
      </c>
      <c r="R102" s="149" t="s">
        <v>2</v>
      </c>
      <c r="S102" s="149">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2" s="149">
        <f>IF(S102&gt;0,VLOOKUP($J102,Ruimtegroepen[],3,FALSE)*VLOOKUP($L102,Vloersoorten[],3,FALSE)*VLOOKUP($R102,Frequenties[],3,FALSE)*VLOOKUP($A102,Locaties[],3,FALSE),0)</f>
        <v>0</v>
      </c>
      <c r="U102" s="149">
        <f>Ruimtestaat[[#This Row],[Uitvoeringen werkdagen]]*Ruimtestaat[[#This Row],[Oppervlak (netto)]]</f>
        <v>9040</v>
      </c>
      <c r="V102" s="179">
        <f>IF(T102&gt;0,Ruimtestaat[[#This Row],[Prest. (m2 /jaar) werkdagen]]/Ruimtestaat[[#This Row],[Norm (m2/uur) werkdagen]],0)</f>
        <v>0</v>
      </c>
      <c r="W102" s="180">
        <f>Ruimtestaat[[#This Row],[uren / jaar werkdagen]]*Tariefsopbouw!$E$35</f>
        <v>0</v>
      </c>
      <c r="X102" s="149"/>
      <c r="Y102" s="149">
        <f>IF(Ruimtestaat[[#This Row],[Frequentie weekend]]&gt;0,VALUE(LEFT(X102,1))*Q102,0)</f>
        <v>0</v>
      </c>
      <c r="Z102" s="148">
        <f>IF($Y102&gt;0,VLOOKUP($J102,Ruimtegroepen[],3,FALSE)*VLOOKUP($L102,Vloersoorten[],3,FALSE)*VLOOKUP($X102,Frequenties[],3,FALSE)*VLOOKUP(Ruimtestaat[[#This Row],[Code]],Locaties[],3,FALSE),0)</f>
        <v>0</v>
      </c>
      <c r="AA102" s="148">
        <f>Ruimtestaat[[#This Row],[Uitvoeringen weekend]]*Ruimtestaat[[#This Row],[Oppervlak (netto)]]</f>
        <v>0</v>
      </c>
      <c r="AB102" s="148">
        <f>IF(Z102&gt;0,Ruimtestaat[[#This Row],[Prest. (m2 /jaar) weekend]]/Ruimtestaat[[#This Row],[Norm (m2/uur) weekend]],0)</f>
        <v>0</v>
      </c>
      <c r="AC102" s="180">
        <f>Ruimtestaat[[#This Row],[uren / jaar weekend]]*Tariefsopbouw!$D$40</f>
        <v>0</v>
      </c>
      <c r="AD102" s="179">
        <f>Ruimtestaat[[#This Row],[Prest. (m2 /jaar) weekend]]+Ruimtestaat[[#This Row],[Prest. (m2 /jaar) werkdagen]]</f>
        <v>9040</v>
      </c>
      <c r="AE102" s="179">
        <f>Ruimtestaat[[#This Row],[uren / jaar weekend]]+Ruimtestaat[[#This Row],[uren / jaar werkdagen]]</f>
        <v>0</v>
      </c>
      <c r="AF102" s="174">
        <f>Ruimtestaat[[#This Row],[kosten / jaar weekend]]+Ruimtestaat[[#This Row],[kosten / jaar werkdagen]]</f>
        <v>0</v>
      </c>
      <c r="AG102" s="174"/>
      <c r="AH102" s="181" t="str">
        <f>IF(Ruimtestaat[[#This Row],[Frequentie werkdagen]]="","",_xlfn.CONCAT(Ruimtestaat[[#This Row],[Ruimte code]],"-",Ruimtestaat[[#This Row],[Frequentie werkdagen]]," ",Ruimtestaat[[#This Row],[Vloer code]]))</f>
        <v>16-5w P</v>
      </c>
      <c r="AI102" s="185" t="str">
        <f>_xlfn.IFNA(VLOOKUP($AH102,Programma!$F$3:$G$1101,2,0),"")</f>
        <v>_</v>
      </c>
      <c r="AJ102" s="185" t="str">
        <f>_xlfn.IFNA(VLOOKUP($AH102,Programma!$F$3:$H$1101,3,0),"")</f>
        <v>_</v>
      </c>
      <c r="AK102" s="185" t="str">
        <f>_xlfn.IFNA(VLOOKUP($AH102,Programma!$F$3:$I$1101,4,0),"")</f>
        <v>4w</v>
      </c>
      <c r="AL102" s="185" t="str">
        <f>_xlfn.IFNA(VLOOKUP($AH102,Programma!$F$3:$J$1101,5,0),"")</f>
        <v>1w</v>
      </c>
      <c r="AM102" s="185" t="str">
        <f>_xlfn.IFNA(VLOOKUP($AH102,Programma!$F$3:$K$1101,6,0),"")</f>
        <v>1m</v>
      </c>
      <c r="AN102" s="185" t="str">
        <f>_xlfn.IFNA(VLOOKUP($AH102,Programma!$F$3:$L$1101,7,0),"")</f>
        <v>_</v>
      </c>
      <c r="AO102" s="185" t="str">
        <f>_xlfn.IFNA(VLOOKUP($AH102,Programma!$F$3:$M$1101,8,0),"")</f>
        <v>_</v>
      </c>
      <c r="AP102" s="185" t="str">
        <f>_xlfn.IFNA(VLOOKUP($AH102,Programma!$F$3:$N$1101,9,0),"")</f>
        <v>_</v>
      </c>
      <c r="AQ102" s="185" t="str">
        <f>_xlfn.IFNA(VLOOKUP($AH102,Programma!$F$3:$O$1101,10,0),"")</f>
        <v>5w</v>
      </c>
      <c r="AR102" s="185" t="str">
        <f>_xlfn.IFNA(VLOOKUP($AH102,Programma!$F$3:$P$1101,11,0),"")</f>
        <v>5w</v>
      </c>
      <c r="AS102" s="185" t="str">
        <f>_xlfn.IFNA(VLOOKUP($AH102,Programma!$F$3:$Q$1101,12,0),"")</f>
        <v>1w</v>
      </c>
      <c r="AT102" s="185" t="str">
        <f>_xlfn.IFNA(VLOOKUP($AH102,Programma!$F$3:$R$1101,13,0),"")</f>
        <v>1w</v>
      </c>
      <c r="AU102" s="185" t="str">
        <f>_xlfn.IFNA(VLOOKUP($AH102,Programma!$F$3:$S$1101,14,0),"")</f>
        <v>1m</v>
      </c>
      <c r="AV102" s="185" t="str">
        <f>_xlfn.IFNA(VLOOKUP($AH102,Programma!$F$3:$T$1101,15,0),"")</f>
        <v>2j</v>
      </c>
      <c r="AW102" s="185" t="str">
        <f>_xlfn.IFNA(VLOOKUP($AH102,Programma!$F$3:$U$1101,16,0),"")</f>
        <v>1j</v>
      </c>
      <c r="AX102" s="185" t="str">
        <f>_xlfn.IFNA(VLOOKUP($AH102,Programma!$F$3:$V$1101,17,0),"")</f>
        <v>_</v>
      </c>
      <c r="AY102" s="185" t="str">
        <f>_xlfn.IFNA(VLOOKUP($AH102,Programma!$F$3:$W$1101,18,0),"")</f>
        <v>_</v>
      </c>
      <c r="AZ102" s="185" t="str">
        <f>_xlfn.IFNA(VLOOKUP($AH102,Programma!$F$3:$X$1101,19,0),"")</f>
        <v>_</v>
      </c>
      <c r="BA102" s="185" t="str">
        <f>_xlfn.IFNA(VLOOKUP($AH102,Programma!$F$3:$Y$1101,20,0),"")</f>
        <v>_</v>
      </c>
      <c r="BB102" s="182"/>
      <c r="BC102" s="181" t="str">
        <f>IF(Ruimtestaat[[#This Row],[Frequentie weekend]]="","",_xlfn.CONCAT(Ruimtestaat[[#This Row],[Ruimte code]],"-",Ruimtestaat[[#This Row],[Frequentie weekend]]," ",Ruimtestaat[[#This Row],[Vloer code]]))</f>
        <v/>
      </c>
      <c r="BD102" s="185" t="str">
        <f>_xlfn.IFNA(VLOOKUP($BC102,Programma!$F$3:$G$1101,2,0),"")</f>
        <v/>
      </c>
      <c r="BE102" s="185" t="str">
        <f>_xlfn.IFNA(VLOOKUP($BC102,Programma!$F$3:$H$1101,3,0),"")</f>
        <v/>
      </c>
      <c r="BF102" s="185" t="str">
        <f>_xlfn.IFNA(VLOOKUP($BC102,Programma!$F$3:$I$1101,4,0),"")</f>
        <v/>
      </c>
      <c r="BG102" s="185" t="str">
        <f>_xlfn.IFNA(VLOOKUP($BC102,Programma!$F$3:$J$1101,5,0),"")</f>
        <v/>
      </c>
      <c r="BH102" s="185" t="str">
        <f>_xlfn.IFNA(VLOOKUP($BC102,Programma!$F$3:$K$1101,6,0),"")</f>
        <v/>
      </c>
      <c r="BI102" s="185" t="str">
        <f>_xlfn.IFNA(VLOOKUP($BC102,Programma!$F$3:$L$1101,7,0),"")</f>
        <v/>
      </c>
      <c r="BJ102" s="185" t="str">
        <f>_xlfn.IFNA(VLOOKUP($BC102,Programma!$F$3:$M$1101,8,0),"")</f>
        <v/>
      </c>
      <c r="BK102" s="185" t="str">
        <f>_xlfn.IFNA(VLOOKUP($BC102,Programma!$F$3:$N$1101,9,0),"")</f>
        <v/>
      </c>
      <c r="BL102" s="185" t="str">
        <f>_xlfn.IFNA(VLOOKUP($BC102,Programma!$F$3:$O$1101,10,0),"")</f>
        <v/>
      </c>
      <c r="BM102" s="185" t="str">
        <f>_xlfn.IFNA(VLOOKUP($BC102,Programma!$F$3:$P$1101,11,0),"")</f>
        <v/>
      </c>
      <c r="BN102" s="185" t="str">
        <f>_xlfn.IFNA(VLOOKUP($BC102,Programma!$F$3:$Q$1101,12,0),"")</f>
        <v/>
      </c>
      <c r="BO102" s="185" t="str">
        <f>_xlfn.IFNA(VLOOKUP($BC102,Programma!$F$3:$R$1101,13,0),"")</f>
        <v/>
      </c>
      <c r="BP102" s="185" t="str">
        <f>_xlfn.IFNA(VLOOKUP($BC102,Programma!$F$3:$S$1101,14,0),"")</f>
        <v/>
      </c>
      <c r="BQ102" s="185" t="str">
        <f>_xlfn.IFNA(VLOOKUP($BC102,Programma!$F$3:$T$1101,15,0),"")</f>
        <v/>
      </c>
      <c r="BR102" s="185" t="str">
        <f>_xlfn.IFNA(VLOOKUP($BC102,Programma!$F$3:$U$1101,16,0),"")</f>
        <v/>
      </c>
      <c r="BS102" s="185" t="str">
        <f>_xlfn.IFNA(VLOOKUP($BC102,Programma!$F$3:$V$1101,17,0),"")</f>
        <v/>
      </c>
      <c r="BT102" s="185" t="str">
        <f>_xlfn.IFNA(VLOOKUP($BC102,Programma!$F$3:$W$1101,18,0),"")</f>
        <v/>
      </c>
      <c r="BU102" s="185" t="str">
        <f>_xlfn.IFNA(VLOOKUP($BC102,Programma!$F$3:$X$1101,19,0),"")</f>
        <v/>
      </c>
      <c r="BV102" s="185" t="str">
        <f>_xlfn.IFNA(VLOOKUP($BC102,Programma!$F$3:$Y$1101,20,0),"")</f>
        <v/>
      </c>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c r="EO102" s="78"/>
      <c r="EP102" s="78"/>
      <c r="EQ102" s="78"/>
      <c r="ER102" s="78"/>
      <c r="ES102" s="78"/>
      <c r="ET102" s="78"/>
      <c r="EU102" s="78"/>
      <c r="EV102" s="78"/>
      <c r="EW102" s="78"/>
      <c r="EX102" s="78"/>
      <c r="EY102" s="78"/>
      <c r="EZ102" s="78"/>
      <c r="FA102" s="78"/>
      <c r="FB102" s="78"/>
      <c r="FC102" s="78"/>
      <c r="FD102" s="78"/>
      <c r="FE102" s="78"/>
      <c r="FF102" s="78"/>
      <c r="FG102" s="78"/>
      <c r="FH102" s="78"/>
      <c r="FI102" s="78"/>
      <c r="FJ102" s="78"/>
      <c r="FK102" s="78"/>
      <c r="FL102" s="78"/>
      <c r="FM102" s="78"/>
      <c r="FN102" s="78"/>
      <c r="FO102" s="78"/>
      <c r="FP102" s="78"/>
      <c r="FQ102" s="78"/>
      <c r="FR102" s="78"/>
      <c r="FS102" s="78"/>
      <c r="FT102" s="78"/>
      <c r="FU102" s="78"/>
      <c r="FV102" s="78"/>
      <c r="FW102" s="78"/>
      <c r="FX102" s="78"/>
      <c r="FY102" s="78"/>
      <c r="FZ102" s="78"/>
      <c r="GA102" s="78"/>
      <c r="GB102" s="78"/>
      <c r="GC102" s="78"/>
      <c r="GD102" s="78"/>
      <c r="GE102" s="78"/>
      <c r="GF102" s="78"/>
      <c r="GG102" s="78"/>
      <c r="GH102" s="78"/>
      <c r="GI102" s="78"/>
      <c r="GJ102" s="78"/>
      <c r="GK102" s="78"/>
      <c r="GL102" s="78"/>
      <c r="GM102" s="78"/>
      <c r="GN102" s="78"/>
      <c r="GO102" s="78"/>
      <c r="GP102" s="78"/>
      <c r="GQ102" s="78"/>
      <c r="GR102" s="78"/>
      <c r="GS102" s="78"/>
      <c r="GT102" s="78"/>
      <c r="GU102" s="78"/>
      <c r="GV102" s="78"/>
      <c r="GW102" s="78"/>
      <c r="GX102" s="78"/>
      <c r="GY102" s="78"/>
      <c r="GZ102" s="78"/>
      <c r="HA102" s="78"/>
      <c r="HB102" s="78"/>
      <c r="HC102" s="78"/>
      <c r="HD102" s="78"/>
      <c r="HE102" s="78"/>
      <c r="HF102" s="78"/>
      <c r="HG102" s="78"/>
      <c r="HH102" s="78"/>
      <c r="HI102" s="78"/>
      <c r="HJ102" s="78"/>
      <c r="HK102" s="78"/>
    </row>
    <row r="103" spans="1:219" ht="15" customHeight="1">
      <c r="A103" s="149">
        <v>4</v>
      </c>
      <c r="B103" s="176" t="str">
        <f>VLOOKUP(Ruimtestaat[[#This Row],[Code]],Locaties[[Code]:[Locatie]],2,FALSE)</f>
        <v>OBS De Sterrenborgh</v>
      </c>
      <c r="C103" s="176" t="str">
        <f>VLOOKUP(Ruimtestaat[[#This Row],[Code]],Locaties[[#All],[Code]:[Adres]],4,FALSE)</f>
        <v>Runenberghoek 5</v>
      </c>
      <c r="D103" s="176" t="str">
        <f>VLOOKUP(Ruimtestaat[[#This Row],[Code]],Locaties[[#All],[Code]:[Postcode]],5,FALSE)</f>
        <v>7546 EG</v>
      </c>
      <c r="E103" s="176" t="str">
        <f>VLOOKUP(Ruimtestaat[[#This Row],[Code]],Locaties[#All],6,FALSE)</f>
        <v>Enschede</v>
      </c>
      <c r="F103" s="149"/>
      <c r="G103" s="149" t="s">
        <v>1646</v>
      </c>
      <c r="H103" s="300" t="s">
        <v>1656</v>
      </c>
      <c r="I103" s="301" t="s">
        <v>1679</v>
      </c>
      <c r="J103" s="99">
        <v>15</v>
      </c>
      <c r="K103" s="183" t="str">
        <f>VLOOKUP(Ruimtestaat[[#This Row],[Ruimte code]],Ruimtegroepen[[#All],[Code]:[Ruimte omschrijving]],2,FALSE)</f>
        <v>Keuken/pantry</v>
      </c>
      <c r="L103" s="149" t="s">
        <v>102</v>
      </c>
      <c r="M103" s="301" t="s">
        <v>120</v>
      </c>
      <c r="N103" s="177">
        <v>12.7</v>
      </c>
      <c r="O103" s="177"/>
      <c r="P103" s="178" t="str">
        <f>VLOOKUP(Ruimtestaat[[#This Row],[Ruimte code]],Ruimtegroepen[],4,FALSE)</f>
        <v>Ve</v>
      </c>
      <c r="Q103" s="149">
        <v>40</v>
      </c>
      <c r="R103" s="149" t="s">
        <v>2</v>
      </c>
      <c r="S103" s="149">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3" s="149">
        <f>IF(S103&gt;0,VLOOKUP($J103,Ruimtegroepen[],3,FALSE)*VLOOKUP($L103,Vloersoorten[],3,FALSE)*VLOOKUP($R103,Frequenties[],3,FALSE)*VLOOKUP($A103,Locaties[],3,FALSE),0)</f>
        <v>0</v>
      </c>
      <c r="U103" s="149">
        <f>Ruimtestaat[[#This Row],[Uitvoeringen werkdagen]]*Ruimtestaat[[#This Row],[Oppervlak (netto)]]</f>
        <v>2540</v>
      </c>
      <c r="V103" s="179">
        <f>IF(T103&gt;0,Ruimtestaat[[#This Row],[Prest. (m2 /jaar) werkdagen]]/Ruimtestaat[[#This Row],[Norm (m2/uur) werkdagen]],0)</f>
        <v>0</v>
      </c>
      <c r="W103" s="180">
        <f>Ruimtestaat[[#This Row],[uren / jaar werkdagen]]*Tariefsopbouw!$E$35</f>
        <v>0</v>
      </c>
      <c r="X103" s="149"/>
      <c r="Y103" s="149">
        <f>IF(Ruimtestaat[[#This Row],[Frequentie weekend]]&gt;0,VALUE(LEFT(X103,1))*Q103,0)</f>
        <v>0</v>
      </c>
      <c r="Z103" s="148">
        <f>IF($Y103&gt;0,VLOOKUP($J103,Ruimtegroepen[],3,FALSE)*VLOOKUP($L103,Vloersoorten[],3,FALSE)*VLOOKUP($X103,Frequenties[],3,FALSE)*VLOOKUP(Ruimtestaat[[#This Row],[Code]],Locaties[],3,FALSE),0)</f>
        <v>0</v>
      </c>
      <c r="AA103" s="148">
        <f>Ruimtestaat[[#This Row],[Uitvoeringen weekend]]*Ruimtestaat[[#This Row],[Oppervlak (netto)]]</f>
        <v>0</v>
      </c>
      <c r="AB103" s="148">
        <f>IF(Z103&gt;0,Ruimtestaat[[#This Row],[Prest. (m2 /jaar) weekend]]/Ruimtestaat[[#This Row],[Norm (m2/uur) weekend]],0)</f>
        <v>0</v>
      </c>
      <c r="AC103" s="180">
        <f>Ruimtestaat[[#This Row],[uren / jaar weekend]]*Tariefsopbouw!$D$40</f>
        <v>0</v>
      </c>
      <c r="AD103" s="179">
        <f>Ruimtestaat[[#This Row],[Prest. (m2 /jaar) weekend]]+Ruimtestaat[[#This Row],[Prest. (m2 /jaar) werkdagen]]</f>
        <v>2540</v>
      </c>
      <c r="AE103" s="179">
        <f>Ruimtestaat[[#This Row],[uren / jaar weekend]]+Ruimtestaat[[#This Row],[uren / jaar werkdagen]]</f>
        <v>0</v>
      </c>
      <c r="AF103" s="174">
        <f>Ruimtestaat[[#This Row],[kosten / jaar weekend]]+Ruimtestaat[[#This Row],[kosten / jaar werkdagen]]</f>
        <v>0</v>
      </c>
      <c r="AG103" s="174"/>
      <c r="AH103" s="181" t="str">
        <f>IF(Ruimtestaat[[#This Row],[Frequentie werkdagen]]="","",_xlfn.CONCAT(Ruimtestaat[[#This Row],[Ruimte code]],"-",Ruimtestaat[[#This Row],[Frequentie werkdagen]]," ",Ruimtestaat[[#This Row],[Vloer code]]))</f>
        <v>15-5w P</v>
      </c>
      <c r="AI103" s="185" t="str">
        <f>_xlfn.IFNA(VLOOKUP($AH103,Programma!$F$3:$G$1101,2,0),"")</f>
        <v>_</v>
      </c>
      <c r="AJ103" s="185" t="str">
        <f>_xlfn.IFNA(VLOOKUP($AH103,Programma!$F$3:$H$1101,3,0),"")</f>
        <v>_</v>
      </c>
      <c r="AK103" s="185" t="str">
        <f>_xlfn.IFNA(VLOOKUP($AH103,Programma!$F$3:$I$1101,4,0),"")</f>
        <v>5w</v>
      </c>
      <c r="AL103" s="185" t="str">
        <f>_xlfn.IFNA(VLOOKUP($AH103,Programma!$F$3:$J$1101,5,0),"")</f>
        <v>_</v>
      </c>
      <c r="AM103" s="185" t="str">
        <f>_xlfn.IFNA(VLOOKUP($AH103,Programma!$F$3:$K$1101,6,0),"")</f>
        <v>5w</v>
      </c>
      <c r="AN103" s="185" t="str">
        <f>_xlfn.IFNA(VLOOKUP($AH103,Programma!$F$3:$L$1101,7,0),"")</f>
        <v>_</v>
      </c>
      <c r="AO103" s="185" t="str">
        <f>_xlfn.IFNA(VLOOKUP($AH103,Programma!$F$3:$M$1101,8,0),"")</f>
        <v>_</v>
      </c>
      <c r="AP103" s="185" t="str">
        <f>_xlfn.IFNA(VLOOKUP($AH103,Programma!$F$3:$N$1101,9,0),"")</f>
        <v>_</v>
      </c>
      <c r="AQ103" s="185" t="str">
        <f>_xlfn.IFNA(VLOOKUP($AH103,Programma!$F$3:$O$1101,10,0),"")</f>
        <v>5w</v>
      </c>
      <c r="AR103" s="185" t="str">
        <f>_xlfn.IFNA(VLOOKUP($AH103,Programma!$F$3:$P$1101,11,0),"")</f>
        <v>5w</v>
      </c>
      <c r="AS103" s="185" t="str">
        <f>_xlfn.IFNA(VLOOKUP($AH103,Programma!$F$3:$Q$1101,12,0),"")</f>
        <v>1w</v>
      </c>
      <c r="AT103" s="185" t="str">
        <f>_xlfn.IFNA(VLOOKUP($AH103,Programma!$F$3:$R$1101,13,0),"")</f>
        <v>1w</v>
      </c>
      <c r="AU103" s="185" t="str">
        <f>_xlfn.IFNA(VLOOKUP($AH103,Programma!$F$3:$S$1101,14,0),"")</f>
        <v>1m</v>
      </c>
      <c r="AV103" s="185" t="str">
        <f>_xlfn.IFNA(VLOOKUP($AH103,Programma!$F$3:$T$1101,15,0),"")</f>
        <v>2j</v>
      </c>
      <c r="AW103" s="185" t="str">
        <f>_xlfn.IFNA(VLOOKUP($AH103,Programma!$F$3:$U$1101,16,0),"")</f>
        <v>1j</v>
      </c>
      <c r="AX103" s="185" t="str">
        <f>_xlfn.IFNA(VLOOKUP($AH103,Programma!$F$3:$V$1101,17,0),"")</f>
        <v>_</v>
      </c>
      <c r="AY103" s="185" t="str">
        <f>_xlfn.IFNA(VLOOKUP($AH103,Programma!$F$3:$W$1101,18,0),"")</f>
        <v>_</v>
      </c>
      <c r="AZ103" s="185" t="str">
        <f>_xlfn.IFNA(VLOOKUP($AH103,Programma!$F$3:$X$1101,19,0),"")</f>
        <v>_</v>
      </c>
      <c r="BA103" s="185" t="str">
        <f>_xlfn.IFNA(VLOOKUP($AH103,Programma!$F$3:$Y$1101,20,0),"")</f>
        <v>_</v>
      </c>
      <c r="BB103" s="182"/>
      <c r="BC103" s="181" t="str">
        <f>IF(Ruimtestaat[[#This Row],[Frequentie weekend]]="","",_xlfn.CONCAT(Ruimtestaat[[#This Row],[Ruimte code]],"-",Ruimtestaat[[#This Row],[Frequentie weekend]]," ",Ruimtestaat[[#This Row],[Vloer code]]))</f>
        <v/>
      </c>
      <c r="BD103" s="185" t="str">
        <f>_xlfn.IFNA(VLOOKUP($BC103,Programma!$F$3:$G$1101,2,0),"")</f>
        <v/>
      </c>
      <c r="BE103" s="185" t="str">
        <f>_xlfn.IFNA(VLOOKUP($BC103,Programma!$F$3:$H$1101,3,0),"")</f>
        <v/>
      </c>
      <c r="BF103" s="185" t="str">
        <f>_xlfn.IFNA(VLOOKUP($BC103,Programma!$F$3:$I$1101,4,0),"")</f>
        <v/>
      </c>
      <c r="BG103" s="185" t="str">
        <f>_xlfn.IFNA(VLOOKUP($BC103,Programma!$F$3:$J$1101,5,0),"")</f>
        <v/>
      </c>
      <c r="BH103" s="185" t="str">
        <f>_xlfn.IFNA(VLOOKUP($BC103,Programma!$F$3:$K$1101,6,0),"")</f>
        <v/>
      </c>
      <c r="BI103" s="185" t="str">
        <f>_xlfn.IFNA(VLOOKUP($BC103,Programma!$F$3:$L$1101,7,0),"")</f>
        <v/>
      </c>
      <c r="BJ103" s="185" t="str">
        <f>_xlfn.IFNA(VLOOKUP($BC103,Programma!$F$3:$M$1101,8,0),"")</f>
        <v/>
      </c>
      <c r="BK103" s="185" t="str">
        <f>_xlfn.IFNA(VLOOKUP($BC103,Programma!$F$3:$N$1101,9,0),"")</f>
        <v/>
      </c>
      <c r="BL103" s="185" t="str">
        <f>_xlfn.IFNA(VLOOKUP($BC103,Programma!$F$3:$O$1101,10,0),"")</f>
        <v/>
      </c>
      <c r="BM103" s="185" t="str">
        <f>_xlfn.IFNA(VLOOKUP($BC103,Programma!$F$3:$P$1101,11,0),"")</f>
        <v/>
      </c>
      <c r="BN103" s="185" t="str">
        <f>_xlfn.IFNA(VLOOKUP($BC103,Programma!$F$3:$Q$1101,12,0),"")</f>
        <v/>
      </c>
      <c r="BO103" s="185" t="str">
        <f>_xlfn.IFNA(VLOOKUP($BC103,Programma!$F$3:$R$1101,13,0),"")</f>
        <v/>
      </c>
      <c r="BP103" s="185" t="str">
        <f>_xlfn.IFNA(VLOOKUP($BC103,Programma!$F$3:$S$1101,14,0),"")</f>
        <v/>
      </c>
      <c r="BQ103" s="185" t="str">
        <f>_xlfn.IFNA(VLOOKUP($BC103,Programma!$F$3:$T$1101,15,0),"")</f>
        <v/>
      </c>
      <c r="BR103" s="185" t="str">
        <f>_xlfn.IFNA(VLOOKUP($BC103,Programma!$F$3:$U$1101,16,0),"")</f>
        <v/>
      </c>
      <c r="BS103" s="185" t="str">
        <f>_xlfn.IFNA(VLOOKUP($BC103,Programma!$F$3:$V$1101,17,0),"")</f>
        <v/>
      </c>
      <c r="BT103" s="185" t="str">
        <f>_xlfn.IFNA(VLOOKUP($BC103,Programma!$F$3:$W$1101,18,0),"")</f>
        <v/>
      </c>
      <c r="BU103" s="185" t="str">
        <f>_xlfn.IFNA(VLOOKUP($BC103,Programma!$F$3:$X$1101,19,0),"")</f>
        <v/>
      </c>
      <c r="BV103" s="185" t="str">
        <f>_xlfn.IFNA(VLOOKUP($BC103,Programma!$F$3:$Y$1101,20,0),"")</f>
        <v/>
      </c>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c r="EO103" s="78"/>
      <c r="EP103" s="78"/>
      <c r="EQ103" s="78"/>
      <c r="ER103" s="78"/>
      <c r="ES103" s="78"/>
      <c r="ET103" s="78"/>
      <c r="EU103" s="78"/>
      <c r="EV103" s="78"/>
      <c r="EW103" s="78"/>
      <c r="EX103" s="78"/>
      <c r="EY103" s="78"/>
      <c r="EZ103" s="78"/>
      <c r="FA103" s="78"/>
      <c r="FB103" s="78"/>
      <c r="FC103" s="78"/>
      <c r="FD103" s="78"/>
      <c r="FE103" s="78"/>
      <c r="FF103" s="78"/>
      <c r="FG103" s="78"/>
      <c r="FH103" s="78"/>
      <c r="FI103" s="78"/>
      <c r="FJ103" s="78"/>
      <c r="FK103" s="78"/>
      <c r="FL103" s="78"/>
      <c r="FM103" s="78"/>
      <c r="FN103" s="78"/>
      <c r="FO103" s="78"/>
      <c r="FP103" s="78"/>
      <c r="FQ103" s="78"/>
      <c r="FR103" s="78"/>
      <c r="FS103" s="78"/>
      <c r="FT103" s="78"/>
      <c r="FU103" s="78"/>
      <c r="FV103" s="78"/>
      <c r="FW103" s="78"/>
      <c r="FX103" s="78"/>
      <c r="FY103" s="78"/>
      <c r="FZ103" s="78"/>
      <c r="GA103" s="78"/>
      <c r="GB103" s="78"/>
      <c r="GC103" s="78"/>
      <c r="GD103" s="78"/>
      <c r="GE103" s="78"/>
      <c r="GF103" s="78"/>
      <c r="GG103" s="78"/>
      <c r="GH103" s="78"/>
      <c r="GI103" s="78"/>
      <c r="GJ103" s="78"/>
      <c r="GK103" s="78"/>
      <c r="GL103" s="78"/>
      <c r="GM103" s="78"/>
      <c r="GN103" s="78"/>
      <c r="GO103" s="78"/>
      <c r="GP103" s="78"/>
      <c r="GQ103" s="78"/>
      <c r="GR103" s="78"/>
      <c r="GS103" s="78"/>
      <c r="GT103" s="78"/>
      <c r="GU103" s="78"/>
      <c r="GV103" s="78"/>
      <c r="GW103" s="78"/>
      <c r="GX103" s="78"/>
      <c r="GY103" s="78"/>
      <c r="GZ103" s="78"/>
      <c r="HA103" s="78"/>
      <c r="HB103" s="78"/>
      <c r="HC103" s="78"/>
      <c r="HD103" s="78"/>
      <c r="HE103" s="78"/>
      <c r="HF103" s="78"/>
      <c r="HG103" s="78"/>
      <c r="HH103" s="78"/>
      <c r="HI103" s="78"/>
      <c r="HJ103" s="78"/>
      <c r="HK103" s="78"/>
    </row>
    <row r="104" spans="1:219" ht="15" customHeight="1">
      <c r="A104" s="149">
        <v>4</v>
      </c>
      <c r="B104" s="176" t="str">
        <f>VLOOKUP(Ruimtestaat[[#This Row],[Code]],Locaties[[Code]:[Locatie]],2,FALSE)</f>
        <v>OBS De Sterrenborgh</v>
      </c>
      <c r="C104" s="176" t="str">
        <f>VLOOKUP(Ruimtestaat[[#This Row],[Code]],Locaties[[#All],[Code]:[Adres]],4,FALSE)</f>
        <v>Runenberghoek 5</v>
      </c>
      <c r="D104" s="176" t="str">
        <f>VLOOKUP(Ruimtestaat[[#This Row],[Code]],Locaties[[#All],[Code]:[Postcode]],5,FALSE)</f>
        <v>7546 EG</v>
      </c>
      <c r="E104" s="176" t="str">
        <f>VLOOKUP(Ruimtestaat[[#This Row],[Code]],Locaties[#All],6,FALSE)</f>
        <v>Enschede</v>
      </c>
      <c r="F104" s="149"/>
      <c r="G104" s="149" t="s">
        <v>1646</v>
      </c>
      <c r="H104" s="300" t="s">
        <v>1657</v>
      </c>
      <c r="I104" s="301" t="s">
        <v>1681</v>
      </c>
      <c r="J104" s="99">
        <v>6</v>
      </c>
      <c r="K104" s="183" t="str">
        <f>VLOOKUP(Ruimtestaat[[#This Row],[Ruimte code]],Ruimtegroepen[[#All],[Code]:[Ruimte omschrijving]],2,FALSE)</f>
        <v>Gangen/hallen</v>
      </c>
      <c r="L104" s="149" t="s">
        <v>100</v>
      </c>
      <c r="M104" s="301" t="s">
        <v>1697</v>
      </c>
      <c r="N104" s="177">
        <v>114.1</v>
      </c>
      <c r="O104" s="177"/>
      <c r="P104" s="178" t="str">
        <f>VLOOKUP(Ruimtestaat[[#This Row],[Ruimte code]],Ruimtegroepen[],4,FALSE)</f>
        <v>Ve</v>
      </c>
      <c r="Q104" s="149">
        <v>40</v>
      </c>
      <c r="R104" s="149" t="s">
        <v>2</v>
      </c>
      <c r="S104" s="149">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4" s="149">
        <f>IF(S104&gt;0,VLOOKUP($J104,Ruimtegroepen[],3,FALSE)*VLOOKUP($L104,Vloersoorten[],3,FALSE)*VLOOKUP($R104,Frequenties[],3,FALSE)*VLOOKUP($A104,Locaties[],3,FALSE),0)</f>
        <v>0</v>
      </c>
      <c r="U104" s="149">
        <f>Ruimtestaat[[#This Row],[Uitvoeringen werkdagen]]*Ruimtestaat[[#This Row],[Oppervlak (netto)]]</f>
        <v>22820</v>
      </c>
      <c r="V104" s="179">
        <f>IF(T104&gt;0,Ruimtestaat[[#This Row],[Prest. (m2 /jaar) werkdagen]]/Ruimtestaat[[#This Row],[Norm (m2/uur) werkdagen]],0)</f>
        <v>0</v>
      </c>
      <c r="W104" s="180">
        <f>Ruimtestaat[[#This Row],[uren / jaar werkdagen]]*Tariefsopbouw!$E$35</f>
        <v>0</v>
      </c>
      <c r="X104" s="149"/>
      <c r="Y104" s="149">
        <f>IF(Ruimtestaat[[#This Row],[Frequentie weekend]]&gt;0,VALUE(LEFT(X104,1))*Q104,0)</f>
        <v>0</v>
      </c>
      <c r="Z104" s="148">
        <f>IF($Y104&gt;0,VLOOKUP($J104,Ruimtegroepen[],3,FALSE)*VLOOKUP($L104,Vloersoorten[],3,FALSE)*VLOOKUP($X104,Frequenties[],3,FALSE)*VLOOKUP(Ruimtestaat[[#This Row],[Code]],Locaties[],3,FALSE),0)</f>
        <v>0</v>
      </c>
      <c r="AA104" s="148">
        <f>Ruimtestaat[[#This Row],[Uitvoeringen weekend]]*Ruimtestaat[[#This Row],[Oppervlak (netto)]]</f>
        <v>0</v>
      </c>
      <c r="AB104" s="148">
        <f>IF(Z104&gt;0,Ruimtestaat[[#This Row],[Prest. (m2 /jaar) weekend]]/Ruimtestaat[[#This Row],[Norm (m2/uur) weekend]],0)</f>
        <v>0</v>
      </c>
      <c r="AC104" s="180">
        <f>Ruimtestaat[[#This Row],[uren / jaar weekend]]*Tariefsopbouw!$D$40</f>
        <v>0</v>
      </c>
      <c r="AD104" s="179">
        <f>Ruimtestaat[[#This Row],[Prest. (m2 /jaar) weekend]]+Ruimtestaat[[#This Row],[Prest. (m2 /jaar) werkdagen]]</f>
        <v>22820</v>
      </c>
      <c r="AE104" s="179">
        <f>Ruimtestaat[[#This Row],[uren / jaar weekend]]+Ruimtestaat[[#This Row],[uren / jaar werkdagen]]</f>
        <v>0</v>
      </c>
      <c r="AF104" s="174">
        <f>Ruimtestaat[[#This Row],[kosten / jaar weekend]]+Ruimtestaat[[#This Row],[kosten / jaar werkdagen]]</f>
        <v>0</v>
      </c>
      <c r="AG104" s="174"/>
      <c r="AH104" s="181" t="str">
        <f>IF(Ruimtestaat[[#This Row],[Frequentie werkdagen]]="","",_xlfn.CONCAT(Ruimtestaat[[#This Row],[Ruimte code]],"-",Ruimtestaat[[#This Row],[Frequentie werkdagen]]," ",Ruimtestaat[[#This Row],[Vloer code]]))</f>
        <v>6-5w L</v>
      </c>
      <c r="AI104" s="185" t="str">
        <f>_xlfn.IFNA(VLOOKUP($AH104,Programma!$F$3:$G$1101,2,0),"")</f>
        <v>_</v>
      </c>
      <c r="AJ104" s="185" t="str">
        <f>_xlfn.IFNA(VLOOKUP($AH104,Programma!$F$3:$H$1101,3,0),"")</f>
        <v>_</v>
      </c>
      <c r="AK104" s="185" t="str">
        <f>_xlfn.IFNA(VLOOKUP($AH104,Programma!$F$3:$I$1101,4,0),"")</f>
        <v>_</v>
      </c>
      <c r="AL104" s="185" t="str">
        <f>_xlfn.IFNA(VLOOKUP($AH104,Programma!$F$3:$J$1101,5,0),"")</f>
        <v>5w</v>
      </c>
      <c r="AM104" s="185" t="str">
        <f>_xlfn.IFNA(VLOOKUP($AH104,Programma!$F$3:$K$1101,6,0),"")</f>
        <v>_</v>
      </c>
      <c r="AN104" s="185" t="str">
        <f>_xlfn.IFNA(VLOOKUP($AH104,Programma!$F$3:$L$1101,7,0),"")</f>
        <v>_</v>
      </c>
      <c r="AO104" s="185" t="str">
        <f>_xlfn.IFNA(VLOOKUP($AH104,Programma!$F$3:$M$1101,8,0),"")</f>
        <v>_</v>
      </c>
      <c r="AP104" s="185" t="str">
        <f>_xlfn.IFNA(VLOOKUP($AH104,Programma!$F$3:$N$1101,9,0),"")</f>
        <v>_</v>
      </c>
      <c r="AQ104" s="185" t="str">
        <f>_xlfn.IFNA(VLOOKUP($AH104,Programma!$F$3:$O$1101,10,0),"")</f>
        <v>5w</v>
      </c>
      <c r="AR104" s="185" t="str">
        <f>_xlfn.IFNA(VLOOKUP($AH104,Programma!$F$3:$P$1101,11,0),"")</f>
        <v>5w</v>
      </c>
      <c r="AS104" s="185" t="str">
        <f>_xlfn.IFNA(VLOOKUP($AH104,Programma!$F$3:$Q$1101,12,0),"")</f>
        <v>1w</v>
      </c>
      <c r="AT104" s="185" t="str">
        <f>_xlfn.IFNA(VLOOKUP($AH104,Programma!$F$3:$R$1101,13,0),"")</f>
        <v>1w</v>
      </c>
      <c r="AU104" s="185" t="str">
        <f>_xlfn.IFNA(VLOOKUP($AH104,Programma!$F$3:$S$1101,14,0),"")</f>
        <v>1m</v>
      </c>
      <c r="AV104" s="185" t="str">
        <f>_xlfn.IFNA(VLOOKUP($AH104,Programma!$F$3:$T$1101,15,0),"")</f>
        <v>2j</v>
      </c>
      <c r="AW104" s="185" t="str">
        <f>_xlfn.IFNA(VLOOKUP($AH104,Programma!$F$3:$U$1101,16,0),"")</f>
        <v>1j</v>
      </c>
      <c r="AX104" s="185" t="str">
        <f>_xlfn.IFNA(VLOOKUP($AH104,Programma!$F$3:$V$1101,17,0),"")</f>
        <v>_</v>
      </c>
      <c r="AY104" s="185" t="str">
        <f>_xlfn.IFNA(VLOOKUP($AH104,Programma!$F$3:$W$1101,18,0),"")</f>
        <v>_</v>
      </c>
      <c r="AZ104" s="185" t="str">
        <f>_xlfn.IFNA(VLOOKUP($AH104,Programma!$F$3:$X$1101,19,0),"")</f>
        <v>_</v>
      </c>
      <c r="BA104" s="185" t="str">
        <f>_xlfn.IFNA(VLOOKUP($AH104,Programma!$F$3:$Y$1101,20,0),"")</f>
        <v>_</v>
      </c>
      <c r="BB104" s="182"/>
      <c r="BC104" s="181" t="str">
        <f>IF(Ruimtestaat[[#This Row],[Frequentie weekend]]="","",_xlfn.CONCAT(Ruimtestaat[[#This Row],[Ruimte code]],"-",Ruimtestaat[[#This Row],[Frequentie weekend]]," ",Ruimtestaat[[#This Row],[Vloer code]]))</f>
        <v/>
      </c>
      <c r="BD104" s="185" t="str">
        <f>_xlfn.IFNA(VLOOKUP($BC104,Programma!$F$3:$G$1101,2,0),"")</f>
        <v/>
      </c>
      <c r="BE104" s="185" t="str">
        <f>_xlfn.IFNA(VLOOKUP($BC104,Programma!$F$3:$H$1101,3,0),"")</f>
        <v/>
      </c>
      <c r="BF104" s="185" t="str">
        <f>_xlfn.IFNA(VLOOKUP($BC104,Programma!$F$3:$I$1101,4,0),"")</f>
        <v/>
      </c>
      <c r="BG104" s="185" t="str">
        <f>_xlfn.IFNA(VLOOKUP($BC104,Programma!$F$3:$J$1101,5,0),"")</f>
        <v/>
      </c>
      <c r="BH104" s="185" t="str">
        <f>_xlfn.IFNA(VLOOKUP($BC104,Programma!$F$3:$K$1101,6,0),"")</f>
        <v/>
      </c>
      <c r="BI104" s="185" t="str">
        <f>_xlfn.IFNA(VLOOKUP($BC104,Programma!$F$3:$L$1101,7,0),"")</f>
        <v/>
      </c>
      <c r="BJ104" s="185" t="str">
        <f>_xlfn.IFNA(VLOOKUP($BC104,Programma!$F$3:$M$1101,8,0),"")</f>
        <v/>
      </c>
      <c r="BK104" s="185" t="str">
        <f>_xlfn.IFNA(VLOOKUP($BC104,Programma!$F$3:$N$1101,9,0),"")</f>
        <v/>
      </c>
      <c r="BL104" s="185" t="str">
        <f>_xlfn.IFNA(VLOOKUP($BC104,Programma!$F$3:$O$1101,10,0),"")</f>
        <v/>
      </c>
      <c r="BM104" s="185" t="str">
        <f>_xlfn.IFNA(VLOOKUP($BC104,Programma!$F$3:$P$1101,11,0),"")</f>
        <v/>
      </c>
      <c r="BN104" s="185" t="str">
        <f>_xlfn.IFNA(VLOOKUP($BC104,Programma!$F$3:$Q$1101,12,0),"")</f>
        <v/>
      </c>
      <c r="BO104" s="185" t="str">
        <f>_xlfn.IFNA(VLOOKUP($BC104,Programma!$F$3:$R$1101,13,0),"")</f>
        <v/>
      </c>
      <c r="BP104" s="185" t="str">
        <f>_xlfn.IFNA(VLOOKUP($BC104,Programma!$F$3:$S$1101,14,0),"")</f>
        <v/>
      </c>
      <c r="BQ104" s="185" t="str">
        <f>_xlfn.IFNA(VLOOKUP($BC104,Programma!$F$3:$T$1101,15,0),"")</f>
        <v/>
      </c>
      <c r="BR104" s="185" t="str">
        <f>_xlfn.IFNA(VLOOKUP($BC104,Programma!$F$3:$U$1101,16,0),"")</f>
        <v/>
      </c>
      <c r="BS104" s="185" t="str">
        <f>_xlfn.IFNA(VLOOKUP($BC104,Programma!$F$3:$V$1101,17,0),"")</f>
        <v/>
      </c>
      <c r="BT104" s="185" t="str">
        <f>_xlfn.IFNA(VLOOKUP($BC104,Programma!$F$3:$W$1101,18,0),"")</f>
        <v/>
      </c>
      <c r="BU104" s="185" t="str">
        <f>_xlfn.IFNA(VLOOKUP($BC104,Programma!$F$3:$X$1101,19,0),"")</f>
        <v/>
      </c>
      <c r="BV104" s="185" t="str">
        <f>_xlfn.IFNA(VLOOKUP($BC104,Programma!$F$3:$Y$1101,20,0),"")</f>
        <v/>
      </c>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c r="EO104" s="78"/>
      <c r="EP104" s="78"/>
      <c r="EQ104" s="78"/>
      <c r="ER104" s="78"/>
      <c r="ES104" s="78"/>
      <c r="ET104" s="78"/>
      <c r="EU104" s="78"/>
      <c r="EV104" s="78"/>
      <c r="EW104" s="78"/>
      <c r="EX104" s="78"/>
      <c r="EY104" s="78"/>
      <c r="EZ104" s="78"/>
      <c r="FA104" s="78"/>
      <c r="FB104" s="78"/>
      <c r="FC104" s="78"/>
      <c r="FD104" s="78"/>
      <c r="FE104" s="78"/>
      <c r="FF104" s="78"/>
      <c r="FG104" s="78"/>
      <c r="FH104" s="78"/>
      <c r="FI104" s="78"/>
      <c r="FJ104" s="78"/>
      <c r="FK104" s="78"/>
      <c r="FL104" s="78"/>
      <c r="FM104" s="78"/>
      <c r="FN104" s="78"/>
      <c r="FO104" s="78"/>
      <c r="FP104" s="78"/>
      <c r="FQ104" s="78"/>
      <c r="FR104" s="78"/>
      <c r="FS104" s="78"/>
      <c r="FT104" s="78"/>
      <c r="FU104" s="78"/>
      <c r="FV104" s="78"/>
      <c r="FW104" s="78"/>
      <c r="FX104" s="78"/>
      <c r="FY104" s="78"/>
      <c r="FZ104" s="78"/>
      <c r="GA104" s="78"/>
      <c r="GB104" s="78"/>
      <c r="GC104" s="78"/>
      <c r="GD104" s="78"/>
      <c r="GE104" s="78"/>
      <c r="GF104" s="78"/>
      <c r="GG104" s="78"/>
      <c r="GH104" s="78"/>
      <c r="GI104" s="78"/>
      <c r="GJ104" s="78"/>
      <c r="GK104" s="78"/>
      <c r="GL104" s="78"/>
      <c r="GM104" s="78"/>
      <c r="GN104" s="78"/>
      <c r="GO104" s="78"/>
      <c r="GP104" s="78"/>
      <c r="GQ104" s="78"/>
      <c r="GR104" s="78"/>
      <c r="GS104" s="78"/>
      <c r="GT104" s="78"/>
      <c r="GU104" s="78"/>
      <c r="GV104" s="78"/>
      <c r="GW104" s="78"/>
      <c r="GX104" s="78"/>
      <c r="GY104" s="78"/>
      <c r="GZ104" s="78"/>
      <c r="HA104" s="78"/>
      <c r="HB104" s="78"/>
      <c r="HC104" s="78"/>
      <c r="HD104" s="78"/>
      <c r="HE104" s="78"/>
      <c r="HF104" s="78"/>
      <c r="HG104" s="78"/>
      <c r="HH104" s="78"/>
      <c r="HI104" s="78"/>
      <c r="HJ104" s="78"/>
      <c r="HK104" s="78"/>
    </row>
    <row r="105" spans="1:219" ht="15" customHeight="1">
      <c r="A105" s="149">
        <v>4</v>
      </c>
      <c r="B105" s="176" t="str">
        <f>VLOOKUP(Ruimtestaat[[#This Row],[Code]],Locaties[[Code]:[Locatie]],2,FALSE)</f>
        <v>OBS De Sterrenborgh</v>
      </c>
      <c r="C105" s="176" t="str">
        <f>VLOOKUP(Ruimtestaat[[#This Row],[Code]],Locaties[[#All],[Code]:[Adres]],4,FALSE)</f>
        <v>Runenberghoek 5</v>
      </c>
      <c r="D105" s="176" t="str">
        <f>VLOOKUP(Ruimtestaat[[#This Row],[Code]],Locaties[[#All],[Code]:[Postcode]],5,FALSE)</f>
        <v>7546 EG</v>
      </c>
      <c r="E105" s="176" t="str">
        <f>VLOOKUP(Ruimtestaat[[#This Row],[Code]],Locaties[#All],6,FALSE)</f>
        <v>Enschede</v>
      </c>
      <c r="F105" s="149"/>
      <c r="G105" s="149" t="s">
        <v>1646</v>
      </c>
      <c r="H105" s="300" t="s">
        <v>1659</v>
      </c>
      <c r="I105" s="301" t="s">
        <v>1651</v>
      </c>
      <c r="J105" s="99">
        <v>16</v>
      </c>
      <c r="K105" s="183" t="str">
        <f>VLOOKUP(Ruimtestaat[[#This Row],[Ruimte code]],Ruimtegroepen[[#All],[Code]:[Ruimte omschrijving]],2,FALSE)</f>
        <v>Leslokalen</v>
      </c>
      <c r="L105" s="149" t="s">
        <v>100</v>
      </c>
      <c r="M105" s="301" t="s">
        <v>1697</v>
      </c>
      <c r="N105" s="177">
        <v>73.599999999999994</v>
      </c>
      <c r="O105" s="177"/>
      <c r="P105" s="178" t="str">
        <f>VLOOKUP(Ruimtestaat[[#This Row],[Ruimte code]],Ruimtegroepen[],4,FALSE)</f>
        <v>Le</v>
      </c>
      <c r="Q105" s="149">
        <v>40</v>
      </c>
      <c r="R105" s="149" t="s">
        <v>2</v>
      </c>
      <c r="S105" s="149">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5" s="149">
        <f>IF(S105&gt;0,VLOOKUP($J105,Ruimtegroepen[],3,FALSE)*VLOOKUP($L105,Vloersoorten[],3,FALSE)*VLOOKUP($R105,Frequenties[],3,FALSE)*VLOOKUP($A105,Locaties[],3,FALSE),0)</f>
        <v>0</v>
      </c>
      <c r="U105" s="149">
        <f>Ruimtestaat[[#This Row],[Uitvoeringen werkdagen]]*Ruimtestaat[[#This Row],[Oppervlak (netto)]]</f>
        <v>14719.999999999998</v>
      </c>
      <c r="V105" s="179">
        <f>IF(T105&gt;0,Ruimtestaat[[#This Row],[Prest. (m2 /jaar) werkdagen]]/Ruimtestaat[[#This Row],[Norm (m2/uur) werkdagen]],0)</f>
        <v>0</v>
      </c>
      <c r="W105" s="180">
        <f>Ruimtestaat[[#This Row],[uren / jaar werkdagen]]*Tariefsopbouw!$E$35</f>
        <v>0</v>
      </c>
      <c r="X105" s="149"/>
      <c r="Y105" s="149">
        <f>IF(Ruimtestaat[[#This Row],[Frequentie weekend]]&gt;0,VALUE(LEFT(X105,1))*Q105,0)</f>
        <v>0</v>
      </c>
      <c r="Z105" s="148">
        <f>IF($Y105&gt;0,VLOOKUP($J105,Ruimtegroepen[],3,FALSE)*VLOOKUP($L105,Vloersoorten[],3,FALSE)*VLOOKUP($X105,Frequenties[],3,FALSE)*VLOOKUP(Ruimtestaat[[#This Row],[Code]],Locaties[],3,FALSE),0)</f>
        <v>0</v>
      </c>
      <c r="AA105" s="148">
        <f>Ruimtestaat[[#This Row],[Uitvoeringen weekend]]*Ruimtestaat[[#This Row],[Oppervlak (netto)]]</f>
        <v>0</v>
      </c>
      <c r="AB105" s="148">
        <f>IF(Z105&gt;0,Ruimtestaat[[#This Row],[Prest. (m2 /jaar) weekend]]/Ruimtestaat[[#This Row],[Norm (m2/uur) weekend]],0)</f>
        <v>0</v>
      </c>
      <c r="AC105" s="180">
        <f>Ruimtestaat[[#This Row],[uren / jaar weekend]]*Tariefsopbouw!$D$40</f>
        <v>0</v>
      </c>
      <c r="AD105" s="179">
        <f>Ruimtestaat[[#This Row],[Prest. (m2 /jaar) weekend]]+Ruimtestaat[[#This Row],[Prest. (m2 /jaar) werkdagen]]</f>
        <v>14719.999999999998</v>
      </c>
      <c r="AE105" s="179">
        <f>Ruimtestaat[[#This Row],[uren / jaar weekend]]+Ruimtestaat[[#This Row],[uren / jaar werkdagen]]</f>
        <v>0</v>
      </c>
      <c r="AF105" s="174">
        <f>Ruimtestaat[[#This Row],[kosten / jaar weekend]]+Ruimtestaat[[#This Row],[kosten / jaar werkdagen]]</f>
        <v>0</v>
      </c>
      <c r="AG105" s="174"/>
      <c r="AH105" s="181" t="str">
        <f>IF(Ruimtestaat[[#This Row],[Frequentie werkdagen]]="","",_xlfn.CONCAT(Ruimtestaat[[#This Row],[Ruimte code]],"-",Ruimtestaat[[#This Row],[Frequentie werkdagen]]," ",Ruimtestaat[[#This Row],[Vloer code]]))</f>
        <v>16-5w L</v>
      </c>
      <c r="AI105" s="185" t="str">
        <f>_xlfn.IFNA(VLOOKUP($AH105,Programma!$F$3:$G$1101,2,0),"")</f>
        <v>_</v>
      </c>
      <c r="AJ105" s="185" t="str">
        <f>_xlfn.IFNA(VLOOKUP($AH105,Programma!$F$3:$H$1101,3,0),"")</f>
        <v>_</v>
      </c>
      <c r="AK105" s="185" t="str">
        <f>_xlfn.IFNA(VLOOKUP($AH105,Programma!$F$3:$I$1101,4,0),"")</f>
        <v>4w</v>
      </c>
      <c r="AL105" s="185" t="str">
        <f>_xlfn.IFNA(VLOOKUP($AH105,Programma!$F$3:$J$1101,5,0),"")</f>
        <v>1w</v>
      </c>
      <c r="AM105" s="185" t="str">
        <f>_xlfn.IFNA(VLOOKUP($AH105,Programma!$F$3:$K$1101,6,0),"")</f>
        <v>_</v>
      </c>
      <c r="AN105" s="185" t="str">
        <f>_xlfn.IFNA(VLOOKUP($AH105,Programma!$F$3:$L$1101,7,0),"")</f>
        <v>_</v>
      </c>
      <c r="AO105" s="185" t="str">
        <f>_xlfn.IFNA(VLOOKUP($AH105,Programma!$F$3:$M$1101,8,0),"")</f>
        <v>_</v>
      </c>
      <c r="AP105" s="185" t="str">
        <f>_xlfn.IFNA(VLOOKUP($AH105,Programma!$F$3:$N$1101,9,0),"")</f>
        <v>_</v>
      </c>
      <c r="AQ105" s="185" t="str">
        <f>_xlfn.IFNA(VLOOKUP($AH105,Programma!$F$3:$O$1101,10,0),"")</f>
        <v>5w</v>
      </c>
      <c r="AR105" s="185" t="str">
        <f>_xlfn.IFNA(VLOOKUP($AH105,Programma!$F$3:$P$1101,11,0),"")</f>
        <v>5w</v>
      </c>
      <c r="AS105" s="185" t="str">
        <f>_xlfn.IFNA(VLOOKUP($AH105,Programma!$F$3:$Q$1101,12,0),"")</f>
        <v>1w</v>
      </c>
      <c r="AT105" s="185" t="str">
        <f>_xlfn.IFNA(VLOOKUP($AH105,Programma!$F$3:$R$1101,13,0),"")</f>
        <v>1w</v>
      </c>
      <c r="AU105" s="185" t="str">
        <f>_xlfn.IFNA(VLOOKUP($AH105,Programma!$F$3:$S$1101,14,0),"")</f>
        <v>1m</v>
      </c>
      <c r="AV105" s="185" t="str">
        <f>_xlfn.IFNA(VLOOKUP($AH105,Programma!$F$3:$T$1101,15,0),"")</f>
        <v>2j</v>
      </c>
      <c r="AW105" s="185" t="str">
        <f>_xlfn.IFNA(VLOOKUP($AH105,Programma!$F$3:$U$1101,16,0),"")</f>
        <v>1j</v>
      </c>
      <c r="AX105" s="185" t="str">
        <f>_xlfn.IFNA(VLOOKUP($AH105,Programma!$F$3:$V$1101,17,0),"")</f>
        <v>_</v>
      </c>
      <c r="AY105" s="185" t="str">
        <f>_xlfn.IFNA(VLOOKUP($AH105,Programma!$F$3:$W$1101,18,0),"")</f>
        <v>_</v>
      </c>
      <c r="AZ105" s="185" t="str">
        <f>_xlfn.IFNA(VLOOKUP($AH105,Programma!$F$3:$X$1101,19,0),"")</f>
        <v>_</v>
      </c>
      <c r="BA105" s="185" t="str">
        <f>_xlfn.IFNA(VLOOKUP($AH105,Programma!$F$3:$Y$1101,20,0),"")</f>
        <v>_</v>
      </c>
      <c r="BB105" s="182"/>
      <c r="BC105" s="181" t="str">
        <f>IF(Ruimtestaat[[#This Row],[Frequentie weekend]]="","",_xlfn.CONCAT(Ruimtestaat[[#This Row],[Ruimte code]],"-",Ruimtestaat[[#This Row],[Frequentie weekend]]," ",Ruimtestaat[[#This Row],[Vloer code]]))</f>
        <v/>
      </c>
      <c r="BD105" s="185" t="str">
        <f>_xlfn.IFNA(VLOOKUP($BC105,Programma!$F$3:$G$1101,2,0),"")</f>
        <v/>
      </c>
      <c r="BE105" s="185" t="str">
        <f>_xlfn.IFNA(VLOOKUP($BC105,Programma!$F$3:$H$1101,3,0),"")</f>
        <v/>
      </c>
      <c r="BF105" s="185" t="str">
        <f>_xlfn.IFNA(VLOOKUP($BC105,Programma!$F$3:$I$1101,4,0),"")</f>
        <v/>
      </c>
      <c r="BG105" s="185" t="str">
        <f>_xlfn.IFNA(VLOOKUP($BC105,Programma!$F$3:$J$1101,5,0),"")</f>
        <v/>
      </c>
      <c r="BH105" s="185" t="str">
        <f>_xlfn.IFNA(VLOOKUP($BC105,Programma!$F$3:$K$1101,6,0),"")</f>
        <v/>
      </c>
      <c r="BI105" s="185" t="str">
        <f>_xlfn.IFNA(VLOOKUP($BC105,Programma!$F$3:$L$1101,7,0),"")</f>
        <v/>
      </c>
      <c r="BJ105" s="185" t="str">
        <f>_xlfn.IFNA(VLOOKUP($BC105,Programma!$F$3:$M$1101,8,0),"")</f>
        <v/>
      </c>
      <c r="BK105" s="185" t="str">
        <f>_xlfn.IFNA(VLOOKUP($BC105,Programma!$F$3:$N$1101,9,0),"")</f>
        <v/>
      </c>
      <c r="BL105" s="185" t="str">
        <f>_xlfn.IFNA(VLOOKUP($BC105,Programma!$F$3:$O$1101,10,0),"")</f>
        <v/>
      </c>
      <c r="BM105" s="185" t="str">
        <f>_xlfn.IFNA(VLOOKUP($BC105,Programma!$F$3:$P$1101,11,0),"")</f>
        <v/>
      </c>
      <c r="BN105" s="185" t="str">
        <f>_xlfn.IFNA(VLOOKUP($BC105,Programma!$F$3:$Q$1101,12,0),"")</f>
        <v/>
      </c>
      <c r="BO105" s="185" t="str">
        <f>_xlfn.IFNA(VLOOKUP($BC105,Programma!$F$3:$R$1101,13,0),"")</f>
        <v/>
      </c>
      <c r="BP105" s="185" t="str">
        <f>_xlfn.IFNA(VLOOKUP($BC105,Programma!$F$3:$S$1101,14,0),"")</f>
        <v/>
      </c>
      <c r="BQ105" s="185" t="str">
        <f>_xlfn.IFNA(VLOOKUP($BC105,Programma!$F$3:$T$1101,15,0),"")</f>
        <v/>
      </c>
      <c r="BR105" s="185" t="str">
        <f>_xlfn.IFNA(VLOOKUP($BC105,Programma!$F$3:$U$1101,16,0),"")</f>
        <v/>
      </c>
      <c r="BS105" s="185" t="str">
        <f>_xlfn.IFNA(VLOOKUP($BC105,Programma!$F$3:$V$1101,17,0),"")</f>
        <v/>
      </c>
      <c r="BT105" s="185" t="str">
        <f>_xlfn.IFNA(VLOOKUP($BC105,Programma!$F$3:$W$1101,18,0),"")</f>
        <v/>
      </c>
      <c r="BU105" s="185" t="str">
        <f>_xlfn.IFNA(VLOOKUP($BC105,Programma!$F$3:$X$1101,19,0),"")</f>
        <v/>
      </c>
      <c r="BV105" s="185" t="str">
        <f>_xlfn.IFNA(VLOOKUP($BC105,Programma!$F$3:$Y$1101,20,0),"")</f>
        <v/>
      </c>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c r="EO105" s="78"/>
      <c r="EP105" s="78"/>
      <c r="EQ105" s="78"/>
      <c r="ER105" s="78"/>
      <c r="ES105" s="78"/>
      <c r="ET105" s="78"/>
      <c r="EU105" s="78"/>
      <c r="EV105" s="78"/>
      <c r="EW105" s="78"/>
      <c r="EX105" s="78"/>
      <c r="EY105" s="78"/>
      <c r="EZ105" s="78"/>
      <c r="FA105" s="78"/>
      <c r="FB105" s="78"/>
      <c r="FC105" s="78"/>
      <c r="FD105" s="78"/>
      <c r="FE105" s="78"/>
      <c r="FF105" s="78"/>
      <c r="FG105" s="78"/>
      <c r="FH105" s="78"/>
      <c r="FI105" s="78"/>
      <c r="FJ105" s="78"/>
      <c r="FK105" s="78"/>
      <c r="FL105" s="78"/>
      <c r="FM105" s="78"/>
      <c r="FN105" s="78"/>
      <c r="FO105" s="78"/>
      <c r="FP105" s="78"/>
      <c r="FQ105" s="78"/>
      <c r="FR105" s="78"/>
      <c r="FS105" s="78"/>
      <c r="FT105" s="78"/>
      <c r="FU105" s="78"/>
      <c r="FV105" s="78"/>
      <c r="FW105" s="78"/>
      <c r="FX105" s="78"/>
      <c r="FY105" s="78"/>
      <c r="FZ105" s="78"/>
      <c r="GA105" s="78"/>
      <c r="GB105" s="78"/>
      <c r="GC105" s="78"/>
      <c r="GD105" s="78"/>
      <c r="GE105" s="78"/>
      <c r="GF105" s="78"/>
      <c r="GG105" s="78"/>
      <c r="GH105" s="78"/>
      <c r="GI105" s="78"/>
      <c r="GJ105" s="78"/>
      <c r="GK105" s="78"/>
      <c r="GL105" s="78"/>
      <c r="GM105" s="78"/>
      <c r="GN105" s="78"/>
      <c r="GO105" s="78"/>
      <c r="GP105" s="78"/>
      <c r="GQ105" s="78"/>
      <c r="GR105" s="78"/>
      <c r="GS105" s="78"/>
      <c r="GT105" s="78"/>
      <c r="GU105" s="78"/>
      <c r="GV105" s="78"/>
      <c r="GW105" s="78"/>
      <c r="GX105" s="78"/>
      <c r="GY105" s="78"/>
      <c r="GZ105" s="78"/>
      <c r="HA105" s="78"/>
      <c r="HB105" s="78"/>
      <c r="HC105" s="78"/>
      <c r="HD105" s="78"/>
      <c r="HE105" s="78"/>
      <c r="HF105" s="78"/>
      <c r="HG105" s="78"/>
      <c r="HH105" s="78"/>
      <c r="HI105" s="78"/>
      <c r="HJ105" s="78"/>
      <c r="HK105" s="78"/>
    </row>
    <row r="106" spans="1:219" ht="15" customHeight="1">
      <c r="A106" s="149">
        <v>4</v>
      </c>
      <c r="B106" s="176" t="str">
        <f>VLOOKUP(Ruimtestaat[[#This Row],[Code]],Locaties[[Code]:[Locatie]],2,FALSE)</f>
        <v>OBS De Sterrenborgh</v>
      </c>
      <c r="C106" s="176" t="str">
        <f>VLOOKUP(Ruimtestaat[[#This Row],[Code]],Locaties[[#All],[Code]:[Adres]],4,FALSE)</f>
        <v>Runenberghoek 5</v>
      </c>
      <c r="D106" s="176" t="str">
        <f>VLOOKUP(Ruimtestaat[[#This Row],[Code]],Locaties[[#All],[Code]:[Postcode]],5,FALSE)</f>
        <v>7546 EG</v>
      </c>
      <c r="E106" s="176" t="str">
        <f>VLOOKUP(Ruimtestaat[[#This Row],[Code]],Locaties[#All],6,FALSE)</f>
        <v>Enschede</v>
      </c>
      <c r="F106" s="149"/>
      <c r="G106" s="149" t="s">
        <v>1646</v>
      </c>
      <c r="H106" s="300" t="s">
        <v>1660</v>
      </c>
      <c r="I106" s="301" t="s">
        <v>1651</v>
      </c>
      <c r="J106" s="99">
        <v>16</v>
      </c>
      <c r="K106" s="183" t="str">
        <f>VLOOKUP(Ruimtestaat[[#This Row],[Ruimte code]],Ruimtegroepen[[#All],[Code]:[Ruimte omschrijving]],2,FALSE)</f>
        <v>Leslokalen</v>
      </c>
      <c r="L106" s="149" t="s">
        <v>100</v>
      </c>
      <c r="M106" s="301" t="s">
        <v>1697</v>
      </c>
      <c r="N106" s="177">
        <v>59.7</v>
      </c>
      <c r="O106" s="177"/>
      <c r="P106" s="178" t="str">
        <f>VLOOKUP(Ruimtestaat[[#This Row],[Ruimte code]],Ruimtegroepen[],4,FALSE)</f>
        <v>Le</v>
      </c>
      <c r="Q106" s="149">
        <v>40</v>
      </c>
      <c r="R106" s="149" t="s">
        <v>2</v>
      </c>
      <c r="S106" s="149">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149">
        <f>IF(S106&gt;0,VLOOKUP($J106,Ruimtegroepen[],3,FALSE)*VLOOKUP($L106,Vloersoorten[],3,FALSE)*VLOOKUP($R106,Frequenties[],3,FALSE)*VLOOKUP($A106,Locaties[],3,FALSE),0)</f>
        <v>0</v>
      </c>
      <c r="U106" s="149">
        <f>Ruimtestaat[[#This Row],[Uitvoeringen werkdagen]]*Ruimtestaat[[#This Row],[Oppervlak (netto)]]</f>
        <v>11940</v>
      </c>
      <c r="V106" s="179">
        <f>IF(T106&gt;0,Ruimtestaat[[#This Row],[Prest. (m2 /jaar) werkdagen]]/Ruimtestaat[[#This Row],[Norm (m2/uur) werkdagen]],0)</f>
        <v>0</v>
      </c>
      <c r="W106" s="180">
        <f>Ruimtestaat[[#This Row],[uren / jaar werkdagen]]*Tariefsopbouw!$E$35</f>
        <v>0</v>
      </c>
      <c r="X106" s="149"/>
      <c r="Y106" s="149">
        <f>IF(Ruimtestaat[[#This Row],[Frequentie weekend]]&gt;0,VALUE(LEFT(X106,1))*Q106,0)</f>
        <v>0</v>
      </c>
      <c r="Z106" s="148">
        <f>IF($Y106&gt;0,VLOOKUP($J106,Ruimtegroepen[],3,FALSE)*VLOOKUP($L106,Vloersoorten[],3,FALSE)*VLOOKUP($X106,Frequenties[],3,FALSE)*VLOOKUP(Ruimtestaat[[#This Row],[Code]],Locaties[],3,FALSE),0)</f>
        <v>0</v>
      </c>
      <c r="AA106" s="148">
        <f>Ruimtestaat[[#This Row],[Uitvoeringen weekend]]*Ruimtestaat[[#This Row],[Oppervlak (netto)]]</f>
        <v>0</v>
      </c>
      <c r="AB106" s="148">
        <f>IF(Z106&gt;0,Ruimtestaat[[#This Row],[Prest. (m2 /jaar) weekend]]/Ruimtestaat[[#This Row],[Norm (m2/uur) weekend]],0)</f>
        <v>0</v>
      </c>
      <c r="AC106" s="180">
        <f>Ruimtestaat[[#This Row],[uren / jaar weekend]]*Tariefsopbouw!$D$40</f>
        <v>0</v>
      </c>
      <c r="AD106" s="179">
        <f>Ruimtestaat[[#This Row],[Prest. (m2 /jaar) weekend]]+Ruimtestaat[[#This Row],[Prest. (m2 /jaar) werkdagen]]</f>
        <v>11940</v>
      </c>
      <c r="AE106" s="179">
        <f>Ruimtestaat[[#This Row],[uren / jaar weekend]]+Ruimtestaat[[#This Row],[uren / jaar werkdagen]]</f>
        <v>0</v>
      </c>
      <c r="AF106" s="174">
        <f>Ruimtestaat[[#This Row],[kosten / jaar weekend]]+Ruimtestaat[[#This Row],[kosten / jaar werkdagen]]</f>
        <v>0</v>
      </c>
      <c r="AG106" s="174"/>
      <c r="AH106" s="181" t="str">
        <f>IF(Ruimtestaat[[#This Row],[Frequentie werkdagen]]="","",_xlfn.CONCAT(Ruimtestaat[[#This Row],[Ruimte code]],"-",Ruimtestaat[[#This Row],[Frequentie werkdagen]]," ",Ruimtestaat[[#This Row],[Vloer code]]))</f>
        <v>16-5w L</v>
      </c>
      <c r="AI106" s="185" t="str">
        <f>_xlfn.IFNA(VLOOKUP($AH106,Programma!$F$3:$G$1101,2,0),"")</f>
        <v>_</v>
      </c>
      <c r="AJ106" s="185" t="str">
        <f>_xlfn.IFNA(VLOOKUP($AH106,Programma!$F$3:$H$1101,3,0),"")</f>
        <v>_</v>
      </c>
      <c r="AK106" s="185" t="str">
        <f>_xlfn.IFNA(VLOOKUP($AH106,Programma!$F$3:$I$1101,4,0),"")</f>
        <v>4w</v>
      </c>
      <c r="AL106" s="185" t="str">
        <f>_xlfn.IFNA(VLOOKUP($AH106,Programma!$F$3:$J$1101,5,0),"")</f>
        <v>1w</v>
      </c>
      <c r="AM106" s="185" t="str">
        <f>_xlfn.IFNA(VLOOKUP($AH106,Programma!$F$3:$K$1101,6,0),"")</f>
        <v>_</v>
      </c>
      <c r="AN106" s="185" t="str">
        <f>_xlfn.IFNA(VLOOKUP($AH106,Programma!$F$3:$L$1101,7,0),"")</f>
        <v>_</v>
      </c>
      <c r="AO106" s="185" t="str">
        <f>_xlfn.IFNA(VLOOKUP($AH106,Programma!$F$3:$M$1101,8,0),"")</f>
        <v>_</v>
      </c>
      <c r="AP106" s="185" t="str">
        <f>_xlfn.IFNA(VLOOKUP($AH106,Programma!$F$3:$N$1101,9,0),"")</f>
        <v>_</v>
      </c>
      <c r="AQ106" s="185" t="str">
        <f>_xlfn.IFNA(VLOOKUP($AH106,Programma!$F$3:$O$1101,10,0),"")</f>
        <v>5w</v>
      </c>
      <c r="AR106" s="185" t="str">
        <f>_xlfn.IFNA(VLOOKUP($AH106,Programma!$F$3:$P$1101,11,0),"")</f>
        <v>5w</v>
      </c>
      <c r="AS106" s="185" t="str">
        <f>_xlfn.IFNA(VLOOKUP($AH106,Programma!$F$3:$Q$1101,12,0),"")</f>
        <v>1w</v>
      </c>
      <c r="AT106" s="185" t="str">
        <f>_xlfn.IFNA(VLOOKUP($AH106,Programma!$F$3:$R$1101,13,0),"")</f>
        <v>1w</v>
      </c>
      <c r="AU106" s="185" t="str">
        <f>_xlfn.IFNA(VLOOKUP($AH106,Programma!$F$3:$S$1101,14,0),"")</f>
        <v>1m</v>
      </c>
      <c r="AV106" s="185" t="str">
        <f>_xlfn.IFNA(VLOOKUP($AH106,Programma!$F$3:$T$1101,15,0),"")</f>
        <v>2j</v>
      </c>
      <c r="AW106" s="185" t="str">
        <f>_xlfn.IFNA(VLOOKUP($AH106,Programma!$F$3:$U$1101,16,0),"")</f>
        <v>1j</v>
      </c>
      <c r="AX106" s="185" t="str">
        <f>_xlfn.IFNA(VLOOKUP($AH106,Programma!$F$3:$V$1101,17,0),"")</f>
        <v>_</v>
      </c>
      <c r="AY106" s="185" t="str">
        <f>_xlfn.IFNA(VLOOKUP($AH106,Programma!$F$3:$W$1101,18,0),"")</f>
        <v>_</v>
      </c>
      <c r="AZ106" s="185" t="str">
        <f>_xlfn.IFNA(VLOOKUP($AH106,Programma!$F$3:$X$1101,19,0),"")</f>
        <v>_</v>
      </c>
      <c r="BA106" s="185" t="str">
        <f>_xlfn.IFNA(VLOOKUP($AH106,Programma!$F$3:$Y$1101,20,0),"")</f>
        <v>_</v>
      </c>
      <c r="BB106" s="182"/>
      <c r="BC106" s="181" t="str">
        <f>IF(Ruimtestaat[[#This Row],[Frequentie weekend]]="","",_xlfn.CONCAT(Ruimtestaat[[#This Row],[Ruimte code]],"-",Ruimtestaat[[#This Row],[Frequentie weekend]]," ",Ruimtestaat[[#This Row],[Vloer code]]))</f>
        <v/>
      </c>
      <c r="BD106" s="185" t="str">
        <f>_xlfn.IFNA(VLOOKUP($BC106,Programma!$F$3:$G$1101,2,0),"")</f>
        <v/>
      </c>
      <c r="BE106" s="185" t="str">
        <f>_xlfn.IFNA(VLOOKUP($BC106,Programma!$F$3:$H$1101,3,0),"")</f>
        <v/>
      </c>
      <c r="BF106" s="185" t="str">
        <f>_xlfn.IFNA(VLOOKUP($BC106,Programma!$F$3:$I$1101,4,0),"")</f>
        <v/>
      </c>
      <c r="BG106" s="185" t="str">
        <f>_xlfn.IFNA(VLOOKUP($BC106,Programma!$F$3:$J$1101,5,0),"")</f>
        <v/>
      </c>
      <c r="BH106" s="185" t="str">
        <f>_xlfn.IFNA(VLOOKUP($BC106,Programma!$F$3:$K$1101,6,0),"")</f>
        <v/>
      </c>
      <c r="BI106" s="185" t="str">
        <f>_xlfn.IFNA(VLOOKUP($BC106,Programma!$F$3:$L$1101,7,0),"")</f>
        <v/>
      </c>
      <c r="BJ106" s="185" t="str">
        <f>_xlfn.IFNA(VLOOKUP($BC106,Programma!$F$3:$M$1101,8,0),"")</f>
        <v/>
      </c>
      <c r="BK106" s="185" t="str">
        <f>_xlfn.IFNA(VLOOKUP($BC106,Programma!$F$3:$N$1101,9,0),"")</f>
        <v/>
      </c>
      <c r="BL106" s="185" t="str">
        <f>_xlfn.IFNA(VLOOKUP($BC106,Programma!$F$3:$O$1101,10,0),"")</f>
        <v/>
      </c>
      <c r="BM106" s="185" t="str">
        <f>_xlfn.IFNA(VLOOKUP($BC106,Programma!$F$3:$P$1101,11,0),"")</f>
        <v/>
      </c>
      <c r="BN106" s="185" t="str">
        <f>_xlfn.IFNA(VLOOKUP($BC106,Programma!$F$3:$Q$1101,12,0),"")</f>
        <v/>
      </c>
      <c r="BO106" s="185" t="str">
        <f>_xlfn.IFNA(VLOOKUP($BC106,Programma!$F$3:$R$1101,13,0),"")</f>
        <v/>
      </c>
      <c r="BP106" s="185" t="str">
        <f>_xlfn.IFNA(VLOOKUP($BC106,Programma!$F$3:$S$1101,14,0),"")</f>
        <v/>
      </c>
      <c r="BQ106" s="185" t="str">
        <f>_xlfn.IFNA(VLOOKUP($BC106,Programma!$F$3:$T$1101,15,0),"")</f>
        <v/>
      </c>
      <c r="BR106" s="185" t="str">
        <f>_xlfn.IFNA(VLOOKUP($BC106,Programma!$F$3:$U$1101,16,0),"")</f>
        <v/>
      </c>
      <c r="BS106" s="185" t="str">
        <f>_xlfn.IFNA(VLOOKUP($BC106,Programma!$F$3:$V$1101,17,0),"")</f>
        <v/>
      </c>
      <c r="BT106" s="185" t="str">
        <f>_xlfn.IFNA(VLOOKUP($BC106,Programma!$F$3:$W$1101,18,0),"")</f>
        <v/>
      </c>
      <c r="BU106" s="185" t="str">
        <f>_xlfn.IFNA(VLOOKUP($BC106,Programma!$F$3:$X$1101,19,0),"")</f>
        <v/>
      </c>
      <c r="BV106" s="185" t="str">
        <f>_xlfn.IFNA(VLOOKUP($BC106,Programma!$F$3:$Y$1101,20,0),"")</f>
        <v/>
      </c>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c r="EO106" s="78"/>
      <c r="EP106" s="78"/>
      <c r="EQ106" s="78"/>
      <c r="ER106" s="78"/>
      <c r="ES106" s="78"/>
      <c r="ET106" s="78"/>
      <c r="EU106" s="78"/>
      <c r="EV106" s="78"/>
      <c r="EW106" s="78"/>
      <c r="EX106" s="78"/>
      <c r="EY106" s="78"/>
      <c r="EZ106" s="78"/>
      <c r="FA106" s="78"/>
      <c r="FB106" s="78"/>
      <c r="FC106" s="78"/>
      <c r="FD106" s="78"/>
      <c r="FE106" s="78"/>
      <c r="FF106" s="78"/>
      <c r="FG106" s="78"/>
      <c r="FH106" s="78"/>
      <c r="FI106" s="78"/>
      <c r="FJ106" s="78"/>
      <c r="FK106" s="78"/>
      <c r="FL106" s="78"/>
      <c r="FM106" s="78"/>
      <c r="FN106" s="78"/>
      <c r="FO106" s="78"/>
      <c r="FP106" s="78"/>
      <c r="FQ106" s="78"/>
      <c r="FR106" s="78"/>
      <c r="FS106" s="78"/>
      <c r="FT106" s="78"/>
      <c r="FU106" s="78"/>
      <c r="FV106" s="78"/>
      <c r="FW106" s="78"/>
      <c r="FX106" s="78"/>
      <c r="FY106" s="78"/>
      <c r="FZ106" s="78"/>
      <c r="GA106" s="78"/>
      <c r="GB106" s="78"/>
      <c r="GC106" s="78"/>
      <c r="GD106" s="78"/>
      <c r="GE106" s="78"/>
      <c r="GF106" s="78"/>
      <c r="GG106" s="78"/>
      <c r="GH106" s="78"/>
      <c r="GI106" s="78"/>
      <c r="GJ106" s="78"/>
      <c r="GK106" s="78"/>
      <c r="GL106" s="78"/>
      <c r="GM106" s="78"/>
      <c r="GN106" s="78"/>
      <c r="GO106" s="78"/>
      <c r="GP106" s="78"/>
      <c r="GQ106" s="78"/>
      <c r="GR106" s="78"/>
      <c r="GS106" s="78"/>
      <c r="GT106" s="78"/>
      <c r="GU106" s="78"/>
      <c r="GV106" s="78"/>
      <c r="GW106" s="78"/>
      <c r="GX106" s="78"/>
      <c r="GY106" s="78"/>
      <c r="GZ106" s="78"/>
      <c r="HA106" s="78"/>
      <c r="HB106" s="78"/>
      <c r="HC106" s="78"/>
      <c r="HD106" s="78"/>
      <c r="HE106" s="78"/>
      <c r="HF106" s="78"/>
      <c r="HG106" s="78"/>
      <c r="HH106" s="78"/>
      <c r="HI106" s="78"/>
      <c r="HJ106" s="78"/>
      <c r="HK106" s="78"/>
    </row>
    <row r="107" spans="1:219" ht="15" customHeight="1">
      <c r="A107" s="149">
        <v>4</v>
      </c>
      <c r="B107" s="176" t="str">
        <f>VLOOKUP(Ruimtestaat[[#This Row],[Code]],Locaties[[Code]:[Locatie]],2,FALSE)</f>
        <v>OBS De Sterrenborgh</v>
      </c>
      <c r="C107" s="176" t="str">
        <f>VLOOKUP(Ruimtestaat[[#This Row],[Code]],Locaties[[#All],[Code]:[Adres]],4,FALSE)</f>
        <v>Runenberghoek 5</v>
      </c>
      <c r="D107" s="176" t="str">
        <f>VLOOKUP(Ruimtestaat[[#This Row],[Code]],Locaties[[#All],[Code]:[Postcode]],5,FALSE)</f>
        <v>7546 EG</v>
      </c>
      <c r="E107" s="176" t="str">
        <f>VLOOKUP(Ruimtestaat[[#This Row],[Code]],Locaties[#All],6,FALSE)</f>
        <v>Enschede</v>
      </c>
      <c r="F107" s="149"/>
      <c r="G107" s="149" t="s">
        <v>1646</v>
      </c>
      <c r="H107" s="300" t="s">
        <v>1661</v>
      </c>
      <c r="I107" s="301" t="s">
        <v>1651</v>
      </c>
      <c r="J107" s="99">
        <v>16</v>
      </c>
      <c r="K107" s="183" t="str">
        <f>VLOOKUP(Ruimtestaat[[#This Row],[Ruimte code]],Ruimtegroepen[[#All],[Code]:[Ruimte omschrijving]],2,FALSE)</f>
        <v>Leslokalen</v>
      </c>
      <c r="L107" s="149" t="s">
        <v>100</v>
      </c>
      <c r="M107" s="301" t="s">
        <v>1697</v>
      </c>
      <c r="N107" s="177">
        <v>65.900000000000006</v>
      </c>
      <c r="O107" s="177"/>
      <c r="P107" s="178" t="str">
        <f>VLOOKUP(Ruimtestaat[[#This Row],[Ruimte code]],Ruimtegroepen[],4,FALSE)</f>
        <v>Le</v>
      </c>
      <c r="Q107" s="149">
        <v>40</v>
      </c>
      <c r="R107" s="149" t="s">
        <v>2</v>
      </c>
      <c r="S107" s="149">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7" s="149">
        <f>IF(S107&gt;0,VLOOKUP($J107,Ruimtegroepen[],3,FALSE)*VLOOKUP($L107,Vloersoorten[],3,FALSE)*VLOOKUP($R107,Frequenties[],3,FALSE)*VLOOKUP($A107,Locaties[],3,FALSE),0)</f>
        <v>0</v>
      </c>
      <c r="U107" s="149">
        <f>Ruimtestaat[[#This Row],[Uitvoeringen werkdagen]]*Ruimtestaat[[#This Row],[Oppervlak (netto)]]</f>
        <v>13180.000000000002</v>
      </c>
      <c r="V107" s="179">
        <f>IF(T107&gt;0,Ruimtestaat[[#This Row],[Prest. (m2 /jaar) werkdagen]]/Ruimtestaat[[#This Row],[Norm (m2/uur) werkdagen]],0)</f>
        <v>0</v>
      </c>
      <c r="W107" s="180">
        <f>Ruimtestaat[[#This Row],[uren / jaar werkdagen]]*Tariefsopbouw!$E$35</f>
        <v>0</v>
      </c>
      <c r="X107" s="149"/>
      <c r="Y107" s="149">
        <f>IF(Ruimtestaat[[#This Row],[Frequentie weekend]]&gt;0,VALUE(LEFT(X107,1))*Q107,0)</f>
        <v>0</v>
      </c>
      <c r="Z107" s="148">
        <f>IF($Y107&gt;0,VLOOKUP($J107,Ruimtegroepen[],3,FALSE)*VLOOKUP($L107,Vloersoorten[],3,FALSE)*VLOOKUP($X107,Frequenties[],3,FALSE)*VLOOKUP(Ruimtestaat[[#This Row],[Code]],Locaties[],3,FALSE),0)</f>
        <v>0</v>
      </c>
      <c r="AA107" s="148">
        <f>Ruimtestaat[[#This Row],[Uitvoeringen weekend]]*Ruimtestaat[[#This Row],[Oppervlak (netto)]]</f>
        <v>0</v>
      </c>
      <c r="AB107" s="148">
        <f>IF(Z107&gt;0,Ruimtestaat[[#This Row],[Prest. (m2 /jaar) weekend]]/Ruimtestaat[[#This Row],[Norm (m2/uur) weekend]],0)</f>
        <v>0</v>
      </c>
      <c r="AC107" s="180">
        <f>Ruimtestaat[[#This Row],[uren / jaar weekend]]*Tariefsopbouw!$D$40</f>
        <v>0</v>
      </c>
      <c r="AD107" s="179">
        <f>Ruimtestaat[[#This Row],[Prest. (m2 /jaar) weekend]]+Ruimtestaat[[#This Row],[Prest. (m2 /jaar) werkdagen]]</f>
        <v>13180.000000000002</v>
      </c>
      <c r="AE107" s="179">
        <f>Ruimtestaat[[#This Row],[uren / jaar weekend]]+Ruimtestaat[[#This Row],[uren / jaar werkdagen]]</f>
        <v>0</v>
      </c>
      <c r="AF107" s="174">
        <f>Ruimtestaat[[#This Row],[kosten / jaar weekend]]+Ruimtestaat[[#This Row],[kosten / jaar werkdagen]]</f>
        <v>0</v>
      </c>
      <c r="AG107" s="174"/>
      <c r="AH107" s="181" t="str">
        <f>IF(Ruimtestaat[[#This Row],[Frequentie werkdagen]]="","",_xlfn.CONCAT(Ruimtestaat[[#This Row],[Ruimte code]],"-",Ruimtestaat[[#This Row],[Frequentie werkdagen]]," ",Ruimtestaat[[#This Row],[Vloer code]]))</f>
        <v>16-5w L</v>
      </c>
      <c r="AI107" s="185" t="str">
        <f>_xlfn.IFNA(VLOOKUP($AH107,Programma!$F$3:$G$1101,2,0),"")</f>
        <v>_</v>
      </c>
      <c r="AJ107" s="185" t="str">
        <f>_xlfn.IFNA(VLOOKUP($AH107,Programma!$F$3:$H$1101,3,0),"")</f>
        <v>_</v>
      </c>
      <c r="AK107" s="185" t="str">
        <f>_xlfn.IFNA(VLOOKUP($AH107,Programma!$F$3:$I$1101,4,0),"")</f>
        <v>4w</v>
      </c>
      <c r="AL107" s="185" t="str">
        <f>_xlfn.IFNA(VLOOKUP($AH107,Programma!$F$3:$J$1101,5,0),"")</f>
        <v>1w</v>
      </c>
      <c r="AM107" s="185" t="str">
        <f>_xlfn.IFNA(VLOOKUP($AH107,Programma!$F$3:$K$1101,6,0),"")</f>
        <v>_</v>
      </c>
      <c r="AN107" s="185" t="str">
        <f>_xlfn.IFNA(VLOOKUP($AH107,Programma!$F$3:$L$1101,7,0),"")</f>
        <v>_</v>
      </c>
      <c r="AO107" s="185" t="str">
        <f>_xlfn.IFNA(VLOOKUP($AH107,Programma!$F$3:$M$1101,8,0),"")</f>
        <v>_</v>
      </c>
      <c r="AP107" s="185" t="str">
        <f>_xlfn.IFNA(VLOOKUP($AH107,Programma!$F$3:$N$1101,9,0),"")</f>
        <v>_</v>
      </c>
      <c r="AQ107" s="185" t="str">
        <f>_xlfn.IFNA(VLOOKUP($AH107,Programma!$F$3:$O$1101,10,0),"")</f>
        <v>5w</v>
      </c>
      <c r="AR107" s="185" t="str">
        <f>_xlfn.IFNA(VLOOKUP($AH107,Programma!$F$3:$P$1101,11,0),"")</f>
        <v>5w</v>
      </c>
      <c r="AS107" s="185" t="str">
        <f>_xlfn.IFNA(VLOOKUP($AH107,Programma!$F$3:$Q$1101,12,0),"")</f>
        <v>1w</v>
      </c>
      <c r="AT107" s="185" t="str">
        <f>_xlfn.IFNA(VLOOKUP($AH107,Programma!$F$3:$R$1101,13,0),"")</f>
        <v>1w</v>
      </c>
      <c r="AU107" s="185" t="str">
        <f>_xlfn.IFNA(VLOOKUP($AH107,Programma!$F$3:$S$1101,14,0),"")</f>
        <v>1m</v>
      </c>
      <c r="AV107" s="185" t="str">
        <f>_xlfn.IFNA(VLOOKUP($AH107,Programma!$F$3:$T$1101,15,0),"")</f>
        <v>2j</v>
      </c>
      <c r="AW107" s="185" t="str">
        <f>_xlfn.IFNA(VLOOKUP($AH107,Programma!$F$3:$U$1101,16,0),"")</f>
        <v>1j</v>
      </c>
      <c r="AX107" s="185" t="str">
        <f>_xlfn.IFNA(VLOOKUP($AH107,Programma!$F$3:$V$1101,17,0),"")</f>
        <v>_</v>
      </c>
      <c r="AY107" s="185" t="str">
        <f>_xlfn.IFNA(VLOOKUP($AH107,Programma!$F$3:$W$1101,18,0),"")</f>
        <v>_</v>
      </c>
      <c r="AZ107" s="185" t="str">
        <f>_xlfn.IFNA(VLOOKUP($AH107,Programma!$F$3:$X$1101,19,0),"")</f>
        <v>_</v>
      </c>
      <c r="BA107" s="185" t="str">
        <f>_xlfn.IFNA(VLOOKUP($AH107,Programma!$F$3:$Y$1101,20,0),"")</f>
        <v>_</v>
      </c>
      <c r="BB107" s="182"/>
      <c r="BC107" s="181" t="str">
        <f>IF(Ruimtestaat[[#This Row],[Frequentie weekend]]="","",_xlfn.CONCAT(Ruimtestaat[[#This Row],[Ruimte code]],"-",Ruimtestaat[[#This Row],[Frequentie weekend]]," ",Ruimtestaat[[#This Row],[Vloer code]]))</f>
        <v/>
      </c>
      <c r="BD107" s="185" t="str">
        <f>_xlfn.IFNA(VLOOKUP($BC107,Programma!$F$3:$G$1101,2,0),"")</f>
        <v/>
      </c>
      <c r="BE107" s="185" t="str">
        <f>_xlfn.IFNA(VLOOKUP($BC107,Programma!$F$3:$H$1101,3,0),"")</f>
        <v/>
      </c>
      <c r="BF107" s="185" t="str">
        <f>_xlfn.IFNA(VLOOKUP($BC107,Programma!$F$3:$I$1101,4,0),"")</f>
        <v/>
      </c>
      <c r="BG107" s="185" t="str">
        <f>_xlfn.IFNA(VLOOKUP($BC107,Programma!$F$3:$J$1101,5,0),"")</f>
        <v/>
      </c>
      <c r="BH107" s="185" t="str">
        <f>_xlfn.IFNA(VLOOKUP($BC107,Programma!$F$3:$K$1101,6,0),"")</f>
        <v/>
      </c>
      <c r="BI107" s="185" t="str">
        <f>_xlfn.IFNA(VLOOKUP($BC107,Programma!$F$3:$L$1101,7,0),"")</f>
        <v/>
      </c>
      <c r="BJ107" s="185" t="str">
        <f>_xlfn.IFNA(VLOOKUP($BC107,Programma!$F$3:$M$1101,8,0),"")</f>
        <v/>
      </c>
      <c r="BK107" s="185" t="str">
        <f>_xlfn.IFNA(VLOOKUP($BC107,Programma!$F$3:$N$1101,9,0),"")</f>
        <v/>
      </c>
      <c r="BL107" s="185" t="str">
        <f>_xlfn.IFNA(VLOOKUP($BC107,Programma!$F$3:$O$1101,10,0),"")</f>
        <v/>
      </c>
      <c r="BM107" s="185" t="str">
        <f>_xlfn.IFNA(VLOOKUP($BC107,Programma!$F$3:$P$1101,11,0),"")</f>
        <v/>
      </c>
      <c r="BN107" s="185" t="str">
        <f>_xlfn.IFNA(VLOOKUP($BC107,Programma!$F$3:$Q$1101,12,0),"")</f>
        <v/>
      </c>
      <c r="BO107" s="185" t="str">
        <f>_xlfn.IFNA(VLOOKUP($BC107,Programma!$F$3:$R$1101,13,0),"")</f>
        <v/>
      </c>
      <c r="BP107" s="185" t="str">
        <f>_xlfn.IFNA(VLOOKUP($BC107,Programma!$F$3:$S$1101,14,0),"")</f>
        <v/>
      </c>
      <c r="BQ107" s="185" t="str">
        <f>_xlfn.IFNA(VLOOKUP($BC107,Programma!$F$3:$T$1101,15,0),"")</f>
        <v/>
      </c>
      <c r="BR107" s="185" t="str">
        <f>_xlfn.IFNA(VLOOKUP($BC107,Programma!$F$3:$U$1101,16,0),"")</f>
        <v/>
      </c>
      <c r="BS107" s="185" t="str">
        <f>_xlfn.IFNA(VLOOKUP($BC107,Programma!$F$3:$V$1101,17,0),"")</f>
        <v/>
      </c>
      <c r="BT107" s="185" t="str">
        <f>_xlfn.IFNA(VLOOKUP($BC107,Programma!$F$3:$W$1101,18,0),"")</f>
        <v/>
      </c>
      <c r="BU107" s="185" t="str">
        <f>_xlfn.IFNA(VLOOKUP($BC107,Programma!$F$3:$X$1101,19,0),"")</f>
        <v/>
      </c>
      <c r="BV107" s="185" t="str">
        <f>_xlfn.IFNA(VLOOKUP($BC107,Programma!$F$3:$Y$1101,20,0),"")</f>
        <v/>
      </c>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c r="EO107" s="78"/>
      <c r="EP107" s="78"/>
      <c r="EQ107" s="78"/>
      <c r="ER107" s="78"/>
      <c r="ES107" s="78"/>
      <c r="ET107" s="78"/>
      <c r="EU107" s="78"/>
      <c r="EV107" s="78"/>
      <c r="EW107" s="78"/>
      <c r="EX107" s="78"/>
      <c r="EY107" s="78"/>
      <c r="EZ107" s="78"/>
      <c r="FA107" s="78"/>
      <c r="FB107" s="78"/>
      <c r="FC107" s="78"/>
      <c r="FD107" s="78"/>
      <c r="FE107" s="78"/>
      <c r="FF107" s="78"/>
      <c r="FG107" s="78"/>
      <c r="FH107" s="78"/>
      <c r="FI107" s="78"/>
      <c r="FJ107" s="78"/>
      <c r="FK107" s="78"/>
      <c r="FL107" s="78"/>
      <c r="FM107" s="78"/>
      <c r="FN107" s="78"/>
      <c r="FO107" s="78"/>
      <c r="FP107" s="78"/>
      <c r="FQ107" s="78"/>
      <c r="FR107" s="78"/>
      <c r="FS107" s="78"/>
      <c r="FT107" s="78"/>
      <c r="FU107" s="78"/>
      <c r="FV107" s="78"/>
      <c r="FW107" s="78"/>
      <c r="FX107" s="78"/>
      <c r="FY107" s="78"/>
      <c r="FZ107" s="78"/>
      <c r="GA107" s="78"/>
      <c r="GB107" s="78"/>
      <c r="GC107" s="78"/>
      <c r="GD107" s="78"/>
      <c r="GE107" s="78"/>
      <c r="GF107" s="78"/>
      <c r="GG107" s="78"/>
      <c r="GH107" s="78"/>
      <c r="GI107" s="78"/>
      <c r="GJ107" s="78"/>
      <c r="GK107" s="78"/>
      <c r="GL107" s="78"/>
      <c r="GM107" s="78"/>
      <c r="GN107" s="78"/>
      <c r="GO107" s="78"/>
      <c r="GP107" s="78"/>
      <c r="GQ107" s="78"/>
      <c r="GR107" s="78"/>
      <c r="GS107" s="78"/>
      <c r="GT107" s="78"/>
      <c r="GU107" s="78"/>
      <c r="GV107" s="78"/>
      <c r="GW107" s="78"/>
      <c r="GX107" s="78"/>
      <c r="GY107" s="78"/>
      <c r="GZ107" s="78"/>
      <c r="HA107" s="78"/>
      <c r="HB107" s="78"/>
      <c r="HC107" s="78"/>
      <c r="HD107" s="78"/>
      <c r="HE107" s="78"/>
      <c r="HF107" s="78"/>
      <c r="HG107" s="78"/>
      <c r="HH107" s="78"/>
      <c r="HI107" s="78"/>
      <c r="HJ107" s="78"/>
      <c r="HK107" s="78"/>
    </row>
    <row r="108" spans="1:219" ht="15" customHeight="1">
      <c r="A108" s="149">
        <v>4</v>
      </c>
      <c r="B108" s="176" t="str">
        <f>VLOOKUP(Ruimtestaat[[#This Row],[Code]],Locaties[[Code]:[Locatie]],2,FALSE)</f>
        <v>OBS De Sterrenborgh</v>
      </c>
      <c r="C108" s="176" t="str">
        <f>VLOOKUP(Ruimtestaat[[#This Row],[Code]],Locaties[[#All],[Code]:[Adres]],4,FALSE)</f>
        <v>Runenberghoek 5</v>
      </c>
      <c r="D108" s="176" t="str">
        <f>VLOOKUP(Ruimtestaat[[#This Row],[Code]],Locaties[[#All],[Code]:[Postcode]],5,FALSE)</f>
        <v>7546 EG</v>
      </c>
      <c r="E108" s="176" t="str">
        <f>VLOOKUP(Ruimtestaat[[#This Row],[Code]],Locaties[#All],6,FALSE)</f>
        <v>Enschede</v>
      </c>
      <c r="F108" s="149"/>
      <c r="G108" s="149" t="s">
        <v>1646</v>
      </c>
      <c r="H108" s="300" t="s">
        <v>1663</v>
      </c>
      <c r="I108" s="301" t="s">
        <v>1655</v>
      </c>
      <c r="J108" s="99">
        <v>5</v>
      </c>
      <c r="K108" s="183" t="str">
        <f>VLOOKUP(Ruimtestaat[[#This Row],[Ruimte code]],Ruimtegroepen[[#All],[Code]:[Ruimte omschrijving]],2,FALSE)</f>
        <v>Sanitair</v>
      </c>
      <c r="L108" s="149" t="s">
        <v>101</v>
      </c>
      <c r="M108" s="301" t="s">
        <v>1682</v>
      </c>
      <c r="N108" s="177">
        <v>3</v>
      </c>
      <c r="O108" s="177"/>
      <c r="P108" s="178" t="str">
        <f>VLOOKUP(Ruimtestaat[[#This Row],[Ruimte code]],Ruimtegroepen[],4,FALSE)</f>
        <v>Sa</v>
      </c>
      <c r="Q108" s="149">
        <v>40</v>
      </c>
      <c r="R108" s="149" t="s">
        <v>2</v>
      </c>
      <c r="S108" s="149">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8" s="149">
        <f>IF(S108&gt;0,VLOOKUP($J108,Ruimtegroepen[],3,FALSE)*VLOOKUP($L108,Vloersoorten[],3,FALSE)*VLOOKUP($R108,Frequenties[],3,FALSE)*VLOOKUP($A108,Locaties[],3,FALSE),0)</f>
        <v>0</v>
      </c>
      <c r="U108" s="149">
        <f>Ruimtestaat[[#This Row],[Uitvoeringen werkdagen]]*Ruimtestaat[[#This Row],[Oppervlak (netto)]]</f>
        <v>600</v>
      </c>
      <c r="V108" s="179">
        <f>IF(T108&gt;0,Ruimtestaat[[#This Row],[Prest. (m2 /jaar) werkdagen]]/Ruimtestaat[[#This Row],[Norm (m2/uur) werkdagen]],0)</f>
        <v>0</v>
      </c>
      <c r="W108" s="180">
        <f>Ruimtestaat[[#This Row],[uren / jaar werkdagen]]*Tariefsopbouw!$E$35</f>
        <v>0</v>
      </c>
      <c r="X108" s="149"/>
      <c r="Y108" s="149">
        <f>IF(Ruimtestaat[[#This Row],[Frequentie weekend]]&gt;0,VALUE(LEFT(X108,1))*Q108,0)</f>
        <v>0</v>
      </c>
      <c r="Z108" s="148">
        <f>IF($Y108&gt;0,VLOOKUP($J108,Ruimtegroepen[],3,FALSE)*VLOOKUP($L108,Vloersoorten[],3,FALSE)*VLOOKUP($X108,Frequenties[],3,FALSE)*VLOOKUP(Ruimtestaat[[#This Row],[Code]],Locaties[],3,FALSE),0)</f>
        <v>0</v>
      </c>
      <c r="AA108" s="148">
        <f>Ruimtestaat[[#This Row],[Uitvoeringen weekend]]*Ruimtestaat[[#This Row],[Oppervlak (netto)]]</f>
        <v>0</v>
      </c>
      <c r="AB108" s="148">
        <f>IF(Z108&gt;0,Ruimtestaat[[#This Row],[Prest. (m2 /jaar) weekend]]/Ruimtestaat[[#This Row],[Norm (m2/uur) weekend]],0)</f>
        <v>0</v>
      </c>
      <c r="AC108" s="180">
        <f>Ruimtestaat[[#This Row],[uren / jaar weekend]]*Tariefsopbouw!$D$40</f>
        <v>0</v>
      </c>
      <c r="AD108" s="179">
        <f>Ruimtestaat[[#This Row],[Prest. (m2 /jaar) weekend]]+Ruimtestaat[[#This Row],[Prest. (m2 /jaar) werkdagen]]</f>
        <v>600</v>
      </c>
      <c r="AE108" s="179">
        <f>Ruimtestaat[[#This Row],[uren / jaar weekend]]+Ruimtestaat[[#This Row],[uren / jaar werkdagen]]</f>
        <v>0</v>
      </c>
      <c r="AF108" s="174">
        <f>Ruimtestaat[[#This Row],[kosten / jaar weekend]]+Ruimtestaat[[#This Row],[kosten / jaar werkdagen]]</f>
        <v>0</v>
      </c>
      <c r="AG108" s="174"/>
      <c r="AH108" s="181" t="str">
        <f>IF(Ruimtestaat[[#This Row],[Frequentie werkdagen]]="","",_xlfn.CONCAT(Ruimtestaat[[#This Row],[Ruimte code]],"-",Ruimtestaat[[#This Row],[Frequentie werkdagen]]," ",Ruimtestaat[[#This Row],[Vloer code]]))</f>
        <v>5-5w S</v>
      </c>
      <c r="AI108" s="185" t="str">
        <f>_xlfn.IFNA(VLOOKUP($AH108,Programma!$F$3:$G$1101,2,0),"")</f>
        <v>_</v>
      </c>
      <c r="AJ108" s="185" t="str">
        <f>_xlfn.IFNA(VLOOKUP($AH108,Programma!$F$3:$H$1101,3,0),"")</f>
        <v>_</v>
      </c>
      <c r="AK108" s="185" t="str">
        <f>_xlfn.IFNA(VLOOKUP($AH108,Programma!$F$3:$I$1101,4,0),"")</f>
        <v>_</v>
      </c>
      <c r="AL108" s="185" t="str">
        <f>_xlfn.IFNA(VLOOKUP($AH108,Programma!$F$3:$J$1101,5,0),"")</f>
        <v>4w</v>
      </c>
      <c r="AM108" s="185" t="str">
        <f>_xlfn.IFNA(VLOOKUP($AH108,Programma!$F$3:$K$1101,6,0),"")</f>
        <v>1w</v>
      </c>
      <c r="AN108" s="185" t="str">
        <f>_xlfn.IFNA(VLOOKUP($AH108,Programma!$F$3:$L$1101,7,0),"")</f>
        <v>_</v>
      </c>
      <c r="AO108" s="185" t="str">
        <f>_xlfn.IFNA(VLOOKUP($AH108,Programma!$F$3:$M$1101,8,0),"")</f>
        <v>_</v>
      </c>
      <c r="AP108" s="185" t="str">
        <f>_xlfn.IFNA(VLOOKUP($AH108,Programma!$F$3:$N$1101,9,0),"")</f>
        <v>_</v>
      </c>
      <c r="AQ108" s="185" t="str">
        <f>_xlfn.IFNA(VLOOKUP($AH108,Programma!$F$3:$O$1101,10,0),"")</f>
        <v>_</v>
      </c>
      <c r="AR108" s="185" t="str">
        <f>_xlfn.IFNA(VLOOKUP($AH108,Programma!$F$3:$P$1101,11,0),"")</f>
        <v>_</v>
      </c>
      <c r="AS108" s="185" t="str">
        <f>_xlfn.IFNA(VLOOKUP($AH108,Programma!$F$3:$Q$1101,12,0),"")</f>
        <v>_</v>
      </c>
      <c r="AT108" s="185" t="str">
        <f>_xlfn.IFNA(VLOOKUP($AH108,Programma!$F$3:$R$1101,13,0),"")</f>
        <v>_</v>
      </c>
      <c r="AU108" s="185" t="str">
        <f>_xlfn.IFNA(VLOOKUP($AH108,Programma!$F$3:$S$1101,14,0),"")</f>
        <v>_</v>
      </c>
      <c r="AV108" s="185" t="str">
        <f>_xlfn.IFNA(VLOOKUP($AH108,Programma!$F$3:$T$1101,15,0),"")</f>
        <v>_</v>
      </c>
      <c r="AW108" s="185" t="str">
        <f>_xlfn.IFNA(VLOOKUP($AH108,Programma!$F$3:$U$1101,16,0),"")</f>
        <v>_</v>
      </c>
      <c r="AX108" s="185" t="str">
        <f>_xlfn.IFNA(VLOOKUP($AH108,Programma!$F$3:$V$1101,17,0),"")</f>
        <v>_</v>
      </c>
      <c r="AY108" s="185" t="str">
        <f>_xlfn.IFNA(VLOOKUP($AH108,Programma!$F$3:$W$1101,18,0),"")</f>
        <v>4w</v>
      </c>
      <c r="AZ108" s="185" t="str">
        <f>_xlfn.IFNA(VLOOKUP($AH108,Programma!$F$3:$X$1101,19,0),"")</f>
        <v>1w</v>
      </c>
      <c r="BA108" s="185" t="str">
        <f>_xlfn.IFNA(VLOOKUP($AH108,Programma!$F$3:$Y$1101,20,0),"")</f>
        <v>_</v>
      </c>
      <c r="BB108" s="182"/>
      <c r="BC108" s="181" t="str">
        <f>IF(Ruimtestaat[[#This Row],[Frequentie weekend]]="","",_xlfn.CONCAT(Ruimtestaat[[#This Row],[Ruimte code]],"-",Ruimtestaat[[#This Row],[Frequentie weekend]]," ",Ruimtestaat[[#This Row],[Vloer code]]))</f>
        <v/>
      </c>
      <c r="BD108" s="185" t="str">
        <f>_xlfn.IFNA(VLOOKUP($BC108,Programma!$F$3:$G$1101,2,0),"")</f>
        <v/>
      </c>
      <c r="BE108" s="185" t="str">
        <f>_xlfn.IFNA(VLOOKUP($BC108,Programma!$F$3:$H$1101,3,0),"")</f>
        <v/>
      </c>
      <c r="BF108" s="185" t="str">
        <f>_xlfn.IFNA(VLOOKUP($BC108,Programma!$F$3:$I$1101,4,0),"")</f>
        <v/>
      </c>
      <c r="BG108" s="185" t="str">
        <f>_xlfn.IFNA(VLOOKUP($BC108,Programma!$F$3:$J$1101,5,0),"")</f>
        <v/>
      </c>
      <c r="BH108" s="185" t="str">
        <f>_xlfn.IFNA(VLOOKUP($BC108,Programma!$F$3:$K$1101,6,0),"")</f>
        <v/>
      </c>
      <c r="BI108" s="185" t="str">
        <f>_xlfn.IFNA(VLOOKUP($BC108,Programma!$F$3:$L$1101,7,0),"")</f>
        <v/>
      </c>
      <c r="BJ108" s="185" t="str">
        <f>_xlfn.IFNA(VLOOKUP($BC108,Programma!$F$3:$M$1101,8,0),"")</f>
        <v/>
      </c>
      <c r="BK108" s="185" t="str">
        <f>_xlfn.IFNA(VLOOKUP($BC108,Programma!$F$3:$N$1101,9,0),"")</f>
        <v/>
      </c>
      <c r="BL108" s="185" t="str">
        <f>_xlfn.IFNA(VLOOKUP($BC108,Programma!$F$3:$O$1101,10,0),"")</f>
        <v/>
      </c>
      <c r="BM108" s="185" t="str">
        <f>_xlfn.IFNA(VLOOKUP($BC108,Programma!$F$3:$P$1101,11,0),"")</f>
        <v/>
      </c>
      <c r="BN108" s="185" t="str">
        <f>_xlfn.IFNA(VLOOKUP($BC108,Programma!$F$3:$Q$1101,12,0),"")</f>
        <v/>
      </c>
      <c r="BO108" s="185" t="str">
        <f>_xlfn.IFNA(VLOOKUP($BC108,Programma!$F$3:$R$1101,13,0),"")</f>
        <v/>
      </c>
      <c r="BP108" s="185" t="str">
        <f>_xlfn.IFNA(VLOOKUP($BC108,Programma!$F$3:$S$1101,14,0),"")</f>
        <v/>
      </c>
      <c r="BQ108" s="185" t="str">
        <f>_xlfn.IFNA(VLOOKUP($BC108,Programma!$F$3:$T$1101,15,0),"")</f>
        <v/>
      </c>
      <c r="BR108" s="185" t="str">
        <f>_xlfn.IFNA(VLOOKUP($BC108,Programma!$F$3:$U$1101,16,0),"")</f>
        <v/>
      </c>
      <c r="BS108" s="185" t="str">
        <f>_xlfn.IFNA(VLOOKUP($BC108,Programma!$F$3:$V$1101,17,0),"")</f>
        <v/>
      </c>
      <c r="BT108" s="185" t="str">
        <f>_xlfn.IFNA(VLOOKUP($BC108,Programma!$F$3:$W$1101,18,0),"")</f>
        <v/>
      </c>
      <c r="BU108" s="185" t="str">
        <f>_xlfn.IFNA(VLOOKUP($BC108,Programma!$F$3:$X$1101,19,0),"")</f>
        <v/>
      </c>
      <c r="BV108" s="185" t="str">
        <f>_xlfn.IFNA(VLOOKUP($BC108,Programma!$F$3:$Y$1101,20,0),"")</f>
        <v/>
      </c>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c r="EO108" s="78"/>
      <c r="EP108" s="78"/>
      <c r="EQ108" s="78"/>
      <c r="ER108" s="78"/>
      <c r="ES108" s="78"/>
      <c r="ET108" s="78"/>
      <c r="EU108" s="78"/>
      <c r="EV108" s="78"/>
      <c r="EW108" s="78"/>
      <c r="EX108" s="78"/>
      <c r="EY108" s="78"/>
      <c r="EZ108" s="78"/>
      <c r="FA108" s="78"/>
      <c r="FB108" s="78"/>
      <c r="FC108" s="78"/>
      <c r="FD108" s="78"/>
      <c r="FE108" s="78"/>
      <c r="FF108" s="78"/>
      <c r="FG108" s="78"/>
      <c r="FH108" s="78"/>
      <c r="FI108" s="78"/>
      <c r="FJ108" s="78"/>
      <c r="FK108" s="78"/>
      <c r="FL108" s="78"/>
      <c r="FM108" s="78"/>
      <c r="FN108" s="78"/>
      <c r="FO108" s="78"/>
      <c r="FP108" s="78"/>
      <c r="FQ108" s="78"/>
      <c r="FR108" s="78"/>
      <c r="FS108" s="78"/>
      <c r="FT108" s="78"/>
      <c r="FU108" s="78"/>
      <c r="FV108" s="78"/>
      <c r="FW108" s="78"/>
      <c r="FX108" s="78"/>
      <c r="FY108" s="78"/>
      <c r="FZ108" s="78"/>
      <c r="GA108" s="78"/>
      <c r="GB108" s="78"/>
      <c r="GC108" s="78"/>
      <c r="GD108" s="78"/>
      <c r="GE108" s="78"/>
      <c r="GF108" s="78"/>
      <c r="GG108" s="78"/>
      <c r="GH108" s="78"/>
      <c r="GI108" s="78"/>
      <c r="GJ108" s="78"/>
      <c r="GK108" s="78"/>
      <c r="GL108" s="78"/>
      <c r="GM108" s="78"/>
      <c r="GN108" s="78"/>
      <c r="GO108" s="78"/>
      <c r="GP108" s="78"/>
      <c r="GQ108" s="78"/>
      <c r="GR108" s="78"/>
      <c r="GS108" s="78"/>
      <c r="GT108" s="78"/>
      <c r="GU108" s="78"/>
      <c r="GV108" s="78"/>
      <c r="GW108" s="78"/>
      <c r="GX108" s="78"/>
      <c r="GY108" s="78"/>
      <c r="GZ108" s="78"/>
      <c r="HA108" s="78"/>
      <c r="HB108" s="78"/>
      <c r="HC108" s="78"/>
      <c r="HD108" s="78"/>
      <c r="HE108" s="78"/>
      <c r="HF108" s="78"/>
      <c r="HG108" s="78"/>
      <c r="HH108" s="78"/>
      <c r="HI108" s="78"/>
      <c r="HJ108" s="78"/>
      <c r="HK108" s="78"/>
    </row>
    <row r="109" spans="1:219" ht="15" customHeight="1">
      <c r="A109" s="149">
        <v>4</v>
      </c>
      <c r="B109" s="176" t="str">
        <f>VLOOKUP(Ruimtestaat[[#This Row],[Code]],Locaties[[Code]:[Locatie]],2,FALSE)</f>
        <v>OBS De Sterrenborgh</v>
      </c>
      <c r="C109" s="176" t="str">
        <f>VLOOKUP(Ruimtestaat[[#This Row],[Code]],Locaties[[#All],[Code]:[Adres]],4,FALSE)</f>
        <v>Runenberghoek 5</v>
      </c>
      <c r="D109" s="176" t="str">
        <f>VLOOKUP(Ruimtestaat[[#This Row],[Code]],Locaties[[#All],[Code]:[Postcode]],5,FALSE)</f>
        <v>7546 EG</v>
      </c>
      <c r="E109" s="176" t="str">
        <f>VLOOKUP(Ruimtestaat[[#This Row],[Code]],Locaties[#All],6,FALSE)</f>
        <v>Enschede</v>
      </c>
      <c r="F109" s="149"/>
      <c r="G109" s="149" t="s">
        <v>1646</v>
      </c>
      <c r="H109" s="300" t="s">
        <v>1664</v>
      </c>
      <c r="I109" s="301" t="s">
        <v>1649</v>
      </c>
      <c r="J109" s="99">
        <v>2</v>
      </c>
      <c r="K109" s="183" t="str">
        <f>VLOOKUP(Ruimtestaat[[#This Row],[Ruimte code]],Ruimtegroepen[[#All],[Code]:[Ruimte omschrijving]],2,FALSE)</f>
        <v>Kantoren</v>
      </c>
      <c r="L109" s="149" t="s">
        <v>99</v>
      </c>
      <c r="M109" s="301" t="s">
        <v>36</v>
      </c>
      <c r="N109" s="177">
        <v>13.6</v>
      </c>
      <c r="O109" s="177"/>
      <c r="P109" s="178" t="str">
        <f>VLOOKUP(Ruimtestaat[[#This Row],[Ruimte code]],Ruimtegroepen[],4,FALSE)</f>
        <v>Bu</v>
      </c>
      <c r="Q109" s="149">
        <v>40</v>
      </c>
      <c r="R109" s="149" t="s">
        <v>18</v>
      </c>
      <c r="S109" s="149">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09" s="149">
        <f>IF(S109&gt;0,VLOOKUP($J109,Ruimtegroepen[],3,FALSE)*VLOOKUP($L109,Vloersoorten[],3,FALSE)*VLOOKUP($R109,Frequenties[],3,FALSE)*VLOOKUP($A109,Locaties[],3,FALSE),0)</f>
        <v>0</v>
      </c>
      <c r="U109" s="149">
        <f>Ruimtestaat[[#This Row],[Uitvoeringen werkdagen]]*Ruimtestaat[[#This Row],[Oppervlak (netto)]]</f>
        <v>1632</v>
      </c>
      <c r="V109" s="179">
        <f>IF(T109&gt;0,Ruimtestaat[[#This Row],[Prest. (m2 /jaar) werkdagen]]/Ruimtestaat[[#This Row],[Norm (m2/uur) werkdagen]],0)</f>
        <v>0</v>
      </c>
      <c r="W109" s="180">
        <f>Ruimtestaat[[#This Row],[uren / jaar werkdagen]]*Tariefsopbouw!$E$35</f>
        <v>0</v>
      </c>
      <c r="X109" s="149"/>
      <c r="Y109" s="149">
        <f>IF(Ruimtestaat[[#This Row],[Frequentie weekend]]&gt;0,VALUE(LEFT(X109,1))*Q109,0)</f>
        <v>0</v>
      </c>
      <c r="Z109" s="148">
        <f>IF($Y109&gt;0,VLOOKUP($J109,Ruimtegroepen[],3,FALSE)*VLOOKUP($L109,Vloersoorten[],3,FALSE)*VLOOKUP($X109,Frequenties[],3,FALSE)*VLOOKUP(Ruimtestaat[[#This Row],[Code]],Locaties[],3,FALSE),0)</f>
        <v>0</v>
      </c>
      <c r="AA109" s="148">
        <f>Ruimtestaat[[#This Row],[Uitvoeringen weekend]]*Ruimtestaat[[#This Row],[Oppervlak (netto)]]</f>
        <v>0</v>
      </c>
      <c r="AB109" s="148">
        <f>IF(Z109&gt;0,Ruimtestaat[[#This Row],[Prest. (m2 /jaar) weekend]]/Ruimtestaat[[#This Row],[Norm (m2/uur) weekend]],0)</f>
        <v>0</v>
      </c>
      <c r="AC109" s="180">
        <f>Ruimtestaat[[#This Row],[uren / jaar weekend]]*Tariefsopbouw!$D$40</f>
        <v>0</v>
      </c>
      <c r="AD109" s="179">
        <f>Ruimtestaat[[#This Row],[Prest. (m2 /jaar) weekend]]+Ruimtestaat[[#This Row],[Prest. (m2 /jaar) werkdagen]]</f>
        <v>1632</v>
      </c>
      <c r="AE109" s="179">
        <f>Ruimtestaat[[#This Row],[uren / jaar weekend]]+Ruimtestaat[[#This Row],[uren / jaar werkdagen]]</f>
        <v>0</v>
      </c>
      <c r="AF109" s="174">
        <f>Ruimtestaat[[#This Row],[kosten / jaar weekend]]+Ruimtestaat[[#This Row],[kosten / jaar werkdagen]]</f>
        <v>0</v>
      </c>
      <c r="AG109" s="174"/>
      <c r="AH109" s="181" t="str">
        <f>IF(Ruimtestaat[[#This Row],[Frequentie werkdagen]]="","",_xlfn.CONCAT(Ruimtestaat[[#This Row],[Ruimte code]],"-",Ruimtestaat[[#This Row],[Frequentie werkdagen]]," ",Ruimtestaat[[#This Row],[Vloer code]]))</f>
        <v>2-3w T</v>
      </c>
      <c r="AI109" s="185" t="str">
        <f>_xlfn.IFNA(VLOOKUP($AH109,Programma!$F$3:$G$1101,2,0),"")</f>
        <v>2w</v>
      </c>
      <c r="AJ109" s="185" t="str">
        <f>_xlfn.IFNA(VLOOKUP($AH109,Programma!$F$3:$H$1101,3,0),"")</f>
        <v>1w</v>
      </c>
      <c r="AK109" s="185" t="str">
        <f>_xlfn.IFNA(VLOOKUP($AH109,Programma!$F$3:$I$1101,4,0),"")</f>
        <v>_</v>
      </c>
      <c r="AL109" s="185" t="str">
        <f>_xlfn.IFNA(VLOOKUP($AH109,Programma!$F$3:$J$1101,5,0),"")</f>
        <v>_</v>
      </c>
      <c r="AM109" s="185" t="str">
        <f>_xlfn.IFNA(VLOOKUP($AH109,Programma!$F$3:$K$1101,6,0),"")</f>
        <v>_</v>
      </c>
      <c r="AN109" s="185" t="str">
        <f>_xlfn.IFNA(VLOOKUP($AH109,Programma!$F$3:$L$1101,7,0),"")</f>
        <v>_</v>
      </c>
      <c r="AO109" s="185" t="str">
        <f>_xlfn.IFNA(VLOOKUP($AH109,Programma!$F$3:$M$1101,8,0),"")</f>
        <v>_</v>
      </c>
      <c r="AP109" s="185" t="str">
        <f>_xlfn.IFNA(VLOOKUP($AH109,Programma!$F$3:$N$1101,9,0),"")</f>
        <v>_</v>
      </c>
      <c r="AQ109" s="185" t="str">
        <f>_xlfn.IFNA(VLOOKUP($AH109,Programma!$F$3:$O$1101,10,0),"")</f>
        <v>3w</v>
      </c>
      <c r="AR109" s="185" t="str">
        <f>_xlfn.IFNA(VLOOKUP($AH109,Programma!$F$3:$P$1101,11,0),"")</f>
        <v>3w</v>
      </c>
      <c r="AS109" s="185" t="str">
        <f>_xlfn.IFNA(VLOOKUP($AH109,Programma!$F$3:$Q$1101,12,0),"")</f>
        <v>1w</v>
      </c>
      <c r="AT109" s="185" t="str">
        <f>_xlfn.IFNA(VLOOKUP($AH109,Programma!$F$3:$R$1101,13,0),"")</f>
        <v>1w</v>
      </c>
      <c r="AU109" s="185" t="str">
        <f>_xlfn.IFNA(VLOOKUP($AH109,Programma!$F$3:$S$1101,14,0),"")</f>
        <v>1m</v>
      </c>
      <c r="AV109" s="185" t="str">
        <f>_xlfn.IFNA(VLOOKUP($AH109,Programma!$F$3:$T$1101,15,0),"")</f>
        <v>2j</v>
      </c>
      <c r="AW109" s="185" t="str">
        <f>_xlfn.IFNA(VLOOKUP($AH109,Programma!$F$3:$U$1101,16,0),"")</f>
        <v>1j</v>
      </c>
      <c r="AX109" s="185" t="str">
        <f>_xlfn.IFNA(VLOOKUP($AH109,Programma!$F$3:$V$1101,17,0),"")</f>
        <v>_</v>
      </c>
      <c r="AY109" s="185" t="str">
        <f>_xlfn.IFNA(VLOOKUP($AH109,Programma!$F$3:$W$1101,18,0),"")</f>
        <v>_</v>
      </c>
      <c r="AZ109" s="185" t="str">
        <f>_xlfn.IFNA(VLOOKUP($AH109,Programma!$F$3:$X$1101,19,0),"")</f>
        <v>_</v>
      </c>
      <c r="BA109" s="185" t="str">
        <f>_xlfn.IFNA(VLOOKUP($AH109,Programma!$F$3:$Y$1101,20,0),"")</f>
        <v>_</v>
      </c>
      <c r="BB109" s="182"/>
      <c r="BC109" s="181" t="str">
        <f>IF(Ruimtestaat[[#This Row],[Frequentie weekend]]="","",_xlfn.CONCAT(Ruimtestaat[[#This Row],[Ruimte code]],"-",Ruimtestaat[[#This Row],[Frequentie weekend]]," ",Ruimtestaat[[#This Row],[Vloer code]]))</f>
        <v/>
      </c>
      <c r="BD109" s="185" t="str">
        <f>_xlfn.IFNA(VLOOKUP($BC109,Programma!$F$3:$G$1101,2,0),"")</f>
        <v/>
      </c>
      <c r="BE109" s="185" t="str">
        <f>_xlfn.IFNA(VLOOKUP($BC109,Programma!$F$3:$H$1101,3,0),"")</f>
        <v/>
      </c>
      <c r="BF109" s="185" t="str">
        <f>_xlfn.IFNA(VLOOKUP($BC109,Programma!$F$3:$I$1101,4,0),"")</f>
        <v/>
      </c>
      <c r="BG109" s="185" t="str">
        <f>_xlfn.IFNA(VLOOKUP($BC109,Programma!$F$3:$J$1101,5,0),"")</f>
        <v/>
      </c>
      <c r="BH109" s="185" t="str">
        <f>_xlfn.IFNA(VLOOKUP($BC109,Programma!$F$3:$K$1101,6,0),"")</f>
        <v/>
      </c>
      <c r="BI109" s="185" t="str">
        <f>_xlfn.IFNA(VLOOKUP($BC109,Programma!$F$3:$L$1101,7,0),"")</f>
        <v/>
      </c>
      <c r="BJ109" s="185" t="str">
        <f>_xlfn.IFNA(VLOOKUP($BC109,Programma!$F$3:$M$1101,8,0),"")</f>
        <v/>
      </c>
      <c r="BK109" s="185" t="str">
        <f>_xlfn.IFNA(VLOOKUP($BC109,Programma!$F$3:$N$1101,9,0),"")</f>
        <v/>
      </c>
      <c r="BL109" s="185" t="str">
        <f>_xlfn.IFNA(VLOOKUP($BC109,Programma!$F$3:$O$1101,10,0),"")</f>
        <v/>
      </c>
      <c r="BM109" s="185" t="str">
        <f>_xlfn.IFNA(VLOOKUP($BC109,Programma!$F$3:$P$1101,11,0),"")</f>
        <v/>
      </c>
      <c r="BN109" s="185" t="str">
        <f>_xlfn.IFNA(VLOOKUP($BC109,Programma!$F$3:$Q$1101,12,0),"")</f>
        <v/>
      </c>
      <c r="BO109" s="185" t="str">
        <f>_xlfn.IFNA(VLOOKUP($BC109,Programma!$F$3:$R$1101,13,0),"")</f>
        <v/>
      </c>
      <c r="BP109" s="185" t="str">
        <f>_xlfn.IFNA(VLOOKUP($BC109,Programma!$F$3:$S$1101,14,0),"")</f>
        <v/>
      </c>
      <c r="BQ109" s="185" t="str">
        <f>_xlfn.IFNA(VLOOKUP($BC109,Programma!$F$3:$T$1101,15,0),"")</f>
        <v/>
      </c>
      <c r="BR109" s="185" t="str">
        <f>_xlfn.IFNA(VLOOKUP($BC109,Programma!$F$3:$U$1101,16,0),"")</f>
        <v/>
      </c>
      <c r="BS109" s="185" t="str">
        <f>_xlfn.IFNA(VLOOKUP($BC109,Programma!$F$3:$V$1101,17,0),"")</f>
        <v/>
      </c>
      <c r="BT109" s="185" t="str">
        <f>_xlfn.IFNA(VLOOKUP($BC109,Programma!$F$3:$W$1101,18,0),"")</f>
        <v/>
      </c>
      <c r="BU109" s="185" t="str">
        <f>_xlfn.IFNA(VLOOKUP($BC109,Programma!$F$3:$X$1101,19,0),"")</f>
        <v/>
      </c>
      <c r="BV109" s="185" t="str">
        <f>_xlfn.IFNA(VLOOKUP($BC109,Programma!$F$3:$Y$1101,20,0),"")</f>
        <v/>
      </c>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c r="EO109" s="78"/>
      <c r="EP109" s="78"/>
      <c r="EQ109" s="78"/>
      <c r="ER109" s="78"/>
      <c r="ES109" s="78"/>
      <c r="ET109" s="78"/>
      <c r="EU109" s="78"/>
      <c r="EV109" s="78"/>
      <c r="EW109" s="78"/>
      <c r="EX109" s="78"/>
      <c r="EY109" s="78"/>
      <c r="EZ109" s="78"/>
      <c r="FA109" s="78"/>
      <c r="FB109" s="78"/>
      <c r="FC109" s="78"/>
      <c r="FD109" s="78"/>
      <c r="FE109" s="78"/>
      <c r="FF109" s="78"/>
      <c r="FG109" s="78"/>
      <c r="FH109" s="78"/>
      <c r="FI109" s="78"/>
      <c r="FJ109" s="78"/>
      <c r="FK109" s="78"/>
      <c r="FL109" s="78"/>
      <c r="FM109" s="78"/>
      <c r="FN109" s="78"/>
      <c r="FO109" s="78"/>
      <c r="FP109" s="78"/>
      <c r="FQ109" s="78"/>
      <c r="FR109" s="78"/>
      <c r="FS109" s="78"/>
      <c r="FT109" s="78"/>
      <c r="FU109" s="78"/>
      <c r="FV109" s="78"/>
      <c r="FW109" s="78"/>
      <c r="FX109" s="78"/>
      <c r="FY109" s="78"/>
      <c r="FZ109" s="78"/>
      <c r="GA109" s="78"/>
      <c r="GB109" s="78"/>
      <c r="GC109" s="78"/>
      <c r="GD109" s="78"/>
      <c r="GE109" s="78"/>
      <c r="GF109" s="78"/>
      <c r="GG109" s="78"/>
      <c r="GH109" s="78"/>
      <c r="GI109" s="78"/>
      <c r="GJ109" s="78"/>
      <c r="GK109" s="78"/>
      <c r="GL109" s="78"/>
      <c r="GM109" s="78"/>
      <c r="GN109" s="78"/>
      <c r="GO109" s="78"/>
      <c r="GP109" s="78"/>
      <c r="GQ109" s="78"/>
      <c r="GR109" s="78"/>
      <c r="GS109" s="78"/>
      <c r="GT109" s="78"/>
      <c r="GU109" s="78"/>
      <c r="GV109" s="78"/>
      <c r="GW109" s="78"/>
      <c r="GX109" s="78"/>
      <c r="GY109" s="78"/>
      <c r="GZ109" s="78"/>
      <c r="HA109" s="78"/>
      <c r="HB109" s="78"/>
      <c r="HC109" s="78"/>
      <c r="HD109" s="78"/>
      <c r="HE109" s="78"/>
      <c r="HF109" s="78"/>
      <c r="HG109" s="78"/>
      <c r="HH109" s="78"/>
      <c r="HI109" s="78"/>
      <c r="HJ109" s="78"/>
      <c r="HK109" s="78"/>
    </row>
    <row r="110" spans="1:219" ht="15" customHeight="1">
      <c r="A110" s="149">
        <v>4</v>
      </c>
      <c r="B110" s="176" t="str">
        <f>VLOOKUP(Ruimtestaat[[#This Row],[Code]],Locaties[[Code]:[Locatie]],2,FALSE)</f>
        <v>OBS De Sterrenborgh</v>
      </c>
      <c r="C110" s="176" t="str">
        <f>VLOOKUP(Ruimtestaat[[#This Row],[Code]],Locaties[[#All],[Code]:[Adres]],4,FALSE)</f>
        <v>Runenberghoek 5</v>
      </c>
      <c r="D110" s="176" t="str">
        <f>VLOOKUP(Ruimtestaat[[#This Row],[Code]],Locaties[[#All],[Code]:[Postcode]],5,FALSE)</f>
        <v>7546 EG</v>
      </c>
      <c r="E110" s="176" t="str">
        <f>VLOOKUP(Ruimtestaat[[#This Row],[Code]],Locaties[#All],6,FALSE)</f>
        <v>Enschede</v>
      </c>
      <c r="F110" s="149"/>
      <c r="G110" s="149" t="s">
        <v>1646</v>
      </c>
      <c r="H110" s="300" t="s">
        <v>1731</v>
      </c>
      <c r="I110" s="301" t="s">
        <v>1649</v>
      </c>
      <c r="J110" s="99">
        <v>2</v>
      </c>
      <c r="K110" s="183" t="str">
        <f>VLOOKUP(Ruimtestaat[[#This Row],[Ruimte code]],Ruimtegroepen[[#All],[Code]:[Ruimte omschrijving]],2,FALSE)</f>
        <v>Kantoren</v>
      </c>
      <c r="L110" s="149" t="s">
        <v>99</v>
      </c>
      <c r="M110" s="301" t="s">
        <v>36</v>
      </c>
      <c r="N110" s="177">
        <v>16.2</v>
      </c>
      <c r="O110" s="177"/>
      <c r="P110" s="178" t="str">
        <f>VLOOKUP(Ruimtestaat[[#This Row],[Ruimte code]],Ruimtegroepen[],4,FALSE)</f>
        <v>Bu</v>
      </c>
      <c r="Q110" s="149">
        <v>40</v>
      </c>
      <c r="R110" s="149" t="s">
        <v>18</v>
      </c>
      <c r="S110" s="149">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10" s="149">
        <f>IF(S110&gt;0,VLOOKUP($J110,Ruimtegroepen[],3,FALSE)*VLOOKUP($L110,Vloersoorten[],3,FALSE)*VLOOKUP($R110,Frequenties[],3,FALSE)*VLOOKUP($A110,Locaties[],3,FALSE),0)</f>
        <v>0</v>
      </c>
      <c r="U110" s="149">
        <f>Ruimtestaat[[#This Row],[Uitvoeringen werkdagen]]*Ruimtestaat[[#This Row],[Oppervlak (netto)]]</f>
        <v>1944</v>
      </c>
      <c r="V110" s="179">
        <f>IF(T110&gt;0,Ruimtestaat[[#This Row],[Prest. (m2 /jaar) werkdagen]]/Ruimtestaat[[#This Row],[Norm (m2/uur) werkdagen]],0)</f>
        <v>0</v>
      </c>
      <c r="W110" s="180">
        <f>Ruimtestaat[[#This Row],[uren / jaar werkdagen]]*Tariefsopbouw!$E$35</f>
        <v>0</v>
      </c>
      <c r="X110" s="149"/>
      <c r="Y110" s="149">
        <f>IF(Ruimtestaat[[#This Row],[Frequentie weekend]]&gt;0,VALUE(LEFT(X110,1))*Q110,0)</f>
        <v>0</v>
      </c>
      <c r="Z110" s="148">
        <f>IF($Y110&gt;0,VLOOKUP($J110,Ruimtegroepen[],3,FALSE)*VLOOKUP($L110,Vloersoorten[],3,FALSE)*VLOOKUP($X110,Frequenties[],3,FALSE)*VLOOKUP(Ruimtestaat[[#This Row],[Code]],Locaties[],3,FALSE),0)</f>
        <v>0</v>
      </c>
      <c r="AA110" s="148">
        <f>Ruimtestaat[[#This Row],[Uitvoeringen weekend]]*Ruimtestaat[[#This Row],[Oppervlak (netto)]]</f>
        <v>0</v>
      </c>
      <c r="AB110" s="148">
        <f>IF(Z110&gt;0,Ruimtestaat[[#This Row],[Prest. (m2 /jaar) weekend]]/Ruimtestaat[[#This Row],[Norm (m2/uur) weekend]],0)</f>
        <v>0</v>
      </c>
      <c r="AC110" s="180">
        <f>Ruimtestaat[[#This Row],[uren / jaar weekend]]*Tariefsopbouw!$D$40</f>
        <v>0</v>
      </c>
      <c r="AD110" s="179">
        <f>Ruimtestaat[[#This Row],[Prest. (m2 /jaar) weekend]]+Ruimtestaat[[#This Row],[Prest. (m2 /jaar) werkdagen]]</f>
        <v>1944</v>
      </c>
      <c r="AE110" s="179">
        <f>Ruimtestaat[[#This Row],[uren / jaar weekend]]+Ruimtestaat[[#This Row],[uren / jaar werkdagen]]</f>
        <v>0</v>
      </c>
      <c r="AF110" s="174">
        <f>Ruimtestaat[[#This Row],[kosten / jaar weekend]]+Ruimtestaat[[#This Row],[kosten / jaar werkdagen]]</f>
        <v>0</v>
      </c>
      <c r="AG110" s="174"/>
      <c r="AH110" s="181" t="str">
        <f>IF(Ruimtestaat[[#This Row],[Frequentie werkdagen]]="","",_xlfn.CONCAT(Ruimtestaat[[#This Row],[Ruimte code]],"-",Ruimtestaat[[#This Row],[Frequentie werkdagen]]," ",Ruimtestaat[[#This Row],[Vloer code]]))</f>
        <v>2-3w T</v>
      </c>
      <c r="AI110" s="185" t="str">
        <f>_xlfn.IFNA(VLOOKUP($AH110,Programma!$F$3:$G$1101,2,0),"")</f>
        <v>2w</v>
      </c>
      <c r="AJ110" s="185" t="str">
        <f>_xlfn.IFNA(VLOOKUP($AH110,Programma!$F$3:$H$1101,3,0),"")</f>
        <v>1w</v>
      </c>
      <c r="AK110" s="185" t="str">
        <f>_xlfn.IFNA(VLOOKUP($AH110,Programma!$F$3:$I$1101,4,0),"")</f>
        <v>_</v>
      </c>
      <c r="AL110" s="185" t="str">
        <f>_xlfn.IFNA(VLOOKUP($AH110,Programma!$F$3:$J$1101,5,0),"")</f>
        <v>_</v>
      </c>
      <c r="AM110" s="185" t="str">
        <f>_xlfn.IFNA(VLOOKUP($AH110,Programma!$F$3:$K$1101,6,0),"")</f>
        <v>_</v>
      </c>
      <c r="AN110" s="185" t="str">
        <f>_xlfn.IFNA(VLOOKUP($AH110,Programma!$F$3:$L$1101,7,0),"")</f>
        <v>_</v>
      </c>
      <c r="AO110" s="185" t="str">
        <f>_xlfn.IFNA(VLOOKUP($AH110,Programma!$F$3:$M$1101,8,0),"")</f>
        <v>_</v>
      </c>
      <c r="AP110" s="185" t="str">
        <f>_xlfn.IFNA(VLOOKUP($AH110,Programma!$F$3:$N$1101,9,0),"")</f>
        <v>_</v>
      </c>
      <c r="AQ110" s="185" t="str">
        <f>_xlfn.IFNA(VLOOKUP($AH110,Programma!$F$3:$O$1101,10,0),"")</f>
        <v>3w</v>
      </c>
      <c r="AR110" s="185" t="str">
        <f>_xlfn.IFNA(VLOOKUP($AH110,Programma!$F$3:$P$1101,11,0),"")</f>
        <v>3w</v>
      </c>
      <c r="AS110" s="185" t="str">
        <f>_xlfn.IFNA(VLOOKUP($AH110,Programma!$F$3:$Q$1101,12,0),"")</f>
        <v>1w</v>
      </c>
      <c r="AT110" s="185" t="str">
        <f>_xlfn.IFNA(VLOOKUP($AH110,Programma!$F$3:$R$1101,13,0),"")</f>
        <v>1w</v>
      </c>
      <c r="AU110" s="185" t="str">
        <f>_xlfn.IFNA(VLOOKUP($AH110,Programma!$F$3:$S$1101,14,0),"")</f>
        <v>1m</v>
      </c>
      <c r="AV110" s="185" t="str">
        <f>_xlfn.IFNA(VLOOKUP($AH110,Programma!$F$3:$T$1101,15,0),"")</f>
        <v>2j</v>
      </c>
      <c r="AW110" s="185" t="str">
        <f>_xlfn.IFNA(VLOOKUP($AH110,Programma!$F$3:$U$1101,16,0),"")</f>
        <v>1j</v>
      </c>
      <c r="AX110" s="185" t="str">
        <f>_xlfn.IFNA(VLOOKUP($AH110,Programma!$F$3:$V$1101,17,0),"")</f>
        <v>_</v>
      </c>
      <c r="AY110" s="185" t="str">
        <f>_xlfn.IFNA(VLOOKUP($AH110,Programma!$F$3:$W$1101,18,0),"")</f>
        <v>_</v>
      </c>
      <c r="AZ110" s="185" t="str">
        <f>_xlfn.IFNA(VLOOKUP($AH110,Programma!$F$3:$X$1101,19,0),"")</f>
        <v>_</v>
      </c>
      <c r="BA110" s="185" t="str">
        <f>_xlfn.IFNA(VLOOKUP($AH110,Programma!$F$3:$Y$1101,20,0),"")</f>
        <v>_</v>
      </c>
      <c r="BB110" s="182"/>
      <c r="BC110" s="181" t="str">
        <f>IF(Ruimtestaat[[#This Row],[Frequentie weekend]]="","",_xlfn.CONCAT(Ruimtestaat[[#This Row],[Ruimte code]],"-",Ruimtestaat[[#This Row],[Frequentie weekend]]," ",Ruimtestaat[[#This Row],[Vloer code]]))</f>
        <v/>
      </c>
      <c r="BD110" s="185" t="str">
        <f>_xlfn.IFNA(VLOOKUP($BC110,Programma!$F$3:$G$1101,2,0),"")</f>
        <v/>
      </c>
      <c r="BE110" s="185" t="str">
        <f>_xlfn.IFNA(VLOOKUP($BC110,Programma!$F$3:$H$1101,3,0),"")</f>
        <v/>
      </c>
      <c r="BF110" s="185" t="str">
        <f>_xlfn.IFNA(VLOOKUP($BC110,Programma!$F$3:$I$1101,4,0),"")</f>
        <v/>
      </c>
      <c r="BG110" s="185" t="str">
        <f>_xlfn.IFNA(VLOOKUP($BC110,Programma!$F$3:$J$1101,5,0),"")</f>
        <v/>
      </c>
      <c r="BH110" s="185" t="str">
        <f>_xlfn.IFNA(VLOOKUP($BC110,Programma!$F$3:$K$1101,6,0),"")</f>
        <v/>
      </c>
      <c r="BI110" s="185" t="str">
        <f>_xlfn.IFNA(VLOOKUP($BC110,Programma!$F$3:$L$1101,7,0),"")</f>
        <v/>
      </c>
      <c r="BJ110" s="185" t="str">
        <f>_xlfn.IFNA(VLOOKUP($BC110,Programma!$F$3:$M$1101,8,0),"")</f>
        <v/>
      </c>
      <c r="BK110" s="185" t="str">
        <f>_xlfn.IFNA(VLOOKUP($BC110,Programma!$F$3:$N$1101,9,0),"")</f>
        <v/>
      </c>
      <c r="BL110" s="185" t="str">
        <f>_xlfn.IFNA(VLOOKUP($BC110,Programma!$F$3:$O$1101,10,0),"")</f>
        <v/>
      </c>
      <c r="BM110" s="185" t="str">
        <f>_xlfn.IFNA(VLOOKUP($BC110,Programma!$F$3:$P$1101,11,0),"")</f>
        <v/>
      </c>
      <c r="BN110" s="185" t="str">
        <f>_xlfn.IFNA(VLOOKUP($BC110,Programma!$F$3:$Q$1101,12,0),"")</f>
        <v/>
      </c>
      <c r="BO110" s="185" t="str">
        <f>_xlfn.IFNA(VLOOKUP($BC110,Programma!$F$3:$R$1101,13,0),"")</f>
        <v/>
      </c>
      <c r="BP110" s="185" t="str">
        <f>_xlfn.IFNA(VLOOKUP($BC110,Programma!$F$3:$S$1101,14,0),"")</f>
        <v/>
      </c>
      <c r="BQ110" s="185" t="str">
        <f>_xlfn.IFNA(VLOOKUP($BC110,Programma!$F$3:$T$1101,15,0),"")</f>
        <v/>
      </c>
      <c r="BR110" s="185" t="str">
        <f>_xlfn.IFNA(VLOOKUP($BC110,Programma!$F$3:$U$1101,16,0),"")</f>
        <v/>
      </c>
      <c r="BS110" s="185" t="str">
        <f>_xlfn.IFNA(VLOOKUP($BC110,Programma!$F$3:$V$1101,17,0),"")</f>
        <v/>
      </c>
      <c r="BT110" s="185" t="str">
        <f>_xlfn.IFNA(VLOOKUP($BC110,Programma!$F$3:$W$1101,18,0),"")</f>
        <v/>
      </c>
      <c r="BU110" s="185" t="str">
        <f>_xlfn.IFNA(VLOOKUP($BC110,Programma!$F$3:$X$1101,19,0),"")</f>
        <v/>
      </c>
      <c r="BV110" s="185" t="str">
        <f>_xlfn.IFNA(VLOOKUP($BC110,Programma!$F$3:$Y$1101,20,0),"")</f>
        <v/>
      </c>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c r="EO110" s="78"/>
      <c r="EP110" s="78"/>
      <c r="EQ110" s="78"/>
      <c r="ER110" s="78"/>
      <c r="ES110" s="78"/>
      <c r="ET110" s="78"/>
      <c r="EU110" s="78"/>
      <c r="EV110" s="78"/>
      <c r="EW110" s="78"/>
      <c r="EX110" s="78"/>
      <c r="EY110" s="78"/>
      <c r="EZ110" s="78"/>
      <c r="FA110" s="78"/>
      <c r="FB110" s="78"/>
      <c r="FC110" s="78"/>
      <c r="FD110" s="78"/>
      <c r="FE110" s="78"/>
      <c r="FF110" s="78"/>
      <c r="FG110" s="78"/>
      <c r="FH110" s="78"/>
      <c r="FI110" s="78"/>
      <c r="FJ110" s="78"/>
      <c r="FK110" s="78"/>
      <c r="FL110" s="78"/>
      <c r="FM110" s="78"/>
      <c r="FN110" s="78"/>
      <c r="FO110" s="78"/>
      <c r="FP110" s="78"/>
      <c r="FQ110" s="78"/>
      <c r="FR110" s="78"/>
      <c r="FS110" s="78"/>
      <c r="FT110" s="78"/>
      <c r="FU110" s="78"/>
      <c r="FV110" s="78"/>
      <c r="FW110" s="78"/>
      <c r="FX110" s="78"/>
      <c r="FY110" s="78"/>
      <c r="FZ110" s="78"/>
      <c r="GA110" s="78"/>
      <c r="GB110" s="78"/>
      <c r="GC110" s="78"/>
      <c r="GD110" s="78"/>
      <c r="GE110" s="78"/>
      <c r="GF110" s="78"/>
      <c r="GG110" s="78"/>
      <c r="GH110" s="78"/>
      <c r="GI110" s="78"/>
      <c r="GJ110" s="78"/>
      <c r="GK110" s="78"/>
      <c r="GL110" s="78"/>
      <c r="GM110" s="78"/>
      <c r="GN110" s="78"/>
      <c r="GO110" s="78"/>
      <c r="GP110" s="78"/>
      <c r="GQ110" s="78"/>
      <c r="GR110" s="78"/>
      <c r="GS110" s="78"/>
      <c r="GT110" s="78"/>
      <c r="GU110" s="78"/>
      <c r="GV110" s="78"/>
      <c r="GW110" s="78"/>
      <c r="GX110" s="78"/>
      <c r="GY110" s="78"/>
      <c r="GZ110" s="78"/>
      <c r="HA110" s="78"/>
      <c r="HB110" s="78"/>
      <c r="HC110" s="78"/>
      <c r="HD110" s="78"/>
      <c r="HE110" s="78"/>
      <c r="HF110" s="78"/>
      <c r="HG110" s="78"/>
      <c r="HH110" s="78"/>
      <c r="HI110" s="78"/>
      <c r="HJ110" s="78"/>
      <c r="HK110" s="78"/>
    </row>
    <row r="111" spans="1:219" ht="15" customHeight="1">
      <c r="A111" s="149">
        <v>4</v>
      </c>
      <c r="B111" s="176" t="str">
        <f>VLOOKUP(Ruimtestaat[[#This Row],[Code]],Locaties[[Code]:[Locatie]],2,FALSE)</f>
        <v>OBS De Sterrenborgh</v>
      </c>
      <c r="C111" s="176" t="str">
        <f>VLOOKUP(Ruimtestaat[[#This Row],[Code]],Locaties[[#All],[Code]:[Adres]],4,FALSE)</f>
        <v>Runenberghoek 5</v>
      </c>
      <c r="D111" s="176" t="str">
        <f>VLOOKUP(Ruimtestaat[[#This Row],[Code]],Locaties[[#All],[Code]:[Postcode]],5,FALSE)</f>
        <v>7546 EG</v>
      </c>
      <c r="E111" s="176" t="str">
        <f>VLOOKUP(Ruimtestaat[[#This Row],[Code]],Locaties[#All],6,FALSE)</f>
        <v>Enschede</v>
      </c>
      <c r="F111" s="149"/>
      <c r="G111" s="149" t="s">
        <v>1646</v>
      </c>
      <c r="H111" s="300" t="s">
        <v>1666</v>
      </c>
      <c r="I111" s="301" t="s">
        <v>1658</v>
      </c>
      <c r="J111" s="99">
        <v>6</v>
      </c>
      <c r="K111" s="183" t="str">
        <f>VLOOKUP(Ruimtestaat[[#This Row],[Ruimte code]],Ruimtegroepen[[#All],[Code]:[Ruimte omschrijving]],2,FALSE)</f>
        <v>Gangen/hallen</v>
      </c>
      <c r="L111" s="149" t="s">
        <v>100</v>
      </c>
      <c r="M111" s="301" t="s">
        <v>1697</v>
      </c>
      <c r="N111" s="177">
        <v>75.7</v>
      </c>
      <c r="O111" s="177"/>
      <c r="P111" s="178" t="str">
        <f>VLOOKUP(Ruimtestaat[[#This Row],[Ruimte code]],Ruimtegroepen[],4,FALSE)</f>
        <v>Ve</v>
      </c>
      <c r="Q111" s="149">
        <v>40</v>
      </c>
      <c r="R111" s="149" t="s">
        <v>2</v>
      </c>
      <c r="S111" s="149">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1" s="149">
        <f>IF(S111&gt;0,VLOOKUP($J111,Ruimtegroepen[],3,FALSE)*VLOOKUP($L111,Vloersoorten[],3,FALSE)*VLOOKUP($R111,Frequenties[],3,FALSE)*VLOOKUP($A111,Locaties[],3,FALSE),0)</f>
        <v>0</v>
      </c>
      <c r="U111" s="149">
        <f>Ruimtestaat[[#This Row],[Uitvoeringen werkdagen]]*Ruimtestaat[[#This Row],[Oppervlak (netto)]]</f>
        <v>15140</v>
      </c>
      <c r="V111" s="179">
        <f>IF(T111&gt;0,Ruimtestaat[[#This Row],[Prest. (m2 /jaar) werkdagen]]/Ruimtestaat[[#This Row],[Norm (m2/uur) werkdagen]],0)</f>
        <v>0</v>
      </c>
      <c r="W111" s="180">
        <f>Ruimtestaat[[#This Row],[uren / jaar werkdagen]]*Tariefsopbouw!$E$35</f>
        <v>0</v>
      </c>
      <c r="X111" s="149"/>
      <c r="Y111" s="149">
        <f>IF(Ruimtestaat[[#This Row],[Frequentie weekend]]&gt;0,VALUE(LEFT(X111,1))*Q111,0)</f>
        <v>0</v>
      </c>
      <c r="Z111" s="148">
        <f>IF($Y111&gt;0,VLOOKUP($J111,Ruimtegroepen[],3,FALSE)*VLOOKUP($L111,Vloersoorten[],3,FALSE)*VLOOKUP($X111,Frequenties[],3,FALSE)*VLOOKUP(Ruimtestaat[[#This Row],[Code]],Locaties[],3,FALSE),0)</f>
        <v>0</v>
      </c>
      <c r="AA111" s="148">
        <f>Ruimtestaat[[#This Row],[Uitvoeringen weekend]]*Ruimtestaat[[#This Row],[Oppervlak (netto)]]</f>
        <v>0</v>
      </c>
      <c r="AB111" s="148">
        <f>IF(Z111&gt;0,Ruimtestaat[[#This Row],[Prest. (m2 /jaar) weekend]]/Ruimtestaat[[#This Row],[Norm (m2/uur) weekend]],0)</f>
        <v>0</v>
      </c>
      <c r="AC111" s="180">
        <f>Ruimtestaat[[#This Row],[uren / jaar weekend]]*Tariefsopbouw!$D$40</f>
        <v>0</v>
      </c>
      <c r="AD111" s="179">
        <f>Ruimtestaat[[#This Row],[Prest. (m2 /jaar) weekend]]+Ruimtestaat[[#This Row],[Prest. (m2 /jaar) werkdagen]]</f>
        <v>15140</v>
      </c>
      <c r="AE111" s="179">
        <f>Ruimtestaat[[#This Row],[uren / jaar weekend]]+Ruimtestaat[[#This Row],[uren / jaar werkdagen]]</f>
        <v>0</v>
      </c>
      <c r="AF111" s="174">
        <f>Ruimtestaat[[#This Row],[kosten / jaar weekend]]+Ruimtestaat[[#This Row],[kosten / jaar werkdagen]]</f>
        <v>0</v>
      </c>
      <c r="AG111" s="174"/>
      <c r="AH111" s="181" t="str">
        <f>IF(Ruimtestaat[[#This Row],[Frequentie werkdagen]]="","",_xlfn.CONCAT(Ruimtestaat[[#This Row],[Ruimte code]],"-",Ruimtestaat[[#This Row],[Frequentie werkdagen]]," ",Ruimtestaat[[#This Row],[Vloer code]]))</f>
        <v>6-5w L</v>
      </c>
      <c r="AI111" s="185" t="str">
        <f>_xlfn.IFNA(VLOOKUP($AH111,Programma!$F$3:$G$1101,2,0),"")</f>
        <v>_</v>
      </c>
      <c r="AJ111" s="185" t="str">
        <f>_xlfn.IFNA(VLOOKUP($AH111,Programma!$F$3:$H$1101,3,0),"")</f>
        <v>_</v>
      </c>
      <c r="AK111" s="185" t="str">
        <f>_xlfn.IFNA(VLOOKUP($AH111,Programma!$F$3:$I$1101,4,0),"")</f>
        <v>_</v>
      </c>
      <c r="AL111" s="185" t="str">
        <f>_xlfn.IFNA(VLOOKUP($AH111,Programma!$F$3:$J$1101,5,0),"")</f>
        <v>5w</v>
      </c>
      <c r="AM111" s="185" t="str">
        <f>_xlfn.IFNA(VLOOKUP($AH111,Programma!$F$3:$K$1101,6,0),"")</f>
        <v>_</v>
      </c>
      <c r="AN111" s="185" t="str">
        <f>_xlfn.IFNA(VLOOKUP($AH111,Programma!$F$3:$L$1101,7,0),"")</f>
        <v>_</v>
      </c>
      <c r="AO111" s="185" t="str">
        <f>_xlfn.IFNA(VLOOKUP($AH111,Programma!$F$3:$M$1101,8,0),"")</f>
        <v>_</v>
      </c>
      <c r="AP111" s="185" t="str">
        <f>_xlfn.IFNA(VLOOKUP($AH111,Programma!$F$3:$N$1101,9,0),"")</f>
        <v>_</v>
      </c>
      <c r="AQ111" s="185" t="str">
        <f>_xlfn.IFNA(VLOOKUP($AH111,Programma!$F$3:$O$1101,10,0),"")</f>
        <v>5w</v>
      </c>
      <c r="AR111" s="185" t="str">
        <f>_xlfn.IFNA(VLOOKUP($AH111,Programma!$F$3:$P$1101,11,0),"")</f>
        <v>5w</v>
      </c>
      <c r="AS111" s="185" t="str">
        <f>_xlfn.IFNA(VLOOKUP($AH111,Programma!$F$3:$Q$1101,12,0),"")</f>
        <v>1w</v>
      </c>
      <c r="AT111" s="185" t="str">
        <f>_xlfn.IFNA(VLOOKUP($AH111,Programma!$F$3:$R$1101,13,0),"")</f>
        <v>1w</v>
      </c>
      <c r="AU111" s="185" t="str">
        <f>_xlfn.IFNA(VLOOKUP($AH111,Programma!$F$3:$S$1101,14,0),"")</f>
        <v>1m</v>
      </c>
      <c r="AV111" s="185" t="str">
        <f>_xlfn.IFNA(VLOOKUP($AH111,Programma!$F$3:$T$1101,15,0),"")</f>
        <v>2j</v>
      </c>
      <c r="AW111" s="185" t="str">
        <f>_xlfn.IFNA(VLOOKUP($AH111,Programma!$F$3:$U$1101,16,0),"")</f>
        <v>1j</v>
      </c>
      <c r="AX111" s="185" t="str">
        <f>_xlfn.IFNA(VLOOKUP($AH111,Programma!$F$3:$V$1101,17,0),"")</f>
        <v>_</v>
      </c>
      <c r="AY111" s="185" t="str">
        <f>_xlfn.IFNA(VLOOKUP($AH111,Programma!$F$3:$W$1101,18,0),"")</f>
        <v>_</v>
      </c>
      <c r="AZ111" s="185" t="str">
        <f>_xlfn.IFNA(VLOOKUP($AH111,Programma!$F$3:$X$1101,19,0),"")</f>
        <v>_</v>
      </c>
      <c r="BA111" s="185" t="str">
        <f>_xlfn.IFNA(VLOOKUP($AH111,Programma!$F$3:$Y$1101,20,0),"")</f>
        <v>_</v>
      </c>
      <c r="BB111" s="182"/>
      <c r="BC111" s="181" t="str">
        <f>IF(Ruimtestaat[[#This Row],[Frequentie weekend]]="","",_xlfn.CONCAT(Ruimtestaat[[#This Row],[Ruimte code]],"-",Ruimtestaat[[#This Row],[Frequentie weekend]]," ",Ruimtestaat[[#This Row],[Vloer code]]))</f>
        <v/>
      </c>
      <c r="BD111" s="185" t="str">
        <f>_xlfn.IFNA(VLOOKUP($BC111,Programma!$F$3:$G$1101,2,0),"")</f>
        <v/>
      </c>
      <c r="BE111" s="185" t="str">
        <f>_xlfn.IFNA(VLOOKUP($BC111,Programma!$F$3:$H$1101,3,0),"")</f>
        <v/>
      </c>
      <c r="BF111" s="185" t="str">
        <f>_xlfn.IFNA(VLOOKUP($BC111,Programma!$F$3:$I$1101,4,0),"")</f>
        <v/>
      </c>
      <c r="BG111" s="185" t="str">
        <f>_xlfn.IFNA(VLOOKUP($BC111,Programma!$F$3:$J$1101,5,0),"")</f>
        <v/>
      </c>
      <c r="BH111" s="185" t="str">
        <f>_xlfn.IFNA(VLOOKUP($BC111,Programma!$F$3:$K$1101,6,0),"")</f>
        <v/>
      </c>
      <c r="BI111" s="185" t="str">
        <f>_xlfn.IFNA(VLOOKUP($BC111,Programma!$F$3:$L$1101,7,0),"")</f>
        <v/>
      </c>
      <c r="BJ111" s="185" t="str">
        <f>_xlfn.IFNA(VLOOKUP($BC111,Programma!$F$3:$M$1101,8,0),"")</f>
        <v/>
      </c>
      <c r="BK111" s="185" t="str">
        <f>_xlfn.IFNA(VLOOKUP($BC111,Programma!$F$3:$N$1101,9,0),"")</f>
        <v/>
      </c>
      <c r="BL111" s="185" t="str">
        <f>_xlfn.IFNA(VLOOKUP($BC111,Programma!$F$3:$O$1101,10,0),"")</f>
        <v/>
      </c>
      <c r="BM111" s="185" t="str">
        <f>_xlfn.IFNA(VLOOKUP($BC111,Programma!$F$3:$P$1101,11,0),"")</f>
        <v/>
      </c>
      <c r="BN111" s="185" t="str">
        <f>_xlfn.IFNA(VLOOKUP($BC111,Programma!$F$3:$Q$1101,12,0),"")</f>
        <v/>
      </c>
      <c r="BO111" s="185" t="str">
        <f>_xlfn.IFNA(VLOOKUP($BC111,Programma!$F$3:$R$1101,13,0),"")</f>
        <v/>
      </c>
      <c r="BP111" s="185" t="str">
        <f>_xlfn.IFNA(VLOOKUP($BC111,Programma!$F$3:$S$1101,14,0),"")</f>
        <v/>
      </c>
      <c r="BQ111" s="185" t="str">
        <f>_xlfn.IFNA(VLOOKUP($BC111,Programma!$F$3:$T$1101,15,0),"")</f>
        <v/>
      </c>
      <c r="BR111" s="185" t="str">
        <f>_xlfn.IFNA(VLOOKUP($BC111,Programma!$F$3:$U$1101,16,0),"")</f>
        <v/>
      </c>
      <c r="BS111" s="185" t="str">
        <f>_xlfn.IFNA(VLOOKUP($BC111,Programma!$F$3:$V$1101,17,0),"")</f>
        <v/>
      </c>
      <c r="BT111" s="185" t="str">
        <f>_xlfn.IFNA(VLOOKUP($BC111,Programma!$F$3:$W$1101,18,0),"")</f>
        <v/>
      </c>
      <c r="BU111" s="185" t="str">
        <f>_xlfn.IFNA(VLOOKUP($BC111,Programma!$F$3:$X$1101,19,0),"")</f>
        <v/>
      </c>
      <c r="BV111" s="185" t="str">
        <f>_xlfn.IFNA(VLOOKUP($BC111,Programma!$F$3:$Y$1101,20,0),"")</f>
        <v/>
      </c>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c r="EO111" s="78"/>
      <c r="EP111" s="78"/>
      <c r="EQ111" s="78"/>
      <c r="ER111" s="78"/>
      <c r="ES111" s="78"/>
      <c r="ET111" s="78"/>
      <c r="EU111" s="78"/>
      <c r="EV111" s="78"/>
      <c r="EW111" s="78"/>
      <c r="EX111" s="78"/>
      <c r="EY111" s="78"/>
      <c r="EZ111" s="78"/>
      <c r="FA111" s="78"/>
      <c r="FB111" s="78"/>
      <c r="FC111" s="78"/>
      <c r="FD111" s="78"/>
      <c r="FE111" s="78"/>
      <c r="FF111" s="78"/>
      <c r="FG111" s="78"/>
      <c r="FH111" s="78"/>
      <c r="FI111" s="78"/>
      <c r="FJ111" s="78"/>
      <c r="FK111" s="78"/>
      <c r="FL111" s="78"/>
      <c r="FM111" s="78"/>
      <c r="FN111" s="78"/>
      <c r="FO111" s="78"/>
      <c r="FP111" s="78"/>
      <c r="FQ111" s="78"/>
      <c r="FR111" s="78"/>
      <c r="FS111" s="78"/>
      <c r="FT111" s="78"/>
      <c r="FU111" s="78"/>
      <c r="FV111" s="78"/>
      <c r="FW111" s="78"/>
      <c r="FX111" s="78"/>
      <c r="FY111" s="78"/>
      <c r="FZ111" s="78"/>
      <c r="GA111" s="78"/>
      <c r="GB111" s="78"/>
      <c r="GC111" s="78"/>
      <c r="GD111" s="78"/>
      <c r="GE111" s="78"/>
      <c r="GF111" s="78"/>
      <c r="GG111" s="78"/>
      <c r="GH111" s="78"/>
      <c r="GI111" s="78"/>
      <c r="GJ111" s="78"/>
      <c r="GK111" s="78"/>
      <c r="GL111" s="78"/>
      <c r="GM111" s="78"/>
      <c r="GN111" s="78"/>
      <c r="GO111" s="78"/>
      <c r="GP111" s="78"/>
      <c r="GQ111" s="78"/>
      <c r="GR111" s="78"/>
      <c r="GS111" s="78"/>
      <c r="GT111" s="78"/>
      <c r="GU111" s="78"/>
      <c r="GV111" s="78"/>
      <c r="GW111" s="78"/>
      <c r="GX111" s="78"/>
      <c r="GY111" s="78"/>
      <c r="GZ111" s="78"/>
      <c r="HA111" s="78"/>
      <c r="HB111" s="78"/>
      <c r="HC111" s="78"/>
      <c r="HD111" s="78"/>
      <c r="HE111" s="78"/>
      <c r="HF111" s="78"/>
      <c r="HG111" s="78"/>
      <c r="HH111" s="78"/>
      <c r="HI111" s="78"/>
      <c r="HJ111" s="78"/>
      <c r="HK111" s="78"/>
    </row>
    <row r="112" spans="1:219" ht="15" customHeight="1">
      <c r="A112" s="149">
        <v>4</v>
      </c>
      <c r="B112" s="176" t="str">
        <f>VLOOKUP(Ruimtestaat[[#This Row],[Code]],Locaties[[Code]:[Locatie]],2,FALSE)</f>
        <v>OBS De Sterrenborgh</v>
      </c>
      <c r="C112" s="176" t="str">
        <f>VLOOKUP(Ruimtestaat[[#This Row],[Code]],Locaties[[#All],[Code]:[Adres]],4,FALSE)</f>
        <v>Runenberghoek 5</v>
      </c>
      <c r="D112" s="176" t="str">
        <f>VLOOKUP(Ruimtestaat[[#This Row],[Code]],Locaties[[#All],[Code]:[Postcode]],5,FALSE)</f>
        <v>7546 EG</v>
      </c>
      <c r="E112" s="176" t="str">
        <f>VLOOKUP(Ruimtestaat[[#This Row],[Code]],Locaties[#All],6,FALSE)</f>
        <v>Enschede</v>
      </c>
      <c r="F112" s="149"/>
      <c r="G112" s="149" t="s">
        <v>1646</v>
      </c>
      <c r="H112" s="300" t="s">
        <v>1668</v>
      </c>
      <c r="I112" s="301" t="s">
        <v>1702</v>
      </c>
      <c r="J112" s="99">
        <v>10</v>
      </c>
      <c r="K112" s="183" t="str">
        <f>VLOOKUP(Ruimtestaat[[#This Row],[Ruimte code]],Ruimtegroepen[[#All],[Code]:[Ruimte omschrijving]],2,FALSE)</f>
        <v>Trappenhuizen/lift</v>
      </c>
      <c r="L112" s="149" t="s">
        <v>102</v>
      </c>
      <c r="M112" s="301" t="s">
        <v>1742</v>
      </c>
      <c r="N112" s="177">
        <v>11.1</v>
      </c>
      <c r="O112" s="177"/>
      <c r="P112" s="178" t="str">
        <f>VLOOKUP(Ruimtestaat[[#This Row],[Ruimte code]],Ruimtegroepen[],4,FALSE)</f>
        <v>Ve</v>
      </c>
      <c r="Q112" s="149">
        <v>40</v>
      </c>
      <c r="R112" s="149" t="s">
        <v>2</v>
      </c>
      <c r="S112" s="149">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2" s="149">
        <f>IF(S112&gt;0,VLOOKUP($J112,Ruimtegroepen[],3,FALSE)*VLOOKUP($L112,Vloersoorten[],3,FALSE)*VLOOKUP($R112,Frequenties[],3,FALSE)*VLOOKUP($A112,Locaties[],3,FALSE),0)</f>
        <v>0</v>
      </c>
      <c r="U112" s="149">
        <f>Ruimtestaat[[#This Row],[Uitvoeringen werkdagen]]*Ruimtestaat[[#This Row],[Oppervlak (netto)]]</f>
        <v>2220</v>
      </c>
      <c r="V112" s="179">
        <f>IF(T112&gt;0,Ruimtestaat[[#This Row],[Prest. (m2 /jaar) werkdagen]]/Ruimtestaat[[#This Row],[Norm (m2/uur) werkdagen]],0)</f>
        <v>0</v>
      </c>
      <c r="W112" s="180">
        <f>Ruimtestaat[[#This Row],[uren / jaar werkdagen]]*Tariefsopbouw!$E$35</f>
        <v>0</v>
      </c>
      <c r="X112" s="149"/>
      <c r="Y112" s="149">
        <f>IF(Ruimtestaat[[#This Row],[Frequentie weekend]]&gt;0,VALUE(LEFT(X112,1))*Q112,0)</f>
        <v>0</v>
      </c>
      <c r="Z112" s="148">
        <f>IF($Y112&gt;0,VLOOKUP($J112,Ruimtegroepen[],3,FALSE)*VLOOKUP($L112,Vloersoorten[],3,FALSE)*VLOOKUP($X112,Frequenties[],3,FALSE)*VLOOKUP(Ruimtestaat[[#This Row],[Code]],Locaties[],3,FALSE),0)</f>
        <v>0</v>
      </c>
      <c r="AA112" s="148">
        <f>Ruimtestaat[[#This Row],[Uitvoeringen weekend]]*Ruimtestaat[[#This Row],[Oppervlak (netto)]]</f>
        <v>0</v>
      </c>
      <c r="AB112" s="148">
        <f>IF(Z112&gt;0,Ruimtestaat[[#This Row],[Prest. (m2 /jaar) weekend]]/Ruimtestaat[[#This Row],[Norm (m2/uur) weekend]],0)</f>
        <v>0</v>
      </c>
      <c r="AC112" s="180">
        <f>Ruimtestaat[[#This Row],[uren / jaar weekend]]*Tariefsopbouw!$D$40</f>
        <v>0</v>
      </c>
      <c r="AD112" s="179">
        <f>Ruimtestaat[[#This Row],[Prest. (m2 /jaar) weekend]]+Ruimtestaat[[#This Row],[Prest. (m2 /jaar) werkdagen]]</f>
        <v>2220</v>
      </c>
      <c r="AE112" s="179">
        <f>Ruimtestaat[[#This Row],[uren / jaar weekend]]+Ruimtestaat[[#This Row],[uren / jaar werkdagen]]</f>
        <v>0</v>
      </c>
      <c r="AF112" s="174">
        <f>Ruimtestaat[[#This Row],[kosten / jaar weekend]]+Ruimtestaat[[#This Row],[kosten / jaar werkdagen]]</f>
        <v>0</v>
      </c>
      <c r="AG112" s="174"/>
      <c r="AH112" s="181" t="str">
        <f>IF(Ruimtestaat[[#This Row],[Frequentie werkdagen]]="","",_xlfn.CONCAT(Ruimtestaat[[#This Row],[Ruimte code]],"-",Ruimtestaat[[#This Row],[Frequentie werkdagen]]," ",Ruimtestaat[[#This Row],[Vloer code]]))</f>
        <v>10-5w P</v>
      </c>
      <c r="AI112" s="185" t="str">
        <f>_xlfn.IFNA(VLOOKUP($AH112,Programma!$F$3:$G$1101,2,0),"")</f>
        <v>_</v>
      </c>
      <c r="AJ112" s="185" t="str">
        <f>_xlfn.IFNA(VLOOKUP($AH112,Programma!$F$3:$H$1101,3,0),"")</f>
        <v>_</v>
      </c>
      <c r="AK112" s="185" t="str">
        <f>_xlfn.IFNA(VLOOKUP($AH112,Programma!$F$3:$I$1101,4,0),"")</f>
        <v>5w</v>
      </c>
      <c r="AL112" s="185" t="str">
        <f>_xlfn.IFNA(VLOOKUP($AH112,Programma!$F$3:$J$1101,5,0),"")</f>
        <v>_</v>
      </c>
      <c r="AM112" s="185" t="str">
        <f>_xlfn.IFNA(VLOOKUP($AH112,Programma!$F$3:$K$1101,6,0),"")</f>
        <v>4j</v>
      </c>
      <c r="AN112" s="185" t="str">
        <f>_xlfn.IFNA(VLOOKUP($AH112,Programma!$F$3:$L$1101,7,0),"")</f>
        <v>_</v>
      </c>
      <c r="AO112" s="185" t="str">
        <f>_xlfn.IFNA(VLOOKUP($AH112,Programma!$F$3:$M$1101,8,0),"")</f>
        <v>_</v>
      </c>
      <c r="AP112" s="185" t="str">
        <f>_xlfn.IFNA(VLOOKUP($AH112,Programma!$F$3:$N$1101,9,0),"")</f>
        <v>_</v>
      </c>
      <c r="AQ112" s="185" t="str">
        <f>_xlfn.IFNA(VLOOKUP($AH112,Programma!$F$3:$O$1101,10,0),"")</f>
        <v>5w</v>
      </c>
      <c r="AR112" s="185" t="str">
        <f>_xlfn.IFNA(VLOOKUP($AH112,Programma!$F$3:$P$1101,11,0),"")</f>
        <v>5w</v>
      </c>
      <c r="AS112" s="185" t="str">
        <f>_xlfn.IFNA(VLOOKUP($AH112,Programma!$F$3:$Q$1101,12,0),"")</f>
        <v>1w</v>
      </c>
      <c r="AT112" s="185" t="str">
        <f>_xlfn.IFNA(VLOOKUP($AH112,Programma!$F$3:$R$1101,13,0),"")</f>
        <v>1w</v>
      </c>
      <c r="AU112" s="185" t="str">
        <f>_xlfn.IFNA(VLOOKUP($AH112,Programma!$F$3:$S$1101,14,0),"")</f>
        <v>1m</v>
      </c>
      <c r="AV112" s="185" t="str">
        <f>_xlfn.IFNA(VLOOKUP($AH112,Programma!$F$3:$T$1101,15,0),"")</f>
        <v>2j</v>
      </c>
      <c r="AW112" s="185" t="str">
        <f>_xlfn.IFNA(VLOOKUP($AH112,Programma!$F$3:$U$1101,16,0),"")</f>
        <v>1j</v>
      </c>
      <c r="AX112" s="185" t="str">
        <f>_xlfn.IFNA(VLOOKUP($AH112,Programma!$F$3:$V$1101,17,0),"")</f>
        <v>_</v>
      </c>
      <c r="AY112" s="185" t="str">
        <f>_xlfn.IFNA(VLOOKUP($AH112,Programma!$F$3:$W$1101,18,0),"")</f>
        <v>_</v>
      </c>
      <c r="AZ112" s="185" t="str">
        <f>_xlfn.IFNA(VLOOKUP($AH112,Programma!$F$3:$X$1101,19,0),"")</f>
        <v>_</v>
      </c>
      <c r="BA112" s="185" t="str">
        <f>_xlfn.IFNA(VLOOKUP($AH112,Programma!$F$3:$Y$1101,20,0),"")</f>
        <v>_</v>
      </c>
      <c r="BB112" s="182"/>
      <c r="BC112" s="181" t="str">
        <f>IF(Ruimtestaat[[#This Row],[Frequentie weekend]]="","",_xlfn.CONCAT(Ruimtestaat[[#This Row],[Ruimte code]],"-",Ruimtestaat[[#This Row],[Frequentie weekend]]," ",Ruimtestaat[[#This Row],[Vloer code]]))</f>
        <v/>
      </c>
      <c r="BD112" s="185" t="str">
        <f>_xlfn.IFNA(VLOOKUP($BC112,Programma!$F$3:$G$1101,2,0),"")</f>
        <v/>
      </c>
      <c r="BE112" s="185" t="str">
        <f>_xlfn.IFNA(VLOOKUP($BC112,Programma!$F$3:$H$1101,3,0),"")</f>
        <v/>
      </c>
      <c r="BF112" s="185" t="str">
        <f>_xlfn.IFNA(VLOOKUP($BC112,Programma!$F$3:$I$1101,4,0),"")</f>
        <v/>
      </c>
      <c r="BG112" s="185" t="str">
        <f>_xlfn.IFNA(VLOOKUP($BC112,Programma!$F$3:$J$1101,5,0),"")</f>
        <v/>
      </c>
      <c r="BH112" s="185" t="str">
        <f>_xlfn.IFNA(VLOOKUP($BC112,Programma!$F$3:$K$1101,6,0),"")</f>
        <v/>
      </c>
      <c r="BI112" s="185" t="str">
        <f>_xlfn.IFNA(VLOOKUP($BC112,Programma!$F$3:$L$1101,7,0),"")</f>
        <v/>
      </c>
      <c r="BJ112" s="185" t="str">
        <f>_xlfn.IFNA(VLOOKUP($BC112,Programma!$F$3:$M$1101,8,0),"")</f>
        <v/>
      </c>
      <c r="BK112" s="185" t="str">
        <f>_xlfn.IFNA(VLOOKUP($BC112,Programma!$F$3:$N$1101,9,0),"")</f>
        <v/>
      </c>
      <c r="BL112" s="185" t="str">
        <f>_xlfn.IFNA(VLOOKUP($BC112,Programma!$F$3:$O$1101,10,0),"")</f>
        <v/>
      </c>
      <c r="BM112" s="185" t="str">
        <f>_xlfn.IFNA(VLOOKUP($BC112,Programma!$F$3:$P$1101,11,0),"")</f>
        <v/>
      </c>
      <c r="BN112" s="185" t="str">
        <f>_xlfn.IFNA(VLOOKUP($BC112,Programma!$F$3:$Q$1101,12,0),"")</f>
        <v/>
      </c>
      <c r="BO112" s="185" t="str">
        <f>_xlfn.IFNA(VLOOKUP($BC112,Programma!$F$3:$R$1101,13,0),"")</f>
        <v/>
      </c>
      <c r="BP112" s="185" t="str">
        <f>_xlfn.IFNA(VLOOKUP($BC112,Programma!$F$3:$S$1101,14,0),"")</f>
        <v/>
      </c>
      <c r="BQ112" s="185" t="str">
        <f>_xlfn.IFNA(VLOOKUP($BC112,Programma!$F$3:$T$1101,15,0),"")</f>
        <v/>
      </c>
      <c r="BR112" s="185" t="str">
        <f>_xlfn.IFNA(VLOOKUP($BC112,Programma!$F$3:$U$1101,16,0),"")</f>
        <v/>
      </c>
      <c r="BS112" s="185" t="str">
        <f>_xlfn.IFNA(VLOOKUP($BC112,Programma!$F$3:$V$1101,17,0),"")</f>
        <v/>
      </c>
      <c r="BT112" s="185" t="str">
        <f>_xlfn.IFNA(VLOOKUP($BC112,Programma!$F$3:$W$1101,18,0),"")</f>
        <v/>
      </c>
      <c r="BU112" s="185" t="str">
        <f>_xlfn.IFNA(VLOOKUP($BC112,Programma!$F$3:$X$1101,19,0),"")</f>
        <v/>
      </c>
      <c r="BV112" s="185" t="str">
        <f>_xlfn.IFNA(VLOOKUP($BC112,Programma!$F$3:$Y$1101,20,0),"")</f>
        <v/>
      </c>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c r="EO112" s="78"/>
      <c r="EP112" s="78"/>
      <c r="EQ112" s="78"/>
      <c r="ER112" s="78"/>
      <c r="ES112" s="78"/>
      <c r="ET112" s="78"/>
      <c r="EU112" s="78"/>
      <c r="EV112" s="78"/>
      <c r="EW112" s="78"/>
      <c r="EX112" s="78"/>
      <c r="EY112" s="78"/>
      <c r="EZ112" s="78"/>
      <c r="FA112" s="78"/>
      <c r="FB112" s="78"/>
      <c r="FC112" s="78"/>
      <c r="FD112" s="78"/>
      <c r="FE112" s="78"/>
      <c r="FF112" s="78"/>
      <c r="FG112" s="78"/>
      <c r="FH112" s="78"/>
      <c r="FI112" s="78"/>
      <c r="FJ112" s="78"/>
      <c r="FK112" s="78"/>
      <c r="FL112" s="78"/>
      <c r="FM112" s="78"/>
      <c r="FN112" s="78"/>
      <c r="FO112" s="78"/>
      <c r="FP112" s="78"/>
      <c r="FQ112" s="78"/>
      <c r="FR112" s="78"/>
      <c r="FS112" s="78"/>
      <c r="FT112" s="78"/>
      <c r="FU112" s="78"/>
      <c r="FV112" s="78"/>
      <c r="FW112" s="78"/>
      <c r="FX112" s="78"/>
      <c r="FY112" s="78"/>
      <c r="FZ112" s="78"/>
      <c r="GA112" s="78"/>
      <c r="GB112" s="78"/>
      <c r="GC112" s="78"/>
      <c r="GD112" s="78"/>
      <c r="GE112" s="78"/>
      <c r="GF112" s="78"/>
      <c r="GG112" s="78"/>
      <c r="GH112" s="78"/>
      <c r="GI112" s="78"/>
      <c r="GJ112" s="78"/>
      <c r="GK112" s="78"/>
      <c r="GL112" s="78"/>
      <c r="GM112" s="78"/>
      <c r="GN112" s="78"/>
      <c r="GO112" s="78"/>
      <c r="GP112" s="78"/>
      <c r="GQ112" s="78"/>
      <c r="GR112" s="78"/>
      <c r="GS112" s="78"/>
      <c r="GT112" s="78"/>
      <c r="GU112" s="78"/>
      <c r="GV112" s="78"/>
      <c r="GW112" s="78"/>
      <c r="GX112" s="78"/>
      <c r="GY112" s="78"/>
      <c r="GZ112" s="78"/>
      <c r="HA112" s="78"/>
      <c r="HB112" s="78"/>
      <c r="HC112" s="78"/>
      <c r="HD112" s="78"/>
      <c r="HE112" s="78"/>
      <c r="HF112" s="78"/>
      <c r="HG112" s="78"/>
      <c r="HH112" s="78"/>
      <c r="HI112" s="78"/>
      <c r="HJ112" s="78"/>
      <c r="HK112" s="78"/>
    </row>
    <row r="113" spans="1:219" ht="15" customHeight="1">
      <c r="A113" s="149">
        <v>4</v>
      </c>
      <c r="B113" s="176" t="str">
        <f>VLOOKUP(Ruimtestaat[[#This Row],[Code]],Locaties[[Code]:[Locatie]],2,FALSE)</f>
        <v>OBS De Sterrenborgh</v>
      </c>
      <c r="C113" s="176" t="str">
        <f>VLOOKUP(Ruimtestaat[[#This Row],[Code]],Locaties[[#All],[Code]:[Adres]],4,FALSE)</f>
        <v>Runenberghoek 5</v>
      </c>
      <c r="D113" s="176" t="str">
        <f>VLOOKUP(Ruimtestaat[[#This Row],[Code]],Locaties[[#All],[Code]:[Postcode]],5,FALSE)</f>
        <v>7546 EG</v>
      </c>
      <c r="E113" s="176" t="str">
        <f>VLOOKUP(Ruimtestaat[[#This Row],[Code]],Locaties[#All],6,FALSE)</f>
        <v>Enschede</v>
      </c>
      <c r="F113" s="149"/>
      <c r="G113" s="149" t="s">
        <v>1714</v>
      </c>
      <c r="H113" s="300" t="s">
        <v>1715</v>
      </c>
      <c r="I113" s="301" t="s">
        <v>1732</v>
      </c>
      <c r="J113" s="99">
        <v>6</v>
      </c>
      <c r="K113" s="183" t="str">
        <f>VLOOKUP(Ruimtestaat[[#This Row],[Ruimte code]],Ruimtegroepen[[#All],[Code]:[Ruimte omschrijving]],2,FALSE)</f>
        <v>Gangen/hallen</v>
      </c>
      <c r="L113" s="149" t="s">
        <v>100</v>
      </c>
      <c r="M113" s="301" t="s">
        <v>1697</v>
      </c>
      <c r="N113" s="177">
        <v>7.1</v>
      </c>
      <c r="O113" s="177"/>
      <c r="P113" s="178" t="str">
        <f>VLOOKUP(Ruimtestaat[[#This Row],[Ruimte code]],Ruimtegroepen[],4,FALSE)</f>
        <v>Ve</v>
      </c>
      <c r="Q113" s="149">
        <v>40</v>
      </c>
      <c r="R113" s="149" t="s">
        <v>2</v>
      </c>
      <c r="S113" s="149">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3" s="149">
        <f>IF(S113&gt;0,VLOOKUP($J113,Ruimtegroepen[],3,FALSE)*VLOOKUP($L113,Vloersoorten[],3,FALSE)*VLOOKUP($R113,Frequenties[],3,FALSE)*VLOOKUP($A113,Locaties[],3,FALSE),0)</f>
        <v>0</v>
      </c>
      <c r="U113" s="149">
        <f>Ruimtestaat[[#This Row],[Uitvoeringen werkdagen]]*Ruimtestaat[[#This Row],[Oppervlak (netto)]]</f>
        <v>1420</v>
      </c>
      <c r="V113" s="179">
        <f>IF(T113&gt;0,Ruimtestaat[[#This Row],[Prest. (m2 /jaar) werkdagen]]/Ruimtestaat[[#This Row],[Norm (m2/uur) werkdagen]],0)</f>
        <v>0</v>
      </c>
      <c r="W113" s="180">
        <f>Ruimtestaat[[#This Row],[uren / jaar werkdagen]]*Tariefsopbouw!$E$35</f>
        <v>0</v>
      </c>
      <c r="X113" s="149"/>
      <c r="Y113" s="149">
        <f>IF(Ruimtestaat[[#This Row],[Frequentie weekend]]&gt;0,VALUE(LEFT(X113,1))*Q113,0)</f>
        <v>0</v>
      </c>
      <c r="Z113" s="148">
        <f>IF($Y113&gt;0,VLOOKUP($J113,Ruimtegroepen[],3,FALSE)*VLOOKUP($L113,Vloersoorten[],3,FALSE)*VLOOKUP($X113,Frequenties[],3,FALSE)*VLOOKUP(Ruimtestaat[[#This Row],[Code]],Locaties[],3,FALSE),0)</f>
        <v>0</v>
      </c>
      <c r="AA113" s="148">
        <f>Ruimtestaat[[#This Row],[Uitvoeringen weekend]]*Ruimtestaat[[#This Row],[Oppervlak (netto)]]</f>
        <v>0</v>
      </c>
      <c r="AB113" s="148">
        <f>IF(Z113&gt;0,Ruimtestaat[[#This Row],[Prest. (m2 /jaar) weekend]]/Ruimtestaat[[#This Row],[Norm (m2/uur) weekend]],0)</f>
        <v>0</v>
      </c>
      <c r="AC113" s="180">
        <f>Ruimtestaat[[#This Row],[uren / jaar weekend]]*Tariefsopbouw!$D$40</f>
        <v>0</v>
      </c>
      <c r="AD113" s="179">
        <f>Ruimtestaat[[#This Row],[Prest. (m2 /jaar) weekend]]+Ruimtestaat[[#This Row],[Prest. (m2 /jaar) werkdagen]]</f>
        <v>1420</v>
      </c>
      <c r="AE113" s="179">
        <f>Ruimtestaat[[#This Row],[uren / jaar weekend]]+Ruimtestaat[[#This Row],[uren / jaar werkdagen]]</f>
        <v>0</v>
      </c>
      <c r="AF113" s="174">
        <f>Ruimtestaat[[#This Row],[kosten / jaar weekend]]+Ruimtestaat[[#This Row],[kosten / jaar werkdagen]]</f>
        <v>0</v>
      </c>
      <c r="AG113" s="174"/>
      <c r="AH113" s="181" t="str">
        <f>IF(Ruimtestaat[[#This Row],[Frequentie werkdagen]]="","",_xlfn.CONCAT(Ruimtestaat[[#This Row],[Ruimte code]],"-",Ruimtestaat[[#This Row],[Frequentie werkdagen]]," ",Ruimtestaat[[#This Row],[Vloer code]]))</f>
        <v>6-5w L</v>
      </c>
      <c r="AI113" s="185" t="str">
        <f>_xlfn.IFNA(VLOOKUP($AH113,Programma!$F$3:$G$1101,2,0),"")</f>
        <v>_</v>
      </c>
      <c r="AJ113" s="185" t="str">
        <f>_xlfn.IFNA(VLOOKUP($AH113,Programma!$F$3:$H$1101,3,0),"")</f>
        <v>_</v>
      </c>
      <c r="AK113" s="185" t="str">
        <f>_xlfn.IFNA(VLOOKUP($AH113,Programma!$F$3:$I$1101,4,0),"")</f>
        <v>_</v>
      </c>
      <c r="AL113" s="185" t="str">
        <f>_xlfn.IFNA(VLOOKUP($AH113,Programma!$F$3:$J$1101,5,0),"")</f>
        <v>5w</v>
      </c>
      <c r="AM113" s="185" t="str">
        <f>_xlfn.IFNA(VLOOKUP($AH113,Programma!$F$3:$K$1101,6,0),"")</f>
        <v>_</v>
      </c>
      <c r="AN113" s="185" t="str">
        <f>_xlfn.IFNA(VLOOKUP($AH113,Programma!$F$3:$L$1101,7,0),"")</f>
        <v>_</v>
      </c>
      <c r="AO113" s="185" t="str">
        <f>_xlfn.IFNA(VLOOKUP($AH113,Programma!$F$3:$M$1101,8,0),"")</f>
        <v>_</v>
      </c>
      <c r="AP113" s="185" t="str">
        <f>_xlfn.IFNA(VLOOKUP($AH113,Programma!$F$3:$N$1101,9,0),"")</f>
        <v>_</v>
      </c>
      <c r="AQ113" s="185" t="str">
        <f>_xlfn.IFNA(VLOOKUP($AH113,Programma!$F$3:$O$1101,10,0),"")</f>
        <v>5w</v>
      </c>
      <c r="AR113" s="185" t="str">
        <f>_xlfn.IFNA(VLOOKUP($AH113,Programma!$F$3:$P$1101,11,0),"")</f>
        <v>5w</v>
      </c>
      <c r="AS113" s="185" t="str">
        <f>_xlfn.IFNA(VLOOKUP($AH113,Programma!$F$3:$Q$1101,12,0),"")</f>
        <v>1w</v>
      </c>
      <c r="AT113" s="185" t="str">
        <f>_xlfn.IFNA(VLOOKUP($AH113,Programma!$F$3:$R$1101,13,0),"")</f>
        <v>1w</v>
      </c>
      <c r="AU113" s="185" t="str">
        <f>_xlfn.IFNA(VLOOKUP($AH113,Programma!$F$3:$S$1101,14,0),"")</f>
        <v>1m</v>
      </c>
      <c r="AV113" s="185" t="str">
        <f>_xlfn.IFNA(VLOOKUP($AH113,Programma!$F$3:$T$1101,15,0),"")</f>
        <v>2j</v>
      </c>
      <c r="AW113" s="185" t="str">
        <f>_xlfn.IFNA(VLOOKUP($AH113,Programma!$F$3:$U$1101,16,0),"")</f>
        <v>1j</v>
      </c>
      <c r="AX113" s="185" t="str">
        <f>_xlfn.IFNA(VLOOKUP($AH113,Programma!$F$3:$V$1101,17,0),"")</f>
        <v>_</v>
      </c>
      <c r="AY113" s="185" t="str">
        <f>_xlfn.IFNA(VLOOKUP($AH113,Programma!$F$3:$W$1101,18,0),"")</f>
        <v>_</v>
      </c>
      <c r="AZ113" s="185" t="str">
        <f>_xlfn.IFNA(VLOOKUP($AH113,Programma!$F$3:$X$1101,19,0),"")</f>
        <v>_</v>
      </c>
      <c r="BA113" s="185" t="str">
        <f>_xlfn.IFNA(VLOOKUP($AH113,Programma!$F$3:$Y$1101,20,0),"")</f>
        <v>_</v>
      </c>
      <c r="BB113" s="182"/>
      <c r="BC113" s="181" t="str">
        <f>IF(Ruimtestaat[[#This Row],[Frequentie weekend]]="","",_xlfn.CONCAT(Ruimtestaat[[#This Row],[Ruimte code]],"-",Ruimtestaat[[#This Row],[Frequentie weekend]]," ",Ruimtestaat[[#This Row],[Vloer code]]))</f>
        <v/>
      </c>
      <c r="BD113" s="185" t="str">
        <f>_xlfn.IFNA(VLOOKUP($BC113,Programma!$F$3:$G$1101,2,0),"")</f>
        <v/>
      </c>
      <c r="BE113" s="185" t="str">
        <f>_xlfn.IFNA(VLOOKUP($BC113,Programma!$F$3:$H$1101,3,0),"")</f>
        <v/>
      </c>
      <c r="BF113" s="185" t="str">
        <f>_xlfn.IFNA(VLOOKUP($BC113,Programma!$F$3:$I$1101,4,0),"")</f>
        <v/>
      </c>
      <c r="BG113" s="185" t="str">
        <f>_xlfn.IFNA(VLOOKUP($BC113,Programma!$F$3:$J$1101,5,0),"")</f>
        <v/>
      </c>
      <c r="BH113" s="185" t="str">
        <f>_xlfn.IFNA(VLOOKUP($BC113,Programma!$F$3:$K$1101,6,0),"")</f>
        <v/>
      </c>
      <c r="BI113" s="185" t="str">
        <f>_xlfn.IFNA(VLOOKUP($BC113,Programma!$F$3:$L$1101,7,0),"")</f>
        <v/>
      </c>
      <c r="BJ113" s="185" t="str">
        <f>_xlfn.IFNA(VLOOKUP($BC113,Programma!$F$3:$M$1101,8,0),"")</f>
        <v/>
      </c>
      <c r="BK113" s="185" t="str">
        <f>_xlfn.IFNA(VLOOKUP($BC113,Programma!$F$3:$N$1101,9,0),"")</f>
        <v/>
      </c>
      <c r="BL113" s="185" t="str">
        <f>_xlfn.IFNA(VLOOKUP($BC113,Programma!$F$3:$O$1101,10,0),"")</f>
        <v/>
      </c>
      <c r="BM113" s="185" t="str">
        <f>_xlfn.IFNA(VLOOKUP($BC113,Programma!$F$3:$P$1101,11,0),"")</f>
        <v/>
      </c>
      <c r="BN113" s="185" t="str">
        <f>_xlfn.IFNA(VLOOKUP($BC113,Programma!$F$3:$Q$1101,12,0),"")</f>
        <v/>
      </c>
      <c r="BO113" s="185" t="str">
        <f>_xlfn.IFNA(VLOOKUP($BC113,Programma!$F$3:$R$1101,13,0),"")</f>
        <v/>
      </c>
      <c r="BP113" s="185" t="str">
        <f>_xlfn.IFNA(VLOOKUP($BC113,Programma!$F$3:$S$1101,14,0),"")</f>
        <v/>
      </c>
      <c r="BQ113" s="185" t="str">
        <f>_xlfn.IFNA(VLOOKUP($BC113,Programma!$F$3:$T$1101,15,0),"")</f>
        <v/>
      </c>
      <c r="BR113" s="185" t="str">
        <f>_xlfn.IFNA(VLOOKUP($BC113,Programma!$F$3:$U$1101,16,0),"")</f>
        <v/>
      </c>
      <c r="BS113" s="185" t="str">
        <f>_xlfn.IFNA(VLOOKUP($BC113,Programma!$F$3:$V$1101,17,0),"")</f>
        <v/>
      </c>
      <c r="BT113" s="185" t="str">
        <f>_xlfn.IFNA(VLOOKUP($BC113,Programma!$F$3:$W$1101,18,0),"")</f>
        <v/>
      </c>
      <c r="BU113" s="185" t="str">
        <f>_xlfn.IFNA(VLOOKUP($BC113,Programma!$F$3:$X$1101,19,0),"")</f>
        <v/>
      </c>
      <c r="BV113" s="185" t="str">
        <f>_xlfn.IFNA(VLOOKUP($BC113,Programma!$F$3:$Y$1101,20,0),"")</f>
        <v/>
      </c>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c r="EO113" s="78"/>
      <c r="EP113" s="78"/>
      <c r="EQ113" s="78"/>
      <c r="ER113" s="78"/>
      <c r="ES113" s="78"/>
      <c r="ET113" s="78"/>
      <c r="EU113" s="78"/>
      <c r="EV113" s="78"/>
      <c r="EW113" s="78"/>
      <c r="EX113" s="78"/>
      <c r="EY113" s="78"/>
      <c r="EZ113" s="78"/>
      <c r="FA113" s="78"/>
      <c r="FB113" s="78"/>
      <c r="FC113" s="78"/>
      <c r="FD113" s="78"/>
      <c r="FE113" s="78"/>
      <c r="FF113" s="78"/>
      <c r="FG113" s="78"/>
      <c r="FH113" s="78"/>
      <c r="FI113" s="78"/>
      <c r="FJ113" s="78"/>
      <c r="FK113" s="78"/>
      <c r="FL113" s="78"/>
      <c r="FM113" s="78"/>
      <c r="FN113" s="78"/>
      <c r="FO113" s="78"/>
      <c r="FP113" s="78"/>
      <c r="FQ113" s="78"/>
      <c r="FR113" s="78"/>
      <c r="FS113" s="78"/>
      <c r="FT113" s="78"/>
      <c r="FU113" s="78"/>
      <c r="FV113" s="78"/>
      <c r="FW113" s="78"/>
      <c r="FX113" s="78"/>
      <c r="FY113" s="78"/>
      <c r="FZ113" s="78"/>
      <c r="GA113" s="78"/>
      <c r="GB113" s="78"/>
      <c r="GC113" s="78"/>
      <c r="GD113" s="78"/>
      <c r="GE113" s="78"/>
      <c r="GF113" s="78"/>
      <c r="GG113" s="78"/>
      <c r="GH113" s="78"/>
      <c r="GI113" s="78"/>
      <c r="GJ113" s="78"/>
      <c r="GK113" s="78"/>
      <c r="GL113" s="78"/>
      <c r="GM113" s="78"/>
      <c r="GN113" s="78"/>
      <c r="GO113" s="78"/>
      <c r="GP113" s="78"/>
      <c r="GQ113" s="78"/>
      <c r="GR113" s="78"/>
      <c r="GS113" s="78"/>
      <c r="GT113" s="78"/>
      <c r="GU113" s="78"/>
      <c r="GV113" s="78"/>
      <c r="GW113" s="78"/>
      <c r="GX113" s="78"/>
      <c r="GY113" s="78"/>
      <c r="GZ113" s="78"/>
      <c r="HA113" s="78"/>
      <c r="HB113" s="78"/>
      <c r="HC113" s="78"/>
      <c r="HD113" s="78"/>
      <c r="HE113" s="78"/>
      <c r="HF113" s="78"/>
      <c r="HG113" s="78"/>
      <c r="HH113" s="78"/>
      <c r="HI113" s="78"/>
      <c r="HJ113" s="78"/>
      <c r="HK113" s="78"/>
    </row>
    <row r="114" spans="1:219" ht="15" customHeight="1">
      <c r="A114" s="149">
        <v>4</v>
      </c>
      <c r="B114" s="176" t="str">
        <f>VLOOKUP(Ruimtestaat[[#This Row],[Code]],Locaties[[Code]:[Locatie]],2,FALSE)</f>
        <v>OBS De Sterrenborgh</v>
      </c>
      <c r="C114" s="176" t="str">
        <f>VLOOKUP(Ruimtestaat[[#This Row],[Code]],Locaties[[#All],[Code]:[Adres]],4,FALSE)</f>
        <v>Runenberghoek 5</v>
      </c>
      <c r="D114" s="176" t="str">
        <f>VLOOKUP(Ruimtestaat[[#This Row],[Code]],Locaties[[#All],[Code]:[Postcode]],5,FALSE)</f>
        <v>7546 EG</v>
      </c>
      <c r="E114" s="176" t="str">
        <f>VLOOKUP(Ruimtestaat[[#This Row],[Code]],Locaties[#All],6,FALSE)</f>
        <v>Enschede</v>
      </c>
      <c r="F114" s="149"/>
      <c r="G114" s="149" t="s">
        <v>1714</v>
      </c>
      <c r="H114" s="300" t="s">
        <v>1716</v>
      </c>
      <c r="I114" s="301" t="s">
        <v>1655</v>
      </c>
      <c r="J114" s="99">
        <v>5</v>
      </c>
      <c r="K114" s="183" t="str">
        <f>VLOOKUP(Ruimtestaat[[#This Row],[Ruimte code]],Ruimtegroepen[[#All],[Code]:[Ruimte omschrijving]],2,FALSE)</f>
        <v>Sanitair</v>
      </c>
      <c r="L114" s="149" t="s">
        <v>101</v>
      </c>
      <c r="M114" s="301" t="s">
        <v>1682</v>
      </c>
      <c r="N114" s="177">
        <v>8.9</v>
      </c>
      <c r="O114" s="177"/>
      <c r="P114" s="178" t="str">
        <f>VLOOKUP(Ruimtestaat[[#This Row],[Ruimte code]],Ruimtegroepen[],4,FALSE)</f>
        <v>Sa</v>
      </c>
      <c r="Q114" s="149">
        <v>40</v>
      </c>
      <c r="R114" s="149" t="s">
        <v>2</v>
      </c>
      <c r="S114" s="149">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4" s="149">
        <f>IF(S114&gt;0,VLOOKUP($J114,Ruimtegroepen[],3,FALSE)*VLOOKUP($L114,Vloersoorten[],3,FALSE)*VLOOKUP($R114,Frequenties[],3,FALSE)*VLOOKUP($A114,Locaties[],3,FALSE),0)</f>
        <v>0</v>
      </c>
      <c r="U114" s="149">
        <f>Ruimtestaat[[#This Row],[Uitvoeringen werkdagen]]*Ruimtestaat[[#This Row],[Oppervlak (netto)]]</f>
        <v>1780</v>
      </c>
      <c r="V114" s="179">
        <f>IF(T114&gt;0,Ruimtestaat[[#This Row],[Prest. (m2 /jaar) werkdagen]]/Ruimtestaat[[#This Row],[Norm (m2/uur) werkdagen]],0)</f>
        <v>0</v>
      </c>
      <c r="W114" s="180">
        <f>Ruimtestaat[[#This Row],[uren / jaar werkdagen]]*Tariefsopbouw!$E$35</f>
        <v>0</v>
      </c>
      <c r="X114" s="149"/>
      <c r="Y114" s="149">
        <f>IF(Ruimtestaat[[#This Row],[Frequentie weekend]]&gt;0,VALUE(LEFT(X114,1))*Q114,0)</f>
        <v>0</v>
      </c>
      <c r="Z114" s="148">
        <f>IF($Y114&gt;0,VLOOKUP($J114,Ruimtegroepen[],3,FALSE)*VLOOKUP($L114,Vloersoorten[],3,FALSE)*VLOOKUP($X114,Frequenties[],3,FALSE)*VLOOKUP(Ruimtestaat[[#This Row],[Code]],Locaties[],3,FALSE),0)</f>
        <v>0</v>
      </c>
      <c r="AA114" s="148">
        <f>Ruimtestaat[[#This Row],[Uitvoeringen weekend]]*Ruimtestaat[[#This Row],[Oppervlak (netto)]]</f>
        <v>0</v>
      </c>
      <c r="AB114" s="148">
        <f>IF(Z114&gt;0,Ruimtestaat[[#This Row],[Prest. (m2 /jaar) weekend]]/Ruimtestaat[[#This Row],[Norm (m2/uur) weekend]],0)</f>
        <v>0</v>
      </c>
      <c r="AC114" s="180">
        <f>Ruimtestaat[[#This Row],[uren / jaar weekend]]*Tariefsopbouw!$D$40</f>
        <v>0</v>
      </c>
      <c r="AD114" s="179">
        <f>Ruimtestaat[[#This Row],[Prest. (m2 /jaar) weekend]]+Ruimtestaat[[#This Row],[Prest. (m2 /jaar) werkdagen]]</f>
        <v>1780</v>
      </c>
      <c r="AE114" s="179">
        <f>Ruimtestaat[[#This Row],[uren / jaar weekend]]+Ruimtestaat[[#This Row],[uren / jaar werkdagen]]</f>
        <v>0</v>
      </c>
      <c r="AF114" s="174">
        <f>Ruimtestaat[[#This Row],[kosten / jaar weekend]]+Ruimtestaat[[#This Row],[kosten / jaar werkdagen]]</f>
        <v>0</v>
      </c>
      <c r="AG114" s="174"/>
      <c r="AH114" s="181" t="str">
        <f>IF(Ruimtestaat[[#This Row],[Frequentie werkdagen]]="","",_xlfn.CONCAT(Ruimtestaat[[#This Row],[Ruimte code]],"-",Ruimtestaat[[#This Row],[Frequentie werkdagen]]," ",Ruimtestaat[[#This Row],[Vloer code]]))</f>
        <v>5-5w S</v>
      </c>
      <c r="AI114" s="185" t="str">
        <f>_xlfn.IFNA(VLOOKUP($AH114,Programma!$F$3:$G$1101,2,0),"")</f>
        <v>_</v>
      </c>
      <c r="AJ114" s="185" t="str">
        <f>_xlfn.IFNA(VLOOKUP($AH114,Programma!$F$3:$H$1101,3,0),"")</f>
        <v>_</v>
      </c>
      <c r="AK114" s="185" t="str">
        <f>_xlfn.IFNA(VLOOKUP($AH114,Programma!$F$3:$I$1101,4,0),"")</f>
        <v>_</v>
      </c>
      <c r="AL114" s="185" t="str">
        <f>_xlfn.IFNA(VLOOKUP($AH114,Programma!$F$3:$J$1101,5,0),"")</f>
        <v>4w</v>
      </c>
      <c r="AM114" s="185" t="str">
        <f>_xlfn.IFNA(VLOOKUP($AH114,Programma!$F$3:$K$1101,6,0),"")</f>
        <v>1w</v>
      </c>
      <c r="AN114" s="185" t="str">
        <f>_xlfn.IFNA(VLOOKUP($AH114,Programma!$F$3:$L$1101,7,0),"")</f>
        <v>_</v>
      </c>
      <c r="AO114" s="185" t="str">
        <f>_xlfn.IFNA(VLOOKUP($AH114,Programma!$F$3:$M$1101,8,0),"")</f>
        <v>_</v>
      </c>
      <c r="AP114" s="185" t="str">
        <f>_xlfn.IFNA(VLOOKUP($AH114,Programma!$F$3:$N$1101,9,0),"")</f>
        <v>_</v>
      </c>
      <c r="AQ114" s="185" t="str">
        <f>_xlfn.IFNA(VLOOKUP($AH114,Programma!$F$3:$O$1101,10,0),"")</f>
        <v>_</v>
      </c>
      <c r="AR114" s="185" t="str">
        <f>_xlfn.IFNA(VLOOKUP($AH114,Programma!$F$3:$P$1101,11,0),"")</f>
        <v>_</v>
      </c>
      <c r="AS114" s="185" t="str">
        <f>_xlfn.IFNA(VLOOKUP($AH114,Programma!$F$3:$Q$1101,12,0),"")</f>
        <v>_</v>
      </c>
      <c r="AT114" s="185" t="str">
        <f>_xlfn.IFNA(VLOOKUP($AH114,Programma!$F$3:$R$1101,13,0),"")</f>
        <v>_</v>
      </c>
      <c r="AU114" s="185" t="str">
        <f>_xlfn.IFNA(VLOOKUP($AH114,Programma!$F$3:$S$1101,14,0),"")</f>
        <v>_</v>
      </c>
      <c r="AV114" s="185" t="str">
        <f>_xlfn.IFNA(VLOOKUP($AH114,Programma!$F$3:$T$1101,15,0),"")</f>
        <v>_</v>
      </c>
      <c r="AW114" s="185" t="str">
        <f>_xlfn.IFNA(VLOOKUP($AH114,Programma!$F$3:$U$1101,16,0),"")</f>
        <v>_</v>
      </c>
      <c r="AX114" s="185" t="str">
        <f>_xlfn.IFNA(VLOOKUP($AH114,Programma!$F$3:$V$1101,17,0),"")</f>
        <v>_</v>
      </c>
      <c r="AY114" s="185" t="str">
        <f>_xlfn.IFNA(VLOOKUP($AH114,Programma!$F$3:$W$1101,18,0),"")</f>
        <v>4w</v>
      </c>
      <c r="AZ114" s="185" t="str">
        <f>_xlfn.IFNA(VLOOKUP($AH114,Programma!$F$3:$X$1101,19,0),"")</f>
        <v>1w</v>
      </c>
      <c r="BA114" s="185" t="str">
        <f>_xlfn.IFNA(VLOOKUP($AH114,Programma!$F$3:$Y$1101,20,0),"")</f>
        <v>_</v>
      </c>
      <c r="BB114" s="182"/>
      <c r="BC114" s="181" t="str">
        <f>IF(Ruimtestaat[[#This Row],[Frequentie weekend]]="","",_xlfn.CONCAT(Ruimtestaat[[#This Row],[Ruimte code]],"-",Ruimtestaat[[#This Row],[Frequentie weekend]]," ",Ruimtestaat[[#This Row],[Vloer code]]))</f>
        <v/>
      </c>
      <c r="BD114" s="185" t="str">
        <f>_xlfn.IFNA(VLOOKUP($BC114,Programma!$F$3:$G$1101,2,0),"")</f>
        <v/>
      </c>
      <c r="BE114" s="185" t="str">
        <f>_xlfn.IFNA(VLOOKUP($BC114,Programma!$F$3:$H$1101,3,0),"")</f>
        <v/>
      </c>
      <c r="BF114" s="185" t="str">
        <f>_xlfn.IFNA(VLOOKUP($BC114,Programma!$F$3:$I$1101,4,0),"")</f>
        <v/>
      </c>
      <c r="BG114" s="185" t="str">
        <f>_xlfn.IFNA(VLOOKUP($BC114,Programma!$F$3:$J$1101,5,0),"")</f>
        <v/>
      </c>
      <c r="BH114" s="185" t="str">
        <f>_xlfn.IFNA(VLOOKUP($BC114,Programma!$F$3:$K$1101,6,0),"")</f>
        <v/>
      </c>
      <c r="BI114" s="185" t="str">
        <f>_xlfn.IFNA(VLOOKUP($BC114,Programma!$F$3:$L$1101,7,0),"")</f>
        <v/>
      </c>
      <c r="BJ114" s="185" t="str">
        <f>_xlfn.IFNA(VLOOKUP($BC114,Programma!$F$3:$M$1101,8,0),"")</f>
        <v/>
      </c>
      <c r="BK114" s="185" t="str">
        <f>_xlfn.IFNA(VLOOKUP($BC114,Programma!$F$3:$N$1101,9,0),"")</f>
        <v/>
      </c>
      <c r="BL114" s="185" t="str">
        <f>_xlfn.IFNA(VLOOKUP($BC114,Programma!$F$3:$O$1101,10,0),"")</f>
        <v/>
      </c>
      <c r="BM114" s="185" t="str">
        <f>_xlfn.IFNA(VLOOKUP($BC114,Programma!$F$3:$P$1101,11,0),"")</f>
        <v/>
      </c>
      <c r="BN114" s="185" t="str">
        <f>_xlfn.IFNA(VLOOKUP($BC114,Programma!$F$3:$Q$1101,12,0),"")</f>
        <v/>
      </c>
      <c r="BO114" s="185" t="str">
        <f>_xlfn.IFNA(VLOOKUP($BC114,Programma!$F$3:$R$1101,13,0),"")</f>
        <v/>
      </c>
      <c r="BP114" s="185" t="str">
        <f>_xlfn.IFNA(VLOOKUP($BC114,Programma!$F$3:$S$1101,14,0),"")</f>
        <v/>
      </c>
      <c r="BQ114" s="185" t="str">
        <f>_xlfn.IFNA(VLOOKUP($BC114,Programma!$F$3:$T$1101,15,0),"")</f>
        <v/>
      </c>
      <c r="BR114" s="185" t="str">
        <f>_xlfn.IFNA(VLOOKUP($BC114,Programma!$F$3:$U$1101,16,0),"")</f>
        <v/>
      </c>
      <c r="BS114" s="185" t="str">
        <f>_xlfn.IFNA(VLOOKUP($BC114,Programma!$F$3:$V$1101,17,0),"")</f>
        <v/>
      </c>
      <c r="BT114" s="185" t="str">
        <f>_xlfn.IFNA(VLOOKUP($BC114,Programma!$F$3:$W$1101,18,0),"")</f>
        <v/>
      </c>
      <c r="BU114" s="185" t="str">
        <f>_xlfn.IFNA(VLOOKUP($BC114,Programma!$F$3:$X$1101,19,0),"")</f>
        <v/>
      </c>
      <c r="BV114" s="185" t="str">
        <f>_xlfn.IFNA(VLOOKUP($BC114,Programma!$F$3:$Y$1101,20,0),"")</f>
        <v/>
      </c>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c r="EO114" s="78"/>
      <c r="EP114" s="78"/>
      <c r="EQ114" s="78"/>
      <c r="ER114" s="78"/>
      <c r="ES114" s="78"/>
      <c r="ET114" s="78"/>
      <c r="EU114" s="78"/>
      <c r="EV114" s="78"/>
      <c r="EW114" s="78"/>
      <c r="EX114" s="78"/>
      <c r="EY114" s="78"/>
      <c r="EZ114" s="78"/>
      <c r="FA114" s="78"/>
      <c r="FB114" s="78"/>
      <c r="FC114" s="78"/>
      <c r="FD114" s="78"/>
      <c r="FE114" s="78"/>
      <c r="FF114" s="78"/>
      <c r="FG114" s="78"/>
      <c r="FH114" s="78"/>
      <c r="FI114" s="78"/>
      <c r="FJ114" s="78"/>
      <c r="FK114" s="78"/>
      <c r="FL114" s="78"/>
      <c r="FM114" s="78"/>
      <c r="FN114" s="78"/>
      <c r="FO114" s="78"/>
      <c r="FP114" s="78"/>
      <c r="FQ114" s="78"/>
      <c r="FR114" s="78"/>
      <c r="FS114" s="78"/>
      <c r="FT114" s="78"/>
      <c r="FU114" s="78"/>
      <c r="FV114" s="78"/>
      <c r="FW114" s="78"/>
      <c r="FX114" s="78"/>
      <c r="FY114" s="78"/>
      <c r="FZ114" s="78"/>
      <c r="GA114" s="78"/>
      <c r="GB114" s="78"/>
      <c r="GC114" s="78"/>
      <c r="GD114" s="78"/>
      <c r="GE114" s="78"/>
      <c r="GF114" s="78"/>
      <c r="GG114" s="78"/>
      <c r="GH114" s="78"/>
      <c r="GI114" s="78"/>
      <c r="GJ114" s="78"/>
      <c r="GK114" s="78"/>
      <c r="GL114" s="78"/>
      <c r="GM114" s="78"/>
      <c r="GN114" s="78"/>
      <c r="GO114" s="78"/>
      <c r="GP114" s="78"/>
      <c r="GQ114" s="78"/>
      <c r="GR114" s="78"/>
      <c r="GS114" s="78"/>
      <c r="GT114" s="78"/>
      <c r="GU114" s="78"/>
      <c r="GV114" s="78"/>
      <c r="GW114" s="78"/>
      <c r="GX114" s="78"/>
      <c r="GY114" s="78"/>
      <c r="GZ114" s="78"/>
      <c r="HA114" s="78"/>
      <c r="HB114" s="78"/>
      <c r="HC114" s="78"/>
      <c r="HD114" s="78"/>
      <c r="HE114" s="78"/>
      <c r="HF114" s="78"/>
      <c r="HG114" s="78"/>
      <c r="HH114" s="78"/>
      <c r="HI114" s="78"/>
      <c r="HJ114" s="78"/>
      <c r="HK114" s="78"/>
    </row>
    <row r="115" spans="1:219" ht="15" customHeight="1">
      <c r="A115" s="149">
        <v>4</v>
      </c>
      <c r="B115" s="176" t="str">
        <f>VLOOKUP(Ruimtestaat[[#This Row],[Code]],Locaties[[Code]:[Locatie]],2,FALSE)</f>
        <v>OBS De Sterrenborgh</v>
      </c>
      <c r="C115" s="176" t="str">
        <f>VLOOKUP(Ruimtestaat[[#This Row],[Code]],Locaties[[#All],[Code]:[Adres]],4,FALSE)</f>
        <v>Runenberghoek 5</v>
      </c>
      <c r="D115" s="176" t="str">
        <f>VLOOKUP(Ruimtestaat[[#This Row],[Code]],Locaties[[#All],[Code]:[Postcode]],5,FALSE)</f>
        <v>7546 EG</v>
      </c>
      <c r="E115" s="176" t="str">
        <f>VLOOKUP(Ruimtestaat[[#This Row],[Code]],Locaties[#All],6,FALSE)</f>
        <v>Enschede</v>
      </c>
      <c r="F115" s="149"/>
      <c r="G115" s="149" t="s">
        <v>1714</v>
      </c>
      <c r="H115" s="300" t="s">
        <v>1717</v>
      </c>
      <c r="I115" s="301" t="s">
        <v>1655</v>
      </c>
      <c r="J115" s="99">
        <v>5</v>
      </c>
      <c r="K115" s="183" t="str">
        <f>VLOOKUP(Ruimtestaat[[#This Row],[Ruimte code]],Ruimtegroepen[[#All],[Code]:[Ruimte omschrijving]],2,FALSE)</f>
        <v>Sanitair</v>
      </c>
      <c r="L115" s="149" t="s">
        <v>101</v>
      </c>
      <c r="M115" s="301" t="s">
        <v>1682</v>
      </c>
      <c r="N115" s="177">
        <v>10.1</v>
      </c>
      <c r="O115" s="177"/>
      <c r="P115" s="178" t="str">
        <f>VLOOKUP(Ruimtestaat[[#This Row],[Ruimte code]],Ruimtegroepen[],4,FALSE)</f>
        <v>Sa</v>
      </c>
      <c r="Q115" s="149">
        <v>40</v>
      </c>
      <c r="R115" s="149" t="s">
        <v>2</v>
      </c>
      <c r="S115" s="149">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5" s="149">
        <f>IF(S115&gt;0,VLOOKUP($J115,Ruimtegroepen[],3,FALSE)*VLOOKUP($L115,Vloersoorten[],3,FALSE)*VLOOKUP($R115,Frequenties[],3,FALSE)*VLOOKUP($A115,Locaties[],3,FALSE),0)</f>
        <v>0</v>
      </c>
      <c r="U115" s="149">
        <f>Ruimtestaat[[#This Row],[Uitvoeringen werkdagen]]*Ruimtestaat[[#This Row],[Oppervlak (netto)]]</f>
        <v>2020</v>
      </c>
      <c r="V115" s="179">
        <f>IF(T115&gt;0,Ruimtestaat[[#This Row],[Prest. (m2 /jaar) werkdagen]]/Ruimtestaat[[#This Row],[Norm (m2/uur) werkdagen]],0)</f>
        <v>0</v>
      </c>
      <c r="W115" s="180">
        <f>Ruimtestaat[[#This Row],[uren / jaar werkdagen]]*Tariefsopbouw!$E$35</f>
        <v>0</v>
      </c>
      <c r="X115" s="149"/>
      <c r="Y115" s="149">
        <f>IF(Ruimtestaat[[#This Row],[Frequentie weekend]]&gt;0,VALUE(LEFT(X115,1))*Q115,0)</f>
        <v>0</v>
      </c>
      <c r="Z115" s="148">
        <f>IF($Y115&gt;0,VLOOKUP($J115,Ruimtegroepen[],3,FALSE)*VLOOKUP($L115,Vloersoorten[],3,FALSE)*VLOOKUP($X115,Frequenties[],3,FALSE)*VLOOKUP(Ruimtestaat[[#This Row],[Code]],Locaties[],3,FALSE),0)</f>
        <v>0</v>
      </c>
      <c r="AA115" s="148">
        <f>Ruimtestaat[[#This Row],[Uitvoeringen weekend]]*Ruimtestaat[[#This Row],[Oppervlak (netto)]]</f>
        <v>0</v>
      </c>
      <c r="AB115" s="148">
        <f>IF(Z115&gt;0,Ruimtestaat[[#This Row],[Prest. (m2 /jaar) weekend]]/Ruimtestaat[[#This Row],[Norm (m2/uur) weekend]],0)</f>
        <v>0</v>
      </c>
      <c r="AC115" s="180">
        <f>Ruimtestaat[[#This Row],[uren / jaar weekend]]*Tariefsopbouw!$D$40</f>
        <v>0</v>
      </c>
      <c r="AD115" s="179">
        <f>Ruimtestaat[[#This Row],[Prest. (m2 /jaar) weekend]]+Ruimtestaat[[#This Row],[Prest. (m2 /jaar) werkdagen]]</f>
        <v>2020</v>
      </c>
      <c r="AE115" s="179">
        <f>Ruimtestaat[[#This Row],[uren / jaar weekend]]+Ruimtestaat[[#This Row],[uren / jaar werkdagen]]</f>
        <v>0</v>
      </c>
      <c r="AF115" s="174">
        <f>Ruimtestaat[[#This Row],[kosten / jaar weekend]]+Ruimtestaat[[#This Row],[kosten / jaar werkdagen]]</f>
        <v>0</v>
      </c>
      <c r="AG115" s="174"/>
      <c r="AH115" s="181" t="str">
        <f>IF(Ruimtestaat[[#This Row],[Frequentie werkdagen]]="","",_xlfn.CONCAT(Ruimtestaat[[#This Row],[Ruimte code]],"-",Ruimtestaat[[#This Row],[Frequentie werkdagen]]," ",Ruimtestaat[[#This Row],[Vloer code]]))</f>
        <v>5-5w S</v>
      </c>
      <c r="AI115" s="185" t="str">
        <f>_xlfn.IFNA(VLOOKUP($AH115,Programma!$F$3:$G$1101,2,0),"")</f>
        <v>_</v>
      </c>
      <c r="AJ115" s="185" t="str">
        <f>_xlfn.IFNA(VLOOKUP($AH115,Programma!$F$3:$H$1101,3,0),"")</f>
        <v>_</v>
      </c>
      <c r="AK115" s="185" t="str">
        <f>_xlfn.IFNA(VLOOKUP($AH115,Programma!$F$3:$I$1101,4,0),"")</f>
        <v>_</v>
      </c>
      <c r="AL115" s="185" t="str">
        <f>_xlfn.IFNA(VLOOKUP($AH115,Programma!$F$3:$J$1101,5,0),"")</f>
        <v>4w</v>
      </c>
      <c r="AM115" s="185" t="str">
        <f>_xlfn.IFNA(VLOOKUP($AH115,Programma!$F$3:$K$1101,6,0),"")</f>
        <v>1w</v>
      </c>
      <c r="AN115" s="185" t="str">
        <f>_xlfn.IFNA(VLOOKUP($AH115,Programma!$F$3:$L$1101,7,0),"")</f>
        <v>_</v>
      </c>
      <c r="AO115" s="185" t="str">
        <f>_xlfn.IFNA(VLOOKUP($AH115,Programma!$F$3:$M$1101,8,0),"")</f>
        <v>_</v>
      </c>
      <c r="AP115" s="185" t="str">
        <f>_xlfn.IFNA(VLOOKUP($AH115,Programma!$F$3:$N$1101,9,0),"")</f>
        <v>_</v>
      </c>
      <c r="AQ115" s="185" t="str">
        <f>_xlfn.IFNA(VLOOKUP($AH115,Programma!$F$3:$O$1101,10,0),"")</f>
        <v>_</v>
      </c>
      <c r="AR115" s="185" t="str">
        <f>_xlfn.IFNA(VLOOKUP($AH115,Programma!$F$3:$P$1101,11,0),"")</f>
        <v>_</v>
      </c>
      <c r="AS115" s="185" t="str">
        <f>_xlfn.IFNA(VLOOKUP($AH115,Programma!$F$3:$Q$1101,12,0),"")</f>
        <v>_</v>
      </c>
      <c r="AT115" s="185" t="str">
        <f>_xlfn.IFNA(VLOOKUP($AH115,Programma!$F$3:$R$1101,13,0),"")</f>
        <v>_</v>
      </c>
      <c r="AU115" s="185" t="str">
        <f>_xlfn.IFNA(VLOOKUP($AH115,Programma!$F$3:$S$1101,14,0),"")</f>
        <v>_</v>
      </c>
      <c r="AV115" s="185" t="str">
        <f>_xlfn.IFNA(VLOOKUP($AH115,Programma!$F$3:$T$1101,15,0),"")</f>
        <v>_</v>
      </c>
      <c r="AW115" s="185" t="str">
        <f>_xlfn.IFNA(VLOOKUP($AH115,Programma!$F$3:$U$1101,16,0),"")</f>
        <v>_</v>
      </c>
      <c r="AX115" s="185" t="str">
        <f>_xlfn.IFNA(VLOOKUP($AH115,Programma!$F$3:$V$1101,17,0),"")</f>
        <v>_</v>
      </c>
      <c r="AY115" s="185" t="str">
        <f>_xlfn.IFNA(VLOOKUP($AH115,Programma!$F$3:$W$1101,18,0),"")</f>
        <v>4w</v>
      </c>
      <c r="AZ115" s="185" t="str">
        <f>_xlfn.IFNA(VLOOKUP($AH115,Programma!$F$3:$X$1101,19,0),"")</f>
        <v>1w</v>
      </c>
      <c r="BA115" s="185" t="str">
        <f>_xlfn.IFNA(VLOOKUP($AH115,Programma!$F$3:$Y$1101,20,0),"")</f>
        <v>_</v>
      </c>
      <c r="BB115" s="182"/>
      <c r="BC115" s="181" t="str">
        <f>IF(Ruimtestaat[[#This Row],[Frequentie weekend]]="","",_xlfn.CONCAT(Ruimtestaat[[#This Row],[Ruimte code]],"-",Ruimtestaat[[#This Row],[Frequentie weekend]]," ",Ruimtestaat[[#This Row],[Vloer code]]))</f>
        <v/>
      </c>
      <c r="BD115" s="185" t="str">
        <f>_xlfn.IFNA(VLOOKUP($BC115,Programma!$F$3:$G$1101,2,0),"")</f>
        <v/>
      </c>
      <c r="BE115" s="185" t="str">
        <f>_xlfn.IFNA(VLOOKUP($BC115,Programma!$F$3:$H$1101,3,0),"")</f>
        <v/>
      </c>
      <c r="BF115" s="185" t="str">
        <f>_xlfn.IFNA(VLOOKUP($BC115,Programma!$F$3:$I$1101,4,0),"")</f>
        <v/>
      </c>
      <c r="BG115" s="185" t="str">
        <f>_xlfn.IFNA(VLOOKUP($BC115,Programma!$F$3:$J$1101,5,0),"")</f>
        <v/>
      </c>
      <c r="BH115" s="185" t="str">
        <f>_xlfn.IFNA(VLOOKUP($BC115,Programma!$F$3:$K$1101,6,0),"")</f>
        <v/>
      </c>
      <c r="BI115" s="185" t="str">
        <f>_xlfn.IFNA(VLOOKUP($BC115,Programma!$F$3:$L$1101,7,0),"")</f>
        <v/>
      </c>
      <c r="BJ115" s="185" t="str">
        <f>_xlfn.IFNA(VLOOKUP($BC115,Programma!$F$3:$M$1101,8,0),"")</f>
        <v/>
      </c>
      <c r="BK115" s="185" t="str">
        <f>_xlfn.IFNA(VLOOKUP($BC115,Programma!$F$3:$N$1101,9,0),"")</f>
        <v/>
      </c>
      <c r="BL115" s="185" t="str">
        <f>_xlfn.IFNA(VLOOKUP($BC115,Programma!$F$3:$O$1101,10,0),"")</f>
        <v/>
      </c>
      <c r="BM115" s="185" t="str">
        <f>_xlfn.IFNA(VLOOKUP($BC115,Programma!$F$3:$P$1101,11,0),"")</f>
        <v/>
      </c>
      <c r="BN115" s="185" t="str">
        <f>_xlfn.IFNA(VLOOKUP($BC115,Programma!$F$3:$Q$1101,12,0),"")</f>
        <v/>
      </c>
      <c r="BO115" s="185" t="str">
        <f>_xlfn.IFNA(VLOOKUP($BC115,Programma!$F$3:$R$1101,13,0),"")</f>
        <v/>
      </c>
      <c r="BP115" s="185" t="str">
        <f>_xlfn.IFNA(VLOOKUP($BC115,Programma!$F$3:$S$1101,14,0),"")</f>
        <v/>
      </c>
      <c r="BQ115" s="185" t="str">
        <f>_xlfn.IFNA(VLOOKUP($BC115,Programma!$F$3:$T$1101,15,0),"")</f>
        <v/>
      </c>
      <c r="BR115" s="185" t="str">
        <f>_xlfn.IFNA(VLOOKUP($BC115,Programma!$F$3:$U$1101,16,0),"")</f>
        <v/>
      </c>
      <c r="BS115" s="185" t="str">
        <f>_xlfn.IFNA(VLOOKUP($BC115,Programma!$F$3:$V$1101,17,0),"")</f>
        <v/>
      </c>
      <c r="BT115" s="185" t="str">
        <f>_xlfn.IFNA(VLOOKUP($BC115,Programma!$F$3:$W$1101,18,0),"")</f>
        <v/>
      </c>
      <c r="BU115" s="185" t="str">
        <f>_xlfn.IFNA(VLOOKUP($BC115,Programma!$F$3:$X$1101,19,0),"")</f>
        <v/>
      </c>
      <c r="BV115" s="185" t="str">
        <f>_xlfn.IFNA(VLOOKUP($BC115,Programma!$F$3:$Y$1101,20,0),"")</f>
        <v/>
      </c>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c r="EO115" s="78"/>
      <c r="EP115" s="78"/>
      <c r="EQ115" s="78"/>
      <c r="ER115" s="78"/>
      <c r="ES115" s="78"/>
      <c r="ET115" s="78"/>
      <c r="EU115" s="78"/>
      <c r="EV115" s="78"/>
      <c r="EW115" s="78"/>
      <c r="EX115" s="78"/>
      <c r="EY115" s="78"/>
      <c r="EZ115" s="78"/>
      <c r="FA115" s="78"/>
      <c r="FB115" s="78"/>
      <c r="FC115" s="78"/>
      <c r="FD115" s="78"/>
      <c r="FE115" s="78"/>
      <c r="FF115" s="78"/>
      <c r="FG115" s="78"/>
      <c r="FH115" s="78"/>
      <c r="FI115" s="78"/>
      <c r="FJ115" s="78"/>
      <c r="FK115" s="78"/>
      <c r="FL115" s="78"/>
      <c r="FM115" s="78"/>
      <c r="FN115" s="78"/>
      <c r="FO115" s="78"/>
      <c r="FP115" s="78"/>
      <c r="FQ115" s="78"/>
      <c r="FR115" s="78"/>
      <c r="FS115" s="78"/>
      <c r="FT115" s="78"/>
      <c r="FU115" s="78"/>
      <c r="FV115" s="78"/>
      <c r="FW115" s="78"/>
      <c r="FX115" s="78"/>
      <c r="FY115" s="78"/>
      <c r="FZ115" s="78"/>
      <c r="GA115" s="78"/>
      <c r="GB115" s="78"/>
      <c r="GC115" s="78"/>
      <c r="GD115" s="78"/>
      <c r="GE115" s="78"/>
      <c r="GF115" s="78"/>
      <c r="GG115" s="78"/>
      <c r="GH115" s="78"/>
      <c r="GI115" s="78"/>
      <c r="GJ115" s="78"/>
      <c r="GK115" s="78"/>
      <c r="GL115" s="78"/>
      <c r="GM115" s="78"/>
      <c r="GN115" s="78"/>
      <c r="GO115" s="78"/>
      <c r="GP115" s="78"/>
      <c r="GQ115" s="78"/>
      <c r="GR115" s="78"/>
      <c r="GS115" s="78"/>
      <c r="GT115" s="78"/>
      <c r="GU115" s="78"/>
      <c r="GV115" s="78"/>
      <c r="GW115" s="78"/>
      <c r="GX115" s="78"/>
      <c r="GY115" s="78"/>
      <c r="GZ115" s="78"/>
      <c r="HA115" s="78"/>
      <c r="HB115" s="78"/>
      <c r="HC115" s="78"/>
      <c r="HD115" s="78"/>
      <c r="HE115" s="78"/>
      <c r="HF115" s="78"/>
      <c r="HG115" s="78"/>
      <c r="HH115" s="78"/>
      <c r="HI115" s="78"/>
      <c r="HJ115" s="78"/>
      <c r="HK115" s="78"/>
    </row>
    <row r="116" spans="1:219" ht="15" customHeight="1">
      <c r="A116" s="149">
        <v>4</v>
      </c>
      <c r="B116" s="176" t="str">
        <f>VLOOKUP(Ruimtestaat[[#This Row],[Code]],Locaties[[Code]:[Locatie]],2,FALSE)</f>
        <v>OBS De Sterrenborgh</v>
      </c>
      <c r="C116" s="176" t="str">
        <f>VLOOKUP(Ruimtestaat[[#This Row],[Code]],Locaties[[#All],[Code]:[Adres]],4,FALSE)</f>
        <v>Runenberghoek 5</v>
      </c>
      <c r="D116" s="176" t="str">
        <f>VLOOKUP(Ruimtestaat[[#This Row],[Code]],Locaties[[#All],[Code]:[Postcode]],5,FALSE)</f>
        <v>7546 EG</v>
      </c>
      <c r="E116" s="176" t="str">
        <f>VLOOKUP(Ruimtestaat[[#This Row],[Code]],Locaties[#All],6,FALSE)</f>
        <v>Enschede</v>
      </c>
      <c r="F116" s="149"/>
      <c r="G116" s="149" t="s">
        <v>1714</v>
      </c>
      <c r="H116" s="300" t="s">
        <v>1718</v>
      </c>
      <c r="I116" s="301" t="s">
        <v>1649</v>
      </c>
      <c r="J116" s="99">
        <v>2</v>
      </c>
      <c r="K116" s="183" t="str">
        <f>VLOOKUP(Ruimtestaat[[#This Row],[Ruimte code]],Ruimtegroepen[[#All],[Code]:[Ruimte omschrijving]],2,FALSE)</f>
        <v>Kantoren</v>
      </c>
      <c r="L116" s="149" t="s">
        <v>99</v>
      </c>
      <c r="M116" s="301" t="s">
        <v>36</v>
      </c>
      <c r="N116" s="177">
        <v>21.1</v>
      </c>
      <c r="O116" s="177"/>
      <c r="P116" s="178" t="str">
        <f>VLOOKUP(Ruimtestaat[[#This Row],[Ruimte code]],Ruimtegroepen[],4,FALSE)</f>
        <v>Bu</v>
      </c>
      <c r="Q116" s="149">
        <v>40</v>
      </c>
      <c r="R116" s="149" t="s">
        <v>18</v>
      </c>
      <c r="S116" s="149">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16" s="149">
        <f>IF(S116&gt;0,VLOOKUP($J116,Ruimtegroepen[],3,FALSE)*VLOOKUP($L116,Vloersoorten[],3,FALSE)*VLOOKUP($R116,Frequenties[],3,FALSE)*VLOOKUP($A116,Locaties[],3,FALSE),0)</f>
        <v>0</v>
      </c>
      <c r="U116" s="149">
        <f>Ruimtestaat[[#This Row],[Uitvoeringen werkdagen]]*Ruimtestaat[[#This Row],[Oppervlak (netto)]]</f>
        <v>2532</v>
      </c>
      <c r="V116" s="179">
        <f>IF(T116&gt;0,Ruimtestaat[[#This Row],[Prest. (m2 /jaar) werkdagen]]/Ruimtestaat[[#This Row],[Norm (m2/uur) werkdagen]],0)</f>
        <v>0</v>
      </c>
      <c r="W116" s="180">
        <f>Ruimtestaat[[#This Row],[uren / jaar werkdagen]]*Tariefsopbouw!$E$35</f>
        <v>0</v>
      </c>
      <c r="X116" s="149"/>
      <c r="Y116" s="149">
        <f>IF(Ruimtestaat[[#This Row],[Frequentie weekend]]&gt;0,VALUE(LEFT(X116,1))*Q116,0)</f>
        <v>0</v>
      </c>
      <c r="Z116" s="148">
        <f>IF($Y116&gt;0,VLOOKUP($J116,Ruimtegroepen[],3,FALSE)*VLOOKUP($L116,Vloersoorten[],3,FALSE)*VLOOKUP($X116,Frequenties[],3,FALSE)*VLOOKUP(Ruimtestaat[[#This Row],[Code]],Locaties[],3,FALSE),0)</f>
        <v>0</v>
      </c>
      <c r="AA116" s="148">
        <f>Ruimtestaat[[#This Row],[Uitvoeringen weekend]]*Ruimtestaat[[#This Row],[Oppervlak (netto)]]</f>
        <v>0</v>
      </c>
      <c r="AB116" s="148">
        <f>IF(Z116&gt;0,Ruimtestaat[[#This Row],[Prest. (m2 /jaar) weekend]]/Ruimtestaat[[#This Row],[Norm (m2/uur) weekend]],0)</f>
        <v>0</v>
      </c>
      <c r="AC116" s="180">
        <f>Ruimtestaat[[#This Row],[uren / jaar weekend]]*Tariefsopbouw!$D$40</f>
        <v>0</v>
      </c>
      <c r="AD116" s="179">
        <f>Ruimtestaat[[#This Row],[Prest. (m2 /jaar) weekend]]+Ruimtestaat[[#This Row],[Prest. (m2 /jaar) werkdagen]]</f>
        <v>2532</v>
      </c>
      <c r="AE116" s="179">
        <f>Ruimtestaat[[#This Row],[uren / jaar weekend]]+Ruimtestaat[[#This Row],[uren / jaar werkdagen]]</f>
        <v>0</v>
      </c>
      <c r="AF116" s="174">
        <f>Ruimtestaat[[#This Row],[kosten / jaar weekend]]+Ruimtestaat[[#This Row],[kosten / jaar werkdagen]]</f>
        <v>0</v>
      </c>
      <c r="AG116" s="174"/>
      <c r="AH116" s="181" t="str">
        <f>IF(Ruimtestaat[[#This Row],[Frequentie werkdagen]]="","",_xlfn.CONCAT(Ruimtestaat[[#This Row],[Ruimte code]],"-",Ruimtestaat[[#This Row],[Frequentie werkdagen]]," ",Ruimtestaat[[#This Row],[Vloer code]]))</f>
        <v>2-3w T</v>
      </c>
      <c r="AI116" s="185" t="str">
        <f>_xlfn.IFNA(VLOOKUP($AH116,Programma!$F$3:$G$1101,2,0),"")</f>
        <v>2w</v>
      </c>
      <c r="AJ116" s="185" t="str">
        <f>_xlfn.IFNA(VLOOKUP($AH116,Programma!$F$3:$H$1101,3,0),"")</f>
        <v>1w</v>
      </c>
      <c r="AK116" s="185" t="str">
        <f>_xlfn.IFNA(VLOOKUP($AH116,Programma!$F$3:$I$1101,4,0),"")</f>
        <v>_</v>
      </c>
      <c r="AL116" s="185" t="str">
        <f>_xlfn.IFNA(VLOOKUP($AH116,Programma!$F$3:$J$1101,5,0),"")</f>
        <v>_</v>
      </c>
      <c r="AM116" s="185" t="str">
        <f>_xlfn.IFNA(VLOOKUP($AH116,Programma!$F$3:$K$1101,6,0),"")</f>
        <v>_</v>
      </c>
      <c r="AN116" s="185" t="str">
        <f>_xlfn.IFNA(VLOOKUP($AH116,Programma!$F$3:$L$1101,7,0),"")</f>
        <v>_</v>
      </c>
      <c r="AO116" s="185" t="str">
        <f>_xlfn.IFNA(VLOOKUP($AH116,Programma!$F$3:$M$1101,8,0),"")</f>
        <v>_</v>
      </c>
      <c r="AP116" s="185" t="str">
        <f>_xlfn.IFNA(VLOOKUP($AH116,Programma!$F$3:$N$1101,9,0),"")</f>
        <v>_</v>
      </c>
      <c r="AQ116" s="185" t="str">
        <f>_xlfn.IFNA(VLOOKUP($AH116,Programma!$F$3:$O$1101,10,0),"")</f>
        <v>3w</v>
      </c>
      <c r="AR116" s="185" t="str">
        <f>_xlfn.IFNA(VLOOKUP($AH116,Programma!$F$3:$P$1101,11,0),"")</f>
        <v>3w</v>
      </c>
      <c r="AS116" s="185" t="str">
        <f>_xlfn.IFNA(VLOOKUP($AH116,Programma!$F$3:$Q$1101,12,0),"")</f>
        <v>1w</v>
      </c>
      <c r="AT116" s="185" t="str">
        <f>_xlfn.IFNA(VLOOKUP($AH116,Programma!$F$3:$R$1101,13,0),"")</f>
        <v>1w</v>
      </c>
      <c r="AU116" s="185" t="str">
        <f>_xlfn.IFNA(VLOOKUP($AH116,Programma!$F$3:$S$1101,14,0),"")</f>
        <v>1m</v>
      </c>
      <c r="AV116" s="185" t="str">
        <f>_xlfn.IFNA(VLOOKUP($AH116,Programma!$F$3:$T$1101,15,0),"")</f>
        <v>2j</v>
      </c>
      <c r="AW116" s="185" t="str">
        <f>_xlfn.IFNA(VLOOKUP($AH116,Programma!$F$3:$U$1101,16,0),"")</f>
        <v>1j</v>
      </c>
      <c r="AX116" s="185" t="str">
        <f>_xlfn.IFNA(VLOOKUP($AH116,Programma!$F$3:$V$1101,17,0),"")</f>
        <v>_</v>
      </c>
      <c r="AY116" s="185" t="str">
        <f>_xlfn.IFNA(VLOOKUP($AH116,Programma!$F$3:$W$1101,18,0),"")</f>
        <v>_</v>
      </c>
      <c r="AZ116" s="185" t="str">
        <f>_xlfn.IFNA(VLOOKUP($AH116,Programma!$F$3:$X$1101,19,0),"")</f>
        <v>_</v>
      </c>
      <c r="BA116" s="185" t="str">
        <f>_xlfn.IFNA(VLOOKUP($AH116,Programma!$F$3:$Y$1101,20,0),"")</f>
        <v>_</v>
      </c>
      <c r="BB116" s="182"/>
      <c r="BC116" s="181" t="str">
        <f>IF(Ruimtestaat[[#This Row],[Frequentie weekend]]="","",_xlfn.CONCAT(Ruimtestaat[[#This Row],[Ruimte code]],"-",Ruimtestaat[[#This Row],[Frequentie weekend]]," ",Ruimtestaat[[#This Row],[Vloer code]]))</f>
        <v/>
      </c>
      <c r="BD116" s="185" t="str">
        <f>_xlfn.IFNA(VLOOKUP($BC116,Programma!$F$3:$G$1101,2,0),"")</f>
        <v/>
      </c>
      <c r="BE116" s="185" t="str">
        <f>_xlfn.IFNA(VLOOKUP($BC116,Programma!$F$3:$H$1101,3,0),"")</f>
        <v/>
      </c>
      <c r="BF116" s="185" t="str">
        <f>_xlfn.IFNA(VLOOKUP($BC116,Programma!$F$3:$I$1101,4,0),"")</f>
        <v/>
      </c>
      <c r="BG116" s="185" t="str">
        <f>_xlfn.IFNA(VLOOKUP($BC116,Programma!$F$3:$J$1101,5,0),"")</f>
        <v/>
      </c>
      <c r="BH116" s="185" t="str">
        <f>_xlfn.IFNA(VLOOKUP($BC116,Programma!$F$3:$K$1101,6,0),"")</f>
        <v/>
      </c>
      <c r="BI116" s="185" t="str">
        <f>_xlfn.IFNA(VLOOKUP($BC116,Programma!$F$3:$L$1101,7,0),"")</f>
        <v/>
      </c>
      <c r="BJ116" s="185" t="str">
        <f>_xlfn.IFNA(VLOOKUP($BC116,Programma!$F$3:$M$1101,8,0),"")</f>
        <v/>
      </c>
      <c r="BK116" s="185" t="str">
        <f>_xlfn.IFNA(VLOOKUP($BC116,Programma!$F$3:$N$1101,9,0),"")</f>
        <v/>
      </c>
      <c r="BL116" s="185" t="str">
        <f>_xlfn.IFNA(VLOOKUP($BC116,Programma!$F$3:$O$1101,10,0),"")</f>
        <v/>
      </c>
      <c r="BM116" s="185" t="str">
        <f>_xlfn.IFNA(VLOOKUP($BC116,Programma!$F$3:$P$1101,11,0),"")</f>
        <v/>
      </c>
      <c r="BN116" s="185" t="str">
        <f>_xlfn.IFNA(VLOOKUP($BC116,Programma!$F$3:$Q$1101,12,0),"")</f>
        <v/>
      </c>
      <c r="BO116" s="185" t="str">
        <f>_xlfn.IFNA(VLOOKUP($BC116,Programma!$F$3:$R$1101,13,0),"")</f>
        <v/>
      </c>
      <c r="BP116" s="185" t="str">
        <f>_xlfn.IFNA(VLOOKUP($BC116,Programma!$F$3:$S$1101,14,0),"")</f>
        <v/>
      </c>
      <c r="BQ116" s="185" t="str">
        <f>_xlfn.IFNA(VLOOKUP($BC116,Programma!$F$3:$T$1101,15,0),"")</f>
        <v/>
      </c>
      <c r="BR116" s="185" t="str">
        <f>_xlfn.IFNA(VLOOKUP($BC116,Programma!$F$3:$U$1101,16,0),"")</f>
        <v/>
      </c>
      <c r="BS116" s="185" t="str">
        <f>_xlfn.IFNA(VLOOKUP($BC116,Programma!$F$3:$V$1101,17,0),"")</f>
        <v/>
      </c>
      <c r="BT116" s="185" t="str">
        <f>_xlfn.IFNA(VLOOKUP($BC116,Programma!$F$3:$W$1101,18,0),"")</f>
        <v/>
      </c>
      <c r="BU116" s="185" t="str">
        <f>_xlfn.IFNA(VLOOKUP($BC116,Programma!$F$3:$X$1101,19,0),"")</f>
        <v/>
      </c>
      <c r="BV116" s="185" t="str">
        <f>_xlfn.IFNA(VLOOKUP($BC116,Programma!$F$3:$Y$1101,20,0),"")</f>
        <v/>
      </c>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c r="EO116" s="78"/>
      <c r="EP116" s="78"/>
      <c r="EQ116" s="78"/>
      <c r="ER116" s="78"/>
      <c r="ES116" s="78"/>
      <c r="ET116" s="78"/>
      <c r="EU116" s="78"/>
      <c r="EV116" s="78"/>
      <c r="EW116" s="78"/>
      <c r="EX116" s="78"/>
      <c r="EY116" s="78"/>
      <c r="EZ116" s="78"/>
      <c r="FA116" s="78"/>
      <c r="FB116" s="78"/>
      <c r="FC116" s="78"/>
      <c r="FD116" s="78"/>
      <c r="FE116" s="78"/>
      <c r="FF116" s="78"/>
      <c r="FG116" s="78"/>
      <c r="FH116" s="78"/>
      <c r="FI116" s="78"/>
      <c r="FJ116" s="78"/>
      <c r="FK116" s="78"/>
      <c r="FL116" s="78"/>
      <c r="FM116" s="78"/>
      <c r="FN116" s="78"/>
      <c r="FO116" s="78"/>
      <c r="FP116" s="78"/>
      <c r="FQ116" s="78"/>
      <c r="FR116" s="78"/>
      <c r="FS116" s="78"/>
      <c r="FT116" s="78"/>
      <c r="FU116" s="78"/>
      <c r="FV116" s="78"/>
      <c r="FW116" s="78"/>
      <c r="FX116" s="78"/>
      <c r="FY116" s="78"/>
      <c r="FZ116" s="78"/>
      <c r="GA116" s="78"/>
      <c r="GB116" s="78"/>
      <c r="GC116" s="78"/>
      <c r="GD116" s="78"/>
      <c r="GE116" s="78"/>
      <c r="GF116" s="78"/>
      <c r="GG116" s="78"/>
      <c r="GH116" s="78"/>
      <c r="GI116" s="78"/>
      <c r="GJ116" s="78"/>
      <c r="GK116" s="78"/>
      <c r="GL116" s="78"/>
      <c r="GM116" s="78"/>
      <c r="GN116" s="78"/>
      <c r="GO116" s="78"/>
      <c r="GP116" s="78"/>
      <c r="GQ116" s="78"/>
      <c r="GR116" s="78"/>
      <c r="GS116" s="78"/>
      <c r="GT116" s="78"/>
      <c r="GU116" s="78"/>
      <c r="GV116" s="78"/>
      <c r="GW116" s="78"/>
      <c r="GX116" s="78"/>
      <c r="GY116" s="78"/>
      <c r="GZ116" s="78"/>
      <c r="HA116" s="78"/>
      <c r="HB116" s="78"/>
      <c r="HC116" s="78"/>
      <c r="HD116" s="78"/>
      <c r="HE116" s="78"/>
      <c r="HF116" s="78"/>
      <c r="HG116" s="78"/>
      <c r="HH116" s="78"/>
      <c r="HI116" s="78"/>
      <c r="HJ116" s="78"/>
      <c r="HK116" s="78"/>
    </row>
    <row r="117" spans="1:219" ht="15" customHeight="1">
      <c r="A117" s="149">
        <v>4</v>
      </c>
      <c r="B117" s="176" t="str">
        <f>VLOOKUP(Ruimtestaat[[#This Row],[Code]],Locaties[[Code]:[Locatie]],2,FALSE)</f>
        <v>OBS De Sterrenborgh</v>
      </c>
      <c r="C117" s="176" t="str">
        <f>VLOOKUP(Ruimtestaat[[#This Row],[Code]],Locaties[[#All],[Code]:[Adres]],4,FALSE)</f>
        <v>Runenberghoek 5</v>
      </c>
      <c r="D117" s="176" t="str">
        <f>VLOOKUP(Ruimtestaat[[#This Row],[Code]],Locaties[[#All],[Code]:[Postcode]],5,FALSE)</f>
        <v>7546 EG</v>
      </c>
      <c r="E117" s="176" t="str">
        <f>VLOOKUP(Ruimtestaat[[#This Row],[Code]],Locaties[#All],6,FALSE)</f>
        <v>Enschede</v>
      </c>
      <c r="F117" s="149"/>
      <c r="G117" s="149" t="s">
        <v>1714</v>
      </c>
      <c r="H117" s="300" t="s">
        <v>1733</v>
      </c>
      <c r="I117" s="301" t="s">
        <v>1651</v>
      </c>
      <c r="J117" s="99">
        <v>16</v>
      </c>
      <c r="K117" s="183" t="str">
        <f>VLOOKUP(Ruimtestaat[[#This Row],[Ruimte code]],Ruimtegroepen[[#All],[Code]:[Ruimte omschrijving]],2,FALSE)</f>
        <v>Leslokalen</v>
      </c>
      <c r="L117" s="149" t="s">
        <v>100</v>
      </c>
      <c r="M117" s="301" t="s">
        <v>1697</v>
      </c>
      <c r="N117" s="177">
        <v>44</v>
      </c>
      <c r="O117" s="177"/>
      <c r="P117" s="178" t="str">
        <f>VLOOKUP(Ruimtestaat[[#This Row],[Ruimte code]],Ruimtegroepen[],4,FALSE)</f>
        <v>Le</v>
      </c>
      <c r="Q117" s="149">
        <v>40</v>
      </c>
      <c r="R117" s="149" t="s">
        <v>2</v>
      </c>
      <c r="S117" s="149">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7" s="149">
        <f>IF(S117&gt;0,VLOOKUP($J117,Ruimtegroepen[],3,FALSE)*VLOOKUP($L117,Vloersoorten[],3,FALSE)*VLOOKUP($R117,Frequenties[],3,FALSE)*VLOOKUP($A117,Locaties[],3,FALSE),0)</f>
        <v>0</v>
      </c>
      <c r="U117" s="149">
        <f>Ruimtestaat[[#This Row],[Uitvoeringen werkdagen]]*Ruimtestaat[[#This Row],[Oppervlak (netto)]]</f>
        <v>8800</v>
      </c>
      <c r="V117" s="179">
        <f>IF(T117&gt;0,Ruimtestaat[[#This Row],[Prest. (m2 /jaar) werkdagen]]/Ruimtestaat[[#This Row],[Norm (m2/uur) werkdagen]],0)</f>
        <v>0</v>
      </c>
      <c r="W117" s="180">
        <f>Ruimtestaat[[#This Row],[uren / jaar werkdagen]]*Tariefsopbouw!$E$35</f>
        <v>0</v>
      </c>
      <c r="X117" s="149"/>
      <c r="Y117" s="149">
        <f>IF(Ruimtestaat[[#This Row],[Frequentie weekend]]&gt;0,VALUE(LEFT(X117,1))*Q117,0)</f>
        <v>0</v>
      </c>
      <c r="Z117" s="148">
        <f>IF($Y117&gt;0,VLOOKUP($J117,Ruimtegroepen[],3,FALSE)*VLOOKUP($L117,Vloersoorten[],3,FALSE)*VLOOKUP($X117,Frequenties[],3,FALSE)*VLOOKUP(Ruimtestaat[[#This Row],[Code]],Locaties[],3,FALSE),0)</f>
        <v>0</v>
      </c>
      <c r="AA117" s="148">
        <f>Ruimtestaat[[#This Row],[Uitvoeringen weekend]]*Ruimtestaat[[#This Row],[Oppervlak (netto)]]</f>
        <v>0</v>
      </c>
      <c r="AB117" s="148">
        <f>IF(Z117&gt;0,Ruimtestaat[[#This Row],[Prest. (m2 /jaar) weekend]]/Ruimtestaat[[#This Row],[Norm (m2/uur) weekend]],0)</f>
        <v>0</v>
      </c>
      <c r="AC117" s="180">
        <f>Ruimtestaat[[#This Row],[uren / jaar weekend]]*Tariefsopbouw!$D$40</f>
        <v>0</v>
      </c>
      <c r="AD117" s="179">
        <f>Ruimtestaat[[#This Row],[Prest. (m2 /jaar) weekend]]+Ruimtestaat[[#This Row],[Prest. (m2 /jaar) werkdagen]]</f>
        <v>8800</v>
      </c>
      <c r="AE117" s="179">
        <f>Ruimtestaat[[#This Row],[uren / jaar weekend]]+Ruimtestaat[[#This Row],[uren / jaar werkdagen]]</f>
        <v>0</v>
      </c>
      <c r="AF117" s="174">
        <f>Ruimtestaat[[#This Row],[kosten / jaar weekend]]+Ruimtestaat[[#This Row],[kosten / jaar werkdagen]]</f>
        <v>0</v>
      </c>
      <c r="AG117" s="174"/>
      <c r="AH117" s="181" t="str">
        <f>IF(Ruimtestaat[[#This Row],[Frequentie werkdagen]]="","",_xlfn.CONCAT(Ruimtestaat[[#This Row],[Ruimte code]],"-",Ruimtestaat[[#This Row],[Frequentie werkdagen]]," ",Ruimtestaat[[#This Row],[Vloer code]]))</f>
        <v>16-5w L</v>
      </c>
      <c r="AI117" s="185" t="str">
        <f>_xlfn.IFNA(VLOOKUP($AH117,Programma!$F$3:$G$1101,2,0),"")</f>
        <v>_</v>
      </c>
      <c r="AJ117" s="185" t="str">
        <f>_xlfn.IFNA(VLOOKUP($AH117,Programma!$F$3:$H$1101,3,0),"")</f>
        <v>_</v>
      </c>
      <c r="AK117" s="185" t="str">
        <f>_xlfn.IFNA(VLOOKUP($AH117,Programma!$F$3:$I$1101,4,0),"")</f>
        <v>4w</v>
      </c>
      <c r="AL117" s="185" t="str">
        <f>_xlfn.IFNA(VLOOKUP($AH117,Programma!$F$3:$J$1101,5,0),"")</f>
        <v>1w</v>
      </c>
      <c r="AM117" s="185" t="str">
        <f>_xlfn.IFNA(VLOOKUP($AH117,Programma!$F$3:$K$1101,6,0),"")</f>
        <v>_</v>
      </c>
      <c r="AN117" s="185" t="str">
        <f>_xlfn.IFNA(VLOOKUP($AH117,Programma!$F$3:$L$1101,7,0),"")</f>
        <v>_</v>
      </c>
      <c r="AO117" s="185" t="str">
        <f>_xlfn.IFNA(VLOOKUP($AH117,Programma!$F$3:$M$1101,8,0),"")</f>
        <v>_</v>
      </c>
      <c r="AP117" s="185" t="str">
        <f>_xlfn.IFNA(VLOOKUP($AH117,Programma!$F$3:$N$1101,9,0),"")</f>
        <v>_</v>
      </c>
      <c r="AQ117" s="185" t="str">
        <f>_xlfn.IFNA(VLOOKUP($AH117,Programma!$F$3:$O$1101,10,0),"")</f>
        <v>5w</v>
      </c>
      <c r="AR117" s="185" t="str">
        <f>_xlfn.IFNA(VLOOKUP($AH117,Programma!$F$3:$P$1101,11,0),"")</f>
        <v>5w</v>
      </c>
      <c r="AS117" s="185" t="str">
        <f>_xlfn.IFNA(VLOOKUP($AH117,Programma!$F$3:$Q$1101,12,0),"")</f>
        <v>1w</v>
      </c>
      <c r="AT117" s="185" t="str">
        <f>_xlfn.IFNA(VLOOKUP($AH117,Programma!$F$3:$R$1101,13,0),"")</f>
        <v>1w</v>
      </c>
      <c r="AU117" s="185" t="str">
        <f>_xlfn.IFNA(VLOOKUP($AH117,Programma!$F$3:$S$1101,14,0),"")</f>
        <v>1m</v>
      </c>
      <c r="AV117" s="185" t="str">
        <f>_xlfn.IFNA(VLOOKUP($AH117,Programma!$F$3:$T$1101,15,0),"")</f>
        <v>2j</v>
      </c>
      <c r="AW117" s="185" t="str">
        <f>_xlfn.IFNA(VLOOKUP($AH117,Programma!$F$3:$U$1101,16,0),"")</f>
        <v>1j</v>
      </c>
      <c r="AX117" s="185" t="str">
        <f>_xlfn.IFNA(VLOOKUP($AH117,Programma!$F$3:$V$1101,17,0),"")</f>
        <v>_</v>
      </c>
      <c r="AY117" s="185" t="str">
        <f>_xlfn.IFNA(VLOOKUP($AH117,Programma!$F$3:$W$1101,18,0),"")</f>
        <v>_</v>
      </c>
      <c r="AZ117" s="185" t="str">
        <f>_xlfn.IFNA(VLOOKUP($AH117,Programma!$F$3:$X$1101,19,0),"")</f>
        <v>_</v>
      </c>
      <c r="BA117" s="185" t="str">
        <f>_xlfn.IFNA(VLOOKUP($AH117,Programma!$F$3:$Y$1101,20,0),"")</f>
        <v>_</v>
      </c>
      <c r="BB117" s="182"/>
      <c r="BC117" s="181" t="str">
        <f>IF(Ruimtestaat[[#This Row],[Frequentie weekend]]="","",_xlfn.CONCAT(Ruimtestaat[[#This Row],[Ruimte code]],"-",Ruimtestaat[[#This Row],[Frequentie weekend]]," ",Ruimtestaat[[#This Row],[Vloer code]]))</f>
        <v/>
      </c>
      <c r="BD117" s="185" t="str">
        <f>_xlfn.IFNA(VLOOKUP($BC117,Programma!$F$3:$G$1101,2,0),"")</f>
        <v/>
      </c>
      <c r="BE117" s="185" t="str">
        <f>_xlfn.IFNA(VLOOKUP($BC117,Programma!$F$3:$H$1101,3,0),"")</f>
        <v/>
      </c>
      <c r="BF117" s="185" t="str">
        <f>_xlfn.IFNA(VLOOKUP($BC117,Programma!$F$3:$I$1101,4,0),"")</f>
        <v/>
      </c>
      <c r="BG117" s="185" t="str">
        <f>_xlfn.IFNA(VLOOKUP($BC117,Programma!$F$3:$J$1101,5,0),"")</f>
        <v/>
      </c>
      <c r="BH117" s="185" t="str">
        <f>_xlfn.IFNA(VLOOKUP($BC117,Programma!$F$3:$K$1101,6,0),"")</f>
        <v/>
      </c>
      <c r="BI117" s="185" t="str">
        <f>_xlfn.IFNA(VLOOKUP($BC117,Programma!$F$3:$L$1101,7,0),"")</f>
        <v/>
      </c>
      <c r="BJ117" s="185" t="str">
        <f>_xlfn.IFNA(VLOOKUP($BC117,Programma!$F$3:$M$1101,8,0),"")</f>
        <v/>
      </c>
      <c r="BK117" s="185" t="str">
        <f>_xlfn.IFNA(VLOOKUP($BC117,Programma!$F$3:$N$1101,9,0),"")</f>
        <v/>
      </c>
      <c r="BL117" s="185" t="str">
        <f>_xlfn.IFNA(VLOOKUP($BC117,Programma!$F$3:$O$1101,10,0),"")</f>
        <v/>
      </c>
      <c r="BM117" s="185" t="str">
        <f>_xlfn.IFNA(VLOOKUP($BC117,Programma!$F$3:$P$1101,11,0),"")</f>
        <v/>
      </c>
      <c r="BN117" s="185" t="str">
        <f>_xlfn.IFNA(VLOOKUP($BC117,Programma!$F$3:$Q$1101,12,0),"")</f>
        <v/>
      </c>
      <c r="BO117" s="185" t="str">
        <f>_xlfn.IFNA(VLOOKUP($BC117,Programma!$F$3:$R$1101,13,0),"")</f>
        <v/>
      </c>
      <c r="BP117" s="185" t="str">
        <f>_xlfn.IFNA(VLOOKUP($BC117,Programma!$F$3:$S$1101,14,0),"")</f>
        <v/>
      </c>
      <c r="BQ117" s="185" t="str">
        <f>_xlfn.IFNA(VLOOKUP($BC117,Programma!$F$3:$T$1101,15,0),"")</f>
        <v/>
      </c>
      <c r="BR117" s="185" t="str">
        <f>_xlfn.IFNA(VLOOKUP($BC117,Programma!$F$3:$U$1101,16,0),"")</f>
        <v/>
      </c>
      <c r="BS117" s="185" t="str">
        <f>_xlfn.IFNA(VLOOKUP($BC117,Programma!$F$3:$V$1101,17,0),"")</f>
        <v/>
      </c>
      <c r="BT117" s="185" t="str">
        <f>_xlfn.IFNA(VLOOKUP($BC117,Programma!$F$3:$W$1101,18,0),"")</f>
        <v/>
      </c>
      <c r="BU117" s="185" t="str">
        <f>_xlfn.IFNA(VLOOKUP($BC117,Programma!$F$3:$X$1101,19,0),"")</f>
        <v/>
      </c>
      <c r="BV117" s="185" t="str">
        <f>_xlfn.IFNA(VLOOKUP($BC117,Programma!$F$3:$Y$1101,20,0),"")</f>
        <v/>
      </c>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c r="EO117" s="78"/>
      <c r="EP117" s="78"/>
      <c r="EQ117" s="78"/>
      <c r="ER117" s="78"/>
      <c r="ES117" s="78"/>
      <c r="ET117" s="78"/>
      <c r="EU117" s="78"/>
      <c r="EV117" s="78"/>
      <c r="EW117" s="78"/>
      <c r="EX117" s="78"/>
      <c r="EY117" s="78"/>
      <c r="EZ117" s="78"/>
      <c r="FA117" s="78"/>
      <c r="FB117" s="78"/>
      <c r="FC117" s="78"/>
      <c r="FD117" s="78"/>
      <c r="FE117" s="78"/>
      <c r="FF117" s="78"/>
      <c r="FG117" s="78"/>
      <c r="FH117" s="78"/>
      <c r="FI117" s="78"/>
      <c r="FJ117" s="78"/>
      <c r="FK117" s="78"/>
      <c r="FL117" s="78"/>
      <c r="FM117" s="78"/>
      <c r="FN117" s="78"/>
      <c r="FO117" s="78"/>
      <c r="FP117" s="78"/>
      <c r="FQ117" s="78"/>
      <c r="FR117" s="78"/>
      <c r="FS117" s="78"/>
      <c r="FT117" s="78"/>
      <c r="FU117" s="78"/>
      <c r="FV117" s="78"/>
      <c r="FW117" s="78"/>
      <c r="FX117" s="78"/>
      <c r="FY117" s="78"/>
      <c r="FZ117" s="78"/>
      <c r="GA117" s="78"/>
      <c r="GB117" s="78"/>
      <c r="GC117" s="78"/>
      <c r="GD117" s="78"/>
      <c r="GE117" s="78"/>
      <c r="GF117" s="78"/>
      <c r="GG117" s="78"/>
      <c r="GH117" s="78"/>
      <c r="GI117" s="78"/>
      <c r="GJ117" s="78"/>
      <c r="GK117" s="78"/>
      <c r="GL117" s="78"/>
      <c r="GM117" s="78"/>
      <c r="GN117" s="78"/>
      <c r="GO117" s="78"/>
      <c r="GP117" s="78"/>
      <c r="GQ117" s="78"/>
      <c r="GR117" s="78"/>
      <c r="GS117" s="78"/>
      <c r="GT117" s="78"/>
      <c r="GU117" s="78"/>
      <c r="GV117" s="78"/>
      <c r="GW117" s="78"/>
      <c r="GX117" s="78"/>
      <c r="GY117" s="78"/>
      <c r="GZ117" s="78"/>
      <c r="HA117" s="78"/>
      <c r="HB117" s="78"/>
      <c r="HC117" s="78"/>
      <c r="HD117" s="78"/>
      <c r="HE117" s="78"/>
      <c r="HF117" s="78"/>
      <c r="HG117" s="78"/>
      <c r="HH117" s="78"/>
      <c r="HI117" s="78"/>
      <c r="HJ117" s="78"/>
      <c r="HK117" s="78"/>
    </row>
    <row r="118" spans="1:219" ht="15" customHeight="1">
      <c r="A118" s="149">
        <v>4</v>
      </c>
      <c r="B118" s="176" t="str">
        <f>VLOOKUP(Ruimtestaat[[#This Row],[Code]],Locaties[[Code]:[Locatie]],2,FALSE)</f>
        <v>OBS De Sterrenborgh</v>
      </c>
      <c r="C118" s="176" t="str">
        <f>VLOOKUP(Ruimtestaat[[#This Row],[Code]],Locaties[[#All],[Code]:[Adres]],4,FALSE)</f>
        <v>Runenberghoek 5</v>
      </c>
      <c r="D118" s="176" t="str">
        <f>VLOOKUP(Ruimtestaat[[#This Row],[Code]],Locaties[[#All],[Code]:[Postcode]],5,FALSE)</f>
        <v>7546 EG</v>
      </c>
      <c r="E118" s="176" t="str">
        <f>VLOOKUP(Ruimtestaat[[#This Row],[Code]],Locaties[#All],6,FALSE)</f>
        <v>Enschede</v>
      </c>
      <c r="F118" s="149"/>
      <c r="G118" s="149" t="s">
        <v>1714</v>
      </c>
      <c r="H118" s="300" t="s">
        <v>1734</v>
      </c>
      <c r="I118" s="301" t="s">
        <v>1649</v>
      </c>
      <c r="J118" s="99">
        <v>2</v>
      </c>
      <c r="K118" s="183" t="str">
        <f>VLOOKUP(Ruimtestaat[[#This Row],[Ruimte code]],Ruimtegroepen[[#All],[Code]:[Ruimte omschrijving]],2,FALSE)</f>
        <v>Kantoren</v>
      </c>
      <c r="L118" s="149" t="s">
        <v>100</v>
      </c>
      <c r="M118" s="301" t="s">
        <v>1697</v>
      </c>
      <c r="N118" s="177">
        <v>10.8</v>
      </c>
      <c r="O118" s="177"/>
      <c r="P118" s="178" t="str">
        <f>VLOOKUP(Ruimtestaat[[#This Row],[Ruimte code]],Ruimtegroepen[],4,FALSE)</f>
        <v>Bu</v>
      </c>
      <c r="Q118" s="149">
        <v>40</v>
      </c>
      <c r="R118" s="149" t="s">
        <v>18</v>
      </c>
      <c r="S118" s="149">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18" s="149">
        <f>IF(S118&gt;0,VLOOKUP($J118,Ruimtegroepen[],3,FALSE)*VLOOKUP($L118,Vloersoorten[],3,FALSE)*VLOOKUP($R118,Frequenties[],3,FALSE)*VLOOKUP($A118,Locaties[],3,FALSE),0)</f>
        <v>0</v>
      </c>
      <c r="U118" s="149">
        <f>Ruimtestaat[[#This Row],[Uitvoeringen werkdagen]]*Ruimtestaat[[#This Row],[Oppervlak (netto)]]</f>
        <v>1296</v>
      </c>
      <c r="V118" s="179">
        <f>IF(T118&gt;0,Ruimtestaat[[#This Row],[Prest. (m2 /jaar) werkdagen]]/Ruimtestaat[[#This Row],[Norm (m2/uur) werkdagen]],0)</f>
        <v>0</v>
      </c>
      <c r="W118" s="180">
        <f>Ruimtestaat[[#This Row],[uren / jaar werkdagen]]*Tariefsopbouw!$E$35</f>
        <v>0</v>
      </c>
      <c r="X118" s="149"/>
      <c r="Y118" s="149">
        <f>IF(Ruimtestaat[[#This Row],[Frequentie weekend]]&gt;0,VALUE(LEFT(X118,1))*Q118,0)</f>
        <v>0</v>
      </c>
      <c r="Z118" s="148">
        <f>IF($Y118&gt;0,VLOOKUP($J118,Ruimtegroepen[],3,FALSE)*VLOOKUP($L118,Vloersoorten[],3,FALSE)*VLOOKUP($X118,Frequenties[],3,FALSE)*VLOOKUP(Ruimtestaat[[#This Row],[Code]],Locaties[],3,FALSE),0)</f>
        <v>0</v>
      </c>
      <c r="AA118" s="148">
        <f>Ruimtestaat[[#This Row],[Uitvoeringen weekend]]*Ruimtestaat[[#This Row],[Oppervlak (netto)]]</f>
        <v>0</v>
      </c>
      <c r="AB118" s="148">
        <f>IF(Z118&gt;0,Ruimtestaat[[#This Row],[Prest. (m2 /jaar) weekend]]/Ruimtestaat[[#This Row],[Norm (m2/uur) weekend]],0)</f>
        <v>0</v>
      </c>
      <c r="AC118" s="180">
        <f>Ruimtestaat[[#This Row],[uren / jaar weekend]]*Tariefsopbouw!$D$40</f>
        <v>0</v>
      </c>
      <c r="AD118" s="179">
        <f>Ruimtestaat[[#This Row],[Prest. (m2 /jaar) weekend]]+Ruimtestaat[[#This Row],[Prest. (m2 /jaar) werkdagen]]</f>
        <v>1296</v>
      </c>
      <c r="AE118" s="179">
        <f>Ruimtestaat[[#This Row],[uren / jaar weekend]]+Ruimtestaat[[#This Row],[uren / jaar werkdagen]]</f>
        <v>0</v>
      </c>
      <c r="AF118" s="174">
        <f>Ruimtestaat[[#This Row],[kosten / jaar weekend]]+Ruimtestaat[[#This Row],[kosten / jaar werkdagen]]</f>
        <v>0</v>
      </c>
      <c r="AG118" s="174"/>
      <c r="AH118" s="181" t="str">
        <f>IF(Ruimtestaat[[#This Row],[Frequentie werkdagen]]="","",_xlfn.CONCAT(Ruimtestaat[[#This Row],[Ruimte code]],"-",Ruimtestaat[[#This Row],[Frequentie werkdagen]]," ",Ruimtestaat[[#This Row],[Vloer code]]))</f>
        <v>2-3w L</v>
      </c>
      <c r="AI118" s="185" t="str">
        <f>_xlfn.IFNA(VLOOKUP($AH118,Programma!$F$3:$G$1101,2,0),"")</f>
        <v>_</v>
      </c>
      <c r="AJ118" s="185" t="str">
        <f>_xlfn.IFNA(VLOOKUP($AH118,Programma!$F$3:$H$1101,3,0),"")</f>
        <v>_</v>
      </c>
      <c r="AK118" s="185" t="str">
        <f>_xlfn.IFNA(VLOOKUP($AH118,Programma!$F$3:$I$1101,4,0),"")</f>
        <v>2w</v>
      </c>
      <c r="AL118" s="185" t="str">
        <f>_xlfn.IFNA(VLOOKUP($AH118,Programma!$F$3:$J$1101,5,0),"")</f>
        <v>1w</v>
      </c>
      <c r="AM118" s="185" t="str">
        <f>_xlfn.IFNA(VLOOKUP($AH118,Programma!$F$3:$K$1101,6,0),"")</f>
        <v>_</v>
      </c>
      <c r="AN118" s="185" t="str">
        <f>_xlfn.IFNA(VLOOKUP($AH118,Programma!$F$3:$L$1101,7,0),"")</f>
        <v>_</v>
      </c>
      <c r="AO118" s="185" t="str">
        <f>_xlfn.IFNA(VLOOKUP($AH118,Programma!$F$3:$M$1101,8,0),"")</f>
        <v>_</v>
      </c>
      <c r="AP118" s="185" t="str">
        <f>_xlfn.IFNA(VLOOKUP($AH118,Programma!$F$3:$N$1101,9,0),"")</f>
        <v>_</v>
      </c>
      <c r="AQ118" s="185" t="str">
        <f>_xlfn.IFNA(VLOOKUP($AH118,Programma!$F$3:$O$1101,10,0),"")</f>
        <v>3w</v>
      </c>
      <c r="AR118" s="185" t="str">
        <f>_xlfn.IFNA(VLOOKUP($AH118,Programma!$F$3:$P$1101,11,0),"")</f>
        <v>3w</v>
      </c>
      <c r="AS118" s="185" t="str">
        <f>_xlfn.IFNA(VLOOKUP($AH118,Programma!$F$3:$Q$1101,12,0),"")</f>
        <v>1w</v>
      </c>
      <c r="AT118" s="185" t="str">
        <f>_xlfn.IFNA(VLOOKUP($AH118,Programma!$F$3:$R$1101,13,0),"")</f>
        <v>1w</v>
      </c>
      <c r="AU118" s="185" t="str">
        <f>_xlfn.IFNA(VLOOKUP($AH118,Programma!$F$3:$S$1101,14,0),"")</f>
        <v>1m</v>
      </c>
      <c r="AV118" s="185" t="str">
        <f>_xlfn.IFNA(VLOOKUP($AH118,Programma!$F$3:$T$1101,15,0),"")</f>
        <v>2j</v>
      </c>
      <c r="AW118" s="185" t="str">
        <f>_xlfn.IFNA(VLOOKUP($AH118,Programma!$F$3:$U$1101,16,0),"")</f>
        <v>1j</v>
      </c>
      <c r="AX118" s="185" t="str">
        <f>_xlfn.IFNA(VLOOKUP($AH118,Programma!$F$3:$V$1101,17,0),"")</f>
        <v>_</v>
      </c>
      <c r="AY118" s="185" t="str">
        <f>_xlfn.IFNA(VLOOKUP($AH118,Programma!$F$3:$W$1101,18,0),"")</f>
        <v>_</v>
      </c>
      <c r="AZ118" s="185" t="str">
        <f>_xlfn.IFNA(VLOOKUP($AH118,Programma!$F$3:$X$1101,19,0),"")</f>
        <v>_</v>
      </c>
      <c r="BA118" s="185" t="str">
        <f>_xlfn.IFNA(VLOOKUP($AH118,Programma!$F$3:$Y$1101,20,0),"")</f>
        <v>_</v>
      </c>
      <c r="BB118" s="182"/>
      <c r="BC118" s="181" t="str">
        <f>IF(Ruimtestaat[[#This Row],[Frequentie weekend]]="","",_xlfn.CONCAT(Ruimtestaat[[#This Row],[Ruimte code]],"-",Ruimtestaat[[#This Row],[Frequentie weekend]]," ",Ruimtestaat[[#This Row],[Vloer code]]))</f>
        <v/>
      </c>
      <c r="BD118" s="185" t="str">
        <f>_xlfn.IFNA(VLOOKUP($BC118,Programma!$F$3:$G$1101,2,0),"")</f>
        <v/>
      </c>
      <c r="BE118" s="185" t="str">
        <f>_xlfn.IFNA(VLOOKUP($BC118,Programma!$F$3:$H$1101,3,0),"")</f>
        <v/>
      </c>
      <c r="BF118" s="185" t="str">
        <f>_xlfn.IFNA(VLOOKUP($BC118,Programma!$F$3:$I$1101,4,0),"")</f>
        <v/>
      </c>
      <c r="BG118" s="185" t="str">
        <f>_xlfn.IFNA(VLOOKUP($BC118,Programma!$F$3:$J$1101,5,0),"")</f>
        <v/>
      </c>
      <c r="BH118" s="185" t="str">
        <f>_xlfn.IFNA(VLOOKUP($BC118,Programma!$F$3:$K$1101,6,0),"")</f>
        <v/>
      </c>
      <c r="BI118" s="185" t="str">
        <f>_xlfn.IFNA(VLOOKUP($BC118,Programma!$F$3:$L$1101,7,0),"")</f>
        <v/>
      </c>
      <c r="BJ118" s="185" t="str">
        <f>_xlfn.IFNA(VLOOKUP($BC118,Programma!$F$3:$M$1101,8,0),"")</f>
        <v/>
      </c>
      <c r="BK118" s="185" t="str">
        <f>_xlfn.IFNA(VLOOKUP($BC118,Programma!$F$3:$N$1101,9,0),"")</f>
        <v/>
      </c>
      <c r="BL118" s="185" t="str">
        <f>_xlfn.IFNA(VLOOKUP($BC118,Programma!$F$3:$O$1101,10,0),"")</f>
        <v/>
      </c>
      <c r="BM118" s="185" t="str">
        <f>_xlfn.IFNA(VLOOKUP($BC118,Programma!$F$3:$P$1101,11,0),"")</f>
        <v/>
      </c>
      <c r="BN118" s="185" t="str">
        <f>_xlfn.IFNA(VLOOKUP($BC118,Programma!$F$3:$Q$1101,12,0),"")</f>
        <v/>
      </c>
      <c r="BO118" s="185" t="str">
        <f>_xlfn.IFNA(VLOOKUP($BC118,Programma!$F$3:$R$1101,13,0),"")</f>
        <v/>
      </c>
      <c r="BP118" s="185" t="str">
        <f>_xlfn.IFNA(VLOOKUP($BC118,Programma!$F$3:$S$1101,14,0),"")</f>
        <v/>
      </c>
      <c r="BQ118" s="185" t="str">
        <f>_xlfn.IFNA(VLOOKUP($BC118,Programma!$F$3:$T$1101,15,0),"")</f>
        <v/>
      </c>
      <c r="BR118" s="185" t="str">
        <f>_xlfn.IFNA(VLOOKUP($BC118,Programma!$F$3:$U$1101,16,0),"")</f>
        <v/>
      </c>
      <c r="BS118" s="185" t="str">
        <f>_xlfn.IFNA(VLOOKUP($BC118,Programma!$F$3:$V$1101,17,0),"")</f>
        <v/>
      </c>
      <c r="BT118" s="185" t="str">
        <f>_xlfn.IFNA(VLOOKUP($BC118,Programma!$F$3:$W$1101,18,0),"")</f>
        <v/>
      </c>
      <c r="BU118" s="185" t="str">
        <f>_xlfn.IFNA(VLOOKUP($BC118,Programma!$F$3:$X$1101,19,0),"")</f>
        <v/>
      </c>
      <c r="BV118" s="185" t="str">
        <f>_xlfn.IFNA(VLOOKUP($BC118,Programma!$F$3:$Y$1101,20,0),"")</f>
        <v/>
      </c>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c r="EO118" s="78"/>
      <c r="EP118" s="78"/>
      <c r="EQ118" s="78"/>
      <c r="ER118" s="78"/>
      <c r="ES118" s="78"/>
      <c r="ET118" s="78"/>
      <c r="EU118" s="78"/>
      <c r="EV118" s="78"/>
      <c r="EW118" s="78"/>
      <c r="EX118" s="78"/>
      <c r="EY118" s="78"/>
      <c r="EZ118" s="78"/>
      <c r="FA118" s="78"/>
      <c r="FB118" s="78"/>
      <c r="FC118" s="78"/>
      <c r="FD118" s="78"/>
      <c r="FE118" s="78"/>
      <c r="FF118" s="78"/>
      <c r="FG118" s="78"/>
      <c r="FH118" s="78"/>
      <c r="FI118" s="78"/>
      <c r="FJ118" s="78"/>
      <c r="FK118" s="78"/>
      <c r="FL118" s="78"/>
      <c r="FM118" s="78"/>
      <c r="FN118" s="78"/>
      <c r="FO118" s="78"/>
      <c r="FP118" s="78"/>
      <c r="FQ118" s="78"/>
      <c r="FR118" s="78"/>
      <c r="FS118" s="78"/>
      <c r="FT118" s="78"/>
      <c r="FU118" s="78"/>
      <c r="FV118" s="78"/>
      <c r="FW118" s="78"/>
      <c r="FX118" s="78"/>
      <c r="FY118" s="78"/>
      <c r="FZ118" s="78"/>
      <c r="GA118" s="78"/>
      <c r="GB118" s="78"/>
      <c r="GC118" s="78"/>
      <c r="GD118" s="78"/>
      <c r="GE118" s="78"/>
      <c r="GF118" s="78"/>
      <c r="GG118" s="78"/>
      <c r="GH118" s="78"/>
      <c r="GI118" s="78"/>
      <c r="GJ118" s="78"/>
      <c r="GK118" s="78"/>
      <c r="GL118" s="78"/>
      <c r="GM118" s="78"/>
      <c r="GN118" s="78"/>
      <c r="GO118" s="78"/>
      <c r="GP118" s="78"/>
      <c r="GQ118" s="78"/>
      <c r="GR118" s="78"/>
      <c r="GS118" s="78"/>
      <c r="GT118" s="78"/>
      <c r="GU118" s="78"/>
      <c r="GV118" s="78"/>
      <c r="GW118" s="78"/>
      <c r="GX118" s="78"/>
      <c r="GY118" s="78"/>
      <c r="GZ118" s="78"/>
      <c r="HA118" s="78"/>
      <c r="HB118" s="78"/>
      <c r="HC118" s="78"/>
      <c r="HD118" s="78"/>
      <c r="HE118" s="78"/>
      <c r="HF118" s="78"/>
      <c r="HG118" s="78"/>
      <c r="HH118" s="78"/>
      <c r="HI118" s="78"/>
      <c r="HJ118" s="78"/>
      <c r="HK118" s="78"/>
    </row>
    <row r="119" spans="1:219" ht="15" customHeight="1">
      <c r="A119" s="149">
        <v>4</v>
      </c>
      <c r="B119" s="176" t="str">
        <f>VLOOKUP(Ruimtestaat[[#This Row],[Code]],Locaties[[Code]:[Locatie]],2,FALSE)</f>
        <v>OBS De Sterrenborgh</v>
      </c>
      <c r="C119" s="176" t="str">
        <f>VLOOKUP(Ruimtestaat[[#This Row],[Code]],Locaties[[#All],[Code]:[Adres]],4,FALSE)</f>
        <v>Runenberghoek 5</v>
      </c>
      <c r="D119" s="176" t="str">
        <f>VLOOKUP(Ruimtestaat[[#This Row],[Code]],Locaties[[#All],[Code]:[Postcode]],5,FALSE)</f>
        <v>7546 EG</v>
      </c>
      <c r="E119" s="176" t="str">
        <f>VLOOKUP(Ruimtestaat[[#This Row],[Code]],Locaties[#All],6,FALSE)</f>
        <v>Enschede</v>
      </c>
      <c r="F119" s="149"/>
      <c r="G119" s="149" t="s">
        <v>1714</v>
      </c>
      <c r="H119" s="300" t="s">
        <v>1735</v>
      </c>
      <c r="I119" s="301" t="s">
        <v>1702</v>
      </c>
      <c r="J119" s="99">
        <v>10</v>
      </c>
      <c r="K119" s="183" t="str">
        <f>VLOOKUP(Ruimtestaat[[#This Row],[Ruimte code]],Ruimtegroepen[[#All],[Code]:[Ruimte omschrijving]],2,FALSE)</f>
        <v>Trappenhuizen/lift</v>
      </c>
      <c r="L119" s="149" t="s">
        <v>1309</v>
      </c>
      <c r="M119" s="301" t="s">
        <v>248</v>
      </c>
      <c r="N119" s="177">
        <v>2.7</v>
      </c>
      <c r="O119" s="177"/>
      <c r="P119" s="178" t="str">
        <f>VLOOKUP(Ruimtestaat[[#This Row],[Ruimte code]],Ruimtegroepen[],4,FALSE)</f>
        <v>Ve</v>
      </c>
      <c r="Q119" s="149">
        <v>40</v>
      </c>
      <c r="R119" s="149" t="s">
        <v>2</v>
      </c>
      <c r="S119" s="149">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149">
        <f>IF(S119&gt;0,VLOOKUP($J119,Ruimtegroepen[],3,FALSE)*VLOOKUP($L119,Vloersoorten[],3,FALSE)*VLOOKUP($R119,Frequenties[],3,FALSE)*VLOOKUP($A119,Locaties[],3,FALSE),0)</f>
        <v>0</v>
      </c>
      <c r="U119" s="149">
        <f>Ruimtestaat[[#This Row],[Uitvoeringen werkdagen]]*Ruimtestaat[[#This Row],[Oppervlak (netto)]]</f>
        <v>540</v>
      </c>
      <c r="V119" s="179">
        <f>IF(T119&gt;0,Ruimtestaat[[#This Row],[Prest. (m2 /jaar) werkdagen]]/Ruimtestaat[[#This Row],[Norm (m2/uur) werkdagen]],0)</f>
        <v>0</v>
      </c>
      <c r="W119" s="180">
        <f>Ruimtestaat[[#This Row],[uren / jaar werkdagen]]*Tariefsopbouw!$E$35</f>
        <v>0</v>
      </c>
      <c r="X119" s="149"/>
      <c r="Y119" s="149">
        <f>IF(Ruimtestaat[[#This Row],[Frequentie weekend]]&gt;0,VALUE(LEFT(X119,1))*Q119,0)</f>
        <v>0</v>
      </c>
      <c r="Z119" s="148">
        <f>IF($Y119&gt;0,VLOOKUP($J119,Ruimtegroepen[],3,FALSE)*VLOOKUP($L119,Vloersoorten[],3,FALSE)*VLOOKUP($X119,Frequenties[],3,FALSE)*VLOOKUP(Ruimtestaat[[#This Row],[Code]],Locaties[],3,FALSE),0)</f>
        <v>0</v>
      </c>
      <c r="AA119" s="148">
        <f>Ruimtestaat[[#This Row],[Uitvoeringen weekend]]*Ruimtestaat[[#This Row],[Oppervlak (netto)]]</f>
        <v>0</v>
      </c>
      <c r="AB119" s="148">
        <f>IF(Z119&gt;0,Ruimtestaat[[#This Row],[Prest. (m2 /jaar) weekend]]/Ruimtestaat[[#This Row],[Norm (m2/uur) weekend]],0)</f>
        <v>0</v>
      </c>
      <c r="AC119" s="180">
        <f>Ruimtestaat[[#This Row],[uren / jaar weekend]]*Tariefsopbouw!$D$40</f>
        <v>0</v>
      </c>
      <c r="AD119" s="179">
        <f>Ruimtestaat[[#This Row],[Prest. (m2 /jaar) weekend]]+Ruimtestaat[[#This Row],[Prest. (m2 /jaar) werkdagen]]</f>
        <v>540</v>
      </c>
      <c r="AE119" s="179">
        <f>Ruimtestaat[[#This Row],[uren / jaar weekend]]+Ruimtestaat[[#This Row],[uren / jaar werkdagen]]</f>
        <v>0</v>
      </c>
      <c r="AF119" s="174">
        <f>Ruimtestaat[[#This Row],[kosten / jaar weekend]]+Ruimtestaat[[#This Row],[kosten / jaar werkdagen]]</f>
        <v>0</v>
      </c>
      <c r="AG119" s="174"/>
      <c r="AH119" s="181" t="str">
        <f>IF(Ruimtestaat[[#This Row],[Frequentie werkdagen]]="","",_xlfn.CONCAT(Ruimtestaat[[#This Row],[Ruimte code]],"-",Ruimtestaat[[#This Row],[Frequentie werkdagen]]," ",Ruimtestaat[[#This Row],[Vloer code]]))</f>
        <v>10-5w H</v>
      </c>
      <c r="AI119" s="185" t="str">
        <f>_xlfn.IFNA(VLOOKUP($AH119,Programma!$F$3:$G$1101,2,0),"")</f>
        <v>_</v>
      </c>
      <c r="AJ119" s="185" t="str">
        <f>_xlfn.IFNA(VLOOKUP($AH119,Programma!$F$3:$H$1101,3,0),"")</f>
        <v>_</v>
      </c>
      <c r="AK119" s="185" t="str">
        <f>_xlfn.IFNA(VLOOKUP($AH119,Programma!$F$3:$I$1101,4,0),"")</f>
        <v>5w</v>
      </c>
      <c r="AL119" s="185" t="str">
        <f>_xlfn.IFNA(VLOOKUP($AH119,Programma!$F$3:$J$1101,5,0),"")</f>
        <v>_</v>
      </c>
      <c r="AM119" s="185" t="str">
        <f>_xlfn.IFNA(VLOOKUP($AH119,Programma!$F$3:$K$1101,6,0),"")</f>
        <v>4j</v>
      </c>
      <c r="AN119" s="185" t="str">
        <f>_xlfn.IFNA(VLOOKUP($AH119,Programma!$F$3:$L$1101,7,0),"")</f>
        <v>_</v>
      </c>
      <c r="AO119" s="185" t="str">
        <f>_xlfn.IFNA(VLOOKUP($AH119,Programma!$F$3:$M$1101,8,0),"")</f>
        <v>_</v>
      </c>
      <c r="AP119" s="185" t="str">
        <f>_xlfn.IFNA(VLOOKUP($AH119,Programma!$F$3:$N$1101,9,0),"")</f>
        <v>_</v>
      </c>
      <c r="AQ119" s="185" t="str">
        <f>_xlfn.IFNA(VLOOKUP($AH119,Programma!$F$3:$O$1101,10,0),"")</f>
        <v>5w</v>
      </c>
      <c r="AR119" s="185" t="str">
        <f>_xlfn.IFNA(VLOOKUP($AH119,Programma!$F$3:$P$1101,11,0),"")</f>
        <v>5w</v>
      </c>
      <c r="AS119" s="185" t="str">
        <f>_xlfn.IFNA(VLOOKUP($AH119,Programma!$F$3:$Q$1101,12,0),"")</f>
        <v>1w</v>
      </c>
      <c r="AT119" s="185" t="str">
        <f>_xlfn.IFNA(VLOOKUP($AH119,Programma!$F$3:$R$1101,13,0),"")</f>
        <v>1w</v>
      </c>
      <c r="AU119" s="185" t="str">
        <f>_xlfn.IFNA(VLOOKUP($AH119,Programma!$F$3:$S$1101,14,0),"")</f>
        <v>1m</v>
      </c>
      <c r="AV119" s="185" t="str">
        <f>_xlfn.IFNA(VLOOKUP($AH119,Programma!$F$3:$T$1101,15,0),"")</f>
        <v>2j</v>
      </c>
      <c r="AW119" s="185" t="str">
        <f>_xlfn.IFNA(VLOOKUP($AH119,Programma!$F$3:$U$1101,16,0),"")</f>
        <v>1j</v>
      </c>
      <c r="AX119" s="185" t="str">
        <f>_xlfn.IFNA(VLOOKUP($AH119,Programma!$F$3:$V$1101,17,0),"")</f>
        <v>_</v>
      </c>
      <c r="AY119" s="185" t="str">
        <f>_xlfn.IFNA(VLOOKUP($AH119,Programma!$F$3:$W$1101,18,0),"")</f>
        <v>_</v>
      </c>
      <c r="AZ119" s="185" t="str">
        <f>_xlfn.IFNA(VLOOKUP($AH119,Programma!$F$3:$X$1101,19,0),"")</f>
        <v>_</v>
      </c>
      <c r="BA119" s="185" t="str">
        <f>_xlfn.IFNA(VLOOKUP($AH119,Programma!$F$3:$Y$1101,20,0),"")</f>
        <v>_</v>
      </c>
      <c r="BB119" s="182"/>
      <c r="BC119" s="181" t="str">
        <f>IF(Ruimtestaat[[#This Row],[Frequentie weekend]]="","",_xlfn.CONCAT(Ruimtestaat[[#This Row],[Ruimte code]],"-",Ruimtestaat[[#This Row],[Frequentie weekend]]," ",Ruimtestaat[[#This Row],[Vloer code]]))</f>
        <v/>
      </c>
      <c r="BD119" s="185" t="str">
        <f>_xlfn.IFNA(VLOOKUP($BC119,Programma!$F$3:$G$1101,2,0),"")</f>
        <v/>
      </c>
      <c r="BE119" s="185" t="str">
        <f>_xlfn.IFNA(VLOOKUP($BC119,Programma!$F$3:$H$1101,3,0),"")</f>
        <v/>
      </c>
      <c r="BF119" s="185" t="str">
        <f>_xlfn.IFNA(VLOOKUP($BC119,Programma!$F$3:$I$1101,4,0),"")</f>
        <v/>
      </c>
      <c r="BG119" s="185" t="str">
        <f>_xlfn.IFNA(VLOOKUP($BC119,Programma!$F$3:$J$1101,5,0),"")</f>
        <v/>
      </c>
      <c r="BH119" s="185" t="str">
        <f>_xlfn.IFNA(VLOOKUP($BC119,Programma!$F$3:$K$1101,6,0),"")</f>
        <v/>
      </c>
      <c r="BI119" s="185" t="str">
        <f>_xlfn.IFNA(VLOOKUP($BC119,Programma!$F$3:$L$1101,7,0),"")</f>
        <v/>
      </c>
      <c r="BJ119" s="185" t="str">
        <f>_xlfn.IFNA(VLOOKUP($BC119,Programma!$F$3:$M$1101,8,0),"")</f>
        <v/>
      </c>
      <c r="BK119" s="185" t="str">
        <f>_xlfn.IFNA(VLOOKUP($BC119,Programma!$F$3:$N$1101,9,0),"")</f>
        <v/>
      </c>
      <c r="BL119" s="185" t="str">
        <f>_xlfn.IFNA(VLOOKUP($BC119,Programma!$F$3:$O$1101,10,0),"")</f>
        <v/>
      </c>
      <c r="BM119" s="185" t="str">
        <f>_xlfn.IFNA(VLOOKUP($BC119,Programma!$F$3:$P$1101,11,0),"")</f>
        <v/>
      </c>
      <c r="BN119" s="185" t="str">
        <f>_xlfn.IFNA(VLOOKUP($BC119,Programma!$F$3:$Q$1101,12,0),"")</f>
        <v/>
      </c>
      <c r="BO119" s="185" t="str">
        <f>_xlfn.IFNA(VLOOKUP($BC119,Programma!$F$3:$R$1101,13,0),"")</f>
        <v/>
      </c>
      <c r="BP119" s="185" t="str">
        <f>_xlfn.IFNA(VLOOKUP($BC119,Programma!$F$3:$S$1101,14,0),"")</f>
        <v/>
      </c>
      <c r="BQ119" s="185" t="str">
        <f>_xlfn.IFNA(VLOOKUP($BC119,Programma!$F$3:$T$1101,15,0),"")</f>
        <v/>
      </c>
      <c r="BR119" s="185" t="str">
        <f>_xlfn.IFNA(VLOOKUP($BC119,Programma!$F$3:$U$1101,16,0),"")</f>
        <v/>
      </c>
      <c r="BS119" s="185" t="str">
        <f>_xlfn.IFNA(VLOOKUP($BC119,Programma!$F$3:$V$1101,17,0),"")</f>
        <v/>
      </c>
      <c r="BT119" s="185" t="str">
        <f>_xlfn.IFNA(VLOOKUP($BC119,Programma!$F$3:$W$1101,18,0),"")</f>
        <v/>
      </c>
      <c r="BU119" s="185" t="str">
        <f>_xlfn.IFNA(VLOOKUP($BC119,Programma!$F$3:$X$1101,19,0),"")</f>
        <v/>
      </c>
      <c r="BV119" s="185" t="str">
        <f>_xlfn.IFNA(VLOOKUP($BC119,Programma!$F$3:$Y$1101,20,0),"")</f>
        <v/>
      </c>
      <c r="BW119" s="78"/>
      <c r="BX119" s="78"/>
      <c r="BY119" s="78"/>
      <c r="BZ119" s="78"/>
      <c r="CA119" s="78"/>
      <c r="CB119" s="78"/>
      <c r="CC119" s="78"/>
      <c r="CD119" s="78"/>
      <c r="CE119" s="78"/>
      <c r="CF119" s="78"/>
      <c r="CG119" s="78"/>
      <c r="CH119" s="78"/>
      <c r="CI119" s="78"/>
      <c r="CJ119" s="78"/>
      <c r="CK119" s="78"/>
      <c r="CL119" s="78"/>
      <c r="CM119" s="78"/>
      <c r="CN119" s="78"/>
      <c r="CO119" s="78"/>
      <c r="CP119" s="78"/>
      <c r="CQ119" s="78"/>
      <c r="CR119" s="78"/>
      <c r="CS119" s="78"/>
      <c r="CT119" s="78"/>
      <c r="CU119" s="78"/>
      <c r="CV119" s="78"/>
      <c r="CW119" s="78"/>
      <c r="CX119" s="78"/>
      <c r="CY119" s="78"/>
      <c r="CZ119" s="78"/>
      <c r="DA119" s="78"/>
      <c r="DB119" s="78"/>
      <c r="DC119" s="78"/>
      <c r="DD119" s="78"/>
      <c r="DE119" s="78"/>
      <c r="DF119" s="78"/>
      <c r="DG119" s="78"/>
      <c r="DH119" s="78"/>
      <c r="DI119" s="78"/>
      <c r="DJ119" s="78"/>
      <c r="DK119" s="78"/>
      <c r="DL119" s="78"/>
      <c r="DM119" s="78"/>
      <c r="DN119" s="78"/>
      <c r="DO119" s="78"/>
      <c r="DP119" s="78"/>
      <c r="DQ119" s="78"/>
      <c r="DR119" s="78"/>
      <c r="DS119" s="78"/>
      <c r="DT119" s="78"/>
      <c r="DU119" s="78"/>
      <c r="DV119" s="78"/>
      <c r="DW119" s="78"/>
      <c r="DX119" s="78"/>
      <c r="DY119" s="78"/>
      <c r="DZ119" s="78"/>
      <c r="EA119" s="78"/>
      <c r="EB119" s="78"/>
      <c r="EC119" s="78"/>
      <c r="ED119" s="78"/>
      <c r="EE119" s="78"/>
      <c r="EF119" s="78"/>
      <c r="EG119" s="78"/>
      <c r="EH119" s="78"/>
      <c r="EI119" s="78"/>
      <c r="EJ119" s="78"/>
      <c r="EK119" s="78"/>
      <c r="EL119" s="78"/>
      <c r="EM119" s="78"/>
      <c r="EN119" s="78"/>
      <c r="EO119" s="78"/>
      <c r="EP119" s="78"/>
      <c r="EQ119" s="78"/>
      <c r="ER119" s="78"/>
      <c r="ES119" s="78"/>
      <c r="ET119" s="78"/>
      <c r="EU119" s="78"/>
      <c r="EV119" s="78"/>
      <c r="EW119" s="78"/>
      <c r="EX119" s="78"/>
      <c r="EY119" s="78"/>
      <c r="EZ119" s="78"/>
      <c r="FA119" s="78"/>
      <c r="FB119" s="78"/>
      <c r="FC119" s="78"/>
      <c r="FD119" s="78"/>
      <c r="FE119" s="78"/>
      <c r="FF119" s="78"/>
      <c r="FG119" s="78"/>
      <c r="FH119" s="78"/>
      <c r="FI119" s="78"/>
      <c r="FJ119" s="78"/>
      <c r="FK119" s="78"/>
      <c r="FL119" s="78"/>
      <c r="FM119" s="78"/>
      <c r="FN119" s="78"/>
      <c r="FO119" s="78"/>
      <c r="FP119" s="78"/>
      <c r="FQ119" s="78"/>
      <c r="FR119" s="78"/>
      <c r="FS119" s="78"/>
      <c r="FT119" s="78"/>
      <c r="FU119" s="78"/>
      <c r="FV119" s="78"/>
      <c r="FW119" s="78"/>
      <c r="FX119" s="78"/>
      <c r="FY119" s="78"/>
      <c r="FZ119" s="78"/>
      <c r="GA119" s="78"/>
      <c r="GB119" s="78"/>
      <c r="GC119" s="78"/>
      <c r="GD119" s="78"/>
      <c r="GE119" s="78"/>
      <c r="GF119" s="78"/>
      <c r="GG119" s="78"/>
      <c r="GH119" s="78"/>
      <c r="GI119" s="78"/>
      <c r="GJ119" s="78"/>
      <c r="GK119" s="78"/>
      <c r="GL119" s="78"/>
      <c r="GM119" s="78"/>
      <c r="GN119" s="78"/>
      <c r="GO119" s="78"/>
      <c r="GP119" s="78"/>
      <c r="GQ119" s="78"/>
      <c r="GR119" s="78"/>
      <c r="GS119" s="78"/>
      <c r="GT119" s="78"/>
      <c r="GU119" s="78"/>
      <c r="GV119" s="78"/>
      <c r="GW119" s="78"/>
      <c r="GX119" s="78"/>
      <c r="GY119" s="78"/>
      <c r="GZ119" s="78"/>
      <c r="HA119" s="78"/>
      <c r="HB119" s="78"/>
      <c r="HC119" s="78"/>
      <c r="HD119" s="78"/>
      <c r="HE119" s="78"/>
      <c r="HF119" s="78"/>
      <c r="HG119" s="78"/>
      <c r="HH119" s="78"/>
      <c r="HI119" s="78"/>
      <c r="HJ119" s="78"/>
      <c r="HK119" s="78"/>
    </row>
    <row r="120" spans="1:219" ht="15" customHeight="1">
      <c r="A120" s="149">
        <v>4</v>
      </c>
      <c r="B120" s="176" t="str">
        <f>VLOOKUP(Ruimtestaat[[#This Row],[Code]],Locaties[[Code]:[Locatie]],2,FALSE)</f>
        <v>OBS De Sterrenborgh</v>
      </c>
      <c r="C120" s="176" t="str">
        <f>VLOOKUP(Ruimtestaat[[#This Row],[Code]],Locaties[[#All],[Code]:[Adres]],4,FALSE)</f>
        <v>Runenberghoek 5</v>
      </c>
      <c r="D120" s="176" t="str">
        <f>VLOOKUP(Ruimtestaat[[#This Row],[Code]],Locaties[[#All],[Code]:[Postcode]],5,FALSE)</f>
        <v>7546 EG</v>
      </c>
      <c r="E120" s="176" t="str">
        <f>VLOOKUP(Ruimtestaat[[#This Row],[Code]],Locaties[#All],6,FALSE)</f>
        <v>Enschede</v>
      </c>
      <c r="F120" s="149"/>
      <c r="G120" s="149" t="s">
        <v>1714</v>
      </c>
      <c r="H120" s="300" t="s">
        <v>1736</v>
      </c>
      <c r="I120" s="301" t="s">
        <v>1651</v>
      </c>
      <c r="J120" s="99">
        <v>16</v>
      </c>
      <c r="K120" s="183" t="str">
        <f>VLOOKUP(Ruimtestaat[[#This Row],[Ruimte code]],Ruimtegroepen[[#All],[Code]:[Ruimte omschrijving]],2,FALSE)</f>
        <v>Leslokalen</v>
      </c>
      <c r="L120" s="149" t="s">
        <v>100</v>
      </c>
      <c r="M120" s="301" t="s">
        <v>1697</v>
      </c>
      <c r="N120" s="177">
        <v>79.2</v>
      </c>
      <c r="O120" s="177"/>
      <c r="P120" s="178" t="str">
        <f>VLOOKUP(Ruimtestaat[[#This Row],[Ruimte code]],Ruimtegroepen[],4,FALSE)</f>
        <v>Le</v>
      </c>
      <c r="Q120" s="149">
        <v>40</v>
      </c>
      <c r="R120" s="149" t="s">
        <v>2</v>
      </c>
      <c r="S120" s="149">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149">
        <f>IF(S120&gt;0,VLOOKUP($J120,Ruimtegroepen[],3,FALSE)*VLOOKUP($L120,Vloersoorten[],3,FALSE)*VLOOKUP($R120,Frequenties[],3,FALSE)*VLOOKUP($A120,Locaties[],3,FALSE),0)</f>
        <v>0</v>
      </c>
      <c r="U120" s="149">
        <f>Ruimtestaat[[#This Row],[Uitvoeringen werkdagen]]*Ruimtestaat[[#This Row],[Oppervlak (netto)]]</f>
        <v>15840</v>
      </c>
      <c r="V120" s="179">
        <f>IF(T120&gt;0,Ruimtestaat[[#This Row],[Prest. (m2 /jaar) werkdagen]]/Ruimtestaat[[#This Row],[Norm (m2/uur) werkdagen]],0)</f>
        <v>0</v>
      </c>
      <c r="W120" s="180">
        <f>Ruimtestaat[[#This Row],[uren / jaar werkdagen]]*Tariefsopbouw!$E$35</f>
        <v>0</v>
      </c>
      <c r="X120" s="149"/>
      <c r="Y120" s="149">
        <f>IF(Ruimtestaat[[#This Row],[Frequentie weekend]]&gt;0,VALUE(LEFT(X120,1))*Q120,0)</f>
        <v>0</v>
      </c>
      <c r="Z120" s="148">
        <f>IF($Y120&gt;0,VLOOKUP($J120,Ruimtegroepen[],3,FALSE)*VLOOKUP($L120,Vloersoorten[],3,FALSE)*VLOOKUP($X120,Frequenties[],3,FALSE)*VLOOKUP(Ruimtestaat[[#This Row],[Code]],Locaties[],3,FALSE),0)</f>
        <v>0</v>
      </c>
      <c r="AA120" s="148">
        <f>Ruimtestaat[[#This Row],[Uitvoeringen weekend]]*Ruimtestaat[[#This Row],[Oppervlak (netto)]]</f>
        <v>0</v>
      </c>
      <c r="AB120" s="148">
        <f>IF(Z120&gt;0,Ruimtestaat[[#This Row],[Prest. (m2 /jaar) weekend]]/Ruimtestaat[[#This Row],[Norm (m2/uur) weekend]],0)</f>
        <v>0</v>
      </c>
      <c r="AC120" s="180">
        <f>Ruimtestaat[[#This Row],[uren / jaar weekend]]*Tariefsopbouw!$D$40</f>
        <v>0</v>
      </c>
      <c r="AD120" s="179">
        <f>Ruimtestaat[[#This Row],[Prest. (m2 /jaar) weekend]]+Ruimtestaat[[#This Row],[Prest. (m2 /jaar) werkdagen]]</f>
        <v>15840</v>
      </c>
      <c r="AE120" s="179">
        <f>Ruimtestaat[[#This Row],[uren / jaar weekend]]+Ruimtestaat[[#This Row],[uren / jaar werkdagen]]</f>
        <v>0</v>
      </c>
      <c r="AF120" s="174">
        <f>Ruimtestaat[[#This Row],[kosten / jaar weekend]]+Ruimtestaat[[#This Row],[kosten / jaar werkdagen]]</f>
        <v>0</v>
      </c>
      <c r="AG120" s="174"/>
      <c r="AH120" s="181" t="str">
        <f>IF(Ruimtestaat[[#This Row],[Frequentie werkdagen]]="","",_xlfn.CONCAT(Ruimtestaat[[#This Row],[Ruimte code]],"-",Ruimtestaat[[#This Row],[Frequentie werkdagen]]," ",Ruimtestaat[[#This Row],[Vloer code]]))</f>
        <v>16-5w L</v>
      </c>
      <c r="AI120" s="185" t="str">
        <f>_xlfn.IFNA(VLOOKUP($AH120,Programma!$F$3:$G$1101,2,0),"")</f>
        <v>_</v>
      </c>
      <c r="AJ120" s="185" t="str">
        <f>_xlfn.IFNA(VLOOKUP($AH120,Programma!$F$3:$H$1101,3,0),"")</f>
        <v>_</v>
      </c>
      <c r="AK120" s="185" t="str">
        <f>_xlfn.IFNA(VLOOKUP($AH120,Programma!$F$3:$I$1101,4,0),"")</f>
        <v>4w</v>
      </c>
      <c r="AL120" s="185" t="str">
        <f>_xlfn.IFNA(VLOOKUP($AH120,Programma!$F$3:$J$1101,5,0),"")</f>
        <v>1w</v>
      </c>
      <c r="AM120" s="185" t="str">
        <f>_xlfn.IFNA(VLOOKUP($AH120,Programma!$F$3:$K$1101,6,0),"")</f>
        <v>_</v>
      </c>
      <c r="AN120" s="185" t="str">
        <f>_xlfn.IFNA(VLOOKUP($AH120,Programma!$F$3:$L$1101,7,0),"")</f>
        <v>_</v>
      </c>
      <c r="AO120" s="185" t="str">
        <f>_xlfn.IFNA(VLOOKUP($AH120,Programma!$F$3:$M$1101,8,0),"")</f>
        <v>_</v>
      </c>
      <c r="AP120" s="185" t="str">
        <f>_xlfn.IFNA(VLOOKUP($AH120,Programma!$F$3:$N$1101,9,0),"")</f>
        <v>_</v>
      </c>
      <c r="AQ120" s="185" t="str">
        <f>_xlfn.IFNA(VLOOKUP($AH120,Programma!$F$3:$O$1101,10,0),"")</f>
        <v>5w</v>
      </c>
      <c r="AR120" s="185" t="str">
        <f>_xlfn.IFNA(VLOOKUP($AH120,Programma!$F$3:$P$1101,11,0),"")</f>
        <v>5w</v>
      </c>
      <c r="AS120" s="185" t="str">
        <f>_xlfn.IFNA(VLOOKUP($AH120,Programma!$F$3:$Q$1101,12,0),"")</f>
        <v>1w</v>
      </c>
      <c r="AT120" s="185" t="str">
        <f>_xlfn.IFNA(VLOOKUP($AH120,Programma!$F$3:$R$1101,13,0),"")</f>
        <v>1w</v>
      </c>
      <c r="AU120" s="185" t="str">
        <f>_xlfn.IFNA(VLOOKUP($AH120,Programma!$F$3:$S$1101,14,0),"")</f>
        <v>1m</v>
      </c>
      <c r="AV120" s="185" t="str">
        <f>_xlfn.IFNA(VLOOKUP($AH120,Programma!$F$3:$T$1101,15,0),"")</f>
        <v>2j</v>
      </c>
      <c r="AW120" s="185" t="str">
        <f>_xlfn.IFNA(VLOOKUP($AH120,Programma!$F$3:$U$1101,16,0),"")</f>
        <v>1j</v>
      </c>
      <c r="AX120" s="185" t="str">
        <f>_xlfn.IFNA(VLOOKUP($AH120,Programma!$F$3:$V$1101,17,0),"")</f>
        <v>_</v>
      </c>
      <c r="AY120" s="185" t="str">
        <f>_xlfn.IFNA(VLOOKUP($AH120,Programma!$F$3:$W$1101,18,0),"")</f>
        <v>_</v>
      </c>
      <c r="AZ120" s="185" t="str">
        <f>_xlfn.IFNA(VLOOKUP($AH120,Programma!$F$3:$X$1101,19,0),"")</f>
        <v>_</v>
      </c>
      <c r="BA120" s="185" t="str">
        <f>_xlfn.IFNA(VLOOKUP($AH120,Programma!$F$3:$Y$1101,20,0),"")</f>
        <v>_</v>
      </c>
      <c r="BB120" s="182"/>
      <c r="BC120" s="181" t="str">
        <f>IF(Ruimtestaat[[#This Row],[Frequentie weekend]]="","",_xlfn.CONCAT(Ruimtestaat[[#This Row],[Ruimte code]],"-",Ruimtestaat[[#This Row],[Frequentie weekend]]," ",Ruimtestaat[[#This Row],[Vloer code]]))</f>
        <v/>
      </c>
      <c r="BD120" s="185" t="str">
        <f>_xlfn.IFNA(VLOOKUP($BC120,Programma!$F$3:$G$1101,2,0),"")</f>
        <v/>
      </c>
      <c r="BE120" s="185" t="str">
        <f>_xlfn.IFNA(VLOOKUP($BC120,Programma!$F$3:$H$1101,3,0),"")</f>
        <v/>
      </c>
      <c r="BF120" s="185" t="str">
        <f>_xlfn.IFNA(VLOOKUP($BC120,Programma!$F$3:$I$1101,4,0),"")</f>
        <v/>
      </c>
      <c r="BG120" s="185" t="str">
        <f>_xlfn.IFNA(VLOOKUP($BC120,Programma!$F$3:$J$1101,5,0),"")</f>
        <v/>
      </c>
      <c r="BH120" s="185" t="str">
        <f>_xlfn.IFNA(VLOOKUP($BC120,Programma!$F$3:$K$1101,6,0),"")</f>
        <v/>
      </c>
      <c r="BI120" s="185" t="str">
        <f>_xlfn.IFNA(VLOOKUP($BC120,Programma!$F$3:$L$1101,7,0),"")</f>
        <v/>
      </c>
      <c r="BJ120" s="185" t="str">
        <f>_xlfn.IFNA(VLOOKUP($BC120,Programma!$F$3:$M$1101,8,0),"")</f>
        <v/>
      </c>
      <c r="BK120" s="185" t="str">
        <f>_xlfn.IFNA(VLOOKUP($BC120,Programma!$F$3:$N$1101,9,0),"")</f>
        <v/>
      </c>
      <c r="BL120" s="185" t="str">
        <f>_xlfn.IFNA(VLOOKUP($BC120,Programma!$F$3:$O$1101,10,0),"")</f>
        <v/>
      </c>
      <c r="BM120" s="185" t="str">
        <f>_xlfn.IFNA(VLOOKUP($BC120,Programma!$F$3:$P$1101,11,0),"")</f>
        <v/>
      </c>
      <c r="BN120" s="185" t="str">
        <f>_xlfn.IFNA(VLOOKUP($BC120,Programma!$F$3:$Q$1101,12,0),"")</f>
        <v/>
      </c>
      <c r="BO120" s="185" t="str">
        <f>_xlfn.IFNA(VLOOKUP($BC120,Programma!$F$3:$R$1101,13,0),"")</f>
        <v/>
      </c>
      <c r="BP120" s="185" t="str">
        <f>_xlfn.IFNA(VLOOKUP($BC120,Programma!$F$3:$S$1101,14,0),"")</f>
        <v/>
      </c>
      <c r="BQ120" s="185" t="str">
        <f>_xlfn.IFNA(VLOOKUP($BC120,Programma!$F$3:$T$1101,15,0),"")</f>
        <v/>
      </c>
      <c r="BR120" s="185" t="str">
        <f>_xlfn.IFNA(VLOOKUP($BC120,Programma!$F$3:$U$1101,16,0),"")</f>
        <v/>
      </c>
      <c r="BS120" s="185" t="str">
        <f>_xlfn.IFNA(VLOOKUP($BC120,Programma!$F$3:$V$1101,17,0),"")</f>
        <v/>
      </c>
      <c r="BT120" s="185" t="str">
        <f>_xlfn.IFNA(VLOOKUP($BC120,Programma!$F$3:$W$1101,18,0),"")</f>
        <v/>
      </c>
      <c r="BU120" s="185" t="str">
        <f>_xlfn.IFNA(VLOOKUP($BC120,Programma!$F$3:$X$1101,19,0),"")</f>
        <v/>
      </c>
      <c r="BV120" s="185" t="str">
        <f>_xlfn.IFNA(VLOOKUP($BC120,Programma!$F$3:$Y$1101,20,0),"")</f>
        <v/>
      </c>
      <c r="BW120" s="78"/>
      <c r="BX120" s="78"/>
      <c r="BY120" s="78"/>
      <c r="BZ120" s="78"/>
      <c r="CA120" s="78"/>
      <c r="CB120" s="78"/>
      <c r="CC120" s="78"/>
      <c r="CD120" s="78"/>
      <c r="CE120" s="78"/>
      <c r="CF120" s="78"/>
      <c r="CG120" s="78"/>
      <c r="CH120" s="78"/>
      <c r="CI120" s="78"/>
      <c r="CJ120" s="78"/>
      <c r="CK120" s="78"/>
      <c r="CL120" s="78"/>
      <c r="CM120" s="78"/>
      <c r="CN120" s="78"/>
      <c r="CO120" s="78"/>
      <c r="CP120" s="78"/>
      <c r="CQ120" s="78"/>
      <c r="CR120" s="78"/>
      <c r="CS120" s="78"/>
      <c r="CT120" s="78"/>
      <c r="CU120" s="78"/>
      <c r="CV120" s="78"/>
      <c r="CW120" s="78"/>
      <c r="CX120" s="78"/>
      <c r="CY120" s="78"/>
      <c r="CZ120" s="78"/>
      <c r="DA120" s="78"/>
      <c r="DB120" s="78"/>
      <c r="DC120" s="78"/>
      <c r="DD120" s="78"/>
      <c r="DE120" s="78"/>
      <c r="DF120" s="78"/>
      <c r="DG120" s="78"/>
      <c r="DH120" s="78"/>
      <c r="DI120" s="78"/>
      <c r="DJ120" s="78"/>
      <c r="DK120" s="78"/>
      <c r="DL120" s="78"/>
      <c r="DM120" s="78"/>
      <c r="DN120" s="78"/>
      <c r="DO120" s="78"/>
      <c r="DP120" s="78"/>
      <c r="DQ120" s="78"/>
      <c r="DR120" s="78"/>
      <c r="DS120" s="78"/>
      <c r="DT120" s="78"/>
      <c r="DU120" s="78"/>
      <c r="DV120" s="78"/>
      <c r="DW120" s="78"/>
      <c r="DX120" s="78"/>
      <c r="DY120" s="78"/>
      <c r="DZ120" s="78"/>
      <c r="EA120" s="78"/>
      <c r="EB120" s="78"/>
      <c r="EC120" s="78"/>
      <c r="ED120" s="78"/>
      <c r="EE120" s="78"/>
      <c r="EF120" s="78"/>
      <c r="EG120" s="78"/>
      <c r="EH120" s="78"/>
      <c r="EI120" s="78"/>
      <c r="EJ120" s="78"/>
      <c r="EK120" s="78"/>
      <c r="EL120" s="78"/>
      <c r="EM120" s="78"/>
      <c r="EN120" s="78"/>
      <c r="EO120" s="78"/>
      <c r="EP120" s="78"/>
      <c r="EQ120" s="78"/>
      <c r="ER120" s="78"/>
      <c r="ES120" s="78"/>
      <c r="ET120" s="78"/>
      <c r="EU120" s="78"/>
      <c r="EV120" s="78"/>
      <c r="EW120" s="78"/>
      <c r="EX120" s="78"/>
      <c r="EY120" s="78"/>
      <c r="EZ120" s="78"/>
      <c r="FA120" s="78"/>
      <c r="FB120" s="78"/>
      <c r="FC120" s="78"/>
      <c r="FD120" s="78"/>
      <c r="FE120" s="78"/>
      <c r="FF120" s="78"/>
      <c r="FG120" s="78"/>
      <c r="FH120" s="78"/>
      <c r="FI120" s="78"/>
      <c r="FJ120" s="78"/>
      <c r="FK120" s="78"/>
      <c r="FL120" s="78"/>
      <c r="FM120" s="78"/>
      <c r="FN120" s="78"/>
      <c r="FO120" s="78"/>
      <c r="FP120" s="78"/>
      <c r="FQ120" s="78"/>
      <c r="FR120" s="78"/>
      <c r="FS120" s="78"/>
      <c r="FT120" s="78"/>
      <c r="FU120" s="78"/>
      <c r="FV120" s="78"/>
      <c r="FW120" s="78"/>
      <c r="FX120" s="78"/>
      <c r="FY120" s="78"/>
      <c r="FZ120" s="78"/>
      <c r="GA120" s="78"/>
      <c r="GB120" s="78"/>
      <c r="GC120" s="78"/>
      <c r="GD120" s="78"/>
      <c r="GE120" s="78"/>
      <c r="GF120" s="78"/>
      <c r="GG120" s="78"/>
      <c r="GH120" s="78"/>
      <c r="GI120" s="78"/>
      <c r="GJ120" s="78"/>
      <c r="GK120" s="78"/>
      <c r="GL120" s="78"/>
      <c r="GM120" s="78"/>
      <c r="GN120" s="78"/>
      <c r="GO120" s="78"/>
      <c r="GP120" s="78"/>
      <c r="GQ120" s="78"/>
      <c r="GR120" s="78"/>
      <c r="GS120" s="78"/>
      <c r="GT120" s="78"/>
      <c r="GU120" s="78"/>
      <c r="GV120" s="78"/>
      <c r="GW120" s="78"/>
      <c r="GX120" s="78"/>
      <c r="GY120" s="78"/>
      <c r="GZ120" s="78"/>
      <c r="HA120" s="78"/>
      <c r="HB120" s="78"/>
      <c r="HC120" s="78"/>
      <c r="HD120" s="78"/>
      <c r="HE120" s="78"/>
      <c r="HF120" s="78"/>
      <c r="HG120" s="78"/>
      <c r="HH120" s="78"/>
      <c r="HI120" s="78"/>
      <c r="HJ120" s="78"/>
      <c r="HK120" s="78"/>
    </row>
    <row r="121" spans="1:219" ht="15" customHeight="1">
      <c r="A121" s="149">
        <v>4</v>
      </c>
      <c r="B121" s="176" t="str">
        <f>VLOOKUP(Ruimtestaat[[#This Row],[Code]],Locaties[[Code]:[Locatie]],2,FALSE)</f>
        <v>OBS De Sterrenborgh</v>
      </c>
      <c r="C121" s="176" t="str">
        <f>VLOOKUP(Ruimtestaat[[#This Row],[Code]],Locaties[[#All],[Code]:[Adres]],4,FALSE)</f>
        <v>Runenberghoek 5</v>
      </c>
      <c r="D121" s="176" t="str">
        <f>VLOOKUP(Ruimtestaat[[#This Row],[Code]],Locaties[[#All],[Code]:[Postcode]],5,FALSE)</f>
        <v>7546 EG</v>
      </c>
      <c r="E121" s="176" t="str">
        <f>VLOOKUP(Ruimtestaat[[#This Row],[Code]],Locaties[#All],6,FALSE)</f>
        <v>Enschede</v>
      </c>
      <c r="F121" s="149"/>
      <c r="G121" s="149" t="s">
        <v>1714</v>
      </c>
      <c r="H121" s="300" t="s">
        <v>1737</v>
      </c>
      <c r="I121" s="301" t="s">
        <v>1658</v>
      </c>
      <c r="J121" s="99">
        <v>6</v>
      </c>
      <c r="K121" s="183" t="str">
        <f>VLOOKUP(Ruimtestaat[[#This Row],[Ruimte code]],Ruimtegroepen[[#All],[Code]:[Ruimte omschrijving]],2,FALSE)</f>
        <v>Gangen/hallen</v>
      </c>
      <c r="L121" s="149" t="s">
        <v>102</v>
      </c>
      <c r="M121" s="301" t="s">
        <v>1727</v>
      </c>
      <c r="N121" s="177">
        <v>32.4</v>
      </c>
      <c r="O121" s="177"/>
      <c r="P121" s="178" t="str">
        <f>VLOOKUP(Ruimtestaat[[#This Row],[Ruimte code]],Ruimtegroepen[],4,FALSE)</f>
        <v>Ve</v>
      </c>
      <c r="Q121" s="149">
        <v>40</v>
      </c>
      <c r="R121" s="149" t="s">
        <v>2</v>
      </c>
      <c r="S121" s="149">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1" s="149">
        <f>IF(S121&gt;0,VLOOKUP($J121,Ruimtegroepen[],3,FALSE)*VLOOKUP($L121,Vloersoorten[],3,FALSE)*VLOOKUP($R121,Frequenties[],3,FALSE)*VLOOKUP($A121,Locaties[],3,FALSE),0)</f>
        <v>0</v>
      </c>
      <c r="U121" s="149">
        <f>Ruimtestaat[[#This Row],[Uitvoeringen werkdagen]]*Ruimtestaat[[#This Row],[Oppervlak (netto)]]</f>
        <v>6480</v>
      </c>
      <c r="V121" s="179">
        <f>IF(T121&gt;0,Ruimtestaat[[#This Row],[Prest. (m2 /jaar) werkdagen]]/Ruimtestaat[[#This Row],[Norm (m2/uur) werkdagen]],0)</f>
        <v>0</v>
      </c>
      <c r="W121" s="180">
        <f>Ruimtestaat[[#This Row],[uren / jaar werkdagen]]*Tariefsopbouw!$E$35</f>
        <v>0</v>
      </c>
      <c r="X121" s="149"/>
      <c r="Y121" s="149">
        <f>IF(Ruimtestaat[[#This Row],[Frequentie weekend]]&gt;0,VALUE(LEFT(X121,1))*Q121,0)</f>
        <v>0</v>
      </c>
      <c r="Z121" s="148">
        <f>IF($Y121&gt;0,VLOOKUP($J121,Ruimtegroepen[],3,FALSE)*VLOOKUP($L121,Vloersoorten[],3,FALSE)*VLOOKUP($X121,Frequenties[],3,FALSE)*VLOOKUP(Ruimtestaat[[#This Row],[Code]],Locaties[],3,FALSE),0)</f>
        <v>0</v>
      </c>
      <c r="AA121" s="148">
        <f>Ruimtestaat[[#This Row],[Uitvoeringen weekend]]*Ruimtestaat[[#This Row],[Oppervlak (netto)]]</f>
        <v>0</v>
      </c>
      <c r="AB121" s="148">
        <f>IF(Z121&gt;0,Ruimtestaat[[#This Row],[Prest. (m2 /jaar) weekend]]/Ruimtestaat[[#This Row],[Norm (m2/uur) weekend]],0)</f>
        <v>0</v>
      </c>
      <c r="AC121" s="180">
        <f>Ruimtestaat[[#This Row],[uren / jaar weekend]]*Tariefsopbouw!$D$40</f>
        <v>0</v>
      </c>
      <c r="AD121" s="179">
        <f>Ruimtestaat[[#This Row],[Prest. (m2 /jaar) weekend]]+Ruimtestaat[[#This Row],[Prest. (m2 /jaar) werkdagen]]</f>
        <v>6480</v>
      </c>
      <c r="AE121" s="179">
        <f>Ruimtestaat[[#This Row],[uren / jaar weekend]]+Ruimtestaat[[#This Row],[uren / jaar werkdagen]]</f>
        <v>0</v>
      </c>
      <c r="AF121" s="174">
        <f>Ruimtestaat[[#This Row],[kosten / jaar weekend]]+Ruimtestaat[[#This Row],[kosten / jaar werkdagen]]</f>
        <v>0</v>
      </c>
      <c r="AG121" s="174"/>
      <c r="AH121" s="181" t="str">
        <f>IF(Ruimtestaat[[#This Row],[Frequentie werkdagen]]="","",_xlfn.CONCAT(Ruimtestaat[[#This Row],[Ruimte code]],"-",Ruimtestaat[[#This Row],[Frequentie werkdagen]]," ",Ruimtestaat[[#This Row],[Vloer code]]))</f>
        <v>6-5w P</v>
      </c>
      <c r="AI121" s="185" t="str">
        <f>_xlfn.IFNA(VLOOKUP($AH121,Programma!$F$3:$G$1101,2,0),"")</f>
        <v>_</v>
      </c>
      <c r="AJ121" s="185" t="str">
        <f>_xlfn.IFNA(VLOOKUP($AH121,Programma!$F$3:$H$1101,3,0),"")</f>
        <v>_</v>
      </c>
      <c r="AK121" s="185" t="str">
        <f>_xlfn.IFNA(VLOOKUP($AH121,Programma!$F$3:$I$1101,4,0),"")</f>
        <v>5w</v>
      </c>
      <c r="AL121" s="185" t="str">
        <f>_xlfn.IFNA(VLOOKUP($AH121,Programma!$F$3:$J$1101,5,0),"")</f>
        <v>_</v>
      </c>
      <c r="AM121" s="185" t="str">
        <f>_xlfn.IFNA(VLOOKUP($AH121,Programma!$F$3:$K$1101,6,0),"")</f>
        <v>5w</v>
      </c>
      <c r="AN121" s="185" t="str">
        <f>_xlfn.IFNA(VLOOKUP($AH121,Programma!$F$3:$L$1101,7,0),"")</f>
        <v>_</v>
      </c>
      <c r="AO121" s="185" t="str">
        <f>_xlfn.IFNA(VLOOKUP($AH121,Programma!$F$3:$M$1101,8,0),"")</f>
        <v>_</v>
      </c>
      <c r="AP121" s="185" t="str">
        <f>_xlfn.IFNA(VLOOKUP($AH121,Programma!$F$3:$N$1101,9,0),"")</f>
        <v>_</v>
      </c>
      <c r="AQ121" s="185" t="str">
        <f>_xlfn.IFNA(VLOOKUP($AH121,Programma!$F$3:$O$1101,10,0),"")</f>
        <v>5w</v>
      </c>
      <c r="AR121" s="185" t="str">
        <f>_xlfn.IFNA(VLOOKUP($AH121,Programma!$F$3:$P$1101,11,0),"")</f>
        <v>5w</v>
      </c>
      <c r="AS121" s="185" t="str">
        <f>_xlfn.IFNA(VLOOKUP($AH121,Programma!$F$3:$Q$1101,12,0),"")</f>
        <v>1w</v>
      </c>
      <c r="AT121" s="185" t="str">
        <f>_xlfn.IFNA(VLOOKUP($AH121,Programma!$F$3:$R$1101,13,0),"")</f>
        <v>1w</v>
      </c>
      <c r="AU121" s="185" t="str">
        <f>_xlfn.IFNA(VLOOKUP($AH121,Programma!$F$3:$S$1101,14,0),"")</f>
        <v>1m</v>
      </c>
      <c r="AV121" s="185" t="str">
        <f>_xlfn.IFNA(VLOOKUP($AH121,Programma!$F$3:$T$1101,15,0),"")</f>
        <v>2j</v>
      </c>
      <c r="AW121" s="185" t="str">
        <f>_xlfn.IFNA(VLOOKUP($AH121,Programma!$F$3:$U$1101,16,0),"")</f>
        <v>1j</v>
      </c>
      <c r="AX121" s="185" t="str">
        <f>_xlfn.IFNA(VLOOKUP($AH121,Programma!$F$3:$V$1101,17,0),"")</f>
        <v>_</v>
      </c>
      <c r="AY121" s="185" t="str">
        <f>_xlfn.IFNA(VLOOKUP($AH121,Programma!$F$3:$W$1101,18,0),"")</f>
        <v>_</v>
      </c>
      <c r="AZ121" s="185" t="str">
        <f>_xlfn.IFNA(VLOOKUP($AH121,Programma!$F$3:$X$1101,19,0),"")</f>
        <v>_</v>
      </c>
      <c r="BA121" s="185" t="str">
        <f>_xlfn.IFNA(VLOOKUP($AH121,Programma!$F$3:$Y$1101,20,0),"")</f>
        <v>_</v>
      </c>
      <c r="BB121" s="182"/>
      <c r="BC121" s="181" t="str">
        <f>IF(Ruimtestaat[[#This Row],[Frequentie weekend]]="","",_xlfn.CONCAT(Ruimtestaat[[#This Row],[Ruimte code]],"-",Ruimtestaat[[#This Row],[Frequentie weekend]]," ",Ruimtestaat[[#This Row],[Vloer code]]))</f>
        <v/>
      </c>
      <c r="BD121" s="185" t="str">
        <f>_xlfn.IFNA(VLOOKUP($BC121,Programma!$F$3:$G$1101,2,0),"")</f>
        <v/>
      </c>
      <c r="BE121" s="185" t="str">
        <f>_xlfn.IFNA(VLOOKUP($BC121,Programma!$F$3:$H$1101,3,0),"")</f>
        <v/>
      </c>
      <c r="BF121" s="185" t="str">
        <f>_xlfn.IFNA(VLOOKUP($BC121,Programma!$F$3:$I$1101,4,0),"")</f>
        <v/>
      </c>
      <c r="BG121" s="185" t="str">
        <f>_xlfn.IFNA(VLOOKUP($BC121,Programma!$F$3:$J$1101,5,0),"")</f>
        <v/>
      </c>
      <c r="BH121" s="185" t="str">
        <f>_xlfn.IFNA(VLOOKUP($BC121,Programma!$F$3:$K$1101,6,0),"")</f>
        <v/>
      </c>
      <c r="BI121" s="185" t="str">
        <f>_xlfn.IFNA(VLOOKUP($BC121,Programma!$F$3:$L$1101,7,0),"")</f>
        <v/>
      </c>
      <c r="BJ121" s="185" t="str">
        <f>_xlfn.IFNA(VLOOKUP($BC121,Programma!$F$3:$M$1101,8,0),"")</f>
        <v/>
      </c>
      <c r="BK121" s="185" t="str">
        <f>_xlfn.IFNA(VLOOKUP($BC121,Programma!$F$3:$N$1101,9,0),"")</f>
        <v/>
      </c>
      <c r="BL121" s="185" t="str">
        <f>_xlfn.IFNA(VLOOKUP($BC121,Programma!$F$3:$O$1101,10,0),"")</f>
        <v/>
      </c>
      <c r="BM121" s="185" t="str">
        <f>_xlfn.IFNA(VLOOKUP($BC121,Programma!$F$3:$P$1101,11,0),"")</f>
        <v/>
      </c>
      <c r="BN121" s="185" t="str">
        <f>_xlfn.IFNA(VLOOKUP($BC121,Programma!$F$3:$Q$1101,12,0),"")</f>
        <v/>
      </c>
      <c r="BO121" s="185" t="str">
        <f>_xlfn.IFNA(VLOOKUP($BC121,Programma!$F$3:$R$1101,13,0),"")</f>
        <v/>
      </c>
      <c r="BP121" s="185" t="str">
        <f>_xlfn.IFNA(VLOOKUP($BC121,Programma!$F$3:$S$1101,14,0),"")</f>
        <v/>
      </c>
      <c r="BQ121" s="185" t="str">
        <f>_xlfn.IFNA(VLOOKUP($BC121,Programma!$F$3:$T$1101,15,0),"")</f>
        <v/>
      </c>
      <c r="BR121" s="185" t="str">
        <f>_xlfn.IFNA(VLOOKUP($BC121,Programma!$F$3:$U$1101,16,0),"")</f>
        <v/>
      </c>
      <c r="BS121" s="185" t="str">
        <f>_xlfn.IFNA(VLOOKUP($BC121,Programma!$F$3:$V$1101,17,0),"")</f>
        <v/>
      </c>
      <c r="BT121" s="185" t="str">
        <f>_xlfn.IFNA(VLOOKUP($BC121,Programma!$F$3:$W$1101,18,0),"")</f>
        <v/>
      </c>
      <c r="BU121" s="185" t="str">
        <f>_xlfn.IFNA(VLOOKUP($BC121,Programma!$F$3:$X$1101,19,0),"")</f>
        <v/>
      </c>
      <c r="BV121" s="185" t="str">
        <f>_xlfn.IFNA(VLOOKUP($BC121,Programma!$F$3:$Y$1101,20,0),"")</f>
        <v/>
      </c>
      <c r="BW121" s="78"/>
      <c r="BX121" s="78"/>
      <c r="BY121" s="78"/>
      <c r="BZ121" s="78"/>
      <c r="CA121" s="78"/>
      <c r="CB121" s="78"/>
      <c r="CC121" s="78"/>
      <c r="CD121" s="78"/>
      <c r="CE121" s="78"/>
      <c r="CF121" s="78"/>
      <c r="CG121" s="78"/>
      <c r="CH121" s="78"/>
      <c r="CI121" s="78"/>
      <c r="CJ121" s="78"/>
      <c r="CK121" s="78"/>
      <c r="CL121" s="78"/>
      <c r="CM121" s="78"/>
      <c r="CN121" s="78"/>
      <c r="CO121" s="78"/>
      <c r="CP121" s="78"/>
      <c r="CQ121" s="78"/>
      <c r="CR121" s="78"/>
      <c r="CS121" s="78"/>
      <c r="CT121" s="78"/>
      <c r="CU121" s="78"/>
      <c r="CV121" s="78"/>
      <c r="CW121" s="78"/>
      <c r="CX121" s="78"/>
      <c r="CY121" s="78"/>
      <c r="CZ121" s="78"/>
      <c r="DA121" s="78"/>
      <c r="DB121" s="78"/>
      <c r="DC121" s="78"/>
      <c r="DD121" s="78"/>
      <c r="DE121" s="78"/>
      <c r="DF121" s="78"/>
      <c r="DG121" s="78"/>
      <c r="DH121" s="78"/>
      <c r="DI121" s="78"/>
      <c r="DJ121" s="78"/>
      <c r="DK121" s="78"/>
      <c r="DL121" s="78"/>
      <c r="DM121" s="78"/>
      <c r="DN121" s="78"/>
      <c r="DO121" s="78"/>
      <c r="DP121" s="78"/>
      <c r="DQ121" s="78"/>
      <c r="DR121" s="78"/>
      <c r="DS121" s="78"/>
      <c r="DT121" s="78"/>
      <c r="DU121" s="78"/>
      <c r="DV121" s="78"/>
      <c r="DW121" s="78"/>
      <c r="DX121" s="78"/>
      <c r="DY121" s="78"/>
      <c r="DZ121" s="78"/>
      <c r="EA121" s="78"/>
      <c r="EB121" s="78"/>
      <c r="EC121" s="78"/>
      <c r="ED121" s="78"/>
      <c r="EE121" s="78"/>
      <c r="EF121" s="78"/>
      <c r="EG121" s="78"/>
      <c r="EH121" s="78"/>
      <c r="EI121" s="78"/>
      <c r="EJ121" s="78"/>
      <c r="EK121" s="78"/>
      <c r="EL121" s="78"/>
      <c r="EM121" s="78"/>
      <c r="EN121" s="78"/>
      <c r="EO121" s="78"/>
      <c r="EP121" s="78"/>
      <c r="EQ121" s="78"/>
      <c r="ER121" s="78"/>
      <c r="ES121" s="78"/>
      <c r="ET121" s="78"/>
      <c r="EU121" s="78"/>
      <c r="EV121" s="78"/>
      <c r="EW121" s="78"/>
      <c r="EX121" s="78"/>
      <c r="EY121" s="78"/>
      <c r="EZ121" s="78"/>
      <c r="FA121" s="78"/>
      <c r="FB121" s="78"/>
      <c r="FC121" s="78"/>
      <c r="FD121" s="78"/>
      <c r="FE121" s="78"/>
      <c r="FF121" s="78"/>
      <c r="FG121" s="78"/>
      <c r="FH121" s="78"/>
      <c r="FI121" s="78"/>
      <c r="FJ121" s="78"/>
      <c r="FK121" s="78"/>
      <c r="FL121" s="78"/>
      <c r="FM121" s="78"/>
      <c r="FN121" s="78"/>
      <c r="FO121" s="78"/>
      <c r="FP121" s="78"/>
      <c r="FQ121" s="78"/>
      <c r="FR121" s="78"/>
      <c r="FS121" s="78"/>
      <c r="FT121" s="78"/>
      <c r="FU121" s="78"/>
      <c r="FV121" s="78"/>
      <c r="FW121" s="78"/>
      <c r="FX121" s="78"/>
      <c r="FY121" s="78"/>
      <c r="FZ121" s="78"/>
      <c r="GA121" s="78"/>
      <c r="GB121" s="78"/>
      <c r="GC121" s="78"/>
      <c r="GD121" s="78"/>
      <c r="GE121" s="78"/>
      <c r="GF121" s="78"/>
      <c r="GG121" s="78"/>
      <c r="GH121" s="78"/>
      <c r="GI121" s="78"/>
      <c r="GJ121" s="78"/>
      <c r="GK121" s="78"/>
      <c r="GL121" s="78"/>
      <c r="GM121" s="78"/>
      <c r="GN121" s="78"/>
      <c r="GO121" s="78"/>
      <c r="GP121" s="78"/>
      <c r="GQ121" s="78"/>
      <c r="GR121" s="78"/>
      <c r="GS121" s="78"/>
      <c r="GT121" s="78"/>
      <c r="GU121" s="78"/>
      <c r="GV121" s="78"/>
      <c r="GW121" s="78"/>
      <c r="GX121" s="78"/>
      <c r="GY121" s="78"/>
      <c r="GZ121" s="78"/>
      <c r="HA121" s="78"/>
      <c r="HB121" s="78"/>
      <c r="HC121" s="78"/>
      <c r="HD121" s="78"/>
      <c r="HE121" s="78"/>
      <c r="HF121" s="78"/>
      <c r="HG121" s="78"/>
      <c r="HH121" s="78"/>
      <c r="HI121" s="78"/>
      <c r="HJ121" s="78"/>
      <c r="HK121" s="78"/>
    </row>
    <row r="122" spans="1:219" ht="15" customHeight="1">
      <c r="A122" s="149">
        <v>4</v>
      </c>
      <c r="B122" s="176" t="str">
        <f>VLOOKUP(Ruimtestaat[[#This Row],[Code]],Locaties[[Code]:[Locatie]],2,FALSE)</f>
        <v>OBS De Sterrenborgh</v>
      </c>
      <c r="C122" s="176" t="str">
        <f>VLOOKUP(Ruimtestaat[[#This Row],[Code]],Locaties[[#All],[Code]:[Adres]],4,FALSE)</f>
        <v>Runenberghoek 5</v>
      </c>
      <c r="D122" s="176" t="str">
        <f>VLOOKUP(Ruimtestaat[[#This Row],[Code]],Locaties[[#All],[Code]:[Postcode]],5,FALSE)</f>
        <v>7546 EG</v>
      </c>
      <c r="E122" s="176" t="str">
        <f>VLOOKUP(Ruimtestaat[[#This Row],[Code]],Locaties[#All],6,FALSE)</f>
        <v>Enschede</v>
      </c>
      <c r="F122" s="149"/>
      <c r="G122" s="149" t="s">
        <v>1714</v>
      </c>
      <c r="H122" s="300" t="s">
        <v>1738</v>
      </c>
      <c r="I122" s="301" t="s">
        <v>1651</v>
      </c>
      <c r="J122" s="99">
        <v>16</v>
      </c>
      <c r="K122" s="183" t="str">
        <f>VLOOKUP(Ruimtestaat[[#This Row],[Ruimte code]],Ruimtegroepen[[#All],[Code]:[Ruimte omschrijving]],2,FALSE)</f>
        <v>Leslokalen</v>
      </c>
      <c r="L122" s="149" t="s">
        <v>100</v>
      </c>
      <c r="M122" s="301" t="s">
        <v>1697</v>
      </c>
      <c r="N122" s="177">
        <v>62.1</v>
      </c>
      <c r="O122" s="177"/>
      <c r="P122" s="178" t="str">
        <f>VLOOKUP(Ruimtestaat[[#This Row],[Ruimte code]],Ruimtegroepen[],4,FALSE)</f>
        <v>Le</v>
      </c>
      <c r="Q122" s="149">
        <v>40</v>
      </c>
      <c r="R122" s="149" t="s">
        <v>2</v>
      </c>
      <c r="S122" s="149">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2" s="149">
        <f>IF(S122&gt;0,VLOOKUP($J122,Ruimtegroepen[],3,FALSE)*VLOOKUP($L122,Vloersoorten[],3,FALSE)*VLOOKUP($R122,Frequenties[],3,FALSE)*VLOOKUP($A122,Locaties[],3,FALSE),0)</f>
        <v>0</v>
      </c>
      <c r="U122" s="149">
        <f>Ruimtestaat[[#This Row],[Uitvoeringen werkdagen]]*Ruimtestaat[[#This Row],[Oppervlak (netto)]]</f>
        <v>12420</v>
      </c>
      <c r="V122" s="179">
        <f>IF(T122&gt;0,Ruimtestaat[[#This Row],[Prest. (m2 /jaar) werkdagen]]/Ruimtestaat[[#This Row],[Norm (m2/uur) werkdagen]],0)</f>
        <v>0</v>
      </c>
      <c r="W122" s="180">
        <f>Ruimtestaat[[#This Row],[uren / jaar werkdagen]]*Tariefsopbouw!$E$35</f>
        <v>0</v>
      </c>
      <c r="X122" s="149"/>
      <c r="Y122" s="149">
        <f>IF(Ruimtestaat[[#This Row],[Frequentie weekend]]&gt;0,VALUE(LEFT(X122,1))*Q122,0)</f>
        <v>0</v>
      </c>
      <c r="Z122" s="148">
        <f>IF($Y122&gt;0,VLOOKUP($J122,Ruimtegroepen[],3,FALSE)*VLOOKUP($L122,Vloersoorten[],3,FALSE)*VLOOKUP($X122,Frequenties[],3,FALSE)*VLOOKUP(Ruimtestaat[[#This Row],[Code]],Locaties[],3,FALSE),0)</f>
        <v>0</v>
      </c>
      <c r="AA122" s="148">
        <f>Ruimtestaat[[#This Row],[Uitvoeringen weekend]]*Ruimtestaat[[#This Row],[Oppervlak (netto)]]</f>
        <v>0</v>
      </c>
      <c r="AB122" s="148">
        <f>IF(Z122&gt;0,Ruimtestaat[[#This Row],[Prest. (m2 /jaar) weekend]]/Ruimtestaat[[#This Row],[Norm (m2/uur) weekend]],0)</f>
        <v>0</v>
      </c>
      <c r="AC122" s="180">
        <f>Ruimtestaat[[#This Row],[uren / jaar weekend]]*Tariefsopbouw!$D$40</f>
        <v>0</v>
      </c>
      <c r="AD122" s="179">
        <f>Ruimtestaat[[#This Row],[Prest. (m2 /jaar) weekend]]+Ruimtestaat[[#This Row],[Prest. (m2 /jaar) werkdagen]]</f>
        <v>12420</v>
      </c>
      <c r="AE122" s="179">
        <f>Ruimtestaat[[#This Row],[uren / jaar weekend]]+Ruimtestaat[[#This Row],[uren / jaar werkdagen]]</f>
        <v>0</v>
      </c>
      <c r="AF122" s="174">
        <f>Ruimtestaat[[#This Row],[kosten / jaar weekend]]+Ruimtestaat[[#This Row],[kosten / jaar werkdagen]]</f>
        <v>0</v>
      </c>
      <c r="AG122" s="174"/>
      <c r="AH122" s="181" t="str">
        <f>IF(Ruimtestaat[[#This Row],[Frequentie werkdagen]]="","",_xlfn.CONCAT(Ruimtestaat[[#This Row],[Ruimte code]],"-",Ruimtestaat[[#This Row],[Frequentie werkdagen]]," ",Ruimtestaat[[#This Row],[Vloer code]]))</f>
        <v>16-5w L</v>
      </c>
      <c r="AI122" s="185" t="str">
        <f>_xlfn.IFNA(VLOOKUP($AH122,Programma!$F$3:$G$1101,2,0),"")</f>
        <v>_</v>
      </c>
      <c r="AJ122" s="185" t="str">
        <f>_xlfn.IFNA(VLOOKUP($AH122,Programma!$F$3:$H$1101,3,0),"")</f>
        <v>_</v>
      </c>
      <c r="AK122" s="185" t="str">
        <f>_xlfn.IFNA(VLOOKUP($AH122,Programma!$F$3:$I$1101,4,0),"")</f>
        <v>4w</v>
      </c>
      <c r="AL122" s="185" t="str">
        <f>_xlfn.IFNA(VLOOKUP($AH122,Programma!$F$3:$J$1101,5,0),"")</f>
        <v>1w</v>
      </c>
      <c r="AM122" s="185" t="str">
        <f>_xlfn.IFNA(VLOOKUP($AH122,Programma!$F$3:$K$1101,6,0),"")</f>
        <v>_</v>
      </c>
      <c r="AN122" s="185" t="str">
        <f>_xlfn.IFNA(VLOOKUP($AH122,Programma!$F$3:$L$1101,7,0),"")</f>
        <v>_</v>
      </c>
      <c r="AO122" s="185" t="str">
        <f>_xlfn.IFNA(VLOOKUP($AH122,Programma!$F$3:$M$1101,8,0),"")</f>
        <v>_</v>
      </c>
      <c r="AP122" s="185" t="str">
        <f>_xlfn.IFNA(VLOOKUP($AH122,Programma!$F$3:$N$1101,9,0),"")</f>
        <v>_</v>
      </c>
      <c r="AQ122" s="185" t="str">
        <f>_xlfn.IFNA(VLOOKUP($AH122,Programma!$F$3:$O$1101,10,0),"")</f>
        <v>5w</v>
      </c>
      <c r="AR122" s="185" t="str">
        <f>_xlfn.IFNA(VLOOKUP($AH122,Programma!$F$3:$P$1101,11,0),"")</f>
        <v>5w</v>
      </c>
      <c r="AS122" s="185" t="str">
        <f>_xlfn.IFNA(VLOOKUP($AH122,Programma!$F$3:$Q$1101,12,0),"")</f>
        <v>1w</v>
      </c>
      <c r="AT122" s="185" t="str">
        <f>_xlfn.IFNA(VLOOKUP($AH122,Programma!$F$3:$R$1101,13,0),"")</f>
        <v>1w</v>
      </c>
      <c r="AU122" s="185" t="str">
        <f>_xlfn.IFNA(VLOOKUP($AH122,Programma!$F$3:$S$1101,14,0),"")</f>
        <v>1m</v>
      </c>
      <c r="AV122" s="185" t="str">
        <f>_xlfn.IFNA(VLOOKUP($AH122,Programma!$F$3:$T$1101,15,0),"")</f>
        <v>2j</v>
      </c>
      <c r="AW122" s="185" t="str">
        <f>_xlfn.IFNA(VLOOKUP($AH122,Programma!$F$3:$U$1101,16,0),"")</f>
        <v>1j</v>
      </c>
      <c r="AX122" s="185" t="str">
        <f>_xlfn.IFNA(VLOOKUP($AH122,Programma!$F$3:$V$1101,17,0),"")</f>
        <v>_</v>
      </c>
      <c r="AY122" s="185" t="str">
        <f>_xlfn.IFNA(VLOOKUP($AH122,Programma!$F$3:$W$1101,18,0),"")</f>
        <v>_</v>
      </c>
      <c r="AZ122" s="185" t="str">
        <f>_xlfn.IFNA(VLOOKUP($AH122,Programma!$F$3:$X$1101,19,0),"")</f>
        <v>_</v>
      </c>
      <c r="BA122" s="185" t="str">
        <f>_xlfn.IFNA(VLOOKUP($AH122,Programma!$F$3:$Y$1101,20,0),"")</f>
        <v>_</v>
      </c>
      <c r="BB122" s="182"/>
      <c r="BC122" s="181" t="str">
        <f>IF(Ruimtestaat[[#This Row],[Frequentie weekend]]="","",_xlfn.CONCAT(Ruimtestaat[[#This Row],[Ruimte code]],"-",Ruimtestaat[[#This Row],[Frequentie weekend]]," ",Ruimtestaat[[#This Row],[Vloer code]]))</f>
        <v/>
      </c>
      <c r="BD122" s="185" t="str">
        <f>_xlfn.IFNA(VLOOKUP($BC122,Programma!$F$3:$G$1101,2,0),"")</f>
        <v/>
      </c>
      <c r="BE122" s="185" t="str">
        <f>_xlfn.IFNA(VLOOKUP($BC122,Programma!$F$3:$H$1101,3,0),"")</f>
        <v/>
      </c>
      <c r="BF122" s="185" t="str">
        <f>_xlfn.IFNA(VLOOKUP($BC122,Programma!$F$3:$I$1101,4,0),"")</f>
        <v/>
      </c>
      <c r="BG122" s="185" t="str">
        <f>_xlfn.IFNA(VLOOKUP($BC122,Programma!$F$3:$J$1101,5,0),"")</f>
        <v/>
      </c>
      <c r="BH122" s="185" t="str">
        <f>_xlfn.IFNA(VLOOKUP($BC122,Programma!$F$3:$K$1101,6,0),"")</f>
        <v/>
      </c>
      <c r="BI122" s="185" t="str">
        <f>_xlfn.IFNA(VLOOKUP($BC122,Programma!$F$3:$L$1101,7,0),"")</f>
        <v/>
      </c>
      <c r="BJ122" s="185" t="str">
        <f>_xlfn.IFNA(VLOOKUP($BC122,Programma!$F$3:$M$1101,8,0),"")</f>
        <v/>
      </c>
      <c r="BK122" s="185" t="str">
        <f>_xlfn.IFNA(VLOOKUP($BC122,Programma!$F$3:$N$1101,9,0),"")</f>
        <v/>
      </c>
      <c r="BL122" s="185" t="str">
        <f>_xlfn.IFNA(VLOOKUP($BC122,Programma!$F$3:$O$1101,10,0),"")</f>
        <v/>
      </c>
      <c r="BM122" s="185" t="str">
        <f>_xlfn.IFNA(VLOOKUP($BC122,Programma!$F$3:$P$1101,11,0),"")</f>
        <v/>
      </c>
      <c r="BN122" s="185" t="str">
        <f>_xlfn.IFNA(VLOOKUP($BC122,Programma!$F$3:$Q$1101,12,0),"")</f>
        <v/>
      </c>
      <c r="BO122" s="185" t="str">
        <f>_xlfn.IFNA(VLOOKUP($BC122,Programma!$F$3:$R$1101,13,0),"")</f>
        <v/>
      </c>
      <c r="BP122" s="185" t="str">
        <f>_xlfn.IFNA(VLOOKUP($BC122,Programma!$F$3:$S$1101,14,0),"")</f>
        <v/>
      </c>
      <c r="BQ122" s="185" t="str">
        <f>_xlfn.IFNA(VLOOKUP($BC122,Programma!$F$3:$T$1101,15,0),"")</f>
        <v/>
      </c>
      <c r="BR122" s="185" t="str">
        <f>_xlfn.IFNA(VLOOKUP($BC122,Programma!$F$3:$U$1101,16,0),"")</f>
        <v/>
      </c>
      <c r="BS122" s="185" t="str">
        <f>_xlfn.IFNA(VLOOKUP($BC122,Programma!$F$3:$V$1101,17,0),"")</f>
        <v/>
      </c>
      <c r="BT122" s="185" t="str">
        <f>_xlfn.IFNA(VLOOKUP($BC122,Programma!$F$3:$W$1101,18,0),"")</f>
        <v/>
      </c>
      <c r="BU122" s="185" t="str">
        <f>_xlfn.IFNA(VLOOKUP($BC122,Programma!$F$3:$X$1101,19,0),"")</f>
        <v/>
      </c>
      <c r="BV122" s="185" t="str">
        <f>_xlfn.IFNA(VLOOKUP($BC122,Programma!$F$3:$Y$1101,20,0),"")</f>
        <v/>
      </c>
      <c r="BW122" s="78"/>
      <c r="BX122" s="78"/>
      <c r="BY122" s="78"/>
      <c r="BZ122" s="78"/>
      <c r="CA122" s="78"/>
      <c r="CB122" s="78"/>
      <c r="CC122" s="78"/>
      <c r="CD122" s="78"/>
      <c r="CE122" s="78"/>
      <c r="CF122" s="78"/>
      <c r="CG122" s="78"/>
      <c r="CH122" s="78"/>
      <c r="CI122" s="78"/>
      <c r="CJ122" s="78"/>
      <c r="CK122" s="78"/>
      <c r="CL122" s="78"/>
      <c r="CM122" s="78"/>
      <c r="CN122" s="78"/>
      <c r="CO122" s="78"/>
      <c r="CP122" s="78"/>
      <c r="CQ122" s="78"/>
      <c r="CR122" s="78"/>
      <c r="CS122" s="78"/>
      <c r="CT122" s="78"/>
      <c r="CU122" s="78"/>
      <c r="CV122" s="78"/>
      <c r="CW122" s="78"/>
      <c r="CX122" s="78"/>
      <c r="CY122" s="78"/>
      <c r="CZ122" s="78"/>
      <c r="DA122" s="78"/>
      <c r="DB122" s="78"/>
      <c r="DC122" s="78"/>
      <c r="DD122" s="78"/>
      <c r="DE122" s="78"/>
      <c r="DF122" s="78"/>
      <c r="DG122" s="78"/>
      <c r="DH122" s="78"/>
      <c r="DI122" s="78"/>
      <c r="DJ122" s="78"/>
      <c r="DK122" s="78"/>
      <c r="DL122" s="78"/>
      <c r="DM122" s="78"/>
      <c r="DN122" s="78"/>
      <c r="DO122" s="78"/>
      <c r="DP122" s="78"/>
      <c r="DQ122" s="78"/>
      <c r="DR122" s="78"/>
      <c r="DS122" s="78"/>
      <c r="DT122" s="78"/>
      <c r="DU122" s="78"/>
      <c r="DV122" s="78"/>
      <c r="DW122" s="78"/>
      <c r="DX122" s="78"/>
      <c r="DY122" s="78"/>
      <c r="DZ122" s="78"/>
      <c r="EA122" s="78"/>
      <c r="EB122" s="78"/>
      <c r="EC122" s="78"/>
      <c r="ED122" s="78"/>
      <c r="EE122" s="78"/>
      <c r="EF122" s="78"/>
      <c r="EG122" s="78"/>
      <c r="EH122" s="78"/>
      <c r="EI122" s="78"/>
      <c r="EJ122" s="78"/>
      <c r="EK122" s="78"/>
      <c r="EL122" s="78"/>
      <c r="EM122" s="78"/>
      <c r="EN122" s="78"/>
      <c r="EO122" s="78"/>
      <c r="EP122" s="78"/>
      <c r="EQ122" s="78"/>
      <c r="ER122" s="78"/>
      <c r="ES122" s="78"/>
      <c r="ET122" s="78"/>
      <c r="EU122" s="78"/>
      <c r="EV122" s="78"/>
      <c r="EW122" s="78"/>
      <c r="EX122" s="78"/>
      <c r="EY122" s="78"/>
      <c r="EZ122" s="78"/>
      <c r="FA122" s="78"/>
      <c r="FB122" s="78"/>
      <c r="FC122" s="78"/>
      <c r="FD122" s="78"/>
      <c r="FE122" s="78"/>
      <c r="FF122" s="78"/>
      <c r="FG122" s="78"/>
      <c r="FH122" s="78"/>
      <c r="FI122" s="78"/>
      <c r="FJ122" s="78"/>
      <c r="FK122" s="78"/>
      <c r="FL122" s="78"/>
      <c r="FM122" s="78"/>
      <c r="FN122" s="78"/>
      <c r="FO122" s="78"/>
      <c r="FP122" s="78"/>
      <c r="FQ122" s="78"/>
      <c r="FR122" s="78"/>
      <c r="FS122" s="78"/>
      <c r="FT122" s="78"/>
      <c r="FU122" s="78"/>
      <c r="FV122" s="78"/>
      <c r="FW122" s="78"/>
      <c r="FX122" s="78"/>
      <c r="FY122" s="78"/>
      <c r="FZ122" s="78"/>
      <c r="GA122" s="78"/>
      <c r="GB122" s="78"/>
      <c r="GC122" s="78"/>
      <c r="GD122" s="78"/>
      <c r="GE122" s="78"/>
      <c r="GF122" s="78"/>
      <c r="GG122" s="78"/>
      <c r="GH122" s="78"/>
      <c r="GI122" s="78"/>
      <c r="GJ122" s="78"/>
      <c r="GK122" s="78"/>
      <c r="GL122" s="78"/>
      <c r="GM122" s="78"/>
      <c r="GN122" s="78"/>
      <c r="GO122" s="78"/>
      <c r="GP122" s="78"/>
      <c r="GQ122" s="78"/>
      <c r="GR122" s="78"/>
      <c r="GS122" s="78"/>
      <c r="GT122" s="78"/>
      <c r="GU122" s="78"/>
      <c r="GV122" s="78"/>
      <c r="GW122" s="78"/>
      <c r="GX122" s="78"/>
      <c r="GY122" s="78"/>
      <c r="GZ122" s="78"/>
      <c r="HA122" s="78"/>
      <c r="HB122" s="78"/>
      <c r="HC122" s="78"/>
      <c r="HD122" s="78"/>
      <c r="HE122" s="78"/>
      <c r="HF122" s="78"/>
      <c r="HG122" s="78"/>
      <c r="HH122" s="78"/>
      <c r="HI122" s="78"/>
      <c r="HJ122" s="78"/>
      <c r="HK122" s="78"/>
    </row>
    <row r="123" spans="1:219" ht="15" customHeight="1">
      <c r="A123" s="149">
        <v>4</v>
      </c>
      <c r="B123" s="176" t="str">
        <f>VLOOKUP(Ruimtestaat[[#This Row],[Code]],Locaties[[Code]:[Locatie]],2,FALSE)</f>
        <v>OBS De Sterrenborgh</v>
      </c>
      <c r="C123" s="176" t="str">
        <f>VLOOKUP(Ruimtestaat[[#This Row],[Code]],Locaties[[#All],[Code]:[Adres]],4,FALSE)</f>
        <v>Runenberghoek 5</v>
      </c>
      <c r="D123" s="176" t="str">
        <f>VLOOKUP(Ruimtestaat[[#This Row],[Code]],Locaties[[#All],[Code]:[Postcode]],5,FALSE)</f>
        <v>7546 EG</v>
      </c>
      <c r="E123" s="176" t="str">
        <f>VLOOKUP(Ruimtestaat[[#This Row],[Code]],Locaties[#All],6,FALSE)</f>
        <v>Enschede</v>
      </c>
      <c r="F123" s="149"/>
      <c r="G123" s="149" t="s">
        <v>1714</v>
      </c>
      <c r="H123" s="300" t="s">
        <v>1739</v>
      </c>
      <c r="I123" s="301" t="s">
        <v>1651</v>
      </c>
      <c r="J123" s="99">
        <v>16</v>
      </c>
      <c r="K123" s="183" t="str">
        <f>VLOOKUP(Ruimtestaat[[#This Row],[Ruimte code]],Ruimtegroepen[[#All],[Code]:[Ruimte omschrijving]],2,FALSE)</f>
        <v>Leslokalen</v>
      </c>
      <c r="L123" s="149" t="s">
        <v>100</v>
      </c>
      <c r="M123" s="301" t="s">
        <v>1697</v>
      </c>
      <c r="N123" s="177">
        <v>58.3</v>
      </c>
      <c r="O123" s="177"/>
      <c r="P123" s="178" t="str">
        <f>VLOOKUP(Ruimtestaat[[#This Row],[Ruimte code]],Ruimtegroepen[],4,FALSE)</f>
        <v>Le</v>
      </c>
      <c r="Q123" s="149">
        <v>40</v>
      </c>
      <c r="R123" s="149" t="s">
        <v>2</v>
      </c>
      <c r="S123" s="149">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3" s="149">
        <f>IF(S123&gt;0,VLOOKUP($J123,Ruimtegroepen[],3,FALSE)*VLOOKUP($L123,Vloersoorten[],3,FALSE)*VLOOKUP($R123,Frequenties[],3,FALSE)*VLOOKUP($A123,Locaties[],3,FALSE),0)</f>
        <v>0</v>
      </c>
      <c r="U123" s="149">
        <f>Ruimtestaat[[#This Row],[Uitvoeringen werkdagen]]*Ruimtestaat[[#This Row],[Oppervlak (netto)]]</f>
        <v>11660</v>
      </c>
      <c r="V123" s="179">
        <f>IF(T123&gt;0,Ruimtestaat[[#This Row],[Prest. (m2 /jaar) werkdagen]]/Ruimtestaat[[#This Row],[Norm (m2/uur) werkdagen]],0)</f>
        <v>0</v>
      </c>
      <c r="W123" s="180">
        <f>Ruimtestaat[[#This Row],[uren / jaar werkdagen]]*Tariefsopbouw!$E$35</f>
        <v>0</v>
      </c>
      <c r="X123" s="149"/>
      <c r="Y123" s="149">
        <f>IF(Ruimtestaat[[#This Row],[Frequentie weekend]]&gt;0,VALUE(LEFT(X123,1))*Q123,0)</f>
        <v>0</v>
      </c>
      <c r="Z123" s="148">
        <f>IF($Y123&gt;0,VLOOKUP($J123,Ruimtegroepen[],3,FALSE)*VLOOKUP($L123,Vloersoorten[],3,FALSE)*VLOOKUP($X123,Frequenties[],3,FALSE)*VLOOKUP(Ruimtestaat[[#This Row],[Code]],Locaties[],3,FALSE),0)</f>
        <v>0</v>
      </c>
      <c r="AA123" s="148">
        <f>Ruimtestaat[[#This Row],[Uitvoeringen weekend]]*Ruimtestaat[[#This Row],[Oppervlak (netto)]]</f>
        <v>0</v>
      </c>
      <c r="AB123" s="148">
        <f>IF(Z123&gt;0,Ruimtestaat[[#This Row],[Prest. (m2 /jaar) weekend]]/Ruimtestaat[[#This Row],[Norm (m2/uur) weekend]],0)</f>
        <v>0</v>
      </c>
      <c r="AC123" s="180">
        <f>Ruimtestaat[[#This Row],[uren / jaar weekend]]*Tariefsopbouw!$D$40</f>
        <v>0</v>
      </c>
      <c r="AD123" s="179">
        <f>Ruimtestaat[[#This Row],[Prest. (m2 /jaar) weekend]]+Ruimtestaat[[#This Row],[Prest. (m2 /jaar) werkdagen]]</f>
        <v>11660</v>
      </c>
      <c r="AE123" s="179">
        <f>Ruimtestaat[[#This Row],[uren / jaar weekend]]+Ruimtestaat[[#This Row],[uren / jaar werkdagen]]</f>
        <v>0</v>
      </c>
      <c r="AF123" s="174">
        <f>Ruimtestaat[[#This Row],[kosten / jaar weekend]]+Ruimtestaat[[#This Row],[kosten / jaar werkdagen]]</f>
        <v>0</v>
      </c>
      <c r="AG123" s="174"/>
      <c r="AH123" s="181" t="str">
        <f>IF(Ruimtestaat[[#This Row],[Frequentie werkdagen]]="","",_xlfn.CONCAT(Ruimtestaat[[#This Row],[Ruimte code]],"-",Ruimtestaat[[#This Row],[Frequentie werkdagen]]," ",Ruimtestaat[[#This Row],[Vloer code]]))</f>
        <v>16-5w L</v>
      </c>
      <c r="AI123" s="185" t="str">
        <f>_xlfn.IFNA(VLOOKUP($AH123,Programma!$F$3:$G$1101,2,0),"")</f>
        <v>_</v>
      </c>
      <c r="AJ123" s="185" t="str">
        <f>_xlfn.IFNA(VLOOKUP($AH123,Programma!$F$3:$H$1101,3,0),"")</f>
        <v>_</v>
      </c>
      <c r="AK123" s="185" t="str">
        <f>_xlfn.IFNA(VLOOKUP($AH123,Programma!$F$3:$I$1101,4,0),"")</f>
        <v>4w</v>
      </c>
      <c r="AL123" s="185" t="str">
        <f>_xlfn.IFNA(VLOOKUP($AH123,Programma!$F$3:$J$1101,5,0),"")</f>
        <v>1w</v>
      </c>
      <c r="AM123" s="185" t="str">
        <f>_xlfn.IFNA(VLOOKUP($AH123,Programma!$F$3:$K$1101,6,0),"")</f>
        <v>_</v>
      </c>
      <c r="AN123" s="185" t="str">
        <f>_xlfn.IFNA(VLOOKUP($AH123,Programma!$F$3:$L$1101,7,0),"")</f>
        <v>_</v>
      </c>
      <c r="AO123" s="185" t="str">
        <f>_xlfn.IFNA(VLOOKUP($AH123,Programma!$F$3:$M$1101,8,0),"")</f>
        <v>_</v>
      </c>
      <c r="AP123" s="185" t="str">
        <f>_xlfn.IFNA(VLOOKUP($AH123,Programma!$F$3:$N$1101,9,0),"")</f>
        <v>_</v>
      </c>
      <c r="AQ123" s="185" t="str">
        <f>_xlfn.IFNA(VLOOKUP($AH123,Programma!$F$3:$O$1101,10,0),"")</f>
        <v>5w</v>
      </c>
      <c r="AR123" s="185" t="str">
        <f>_xlfn.IFNA(VLOOKUP($AH123,Programma!$F$3:$P$1101,11,0),"")</f>
        <v>5w</v>
      </c>
      <c r="AS123" s="185" t="str">
        <f>_xlfn.IFNA(VLOOKUP($AH123,Programma!$F$3:$Q$1101,12,0),"")</f>
        <v>1w</v>
      </c>
      <c r="AT123" s="185" t="str">
        <f>_xlfn.IFNA(VLOOKUP($AH123,Programma!$F$3:$R$1101,13,0),"")</f>
        <v>1w</v>
      </c>
      <c r="AU123" s="185" t="str">
        <f>_xlfn.IFNA(VLOOKUP($AH123,Programma!$F$3:$S$1101,14,0),"")</f>
        <v>1m</v>
      </c>
      <c r="AV123" s="185" t="str">
        <f>_xlfn.IFNA(VLOOKUP($AH123,Programma!$F$3:$T$1101,15,0),"")</f>
        <v>2j</v>
      </c>
      <c r="AW123" s="185" t="str">
        <f>_xlfn.IFNA(VLOOKUP($AH123,Programma!$F$3:$U$1101,16,0),"")</f>
        <v>1j</v>
      </c>
      <c r="AX123" s="185" t="str">
        <f>_xlfn.IFNA(VLOOKUP($AH123,Programma!$F$3:$V$1101,17,0),"")</f>
        <v>_</v>
      </c>
      <c r="AY123" s="185" t="str">
        <f>_xlfn.IFNA(VLOOKUP($AH123,Programma!$F$3:$W$1101,18,0),"")</f>
        <v>_</v>
      </c>
      <c r="AZ123" s="185" t="str">
        <f>_xlfn.IFNA(VLOOKUP($AH123,Programma!$F$3:$X$1101,19,0),"")</f>
        <v>_</v>
      </c>
      <c r="BA123" s="185" t="str">
        <f>_xlfn.IFNA(VLOOKUP($AH123,Programma!$F$3:$Y$1101,20,0),"")</f>
        <v>_</v>
      </c>
      <c r="BB123" s="182"/>
      <c r="BC123" s="181" t="str">
        <f>IF(Ruimtestaat[[#This Row],[Frequentie weekend]]="","",_xlfn.CONCAT(Ruimtestaat[[#This Row],[Ruimte code]],"-",Ruimtestaat[[#This Row],[Frequentie weekend]]," ",Ruimtestaat[[#This Row],[Vloer code]]))</f>
        <v/>
      </c>
      <c r="BD123" s="185" t="str">
        <f>_xlfn.IFNA(VLOOKUP($BC123,Programma!$F$3:$G$1101,2,0),"")</f>
        <v/>
      </c>
      <c r="BE123" s="185" t="str">
        <f>_xlfn.IFNA(VLOOKUP($BC123,Programma!$F$3:$H$1101,3,0),"")</f>
        <v/>
      </c>
      <c r="BF123" s="185" t="str">
        <f>_xlfn.IFNA(VLOOKUP($BC123,Programma!$F$3:$I$1101,4,0),"")</f>
        <v/>
      </c>
      <c r="BG123" s="185" t="str">
        <f>_xlfn.IFNA(VLOOKUP($BC123,Programma!$F$3:$J$1101,5,0),"")</f>
        <v/>
      </c>
      <c r="BH123" s="185" t="str">
        <f>_xlfn.IFNA(VLOOKUP($BC123,Programma!$F$3:$K$1101,6,0),"")</f>
        <v/>
      </c>
      <c r="BI123" s="185" t="str">
        <f>_xlfn.IFNA(VLOOKUP($BC123,Programma!$F$3:$L$1101,7,0),"")</f>
        <v/>
      </c>
      <c r="BJ123" s="185" t="str">
        <f>_xlfn.IFNA(VLOOKUP($BC123,Programma!$F$3:$M$1101,8,0),"")</f>
        <v/>
      </c>
      <c r="BK123" s="185" t="str">
        <f>_xlfn.IFNA(VLOOKUP($BC123,Programma!$F$3:$N$1101,9,0),"")</f>
        <v/>
      </c>
      <c r="BL123" s="185" t="str">
        <f>_xlfn.IFNA(VLOOKUP($BC123,Programma!$F$3:$O$1101,10,0),"")</f>
        <v/>
      </c>
      <c r="BM123" s="185" t="str">
        <f>_xlfn.IFNA(VLOOKUP($BC123,Programma!$F$3:$P$1101,11,0),"")</f>
        <v/>
      </c>
      <c r="BN123" s="185" t="str">
        <f>_xlfn.IFNA(VLOOKUP($BC123,Programma!$F$3:$Q$1101,12,0),"")</f>
        <v/>
      </c>
      <c r="BO123" s="185" t="str">
        <f>_xlfn.IFNA(VLOOKUP($BC123,Programma!$F$3:$R$1101,13,0),"")</f>
        <v/>
      </c>
      <c r="BP123" s="185" t="str">
        <f>_xlfn.IFNA(VLOOKUP($BC123,Programma!$F$3:$S$1101,14,0),"")</f>
        <v/>
      </c>
      <c r="BQ123" s="185" t="str">
        <f>_xlfn.IFNA(VLOOKUP($BC123,Programma!$F$3:$T$1101,15,0),"")</f>
        <v/>
      </c>
      <c r="BR123" s="185" t="str">
        <f>_xlfn.IFNA(VLOOKUP($BC123,Programma!$F$3:$U$1101,16,0),"")</f>
        <v/>
      </c>
      <c r="BS123" s="185" t="str">
        <f>_xlfn.IFNA(VLOOKUP($BC123,Programma!$F$3:$V$1101,17,0),"")</f>
        <v/>
      </c>
      <c r="BT123" s="185" t="str">
        <f>_xlfn.IFNA(VLOOKUP($BC123,Programma!$F$3:$W$1101,18,0),"")</f>
        <v/>
      </c>
      <c r="BU123" s="185" t="str">
        <f>_xlfn.IFNA(VLOOKUP($BC123,Programma!$F$3:$X$1101,19,0),"")</f>
        <v/>
      </c>
      <c r="BV123" s="185" t="str">
        <f>_xlfn.IFNA(VLOOKUP($BC123,Programma!$F$3:$Y$1101,20,0),"")</f>
        <v/>
      </c>
      <c r="BW123" s="78"/>
      <c r="BX123" s="78"/>
      <c r="BY123" s="78"/>
      <c r="BZ123" s="78"/>
      <c r="CA123" s="78"/>
      <c r="CB123" s="78"/>
      <c r="CC123" s="78"/>
      <c r="CD123" s="78"/>
      <c r="CE123" s="78"/>
      <c r="CF123" s="78"/>
      <c r="CG123" s="78"/>
      <c r="CH123" s="78"/>
      <c r="CI123" s="78"/>
      <c r="CJ123" s="78"/>
      <c r="CK123" s="78"/>
      <c r="CL123" s="78"/>
      <c r="CM123" s="78"/>
      <c r="CN123" s="78"/>
      <c r="CO123" s="78"/>
      <c r="CP123" s="78"/>
      <c r="CQ123" s="78"/>
      <c r="CR123" s="78"/>
      <c r="CS123" s="78"/>
      <c r="CT123" s="78"/>
      <c r="CU123" s="78"/>
      <c r="CV123" s="78"/>
      <c r="CW123" s="78"/>
      <c r="CX123" s="78"/>
      <c r="CY123" s="78"/>
      <c r="CZ123" s="78"/>
      <c r="DA123" s="78"/>
      <c r="DB123" s="78"/>
      <c r="DC123" s="78"/>
      <c r="DD123" s="78"/>
      <c r="DE123" s="78"/>
      <c r="DF123" s="78"/>
      <c r="DG123" s="78"/>
      <c r="DH123" s="78"/>
      <c r="DI123" s="78"/>
      <c r="DJ123" s="78"/>
      <c r="DK123" s="78"/>
      <c r="DL123" s="78"/>
      <c r="DM123" s="78"/>
      <c r="DN123" s="78"/>
      <c r="DO123" s="78"/>
      <c r="DP123" s="78"/>
      <c r="DQ123" s="78"/>
      <c r="DR123" s="78"/>
      <c r="DS123" s="78"/>
      <c r="DT123" s="78"/>
      <c r="DU123" s="78"/>
      <c r="DV123" s="78"/>
      <c r="DW123" s="78"/>
      <c r="DX123" s="78"/>
      <c r="DY123" s="78"/>
      <c r="DZ123" s="78"/>
      <c r="EA123" s="78"/>
      <c r="EB123" s="78"/>
      <c r="EC123" s="78"/>
      <c r="ED123" s="78"/>
      <c r="EE123" s="78"/>
      <c r="EF123" s="78"/>
      <c r="EG123" s="78"/>
      <c r="EH123" s="78"/>
      <c r="EI123" s="78"/>
      <c r="EJ123" s="78"/>
      <c r="EK123" s="78"/>
      <c r="EL123" s="78"/>
      <c r="EM123" s="78"/>
      <c r="EN123" s="78"/>
      <c r="EO123" s="78"/>
      <c r="EP123" s="78"/>
      <c r="EQ123" s="78"/>
      <c r="ER123" s="78"/>
      <c r="ES123" s="78"/>
      <c r="ET123" s="78"/>
      <c r="EU123" s="78"/>
      <c r="EV123" s="78"/>
      <c r="EW123" s="78"/>
      <c r="EX123" s="78"/>
      <c r="EY123" s="78"/>
      <c r="EZ123" s="78"/>
      <c r="FA123" s="78"/>
      <c r="FB123" s="78"/>
      <c r="FC123" s="78"/>
      <c r="FD123" s="78"/>
      <c r="FE123" s="78"/>
      <c r="FF123" s="78"/>
      <c r="FG123" s="78"/>
      <c r="FH123" s="78"/>
      <c r="FI123" s="78"/>
      <c r="FJ123" s="78"/>
      <c r="FK123" s="78"/>
      <c r="FL123" s="78"/>
      <c r="FM123" s="78"/>
      <c r="FN123" s="78"/>
      <c r="FO123" s="78"/>
      <c r="FP123" s="78"/>
      <c r="FQ123" s="78"/>
      <c r="FR123" s="78"/>
      <c r="FS123" s="78"/>
      <c r="FT123" s="78"/>
      <c r="FU123" s="78"/>
      <c r="FV123" s="78"/>
      <c r="FW123" s="78"/>
      <c r="FX123" s="78"/>
      <c r="FY123" s="78"/>
      <c r="FZ123" s="78"/>
      <c r="GA123" s="78"/>
      <c r="GB123" s="78"/>
      <c r="GC123" s="78"/>
      <c r="GD123" s="78"/>
      <c r="GE123" s="78"/>
      <c r="GF123" s="78"/>
      <c r="GG123" s="78"/>
      <c r="GH123" s="78"/>
      <c r="GI123" s="78"/>
      <c r="GJ123" s="78"/>
      <c r="GK123" s="78"/>
      <c r="GL123" s="78"/>
      <c r="GM123" s="78"/>
      <c r="GN123" s="78"/>
      <c r="GO123" s="78"/>
      <c r="GP123" s="78"/>
      <c r="GQ123" s="78"/>
      <c r="GR123" s="78"/>
      <c r="GS123" s="78"/>
      <c r="GT123" s="78"/>
      <c r="GU123" s="78"/>
      <c r="GV123" s="78"/>
      <c r="GW123" s="78"/>
      <c r="GX123" s="78"/>
      <c r="GY123" s="78"/>
      <c r="GZ123" s="78"/>
      <c r="HA123" s="78"/>
      <c r="HB123" s="78"/>
      <c r="HC123" s="78"/>
      <c r="HD123" s="78"/>
      <c r="HE123" s="78"/>
      <c r="HF123" s="78"/>
      <c r="HG123" s="78"/>
      <c r="HH123" s="78"/>
      <c r="HI123" s="78"/>
      <c r="HJ123" s="78"/>
      <c r="HK123" s="78"/>
    </row>
    <row r="124" spans="1:219" ht="15" customHeight="1">
      <c r="A124" s="149">
        <v>4</v>
      </c>
      <c r="B124" s="176" t="str">
        <f>VLOOKUP(Ruimtestaat[[#This Row],[Code]],Locaties[[Code]:[Locatie]],2,FALSE)</f>
        <v>OBS De Sterrenborgh</v>
      </c>
      <c r="C124" s="176" t="str">
        <f>VLOOKUP(Ruimtestaat[[#This Row],[Code]],Locaties[[#All],[Code]:[Adres]],4,FALSE)</f>
        <v>Runenberghoek 5</v>
      </c>
      <c r="D124" s="176" t="str">
        <f>VLOOKUP(Ruimtestaat[[#This Row],[Code]],Locaties[[#All],[Code]:[Postcode]],5,FALSE)</f>
        <v>7546 EG</v>
      </c>
      <c r="E124" s="176" t="str">
        <f>VLOOKUP(Ruimtestaat[[#This Row],[Code]],Locaties[#All],6,FALSE)</f>
        <v>Enschede</v>
      </c>
      <c r="F124" s="149"/>
      <c r="G124" s="149" t="s">
        <v>1714</v>
      </c>
      <c r="H124" s="300" t="s">
        <v>1740</v>
      </c>
      <c r="I124" s="301" t="s">
        <v>1651</v>
      </c>
      <c r="J124" s="149">
        <v>16</v>
      </c>
      <c r="K124" s="183" t="str">
        <f>VLOOKUP(Ruimtestaat[[#This Row],[Ruimte code]],Ruimtegroepen[[#All],[Code]:[Ruimte omschrijving]],2,FALSE)</f>
        <v>Leslokalen</v>
      </c>
      <c r="L124" s="149" t="s">
        <v>100</v>
      </c>
      <c r="M124" s="301" t="s">
        <v>1697</v>
      </c>
      <c r="N124" s="177">
        <v>67.400000000000006</v>
      </c>
      <c r="O124" s="177"/>
      <c r="P124" s="178" t="str">
        <f>VLOOKUP(Ruimtestaat[[#This Row],[Ruimte code]],Ruimtegroepen[],4,FALSE)</f>
        <v>Le</v>
      </c>
      <c r="Q124" s="149">
        <v>40</v>
      </c>
      <c r="R124" s="149" t="s">
        <v>2</v>
      </c>
      <c r="S124" s="149">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4" s="149">
        <f>IF(S124&gt;0,VLOOKUP($J124,Ruimtegroepen[],3,FALSE)*VLOOKUP($L124,Vloersoorten[],3,FALSE)*VLOOKUP($R124,Frequenties[],3,FALSE)*VLOOKUP($A124,Locaties[],3,FALSE),0)</f>
        <v>0</v>
      </c>
      <c r="U124" s="149">
        <f>Ruimtestaat[[#This Row],[Uitvoeringen werkdagen]]*Ruimtestaat[[#This Row],[Oppervlak (netto)]]</f>
        <v>13480.000000000002</v>
      </c>
      <c r="V124" s="179">
        <f>IF(T124&gt;0,Ruimtestaat[[#This Row],[Prest. (m2 /jaar) werkdagen]]/Ruimtestaat[[#This Row],[Norm (m2/uur) werkdagen]],0)</f>
        <v>0</v>
      </c>
      <c r="W124" s="180">
        <f>Ruimtestaat[[#This Row],[uren / jaar werkdagen]]*Tariefsopbouw!$E$35</f>
        <v>0</v>
      </c>
      <c r="X124" s="149"/>
      <c r="Y124" s="149">
        <f>IF(Ruimtestaat[[#This Row],[Frequentie weekend]]&gt;0,VALUE(LEFT(X124,1))*Q124,0)</f>
        <v>0</v>
      </c>
      <c r="Z124" s="148">
        <f>IF($Y124&gt;0,VLOOKUP($J124,Ruimtegroepen[],3,FALSE)*VLOOKUP($L124,Vloersoorten[],3,FALSE)*VLOOKUP($X124,Frequenties[],3,FALSE)*VLOOKUP(Ruimtestaat[[#This Row],[Code]],Locaties[],3,FALSE),0)</f>
        <v>0</v>
      </c>
      <c r="AA124" s="148">
        <f>Ruimtestaat[[#This Row],[Uitvoeringen weekend]]*Ruimtestaat[[#This Row],[Oppervlak (netto)]]</f>
        <v>0</v>
      </c>
      <c r="AB124" s="148">
        <f>IF(Z124&gt;0,Ruimtestaat[[#This Row],[Prest. (m2 /jaar) weekend]]/Ruimtestaat[[#This Row],[Norm (m2/uur) weekend]],0)</f>
        <v>0</v>
      </c>
      <c r="AC124" s="180">
        <f>Ruimtestaat[[#This Row],[uren / jaar weekend]]*Tariefsopbouw!$D$40</f>
        <v>0</v>
      </c>
      <c r="AD124" s="179">
        <f>Ruimtestaat[[#This Row],[Prest. (m2 /jaar) weekend]]+Ruimtestaat[[#This Row],[Prest. (m2 /jaar) werkdagen]]</f>
        <v>13480.000000000002</v>
      </c>
      <c r="AE124" s="179">
        <f>Ruimtestaat[[#This Row],[uren / jaar weekend]]+Ruimtestaat[[#This Row],[uren / jaar werkdagen]]</f>
        <v>0</v>
      </c>
      <c r="AF124" s="174">
        <f>Ruimtestaat[[#This Row],[kosten / jaar weekend]]+Ruimtestaat[[#This Row],[kosten / jaar werkdagen]]</f>
        <v>0</v>
      </c>
      <c r="AG124" s="174"/>
      <c r="AH124" s="181" t="str">
        <f>IF(Ruimtestaat[[#This Row],[Frequentie werkdagen]]="","",_xlfn.CONCAT(Ruimtestaat[[#This Row],[Ruimte code]],"-",Ruimtestaat[[#This Row],[Frequentie werkdagen]]," ",Ruimtestaat[[#This Row],[Vloer code]]))</f>
        <v>16-5w L</v>
      </c>
      <c r="AI124" s="185" t="str">
        <f>_xlfn.IFNA(VLOOKUP($AH124,Programma!$F$3:$G$1101,2,0),"")</f>
        <v>_</v>
      </c>
      <c r="AJ124" s="185" t="str">
        <f>_xlfn.IFNA(VLOOKUP($AH124,Programma!$F$3:$H$1101,3,0),"")</f>
        <v>_</v>
      </c>
      <c r="AK124" s="185" t="str">
        <f>_xlfn.IFNA(VLOOKUP($AH124,Programma!$F$3:$I$1101,4,0),"")</f>
        <v>4w</v>
      </c>
      <c r="AL124" s="185" t="str">
        <f>_xlfn.IFNA(VLOOKUP($AH124,Programma!$F$3:$J$1101,5,0),"")</f>
        <v>1w</v>
      </c>
      <c r="AM124" s="185" t="str">
        <f>_xlfn.IFNA(VLOOKUP($AH124,Programma!$F$3:$K$1101,6,0),"")</f>
        <v>_</v>
      </c>
      <c r="AN124" s="185" t="str">
        <f>_xlfn.IFNA(VLOOKUP($AH124,Programma!$F$3:$L$1101,7,0),"")</f>
        <v>_</v>
      </c>
      <c r="AO124" s="185" t="str">
        <f>_xlfn.IFNA(VLOOKUP($AH124,Programma!$F$3:$M$1101,8,0),"")</f>
        <v>_</v>
      </c>
      <c r="AP124" s="185" t="str">
        <f>_xlfn.IFNA(VLOOKUP($AH124,Programma!$F$3:$N$1101,9,0),"")</f>
        <v>_</v>
      </c>
      <c r="AQ124" s="185" t="str">
        <f>_xlfn.IFNA(VLOOKUP($AH124,Programma!$F$3:$O$1101,10,0),"")</f>
        <v>5w</v>
      </c>
      <c r="AR124" s="185" t="str">
        <f>_xlfn.IFNA(VLOOKUP($AH124,Programma!$F$3:$P$1101,11,0),"")</f>
        <v>5w</v>
      </c>
      <c r="AS124" s="185" t="str">
        <f>_xlfn.IFNA(VLOOKUP($AH124,Programma!$F$3:$Q$1101,12,0),"")</f>
        <v>1w</v>
      </c>
      <c r="AT124" s="185" t="str">
        <f>_xlfn.IFNA(VLOOKUP($AH124,Programma!$F$3:$R$1101,13,0),"")</f>
        <v>1w</v>
      </c>
      <c r="AU124" s="185" t="str">
        <f>_xlfn.IFNA(VLOOKUP($AH124,Programma!$F$3:$S$1101,14,0),"")</f>
        <v>1m</v>
      </c>
      <c r="AV124" s="185" t="str">
        <f>_xlfn.IFNA(VLOOKUP($AH124,Programma!$F$3:$T$1101,15,0),"")</f>
        <v>2j</v>
      </c>
      <c r="AW124" s="185" t="str">
        <f>_xlfn.IFNA(VLOOKUP($AH124,Programma!$F$3:$U$1101,16,0),"")</f>
        <v>1j</v>
      </c>
      <c r="AX124" s="185" t="str">
        <f>_xlfn.IFNA(VLOOKUP($AH124,Programma!$F$3:$V$1101,17,0),"")</f>
        <v>_</v>
      </c>
      <c r="AY124" s="185" t="str">
        <f>_xlfn.IFNA(VLOOKUP($AH124,Programma!$F$3:$W$1101,18,0),"")</f>
        <v>_</v>
      </c>
      <c r="AZ124" s="185" t="str">
        <f>_xlfn.IFNA(VLOOKUP($AH124,Programma!$F$3:$X$1101,19,0),"")</f>
        <v>_</v>
      </c>
      <c r="BA124" s="185" t="str">
        <f>_xlfn.IFNA(VLOOKUP($AH124,Programma!$F$3:$Y$1101,20,0),"")</f>
        <v>_</v>
      </c>
      <c r="BB124" s="182"/>
      <c r="BC124" s="181" t="str">
        <f>IF(Ruimtestaat[[#This Row],[Frequentie weekend]]="","",_xlfn.CONCAT(Ruimtestaat[[#This Row],[Ruimte code]],"-",Ruimtestaat[[#This Row],[Frequentie weekend]]," ",Ruimtestaat[[#This Row],[Vloer code]]))</f>
        <v/>
      </c>
      <c r="BD124" s="185" t="str">
        <f>_xlfn.IFNA(VLOOKUP($BC124,Programma!$F$3:$G$1101,2,0),"")</f>
        <v/>
      </c>
      <c r="BE124" s="185" t="str">
        <f>_xlfn.IFNA(VLOOKUP($BC124,Programma!$F$3:$H$1101,3,0),"")</f>
        <v/>
      </c>
      <c r="BF124" s="185" t="str">
        <f>_xlfn.IFNA(VLOOKUP($BC124,Programma!$F$3:$I$1101,4,0),"")</f>
        <v/>
      </c>
      <c r="BG124" s="185" t="str">
        <f>_xlfn.IFNA(VLOOKUP($BC124,Programma!$F$3:$J$1101,5,0),"")</f>
        <v/>
      </c>
      <c r="BH124" s="185" t="str">
        <f>_xlfn.IFNA(VLOOKUP($BC124,Programma!$F$3:$K$1101,6,0),"")</f>
        <v/>
      </c>
      <c r="BI124" s="185" t="str">
        <f>_xlfn.IFNA(VLOOKUP($BC124,Programma!$F$3:$L$1101,7,0),"")</f>
        <v/>
      </c>
      <c r="BJ124" s="185" t="str">
        <f>_xlfn.IFNA(VLOOKUP($BC124,Programma!$F$3:$M$1101,8,0),"")</f>
        <v/>
      </c>
      <c r="BK124" s="185" t="str">
        <f>_xlfn.IFNA(VLOOKUP($BC124,Programma!$F$3:$N$1101,9,0),"")</f>
        <v/>
      </c>
      <c r="BL124" s="185" t="str">
        <f>_xlfn.IFNA(VLOOKUP($BC124,Programma!$F$3:$O$1101,10,0),"")</f>
        <v/>
      </c>
      <c r="BM124" s="185" t="str">
        <f>_xlfn.IFNA(VLOOKUP($BC124,Programma!$F$3:$P$1101,11,0),"")</f>
        <v/>
      </c>
      <c r="BN124" s="185" t="str">
        <f>_xlfn.IFNA(VLOOKUP($BC124,Programma!$F$3:$Q$1101,12,0),"")</f>
        <v/>
      </c>
      <c r="BO124" s="185" t="str">
        <f>_xlfn.IFNA(VLOOKUP($BC124,Programma!$F$3:$R$1101,13,0),"")</f>
        <v/>
      </c>
      <c r="BP124" s="185" t="str">
        <f>_xlfn.IFNA(VLOOKUP($BC124,Programma!$F$3:$S$1101,14,0),"")</f>
        <v/>
      </c>
      <c r="BQ124" s="185" t="str">
        <f>_xlfn.IFNA(VLOOKUP($BC124,Programma!$F$3:$T$1101,15,0),"")</f>
        <v/>
      </c>
      <c r="BR124" s="185" t="str">
        <f>_xlfn.IFNA(VLOOKUP($BC124,Programma!$F$3:$U$1101,16,0),"")</f>
        <v/>
      </c>
      <c r="BS124" s="185" t="str">
        <f>_xlfn.IFNA(VLOOKUP($BC124,Programma!$F$3:$V$1101,17,0),"")</f>
        <v/>
      </c>
      <c r="BT124" s="185" t="str">
        <f>_xlfn.IFNA(VLOOKUP($BC124,Programma!$F$3:$W$1101,18,0),"")</f>
        <v/>
      </c>
      <c r="BU124" s="185" t="str">
        <f>_xlfn.IFNA(VLOOKUP($BC124,Programma!$F$3:$X$1101,19,0),"")</f>
        <v/>
      </c>
      <c r="BV124" s="185" t="str">
        <f>_xlfn.IFNA(VLOOKUP($BC124,Programma!$F$3:$Y$1101,20,0),"")</f>
        <v/>
      </c>
      <c r="BW124" s="78"/>
      <c r="BX124" s="78"/>
      <c r="BY124" s="78"/>
      <c r="BZ124" s="78"/>
      <c r="CA124" s="78"/>
      <c r="CB124" s="78"/>
      <c r="CC124" s="78"/>
      <c r="CD124" s="78"/>
      <c r="CE124" s="78"/>
      <c r="CF124" s="78"/>
      <c r="CG124" s="78"/>
      <c r="CH124" s="78"/>
      <c r="CI124" s="78"/>
      <c r="CJ124" s="78"/>
      <c r="CK124" s="78"/>
      <c r="CL124" s="78"/>
      <c r="CM124" s="78"/>
      <c r="CN124" s="78"/>
      <c r="CO124" s="78"/>
      <c r="CP124" s="78"/>
      <c r="CQ124" s="78"/>
      <c r="CR124" s="78"/>
      <c r="CS124" s="78"/>
      <c r="CT124" s="78"/>
      <c r="CU124" s="78"/>
      <c r="CV124" s="78"/>
      <c r="CW124" s="78"/>
      <c r="CX124" s="78"/>
      <c r="CY124" s="78"/>
      <c r="CZ124" s="78"/>
      <c r="DA124" s="78"/>
      <c r="DB124" s="78"/>
      <c r="DC124" s="78"/>
      <c r="DD124" s="78"/>
      <c r="DE124" s="78"/>
      <c r="DF124" s="78"/>
      <c r="DG124" s="78"/>
      <c r="DH124" s="78"/>
      <c r="DI124" s="78"/>
      <c r="DJ124" s="78"/>
      <c r="DK124" s="78"/>
      <c r="DL124" s="78"/>
      <c r="DM124" s="78"/>
      <c r="DN124" s="78"/>
      <c r="DO124" s="78"/>
      <c r="DP124" s="78"/>
      <c r="DQ124" s="78"/>
      <c r="DR124" s="78"/>
      <c r="DS124" s="78"/>
      <c r="DT124" s="78"/>
      <c r="DU124" s="78"/>
      <c r="DV124" s="78"/>
      <c r="DW124" s="78"/>
      <c r="DX124" s="78"/>
      <c r="DY124" s="78"/>
      <c r="DZ124" s="78"/>
      <c r="EA124" s="78"/>
      <c r="EB124" s="78"/>
      <c r="EC124" s="78"/>
      <c r="ED124" s="78"/>
      <c r="EE124" s="78"/>
      <c r="EF124" s="78"/>
      <c r="EG124" s="78"/>
      <c r="EH124" s="78"/>
      <c r="EI124" s="78"/>
      <c r="EJ124" s="78"/>
      <c r="EK124" s="78"/>
      <c r="EL124" s="78"/>
      <c r="EM124" s="78"/>
      <c r="EN124" s="78"/>
      <c r="EO124" s="78"/>
      <c r="EP124" s="78"/>
      <c r="EQ124" s="78"/>
      <c r="ER124" s="78"/>
      <c r="ES124" s="78"/>
      <c r="ET124" s="78"/>
      <c r="EU124" s="78"/>
      <c r="EV124" s="78"/>
      <c r="EW124" s="78"/>
      <c r="EX124" s="78"/>
      <c r="EY124" s="78"/>
      <c r="EZ124" s="78"/>
      <c r="FA124" s="78"/>
      <c r="FB124" s="78"/>
      <c r="FC124" s="78"/>
      <c r="FD124" s="78"/>
      <c r="FE124" s="78"/>
      <c r="FF124" s="78"/>
      <c r="FG124" s="78"/>
      <c r="FH124" s="78"/>
      <c r="FI124" s="78"/>
      <c r="FJ124" s="78"/>
      <c r="FK124" s="78"/>
      <c r="FL124" s="78"/>
      <c r="FM124" s="78"/>
      <c r="FN124" s="78"/>
      <c r="FO124" s="78"/>
      <c r="FP124" s="78"/>
      <c r="FQ124" s="78"/>
      <c r="FR124" s="78"/>
      <c r="FS124" s="78"/>
      <c r="FT124" s="78"/>
      <c r="FU124" s="78"/>
      <c r="FV124" s="78"/>
      <c r="FW124" s="78"/>
      <c r="FX124" s="78"/>
      <c r="FY124" s="78"/>
      <c r="FZ124" s="78"/>
      <c r="GA124" s="78"/>
      <c r="GB124" s="78"/>
      <c r="GC124" s="78"/>
      <c r="GD124" s="78"/>
      <c r="GE124" s="78"/>
      <c r="GF124" s="78"/>
      <c r="GG124" s="78"/>
      <c r="GH124" s="78"/>
      <c r="GI124" s="78"/>
      <c r="GJ124" s="78"/>
      <c r="GK124" s="78"/>
      <c r="GL124" s="78"/>
      <c r="GM124" s="78"/>
      <c r="GN124" s="78"/>
      <c r="GO124" s="78"/>
      <c r="GP124" s="78"/>
      <c r="GQ124" s="78"/>
      <c r="GR124" s="78"/>
      <c r="GS124" s="78"/>
      <c r="GT124" s="78"/>
      <c r="GU124" s="78"/>
      <c r="GV124" s="78"/>
      <c r="GW124" s="78"/>
      <c r="GX124" s="78"/>
      <c r="GY124" s="78"/>
      <c r="GZ124" s="78"/>
      <c r="HA124" s="78"/>
      <c r="HB124" s="78"/>
      <c r="HC124" s="78"/>
      <c r="HD124" s="78"/>
      <c r="HE124" s="78"/>
      <c r="HF124" s="78"/>
      <c r="HG124" s="78"/>
      <c r="HH124" s="78"/>
      <c r="HI124" s="78"/>
      <c r="HJ124" s="78"/>
      <c r="HK124" s="78"/>
    </row>
    <row r="125" spans="1:219" ht="15" customHeight="1">
      <c r="A125" s="149">
        <v>4</v>
      </c>
      <c r="B125" s="176" t="str">
        <f>VLOOKUP(Ruimtestaat[[#This Row],[Code]],Locaties[[Code]:[Locatie]],2,FALSE)</f>
        <v>OBS De Sterrenborgh</v>
      </c>
      <c r="C125" s="176" t="str">
        <f>VLOOKUP(Ruimtestaat[[#This Row],[Code]],Locaties[[#All],[Code]:[Adres]],4,FALSE)</f>
        <v>Runenberghoek 5</v>
      </c>
      <c r="D125" s="176" t="str">
        <f>VLOOKUP(Ruimtestaat[[#This Row],[Code]],Locaties[[#All],[Code]:[Postcode]],5,FALSE)</f>
        <v>7546 EG</v>
      </c>
      <c r="E125" s="176" t="str">
        <f>VLOOKUP(Ruimtestaat[[#This Row],[Code]],Locaties[#All],6,FALSE)</f>
        <v>Enschede</v>
      </c>
      <c r="F125" s="149"/>
      <c r="G125" s="149" t="s">
        <v>1714</v>
      </c>
      <c r="H125" s="300" t="s">
        <v>1741</v>
      </c>
      <c r="I125" s="301" t="s">
        <v>1658</v>
      </c>
      <c r="J125" s="149">
        <v>6</v>
      </c>
      <c r="K125" s="183" t="str">
        <f>VLOOKUP(Ruimtestaat[[#This Row],[Ruimte code]],Ruimtegroepen[[#All],[Code]:[Ruimte omschrijving]],2,FALSE)</f>
        <v>Gangen/hallen</v>
      </c>
      <c r="L125" s="149" t="s">
        <v>101</v>
      </c>
      <c r="M125" s="301" t="s">
        <v>119</v>
      </c>
      <c r="N125" s="177">
        <v>85.1</v>
      </c>
      <c r="O125" s="177"/>
      <c r="P125" s="178" t="str">
        <f>VLOOKUP(Ruimtestaat[[#This Row],[Ruimte code]],Ruimtegroepen[],4,FALSE)</f>
        <v>Ve</v>
      </c>
      <c r="Q125" s="149">
        <v>40</v>
      </c>
      <c r="R125" s="149" t="s">
        <v>2</v>
      </c>
      <c r="S125" s="149">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149">
        <f>IF(S125&gt;0,VLOOKUP($J125,Ruimtegroepen[],3,FALSE)*VLOOKUP($L125,Vloersoorten[],3,FALSE)*VLOOKUP($R125,Frequenties[],3,FALSE)*VLOOKUP($A125,Locaties[],3,FALSE),0)</f>
        <v>0</v>
      </c>
      <c r="U125" s="149">
        <f>Ruimtestaat[[#This Row],[Uitvoeringen werkdagen]]*Ruimtestaat[[#This Row],[Oppervlak (netto)]]</f>
        <v>17020</v>
      </c>
      <c r="V125" s="179">
        <f>IF(T125&gt;0,Ruimtestaat[[#This Row],[Prest. (m2 /jaar) werkdagen]]/Ruimtestaat[[#This Row],[Norm (m2/uur) werkdagen]],0)</f>
        <v>0</v>
      </c>
      <c r="W125" s="180">
        <f>Ruimtestaat[[#This Row],[uren / jaar werkdagen]]*Tariefsopbouw!$E$35</f>
        <v>0</v>
      </c>
      <c r="X125" s="149"/>
      <c r="Y125" s="149">
        <f>IF(Ruimtestaat[[#This Row],[Frequentie weekend]]&gt;0,VALUE(LEFT(X125,1))*Q125,0)</f>
        <v>0</v>
      </c>
      <c r="Z125" s="148">
        <f>IF($Y125&gt;0,VLOOKUP($J125,Ruimtegroepen[],3,FALSE)*VLOOKUP($L125,Vloersoorten[],3,FALSE)*VLOOKUP($X125,Frequenties[],3,FALSE)*VLOOKUP(Ruimtestaat[[#This Row],[Code]],Locaties[],3,FALSE),0)</f>
        <v>0</v>
      </c>
      <c r="AA125" s="148">
        <f>Ruimtestaat[[#This Row],[Uitvoeringen weekend]]*Ruimtestaat[[#This Row],[Oppervlak (netto)]]</f>
        <v>0</v>
      </c>
      <c r="AB125" s="148">
        <f>IF(Z125&gt;0,Ruimtestaat[[#This Row],[Prest. (m2 /jaar) weekend]]/Ruimtestaat[[#This Row],[Norm (m2/uur) weekend]],0)</f>
        <v>0</v>
      </c>
      <c r="AC125" s="180">
        <f>Ruimtestaat[[#This Row],[uren / jaar weekend]]*Tariefsopbouw!$D$40</f>
        <v>0</v>
      </c>
      <c r="AD125" s="179">
        <f>Ruimtestaat[[#This Row],[Prest. (m2 /jaar) weekend]]+Ruimtestaat[[#This Row],[Prest. (m2 /jaar) werkdagen]]</f>
        <v>17020</v>
      </c>
      <c r="AE125" s="179">
        <f>Ruimtestaat[[#This Row],[uren / jaar weekend]]+Ruimtestaat[[#This Row],[uren / jaar werkdagen]]</f>
        <v>0</v>
      </c>
      <c r="AF125" s="174">
        <f>Ruimtestaat[[#This Row],[kosten / jaar weekend]]+Ruimtestaat[[#This Row],[kosten / jaar werkdagen]]</f>
        <v>0</v>
      </c>
      <c r="AG125" s="174"/>
      <c r="AH125" s="181" t="str">
        <f>IF(Ruimtestaat[[#This Row],[Frequentie werkdagen]]="","",_xlfn.CONCAT(Ruimtestaat[[#This Row],[Ruimte code]],"-",Ruimtestaat[[#This Row],[Frequentie werkdagen]]," ",Ruimtestaat[[#This Row],[Vloer code]]))</f>
        <v>6-5w S</v>
      </c>
      <c r="AI125" s="185" t="str">
        <f>_xlfn.IFNA(VLOOKUP($AH125,Programma!$F$3:$G$1101,2,0),"")</f>
        <v>_</v>
      </c>
      <c r="AJ125" s="185" t="str">
        <f>_xlfn.IFNA(VLOOKUP($AH125,Programma!$F$3:$H$1101,3,0),"")</f>
        <v>_</v>
      </c>
      <c r="AK125" s="185" t="str">
        <f>_xlfn.IFNA(VLOOKUP($AH125,Programma!$F$3:$I$1101,4,0),"")</f>
        <v>5w</v>
      </c>
      <c r="AL125" s="185" t="str">
        <f>_xlfn.IFNA(VLOOKUP($AH125,Programma!$F$3:$J$1101,5,0),"")</f>
        <v>_</v>
      </c>
      <c r="AM125" s="185" t="str">
        <f>_xlfn.IFNA(VLOOKUP($AH125,Programma!$F$3:$K$1101,6,0),"")</f>
        <v>5w</v>
      </c>
      <c r="AN125" s="185" t="str">
        <f>_xlfn.IFNA(VLOOKUP($AH125,Programma!$F$3:$L$1101,7,0),"")</f>
        <v>_</v>
      </c>
      <c r="AO125" s="185" t="str">
        <f>_xlfn.IFNA(VLOOKUP($AH125,Programma!$F$3:$M$1101,8,0),"")</f>
        <v>_</v>
      </c>
      <c r="AP125" s="185" t="str">
        <f>_xlfn.IFNA(VLOOKUP($AH125,Programma!$F$3:$N$1101,9,0),"")</f>
        <v>_</v>
      </c>
      <c r="AQ125" s="185" t="str">
        <f>_xlfn.IFNA(VLOOKUP($AH125,Programma!$F$3:$O$1101,10,0),"")</f>
        <v>5w</v>
      </c>
      <c r="AR125" s="185" t="str">
        <f>_xlfn.IFNA(VLOOKUP($AH125,Programma!$F$3:$P$1101,11,0),"")</f>
        <v>5w</v>
      </c>
      <c r="AS125" s="185" t="str">
        <f>_xlfn.IFNA(VLOOKUP($AH125,Programma!$F$3:$Q$1101,12,0),"")</f>
        <v>1w</v>
      </c>
      <c r="AT125" s="185" t="str">
        <f>_xlfn.IFNA(VLOOKUP($AH125,Programma!$F$3:$R$1101,13,0),"")</f>
        <v>1w</v>
      </c>
      <c r="AU125" s="185" t="str">
        <f>_xlfn.IFNA(VLOOKUP($AH125,Programma!$F$3:$S$1101,14,0),"")</f>
        <v>1m</v>
      </c>
      <c r="AV125" s="185" t="str">
        <f>_xlfn.IFNA(VLOOKUP($AH125,Programma!$F$3:$T$1101,15,0),"")</f>
        <v>2j</v>
      </c>
      <c r="AW125" s="185" t="str">
        <f>_xlfn.IFNA(VLOOKUP($AH125,Programma!$F$3:$U$1101,16,0),"")</f>
        <v>1j</v>
      </c>
      <c r="AX125" s="185" t="str">
        <f>_xlfn.IFNA(VLOOKUP($AH125,Programma!$F$3:$V$1101,17,0),"")</f>
        <v>_</v>
      </c>
      <c r="AY125" s="185" t="str">
        <f>_xlfn.IFNA(VLOOKUP($AH125,Programma!$F$3:$W$1101,18,0),"")</f>
        <v>_</v>
      </c>
      <c r="AZ125" s="185" t="str">
        <f>_xlfn.IFNA(VLOOKUP($AH125,Programma!$F$3:$X$1101,19,0),"")</f>
        <v>_</v>
      </c>
      <c r="BA125" s="185" t="str">
        <f>_xlfn.IFNA(VLOOKUP($AH125,Programma!$F$3:$Y$1101,20,0),"")</f>
        <v>_</v>
      </c>
      <c r="BB125" s="182"/>
      <c r="BC125" s="181" t="str">
        <f>IF(Ruimtestaat[[#This Row],[Frequentie weekend]]="","",_xlfn.CONCAT(Ruimtestaat[[#This Row],[Ruimte code]],"-",Ruimtestaat[[#This Row],[Frequentie weekend]]," ",Ruimtestaat[[#This Row],[Vloer code]]))</f>
        <v/>
      </c>
      <c r="BD125" s="185" t="str">
        <f>_xlfn.IFNA(VLOOKUP($BC125,Programma!$F$3:$G$1101,2,0),"")</f>
        <v/>
      </c>
      <c r="BE125" s="185" t="str">
        <f>_xlfn.IFNA(VLOOKUP($BC125,Programma!$F$3:$H$1101,3,0),"")</f>
        <v/>
      </c>
      <c r="BF125" s="185" t="str">
        <f>_xlfn.IFNA(VLOOKUP($BC125,Programma!$F$3:$I$1101,4,0),"")</f>
        <v/>
      </c>
      <c r="BG125" s="185" t="str">
        <f>_xlfn.IFNA(VLOOKUP($BC125,Programma!$F$3:$J$1101,5,0),"")</f>
        <v/>
      </c>
      <c r="BH125" s="185" t="str">
        <f>_xlfn.IFNA(VLOOKUP($BC125,Programma!$F$3:$K$1101,6,0),"")</f>
        <v/>
      </c>
      <c r="BI125" s="185" t="str">
        <f>_xlfn.IFNA(VLOOKUP($BC125,Programma!$F$3:$L$1101,7,0),"")</f>
        <v/>
      </c>
      <c r="BJ125" s="185" t="str">
        <f>_xlfn.IFNA(VLOOKUP($BC125,Programma!$F$3:$M$1101,8,0),"")</f>
        <v/>
      </c>
      <c r="BK125" s="185" t="str">
        <f>_xlfn.IFNA(VLOOKUP($BC125,Programma!$F$3:$N$1101,9,0),"")</f>
        <v/>
      </c>
      <c r="BL125" s="185" t="str">
        <f>_xlfn.IFNA(VLOOKUP($BC125,Programma!$F$3:$O$1101,10,0),"")</f>
        <v/>
      </c>
      <c r="BM125" s="185" t="str">
        <f>_xlfn.IFNA(VLOOKUP($BC125,Programma!$F$3:$P$1101,11,0),"")</f>
        <v/>
      </c>
      <c r="BN125" s="185" t="str">
        <f>_xlfn.IFNA(VLOOKUP($BC125,Programma!$F$3:$Q$1101,12,0),"")</f>
        <v/>
      </c>
      <c r="BO125" s="185" t="str">
        <f>_xlfn.IFNA(VLOOKUP($BC125,Programma!$F$3:$R$1101,13,0),"")</f>
        <v/>
      </c>
      <c r="BP125" s="185" t="str">
        <f>_xlfn.IFNA(VLOOKUP($BC125,Programma!$F$3:$S$1101,14,0),"")</f>
        <v/>
      </c>
      <c r="BQ125" s="185" t="str">
        <f>_xlfn.IFNA(VLOOKUP($BC125,Programma!$F$3:$T$1101,15,0),"")</f>
        <v/>
      </c>
      <c r="BR125" s="185" t="str">
        <f>_xlfn.IFNA(VLOOKUP($BC125,Programma!$F$3:$U$1101,16,0),"")</f>
        <v/>
      </c>
      <c r="BS125" s="185" t="str">
        <f>_xlfn.IFNA(VLOOKUP($BC125,Programma!$F$3:$V$1101,17,0),"")</f>
        <v/>
      </c>
      <c r="BT125" s="185" t="str">
        <f>_xlfn.IFNA(VLOOKUP($BC125,Programma!$F$3:$W$1101,18,0),"")</f>
        <v/>
      </c>
      <c r="BU125" s="185" t="str">
        <f>_xlfn.IFNA(VLOOKUP($BC125,Programma!$F$3:$X$1101,19,0),"")</f>
        <v/>
      </c>
      <c r="BV125" s="185" t="str">
        <f>_xlfn.IFNA(VLOOKUP($BC125,Programma!$F$3:$Y$1101,20,0),"")</f>
        <v/>
      </c>
      <c r="BW125" s="78"/>
      <c r="BX125" s="78"/>
      <c r="BY125" s="78"/>
      <c r="BZ125" s="78"/>
      <c r="CA125" s="78"/>
      <c r="CB125" s="78"/>
      <c r="CC125" s="78"/>
      <c r="CD125" s="78"/>
      <c r="CE125" s="78"/>
      <c r="CF125" s="78"/>
      <c r="CG125" s="78"/>
      <c r="CH125" s="78"/>
      <c r="CI125" s="78"/>
      <c r="CJ125" s="78"/>
      <c r="CK125" s="78"/>
      <c r="CL125" s="78"/>
      <c r="CM125" s="78"/>
      <c r="CN125" s="78"/>
      <c r="CO125" s="78"/>
      <c r="CP125" s="78"/>
      <c r="CQ125" s="78"/>
      <c r="CR125" s="78"/>
      <c r="CS125" s="78"/>
      <c r="CT125" s="78"/>
      <c r="CU125" s="78"/>
      <c r="CV125" s="78"/>
      <c r="CW125" s="78"/>
      <c r="CX125" s="78"/>
      <c r="CY125" s="78"/>
      <c r="CZ125" s="78"/>
      <c r="DA125" s="78"/>
      <c r="DB125" s="78"/>
      <c r="DC125" s="78"/>
      <c r="DD125" s="78"/>
      <c r="DE125" s="78"/>
      <c r="DF125" s="78"/>
      <c r="DG125" s="78"/>
      <c r="DH125" s="78"/>
      <c r="DI125" s="78"/>
      <c r="DJ125" s="78"/>
      <c r="DK125" s="78"/>
      <c r="DL125" s="78"/>
      <c r="DM125" s="78"/>
      <c r="DN125" s="78"/>
      <c r="DO125" s="78"/>
      <c r="DP125" s="78"/>
      <c r="DQ125" s="78"/>
      <c r="DR125" s="78"/>
      <c r="DS125" s="78"/>
      <c r="DT125" s="78"/>
      <c r="DU125" s="78"/>
      <c r="DV125" s="78"/>
      <c r="DW125" s="78"/>
      <c r="DX125" s="78"/>
      <c r="DY125" s="78"/>
      <c r="DZ125" s="78"/>
      <c r="EA125" s="78"/>
      <c r="EB125" s="78"/>
      <c r="EC125" s="78"/>
      <c r="ED125" s="78"/>
      <c r="EE125" s="78"/>
      <c r="EF125" s="78"/>
      <c r="EG125" s="78"/>
      <c r="EH125" s="78"/>
      <c r="EI125" s="78"/>
      <c r="EJ125" s="78"/>
      <c r="EK125" s="78"/>
      <c r="EL125" s="78"/>
      <c r="EM125" s="78"/>
      <c r="EN125" s="78"/>
      <c r="EO125" s="78"/>
      <c r="EP125" s="78"/>
      <c r="EQ125" s="78"/>
      <c r="ER125" s="78"/>
      <c r="ES125" s="78"/>
      <c r="ET125" s="78"/>
      <c r="EU125" s="78"/>
      <c r="EV125" s="78"/>
      <c r="EW125" s="78"/>
      <c r="EX125" s="78"/>
      <c r="EY125" s="78"/>
      <c r="EZ125" s="78"/>
      <c r="FA125" s="78"/>
      <c r="FB125" s="78"/>
      <c r="FC125" s="78"/>
      <c r="FD125" s="78"/>
      <c r="FE125" s="78"/>
      <c r="FF125" s="78"/>
      <c r="FG125" s="78"/>
      <c r="FH125" s="78"/>
      <c r="FI125" s="78"/>
      <c r="FJ125" s="78"/>
      <c r="FK125" s="78"/>
      <c r="FL125" s="78"/>
      <c r="FM125" s="78"/>
      <c r="FN125" s="78"/>
      <c r="FO125" s="78"/>
      <c r="FP125" s="78"/>
      <c r="FQ125" s="78"/>
      <c r="FR125" s="78"/>
      <c r="FS125" s="78"/>
      <c r="FT125" s="78"/>
      <c r="FU125" s="78"/>
      <c r="FV125" s="78"/>
      <c r="FW125" s="78"/>
      <c r="FX125" s="78"/>
      <c r="FY125" s="78"/>
      <c r="FZ125" s="78"/>
      <c r="GA125" s="78"/>
      <c r="GB125" s="78"/>
      <c r="GC125" s="78"/>
      <c r="GD125" s="78"/>
      <c r="GE125" s="78"/>
      <c r="GF125" s="78"/>
      <c r="GG125" s="78"/>
      <c r="GH125" s="78"/>
      <c r="GI125" s="78"/>
      <c r="GJ125" s="78"/>
      <c r="GK125" s="78"/>
      <c r="GL125" s="78"/>
      <c r="GM125" s="78"/>
      <c r="GN125" s="78"/>
      <c r="GO125" s="78"/>
      <c r="GP125" s="78"/>
      <c r="GQ125" s="78"/>
      <c r="GR125" s="78"/>
      <c r="GS125" s="78"/>
      <c r="GT125" s="78"/>
      <c r="GU125" s="78"/>
      <c r="GV125" s="78"/>
      <c r="GW125" s="78"/>
      <c r="GX125" s="78"/>
      <c r="GY125" s="78"/>
      <c r="GZ125" s="78"/>
      <c r="HA125" s="78"/>
      <c r="HB125" s="78"/>
      <c r="HC125" s="78"/>
      <c r="HD125" s="78"/>
      <c r="HE125" s="78"/>
      <c r="HF125" s="78"/>
      <c r="HG125" s="78"/>
      <c r="HH125" s="78"/>
      <c r="HI125" s="78"/>
      <c r="HJ125" s="78"/>
      <c r="HK125" s="78"/>
    </row>
    <row r="126" spans="1:219" ht="15" customHeight="1">
      <c r="A126" s="149">
        <v>5</v>
      </c>
      <c r="B126" s="176" t="str">
        <f>VLOOKUP(Ruimtestaat[[#This Row],[Code]],Locaties[[Code]:[Locatie]],2,FALSE)</f>
        <v>OBS Harry Bannink</v>
      </c>
      <c r="C126" s="176" t="str">
        <f>VLOOKUP(Ruimtestaat[[#This Row],[Code]],Locaties[[#All],[Code]:[Adres]],4,FALSE)</f>
        <v>Het Bijvank 111</v>
      </c>
      <c r="D126" s="176" t="str">
        <f>VLOOKUP(Ruimtestaat[[#This Row],[Code]],Locaties[[#All],[Code]:[Postcode]],5,FALSE)</f>
        <v>7544 DA</v>
      </c>
      <c r="E126" s="176" t="str">
        <f>VLOOKUP(Ruimtestaat[[#This Row],[Code]],Locaties[#All],6,FALSE)</f>
        <v>Enschede</v>
      </c>
      <c r="F126" s="149"/>
      <c r="G126" s="149" t="s">
        <v>1646</v>
      </c>
      <c r="H126" s="300" t="s">
        <v>1647</v>
      </c>
      <c r="I126" s="301" t="s">
        <v>38</v>
      </c>
      <c r="J126" s="99">
        <v>7</v>
      </c>
      <c r="K126" s="183" t="str">
        <f>VLOOKUP(Ruimtestaat[[#This Row],[Ruimte code]],Ruimtegroepen[[#All],[Code]:[Ruimte omschrijving]],2,FALSE)</f>
        <v>Entree</v>
      </c>
      <c r="L126" s="149" t="s">
        <v>99</v>
      </c>
      <c r="M126" s="301" t="s">
        <v>36</v>
      </c>
      <c r="N126" s="177">
        <v>10</v>
      </c>
      <c r="O126" s="177"/>
      <c r="P126" s="178" t="str">
        <f>VLOOKUP(Ruimtestaat[[#This Row],[Ruimte code]],Ruimtegroepen[],4,FALSE)</f>
        <v>Ve</v>
      </c>
      <c r="Q126" s="149">
        <v>40</v>
      </c>
      <c r="R126" s="149" t="s">
        <v>2</v>
      </c>
      <c r="S126" s="149">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6" s="149">
        <f>IF(S126&gt;0,VLOOKUP($J126,Ruimtegroepen[],3,FALSE)*VLOOKUP($L126,Vloersoorten[],3,FALSE)*VLOOKUP($R126,Frequenties[],3,FALSE)*VLOOKUP($A126,Locaties[],3,FALSE),0)</f>
        <v>0</v>
      </c>
      <c r="U126" s="149">
        <f>Ruimtestaat[[#This Row],[Uitvoeringen werkdagen]]*Ruimtestaat[[#This Row],[Oppervlak (netto)]]</f>
        <v>2000</v>
      </c>
      <c r="V126" s="179">
        <f>IF(T126&gt;0,Ruimtestaat[[#This Row],[Prest. (m2 /jaar) werkdagen]]/Ruimtestaat[[#This Row],[Norm (m2/uur) werkdagen]],0)</f>
        <v>0</v>
      </c>
      <c r="W126" s="180">
        <f>Ruimtestaat[[#This Row],[uren / jaar werkdagen]]*Tariefsopbouw!$E$35</f>
        <v>0</v>
      </c>
      <c r="X126" s="149"/>
      <c r="Y126" s="149">
        <f>IF(Ruimtestaat[[#This Row],[Frequentie weekend]]&gt;0,VALUE(LEFT(X126,1))*Q126,0)</f>
        <v>0</v>
      </c>
      <c r="Z126" s="148">
        <f>IF($Y126&gt;0,VLOOKUP($J126,Ruimtegroepen[],3,FALSE)*VLOOKUP($L126,Vloersoorten[],3,FALSE)*VLOOKUP($X126,Frequenties[],3,FALSE)*VLOOKUP(Ruimtestaat[[#This Row],[Code]],Locaties[],3,FALSE),0)</f>
        <v>0</v>
      </c>
      <c r="AA126" s="148">
        <f>Ruimtestaat[[#This Row],[Uitvoeringen weekend]]*Ruimtestaat[[#This Row],[Oppervlak (netto)]]</f>
        <v>0</v>
      </c>
      <c r="AB126" s="148">
        <f>IF(Z126&gt;0,Ruimtestaat[[#This Row],[Prest. (m2 /jaar) weekend]]/Ruimtestaat[[#This Row],[Norm (m2/uur) weekend]],0)</f>
        <v>0</v>
      </c>
      <c r="AC126" s="180">
        <f>Ruimtestaat[[#This Row],[uren / jaar weekend]]*Tariefsopbouw!$D$40</f>
        <v>0</v>
      </c>
      <c r="AD126" s="179">
        <f>Ruimtestaat[[#This Row],[Prest. (m2 /jaar) weekend]]+Ruimtestaat[[#This Row],[Prest. (m2 /jaar) werkdagen]]</f>
        <v>2000</v>
      </c>
      <c r="AE126" s="179">
        <f>Ruimtestaat[[#This Row],[uren / jaar weekend]]+Ruimtestaat[[#This Row],[uren / jaar werkdagen]]</f>
        <v>0</v>
      </c>
      <c r="AF126" s="174">
        <f>Ruimtestaat[[#This Row],[kosten / jaar weekend]]+Ruimtestaat[[#This Row],[kosten / jaar werkdagen]]</f>
        <v>0</v>
      </c>
      <c r="AG126" s="174"/>
      <c r="AH126" s="181" t="str">
        <f>IF(Ruimtestaat[[#This Row],[Frequentie werkdagen]]="","",_xlfn.CONCAT(Ruimtestaat[[#This Row],[Ruimte code]],"-",Ruimtestaat[[#This Row],[Frequentie werkdagen]]," ",Ruimtestaat[[#This Row],[Vloer code]]))</f>
        <v>7-5w T</v>
      </c>
      <c r="AI126" s="185" t="str">
        <f>_xlfn.IFNA(VLOOKUP($AH126,Programma!$F$3:$G$1101,2,0),"")</f>
        <v>_</v>
      </c>
      <c r="AJ126" s="185" t="str">
        <f>_xlfn.IFNA(VLOOKUP($AH126,Programma!$F$3:$H$1101,3,0),"")</f>
        <v>5w</v>
      </c>
      <c r="AK126" s="185" t="str">
        <f>_xlfn.IFNA(VLOOKUP($AH126,Programma!$F$3:$I$1101,4,0),"")</f>
        <v>_</v>
      </c>
      <c r="AL126" s="185" t="str">
        <f>_xlfn.IFNA(VLOOKUP($AH126,Programma!$F$3:$J$1101,5,0),"")</f>
        <v>_</v>
      </c>
      <c r="AM126" s="185" t="str">
        <f>_xlfn.IFNA(VLOOKUP($AH126,Programma!$F$3:$K$1101,6,0),"")</f>
        <v>_</v>
      </c>
      <c r="AN126" s="185" t="str">
        <f>_xlfn.IFNA(VLOOKUP($AH126,Programma!$F$3:$L$1101,7,0),"")</f>
        <v>_</v>
      </c>
      <c r="AO126" s="185" t="str">
        <f>_xlfn.IFNA(VLOOKUP($AH126,Programma!$F$3:$M$1101,8,0),"")</f>
        <v>_</v>
      </c>
      <c r="AP126" s="185" t="str">
        <f>_xlfn.IFNA(VLOOKUP($AH126,Programma!$F$3:$N$1101,9,0),"")</f>
        <v>_</v>
      </c>
      <c r="AQ126" s="185" t="str">
        <f>_xlfn.IFNA(VLOOKUP($AH126,Programma!$F$3:$O$1101,10,0),"")</f>
        <v>5w</v>
      </c>
      <c r="AR126" s="185" t="str">
        <f>_xlfn.IFNA(VLOOKUP($AH126,Programma!$F$3:$P$1101,11,0),"")</f>
        <v>5w</v>
      </c>
      <c r="AS126" s="185" t="str">
        <f>_xlfn.IFNA(VLOOKUP($AH126,Programma!$F$3:$Q$1101,12,0),"")</f>
        <v>1w</v>
      </c>
      <c r="AT126" s="185" t="str">
        <f>_xlfn.IFNA(VLOOKUP($AH126,Programma!$F$3:$R$1101,13,0),"")</f>
        <v>1w</v>
      </c>
      <c r="AU126" s="185" t="str">
        <f>_xlfn.IFNA(VLOOKUP($AH126,Programma!$F$3:$S$1101,14,0),"")</f>
        <v>1m</v>
      </c>
      <c r="AV126" s="185" t="str">
        <f>_xlfn.IFNA(VLOOKUP($AH126,Programma!$F$3:$T$1101,15,0),"")</f>
        <v>2j</v>
      </c>
      <c r="AW126" s="185" t="str">
        <f>_xlfn.IFNA(VLOOKUP($AH126,Programma!$F$3:$U$1101,16,0),"")</f>
        <v>1j</v>
      </c>
      <c r="AX126" s="185" t="str">
        <f>_xlfn.IFNA(VLOOKUP($AH126,Programma!$F$3:$V$1101,17,0),"")</f>
        <v>_</v>
      </c>
      <c r="AY126" s="185" t="str">
        <f>_xlfn.IFNA(VLOOKUP($AH126,Programma!$F$3:$W$1101,18,0),"")</f>
        <v>_</v>
      </c>
      <c r="AZ126" s="185" t="str">
        <f>_xlfn.IFNA(VLOOKUP($AH126,Programma!$F$3:$X$1101,19,0),"")</f>
        <v>_</v>
      </c>
      <c r="BA126" s="185" t="str">
        <f>_xlfn.IFNA(VLOOKUP($AH126,Programma!$F$3:$Y$1101,20,0),"")</f>
        <v>_</v>
      </c>
      <c r="BB126" s="182"/>
      <c r="BC126" s="181" t="str">
        <f>IF(Ruimtestaat[[#This Row],[Frequentie weekend]]="","",_xlfn.CONCAT(Ruimtestaat[[#This Row],[Ruimte code]],"-",Ruimtestaat[[#This Row],[Frequentie weekend]]," ",Ruimtestaat[[#This Row],[Vloer code]]))</f>
        <v/>
      </c>
      <c r="BD126" s="185" t="str">
        <f>_xlfn.IFNA(VLOOKUP($BC126,Programma!$F$3:$G$1101,2,0),"")</f>
        <v/>
      </c>
      <c r="BE126" s="185" t="str">
        <f>_xlfn.IFNA(VLOOKUP($BC126,Programma!$F$3:$H$1101,3,0),"")</f>
        <v/>
      </c>
      <c r="BF126" s="185" t="str">
        <f>_xlfn.IFNA(VLOOKUP($BC126,Programma!$F$3:$I$1101,4,0),"")</f>
        <v/>
      </c>
      <c r="BG126" s="185" t="str">
        <f>_xlfn.IFNA(VLOOKUP($BC126,Programma!$F$3:$J$1101,5,0),"")</f>
        <v/>
      </c>
      <c r="BH126" s="185" t="str">
        <f>_xlfn.IFNA(VLOOKUP($BC126,Programma!$F$3:$K$1101,6,0),"")</f>
        <v/>
      </c>
      <c r="BI126" s="185" t="str">
        <f>_xlfn.IFNA(VLOOKUP($BC126,Programma!$F$3:$L$1101,7,0),"")</f>
        <v/>
      </c>
      <c r="BJ126" s="185" t="str">
        <f>_xlfn.IFNA(VLOOKUP($BC126,Programma!$F$3:$M$1101,8,0),"")</f>
        <v/>
      </c>
      <c r="BK126" s="185" t="str">
        <f>_xlfn.IFNA(VLOOKUP($BC126,Programma!$F$3:$N$1101,9,0),"")</f>
        <v/>
      </c>
      <c r="BL126" s="185" t="str">
        <f>_xlfn.IFNA(VLOOKUP($BC126,Programma!$F$3:$O$1101,10,0),"")</f>
        <v/>
      </c>
      <c r="BM126" s="185" t="str">
        <f>_xlfn.IFNA(VLOOKUP($BC126,Programma!$F$3:$P$1101,11,0),"")</f>
        <v/>
      </c>
      <c r="BN126" s="185" t="str">
        <f>_xlfn.IFNA(VLOOKUP($BC126,Programma!$F$3:$Q$1101,12,0),"")</f>
        <v/>
      </c>
      <c r="BO126" s="185" t="str">
        <f>_xlfn.IFNA(VLOOKUP($BC126,Programma!$F$3:$R$1101,13,0),"")</f>
        <v/>
      </c>
      <c r="BP126" s="185" t="str">
        <f>_xlfn.IFNA(VLOOKUP($BC126,Programma!$F$3:$S$1101,14,0),"")</f>
        <v/>
      </c>
      <c r="BQ126" s="185" t="str">
        <f>_xlfn.IFNA(VLOOKUP($BC126,Programma!$F$3:$T$1101,15,0),"")</f>
        <v/>
      </c>
      <c r="BR126" s="185" t="str">
        <f>_xlfn.IFNA(VLOOKUP($BC126,Programma!$F$3:$U$1101,16,0),"")</f>
        <v/>
      </c>
      <c r="BS126" s="185" t="str">
        <f>_xlfn.IFNA(VLOOKUP($BC126,Programma!$F$3:$V$1101,17,0),"")</f>
        <v/>
      </c>
      <c r="BT126" s="185" t="str">
        <f>_xlfn.IFNA(VLOOKUP($BC126,Programma!$F$3:$W$1101,18,0),"")</f>
        <v/>
      </c>
      <c r="BU126" s="185" t="str">
        <f>_xlfn.IFNA(VLOOKUP($BC126,Programma!$F$3:$X$1101,19,0),"")</f>
        <v/>
      </c>
      <c r="BV126" s="185" t="str">
        <f>_xlfn.IFNA(VLOOKUP($BC126,Programma!$F$3:$Y$1101,20,0),"")</f>
        <v/>
      </c>
      <c r="BW126" s="78"/>
      <c r="BX126" s="78"/>
      <c r="BY126" s="78"/>
      <c r="BZ126" s="78"/>
      <c r="CA126" s="78"/>
      <c r="CB126" s="78"/>
      <c r="CC126" s="78"/>
      <c r="CD126" s="78"/>
      <c r="CE126" s="78"/>
      <c r="CF126" s="78"/>
      <c r="CG126" s="78"/>
      <c r="CH126" s="78"/>
      <c r="CI126" s="78"/>
      <c r="CJ126" s="78"/>
      <c r="CK126" s="78"/>
      <c r="CL126" s="78"/>
      <c r="CM126" s="78"/>
      <c r="CN126" s="78"/>
      <c r="CO126" s="78"/>
      <c r="CP126" s="78"/>
      <c r="CQ126" s="78"/>
      <c r="CR126" s="78"/>
      <c r="CS126" s="78"/>
      <c r="CT126" s="78"/>
      <c r="CU126" s="78"/>
      <c r="CV126" s="78"/>
      <c r="CW126" s="78"/>
      <c r="CX126" s="78"/>
      <c r="CY126" s="78"/>
      <c r="CZ126" s="78"/>
      <c r="DA126" s="78"/>
      <c r="DB126" s="78"/>
      <c r="DC126" s="78"/>
      <c r="DD126" s="78"/>
      <c r="DE126" s="78"/>
      <c r="DF126" s="78"/>
      <c r="DG126" s="78"/>
      <c r="DH126" s="78"/>
      <c r="DI126" s="78"/>
      <c r="DJ126" s="78"/>
      <c r="DK126" s="78"/>
      <c r="DL126" s="78"/>
      <c r="DM126" s="78"/>
      <c r="DN126" s="78"/>
      <c r="DO126" s="78"/>
      <c r="DP126" s="78"/>
      <c r="DQ126" s="78"/>
      <c r="DR126" s="78"/>
      <c r="DS126" s="78"/>
      <c r="DT126" s="78"/>
      <c r="DU126" s="78"/>
      <c r="DV126" s="78"/>
      <c r="DW126" s="78"/>
      <c r="DX126" s="78"/>
      <c r="DY126" s="78"/>
      <c r="DZ126" s="78"/>
      <c r="EA126" s="78"/>
      <c r="EB126" s="78"/>
      <c r="EC126" s="78"/>
      <c r="ED126" s="78"/>
      <c r="EE126" s="78"/>
      <c r="EF126" s="78"/>
      <c r="EG126" s="78"/>
      <c r="EH126" s="78"/>
      <c r="EI126" s="78"/>
      <c r="EJ126" s="78"/>
      <c r="EK126" s="78"/>
      <c r="EL126" s="78"/>
      <c r="EM126" s="78"/>
      <c r="EN126" s="78"/>
      <c r="EO126" s="78"/>
      <c r="EP126" s="78"/>
      <c r="EQ126" s="78"/>
      <c r="ER126" s="78"/>
      <c r="ES126" s="78"/>
      <c r="ET126" s="78"/>
      <c r="EU126" s="78"/>
      <c r="EV126" s="78"/>
      <c r="EW126" s="78"/>
      <c r="EX126" s="78"/>
      <c r="EY126" s="78"/>
      <c r="EZ126" s="78"/>
      <c r="FA126" s="78"/>
      <c r="FB126" s="78"/>
      <c r="FC126" s="78"/>
      <c r="FD126" s="78"/>
      <c r="FE126" s="78"/>
      <c r="FF126" s="78"/>
      <c r="FG126" s="78"/>
      <c r="FH126" s="78"/>
      <c r="FI126" s="78"/>
      <c r="FJ126" s="78"/>
      <c r="FK126" s="78"/>
      <c r="FL126" s="78"/>
      <c r="FM126" s="78"/>
      <c r="FN126" s="78"/>
      <c r="FO126" s="78"/>
      <c r="FP126" s="78"/>
      <c r="FQ126" s="78"/>
      <c r="FR126" s="78"/>
      <c r="FS126" s="78"/>
      <c r="FT126" s="78"/>
      <c r="FU126" s="78"/>
      <c r="FV126" s="78"/>
      <c r="FW126" s="78"/>
      <c r="FX126" s="78"/>
      <c r="FY126" s="78"/>
      <c r="FZ126" s="78"/>
      <c r="GA126" s="78"/>
      <c r="GB126" s="78"/>
      <c r="GC126" s="78"/>
      <c r="GD126" s="78"/>
      <c r="GE126" s="78"/>
      <c r="GF126" s="78"/>
      <c r="GG126" s="78"/>
      <c r="GH126" s="78"/>
      <c r="GI126" s="78"/>
      <c r="GJ126" s="78"/>
      <c r="GK126" s="78"/>
      <c r="GL126" s="78"/>
      <c r="GM126" s="78"/>
      <c r="GN126" s="78"/>
      <c r="GO126" s="78"/>
      <c r="GP126" s="78"/>
      <c r="GQ126" s="78"/>
      <c r="GR126" s="78"/>
      <c r="GS126" s="78"/>
      <c r="GT126" s="78"/>
      <c r="GU126" s="78"/>
      <c r="GV126" s="78"/>
      <c r="GW126" s="78"/>
      <c r="GX126" s="78"/>
      <c r="GY126" s="78"/>
      <c r="GZ126" s="78"/>
      <c r="HA126" s="78"/>
      <c r="HB126" s="78"/>
      <c r="HC126" s="78"/>
      <c r="HD126" s="78"/>
      <c r="HE126" s="78"/>
      <c r="HF126" s="78"/>
      <c r="HG126" s="78"/>
      <c r="HH126" s="78"/>
      <c r="HI126" s="78"/>
      <c r="HJ126" s="78"/>
      <c r="HK126" s="78"/>
    </row>
    <row r="127" spans="1:219" ht="15" customHeight="1">
      <c r="A127" s="149">
        <v>5</v>
      </c>
      <c r="B127" s="176" t="str">
        <f>VLOOKUP(Ruimtestaat[[#This Row],[Code]],Locaties[[Code]:[Locatie]],2,FALSE)</f>
        <v>OBS Harry Bannink</v>
      </c>
      <c r="C127" s="176" t="str">
        <f>VLOOKUP(Ruimtestaat[[#This Row],[Code]],Locaties[[#All],[Code]:[Adres]],4,FALSE)</f>
        <v>Het Bijvank 111</v>
      </c>
      <c r="D127" s="176" t="str">
        <f>VLOOKUP(Ruimtestaat[[#This Row],[Code]],Locaties[[#All],[Code]:[Postcode]],5,FALSE)</f>
        <v>7544 DA</v>
      </c>
      <c r="E127" s="176" t="str">
        <f>VLOOKUP(Ruimtestaat[[#This Row],[Code]],Locaties[#All],6,FALSE)</f>
        <v>Enschede</v>
      </c>
      <c r="F127" s="149"/>
      <c r="G127" s="149" t="s">
        <v>1646</v>
      </c>
      <c r="H127" s="300" t="s">
        <v>1648</v>
      </c>
      <c r="I127" s="301" t="s">
        <v>1683</v>
      </c>
      <c r="J127" s="99">
        <v>20</v>
      </c>
      <c r="K127" s="183" t="str">
        <f>VLOOKUP(Ruimtestaat[[#This Row],[Ruimte code]],Ruimtegroepen[[#All],[Code]:[Ruimte omschrijving]],2,FALSE)</f>
        <v>Niet in Onderhoud</v>
      </c>
      <c r="L127" s="149"/>
      <c r="M127" s="301"/>
      <c r="N127" s="177"/>
      <c r="O127" s="177">
        <v>0</v>
      </c>
      <c r="P127" s="178">
        <f>VLOOKUP(Ruimtestaat[[#This Row],[Ruimte code]],Ruimtegroepen[],4,FALSE)</f>
        <v>0</v>
      </c>
      <c r="Q127" s="149"/>
      <c r="R127" s="149"/>
      <c r="S127" s="149">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7" s="149">
        <f>IF(S127&gt;0,VLOOKUP($J127,Ruimtegroepen[],3,FALSE)*VLOOKUP($L127,Vloersoorten[],3,FALSE)*VLOOKUP($R127,Frequenties[],3,FALSE)*VLOOKUP($A127,Locaties[],3,FALSE),0)</f>
        <v>0</v>
      </c>
      <c r="U127" s="149">
        <f>Ruimtestaat[[#This Row],[Uitvoeringen werkdagen]]*Ruimtestaat[[#This Row],[Oppervlak (netto)]]</f>
        <v>0</v>
      </c>
      <c r="V127" s="179">
        <f>IF(T127&gt;0,Ruimtestaat[[#This Row],[Prest. (m2 /jaar) werkdagen]]/Ruimtestaat[[#This Row],[Norm (m2/uur) werkdagen]],0)</f>
        <v>0</v>
      </c>
      <c r="W127" s="180">
        <f>Ruimtestaat[[#This Row],[uren / jaar werkdagen]]*Tariefsopbouw!$E$35</f>
        <v>0</v>
      </c>
      <c r="X127" s="149"/>
      <c r="Y127" s="149">
        <f>IF(Ruimtestaat[[#This Row],[Frequentie weekend]]&gt;0,VALUE(LEFT(X127,1))*Q127,0)</f>
        <v>0</v>
      </c>
      <c r="Z127" s="148">
        <f>IF($Y127&gt;0,VLOOKUP($J127,Ruimtegroepen[],3,FALSE)*VLOOKUP($L127,Vloersoorten[],3,FALSE)*VLOOKUP($X127,Frequenties[],3,FALSE)*VLOOKUP(Ruimtestaat[[#This Row],[Code]],Locaties[],3,FALSE),0)</f>
        <v>0</v>
      </c>
      <c r="AA127" s="148">
        <f>Ruimtestaat[[#This Row],[Uitvoeringen weekend]]*Ruimtestaat[[#This Row],[Oppervlak (netto)]]</f>
        <v>0</v>
      </c>
      <c r="AB127" s="148">
        <f>IF(Z127&gt;0,Ruimtestaat[[#This Row],[Prest. (m2 /jaar) weekend]]/Ruimtestaat[[#This Row],[Norm (m2/uur) weekend]],0)</f>
        <v>0</v>
      </c>
      <c r="AC127" s="180">
        <f>Ruimtestaat[[#This Row],[uren / jaar weekend]]*Tariefsopbouw!$D$40</f>
        <v>0</v>
      </c>
      <c r="AD127" s="179">
        <f>Ruimtestaat[[#This Row],[Prest. (m2 /jaar) weekend]]+Ruimtestaat[[#This Row],[Prest. (m2 /jaar) werkdagen]]</f>
        <v>0</v>
      </c>
      <c r="AE127" s="179">
        <f>Ruimtestaat[[#This Row],[uren / jaar weekend]]+Ruimtestaat[[#This Row],[uren / jaar werkdagen]]</f>
        <v>0</v>
      </c>
      <c r="AF127" s="174">
        <f>Ruimtestaat[[#This Row],[kosten / jaar weekend]]+Ruimtestaat[[#This Row],[kosten / jaar werkdagen]]</f>
        <v>0</v>
      </c>
      <c r="AG127" s="174"/>
      <c r="AH127" s="181" t="str">
        <f>IF(Ruimtestaat[[#This Row],[Frequentie werkdagen]]="","",_xlfn.CONCAT(Ruimtestaat[[#This Row],[Ruimte code]],"-",Ruimtestaat[[#This Row],[Frequentie werkdagen]]," ",Ruimtestaat[[#This Row],[Vloer code]]))</f>
        <v/>
      </c>
      <c r="AI127" s="185" t="str">
        <f>_xlfn.IFNA(VLOOKUP($AH127,Programma!$F$3:$G$1101,2,0),"")</f>
        <v/>
      </c>
      <c r="AJ127" s="185" t="str">
        <f>_xlfn.IFNA(VLOOKUP($AH127,Programma!$F$3:$H$1101,3,0),"")</f>
        <v/>
      </c>
      <c r="AK127" s="185" t="str">
        <f>_xlfn.IFNA(VLOOKUP($AH127,Programma!$F$3:$I$1101,4,0),"")</f>
        <v/>
      </c>
      <c r="AL127" s="185" t="str">
        <f>_xlfn.IFNA(VLOOKUP($AH127,Programma!$F$3:$J$1101,5,0),"")</f>
        <v/>
      </c>
      <c r="AM127" s="185" t="str">
        <f>_xlfn.IFNA(VLOOKUP($AH127,Programma!$F$3:$K$1101,6,0),"")</f>
        <v/>
      </c>
      <c r="AN127" s="185" t="str">
        <f>_xlfn.IFNA(VLOOKUP($AH127,Programma!$F$3:$L$1101,7,0),"")</f>
        <v/>
      </c>
      <c r="AO127" s="185" t="str">
        <f>_xlfn.IFNA(VLOOKUP($AH127,Programma!$F$3:$M$1101,8,0),"")</f>
        <v/>
      </c>
      <c r="AP127" s="185" t="str">
        <f>_xlfn.IFNA(VLOOKUP($AH127,Programma!$F$3:$N$1101,9,0),"")</f>
        <v/>
      </c>
      <c r="AQ127" s="185" t="str">
        <f>_xlfn.IFNA(VLOOKUP($AH127,Programma!$F$3:$O$1101,10,0),"")</f>
        <v/>
      </c>
      <c r="AR127" s="185" t="str">
        <f>_xlfn.IFNA(VLOOKUP($AH127,Programma!$F$3:$P$1101,11,0),"")</f>
        <v/>
      </c>
      <c r="AS127" s="185" t="str">
        <f>_xlfn.IFNA(VLOOKUP($AH127,Programma!$F$3:$Q$1101,12,0),"")</f>
        <v/>
      </c>
      <c r="AT127" s="185" t="str">
        <f>_xlfn.IFNA(VLOOKUP($AH127,Programma!$F$3:$R$1101,13,0),"")</f>
        <v/>
      </c>
      <c r="AU127" s="185" t="str">
        <f>_xlfn.IFNA(VLOOKUP($AH127,Programma!$F$3:$S$1101,14,0),"")</f>
        <v/>
      </c>
      <c r="AV127" s="185" t="str">
        <f>_xlfn.IFNA(VLOOKUP($AH127,Programma!$F$3:$T$1101,15,0),"")</f>
        <v/>
      </c>
      <c r="AW127" s="185" t="str">
        <f>_xlfn.IFNA(VLOOKUP($AH127,Programma!$F$3:$U$1101,16,0),"")</f>
        <v/>
      </c>
      <c r="AX127" s="185" t="str">
        <f>_xlfn.IFNA(VLOOKUP($AH127,Programma!$F$3:$V$1101,17,0),"")</f>
        <v/>
      </c>
      <c r="AY127" s="185" t="str">
        <f>_xlfn.IFNA(VLOOKUP($AH127,Programma!$F$3:$W$1101,18,0),"")</f>
        <v/>
      </c>
      <c r="AZ127" s="185" t="str">
        <f>_xlfn.IFNA(VLOOKUP($AH127,Programma!$F$3:$X$1101,19,0),"")</f>
        <v/>
      </c>
      <c r="BA127" s="185" t="str">
        <f>_xlfn.IFNA(VLOOKUP($AH127,Programma!$F$3:$Y$1101,20,0),"")</f>
        <v/>
      </c>
      <c r="BB127" s="182"/>
      <c r="BC127" s="181" t="str">
        <f>IF(Ruimtestaat[[#This Row],[Frequentie weekend]]="","",_xlfn.CONCAT(Ruimtestaat[[#This Row],[Ruimte code]],"-",Ruimtestaat[[#This Row],[Frequentie weekend]]," ",Ruimtestaat[[#This Row],[Vloer code]]))</f>
        <v/>
      </c>
      <c r="BD127" s="185" t="str">
        <f>_xlfn.IFNA(VLOOKUP($BC127,Programma!$F$3:$G$1101,2,0),"")</f>
        <v/>
      </c>
      <c r="BE127" s="185" t="str">
        <f>_xlfn.IFNA(VLOOKUP($BC127,Programma!$F$3:$H$1101,3,0),"")</f>
        <v/>
      </c>
      <c r="BF127" s="185" t="str">
        <f>_xlfn.IFNA(VLOOKUP($BC127,Programma!$F$3:$I$1101,4,0),"")</f>
        <v/>
      </c>
      <c r="BG127" s="185" t="str">
        <f>_xlfn.IFNA(VLOOKUP($BC127,Programma!$F$3:$J$1101,5,0),"")</f>
        <v/>
      </c>
      <c r="BH127" s="185" t="str">
        <f>_xlfn.IFNA(VLOOKUP($BC127,Programma!$F$3:$K$1101,6,0),"")</f>
        <v/>
      </c>
      <c r="BI127" s="185" t="str">
        <f>_xlfn.IFNA(VLOOKUP($BC127,Programma!$F$3:$L$1101,7,0),"")</f>
        <v/>
      </c>
      <c r="BJ127" s="185" t="str">
        <f>_xlfn.IFNA(VLOOKUP($BC127,Programma!$F$3:$M$1101,8,0),"")</f>
        <v/>
      </c>
      <c r="BK127" s="185" t="str">
        <f>_xlfn.IFNA(VLOOKUP($BC127,Programma!$F$3:$N$1101,9,0),"")</f>
        <v/>
      </c>
      <c r="BL127" s="185" t="str">
        <f>_xlfn.IFNA(VLOOKUP($BC127,Programma!$F$3:$O$1101,10,0),"")</f>
        <v/>
      </c>
      <c r="BM127" s="185" t="str">
        <f>_xlfn.IFNA(VLOOKUP($BC127,Programma!$F$3:$P$1101,11,0),"")</f>
        <v/>
      </c>
      <c r="BN127" s="185" t="str">
        <f>_xlfn.IFNA(VLOOKUP($BC127,Programma!$F$3:$Q$1101,12,0),"")</f>
        <v/>
      </c>
      <c r="BO127" s="185" t="str">
        <f>_xlfn.IFNA(VLOOKUP($BC127,Programma!$F$3:$R$1101,13,0),"")</f>
        <v/>
      </c>
      <c r="BP127" s="185" t="str">
        <f>_xlfn.IFNA(VLOOKUP($BC127,Programma!$F$3:$S$1101,14,0),"")</f>
        <v/>
      </c>
      <c r="BQ127" s="185" t="str">
        <f>_xlfn.IFNA(VLOOKUP($BC127,Programma!$F$3:$T$1101,15,0),"")</f>
        <v/>
      </c>
      <c r="BR127" s="185" t="str">
        <f>_xlfn.IFNA(VLOOKUP($BC127,Programma!$F$3:$U$1101,16,0),"")</f>
        <v/>
      </c>
      <c r="BS127" s="185" t="str">
        <f>_xlfn.IFNA(VLOOKUP($BC127,Programma!$F$3:$V$1101,17,0),"")</f>
        <v/>
      </c>
      <c r="BT127" s="185" t="str">
        <f>_xlfn.IFNA(VLOOKUP($BC127,Programma!$F$3:$W$1101,18,0),"")</f>
        <v/>
      </c>
      <c r="BU127" s="185" t="str">
        <f>_xlfn.IFNA(VLOOKUP($BC127,Programma!$F$3:$X$1101,19,0),"")</f>
        <v/>
      </c>
      <c r="BV127" s="185" t="str">
        <f>_xlfn.IFNA(VLOOKUP($BC127,Programma!$F$3:$Y$1101,20,0),"")</f>
        <v/>
      </c>
      <c r="BW127" s="78"/>
      <c r="BX127" s="78"/>
      <c r="BY127" s="78"/>
      <c r="BZ127" s="78"/>
      <c r="CA127" s="78"/>
      <c r="CB127" s="78"/>
      <c r="CC127" s="78"/>
      <c r="CD127" s="78"/>
      <c r="CE127" s="78"/>
      <c r="CF127" s="78"/>
      <c r="CG127" s="78"/>
      <c r="CH127" s="78"/>
      <c r="CI127" s="78"/>
      <c r="CJ127" s="78"/>
      <c r="CK127" s="78"/>
      <c r="CL127" s="78"/>
      <c r="CM127" s="78"/>
      <c r="CN127" s="78"/>
      <c r="CO127" s="78"/>
      <c r="CP127" s="78"/>
      <c r="CQ127" s="78"/>
      <c r="CR127" s="78"/>
      <c r="CS127" s="78"/>
      <c r="CT127" s="78"/>
      <c r="CU127" s="78"/>
      <c r="CV127" s="78"/>
      <c r="CW127" s="78"/>
      <c r="CX127" s="78"/>
      <c r="CY127" s="78"/>
      <c r="CZ127" s="78"/>
      <c r="DA127" s="78"/>
      <c r="DB127" s="78"/>
      <c r="DC127" s="78"/>
      <c r="DD127" s="78"/>
      <c r="DE127" s="78"/>
      <c r="DF127" s="78"/>
      <c r="DG127" s="78"/>
      <c r="DH127" s="78"/>
      <c r="DI127" s="78"/>
      <c r="DJ127" s="78"/>
      <c r="DK127" s="78"/>
      <c r="DL127" s="78"/>
      <c r="DM127" s="78"/>
      <c r="DN127" s="78"/>
      <c r="DO127" s="78"/>
      <c r="DP127" s="78"/>
      <c r="DQ127" s="78"/>
      <c r="DR127" s="78"/>
      <c r="DS127" s="78"/>
      <c r="DT127" s="78"/>
      <c r="DU127" s="78"/>
      <c r="DV127" s="78"/>
      <c r="DW127" s="78"/>
      <c r="DX127" s="78"/>
      <c r="DY127" s="78"/>
      <c r="DZ127" s="78"/>
      <c r="EA127" s="78"/>
      <c r="EB127" s="78"/>
      <c r="EC127" s="78"/>
      <c r="ED127" s="78"/>
      <c r="EE127" s="78"/>
      <c r="EF127" s="78"/>
      <c r="EG127" s="78"/>
      <c r="EH127" s="78"/>
      <c r="EI127" s="78"/>
      <c r="EJ127" s="78"/>
      <c r="EK127" s="78"/>
      <c r="EL127" s="78"/>
      <c r="EM127" s="78"/>
      <c r="EN127" s="78"/>
      <c r="EO127" s="78"/>
      <c r="EP127" s="78"/>
      <c r="EQ127" s="78"/>
      <c r="ER127" s="78"/>
      <c r="ES127" s="78"/>
      <c r="ET127" s="78"/>
      <c r="EU127" s="78"/>
      <c r="EV127" s="78"/>
      <c r="EW127" s="78"/>
      <c r="EX127" s="78"/>
      <c r="EY127" s="78"/>
      <c r="EZ127" s="78"/>
      <c r="FA127" s="78"/>
      <c r="FB127" s="78"/>
      <c r="FC127" s="78"/>
      <c r="FD127" s="78"/>
      <c r="FE127" s="78"/>
      <c r="FF127" s="78"/>
      <c r="FG127" s="78"/>
      <c r="FH127" s="78"/>
      <c r="FI127" s="78"/>
      <c r="FJ127" s="78"/>
      <c r="FK127" s="78"/>
      <c r="FL127" s="78"/>
      <c r="FM127" s="78"/>
      <c r="FN127" s="78"/>
      <c r="FO127" s="78"/>
      <c r="FP127" s="78"/>
      <c r="FQ127" s="78"/>
      <c r="FR127" s="78"/>
      <c r="FS127" s="78"/>
      <c r="FT127" s="78"/>
      <c r="FU127" s="78"/>
      <c r="FV127" s="78"/>
      <c r="FW127" s="78"/>
      <c r="FX127" s="78"/>
      <c r="FY127" s="78"/>
      <c r="FZ127" s="78"/>
      <c r="GA127" s="78"/>
      <c r="GB127" s="78"/>
      <c r="GC127" s="78"/>
      <c r="GD127" s="78"/>
      <c r="GE127" s="78"/>
      <c r="GF127" s="78"/>
      <c r="GG127" s="78"/>
      <c r="GH127" s="78"/>
      <c r="GI127" s="78"/>
      <c r="GJ127" s="78"/>
      <c r="GK127" s="78"/>
      <c r="GL127" s="78"/>
      <c r="GM127" s="78"/>
      <c r="GN127" s="78"/>
      <c r="GO127" s="78"/>
      <c r="GP127" s="78"/>
      <c r="GQ127" s="78"/>
      <c r="GR127" s="78"/>
      <c r="GS127" s="78"/>
      <c r="GT127" s="78"/>
      <c r="GU127" s="78"/>
      <c r="GV127" s="78"/>
      <c r="GW127" s="78"/>
      <c r="GX127" s="78"/>
      <c r="GY127" s="78"/>
      <c r="GZ127" s="78"/>
      <c r="HA127" s="78"/>
      <c r="HB127" s="78"/>
      <c r="HC127" s="78"/>
      <c r="HD127" s="78"/>
      <c r="HE127" s="78"/>
      <c r="HF127" s="78"/>
      <c r="HG127" s="78"/>
      <c r="HH127" s="78"/>
      <c r="HI127" s="78"/>
      <c r="HJ127" s="78"/>
      <c r="HK127" s="78"/>
    </row>
    <row r="128" spans="1:219" ht="15" customHeight="1">
      <c r="A128" s="149">
        <v>5</v>
      </c>
      <c r="B128" s="176" t="str">
        <f>VLOOKUP(Ruimtestaat[[#This Row],[Code]],Locaties[[Code]:[Locatie]],2,FALSE)</f>
        <v>OBS Harry Bannink</v>
      </c>
      <c r="C128" s="176" t="str">
        <f>VLOOKUP(Ruimtestaat[[#This Row],[Code]],Locaties[[#All],[Code]:[Adres]],4,FALSE)</f>
        <v>Het Bijvank 111</v>
      </c>
      <c r="D128" s="176" t="str">
        <f>VLOOKUP(Ruimtestaat[[#This Row],[Code]],Locaties[[#All],[Code]:[Postcode]],5,FALSE)</f>
        <v>7544 DA</v>
      </c>
      <c r="E128" s="176" t="str">
        <f>VLOOKUP(Ruimtestaat[[#This Row],[Code]],Locaties[#All],6,FALSE)</f>
        <v>Enschede</v>
      </c>
      <c r="F128" s="149"/>
      <c r="G128" s="149" t="s">
        <v>1646</v>
      </c>
      <c r="H128" s="300" t="s">
        <v>1650</v>
      </c>
      <c r="I128" s="301" t="s">
        <v>1655</v>
      </c>
      <c r="J128" s="99">
        <v>5</v>
      </c>
      <c r="K128" s="183" t="str">
        <f>VLOOKUP(Ruimtestaat[[#This Row],[Ruimte code]],Ruimtegroepen[[#All],[Code]:[Ruimte omschrijving]],2,FALSE)</f>
        <v>Sanitair</v>
      </c>
      <c r="L128" s="149" t="s">
        <v>102</v>
      </c>
      <c r="M128" s="301" t="s">
        <v>120</v>
      </c>
      <c r="N128" s="177">
        <v>3.5</v>
      </c>
      <c r="O128" s="177"/>
      <c r="P128" s="178" t="str">
        <f>VLOOKUP(Ruimtestaat[[#This Row],[Ruimte code]],Ruimtegroepen[],4,FALSE)</f>
        <v>Sa</v>
      </c>
      <c r="Q128" s="149">
        <v>40</v>
      </c>
      <c r="R128" s="149" t="s">
        <v>2</v>
      </c>
      <c r="S128" s="149">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8" s="149">
        <f>IF(S128&gt;0,VLOOKUP($J128,Ruimtegroepen[],3,FALSE)*VLOOKUP($L128,Vloersoorten[],3,FALSE)*VLOOKUP($R128,Frequenties[],3,FALSE)*VLOOKUP($A128,Locaties[],3,FALSE),0)</f>
        <v>0</v>
      </c>
      <c r="U128" s="149">
        <f>Ruimtestaat[[#This Row],[Uitvoeringen werkdagen]]*Ruimtestaat[[#This Row],[Oppervlak (netto)]]</f>
        <v>700</v>
      </c>
      <c r="V128" s="179">
        <f>IF(T128&gt;0,Ruimtestaat[[#This Row],[Prest. (m2 /jaar) werkdagen]]/Ruimtestaat[[#This Row],[Norm (m2/uur) werkdagen]],0)</f>
        <v>0</v>
      </c>
      <c r="W128" s="180">
        <f>Ruimtestaat[[#This Row],[uren / jaar werkdagen]]*Tariefsopbouw!$E$35</f>
        <v>0</v>
      </c>
      <c r="X128" s="149"/>
      <c r="Y128" s="149">
        <f>IF(Ruimtestaat[[#This Row],[Frequentie weekend]]&gt;0,VALUE(LEFT(X128,1))*Q128,0)</f>
        <v>0</v>
      </c>
      <c r="Z128" s="148">
        <f>IF($Y128&gt;0,VLOOKUP($J128,Ruimtegroepen[],3,FALSE)*VLOOKUP($L128,Vloersoorten[],3,FALSE)*VLOOKUP($X128,Frequenties[],3,FALSE)*VLOOKUP(Ruimtestaat[[#This Row],[Code]],Locaties[],3,FALSE),0)</f>
        <v>0</v>
      </c>
      <c r="AA128" s="148">
        <f>Ruimtestaat[[#This Row],[Uitvoeringen weekend]]*Ruimtestaat[[#This Row],[Oppervlak (netto)]]</f>
        <v>0</v>
      </c>
      <c r="AB128" s="148">
        <f>IF(Z128&gt;0,Ruimtestaat[[#This Row],[Prest. (m2 /jaar) weekend]]/Ruimtestaat[[#This Row],[Norm (m2/uur) weekend]],0)</f>
        <v>0</v>
      </c>
      <c r="AC128" s="180">
        <f>Ruimtestaat[[#This Row],[uren / jaar weekend]]*Tariefsopbouw!$D$40</f>
        <v>0</v>
      </c>
      <c r="AD128" s="179">
        <f>Ruimtestaat[[#This Row],[Prest. (m2 /jaar) weekend]]+Ruimtestaat[[#This Row],[Prest. (m2 /jaar) werkdagen]]</f>
        <v>700</v>
      </c>
      <c r="AE128" s="179">
        <f>Ruimtestaat[[#This Row],[uren / jaar weekend]]+Ruimtestaat[[#This Row],[uren / jaar werkdagen]]</f>
        <v>0</v>
      </c>
      <c r="AF128" s="174">
        <f>Ruimtestaat[[#This Row],[kosten / jaar weekend]]+Ruimtestaat[[#This Row],[kosten / jaar werkdagen]]</f>
        <v>0</v>
      </c>
      <c r="AG128" s="174"/>
      <c r="AH128" s="181" t="str">
        <f>IF(Ruimtestaat[[#This Row],[Frequentie werkdagen]]="","",_xlfn.CONCAT(Ruimtestaat[[#This Row],[Ruimte code]],"-",Ruimtestaat[[#This Row],[Frequentie werkdagen]]," ",Ruimtestaat[[#This Row],[Vloer code]]))</f>
        <v>5-5w P</v>
      </c>
      <c r="AI128" s="185" t="str">
        <f>_xlfn.IFNA(VLOOKUP($AH128,Programma!$F$3:$G$1101,2,0),"")</f>
        <v>_</v>
      </c>
      <c r="AJ128" s="185" t="str">
        <f>_xlfn.IFNA(VLOOKUP($AH128,Programma!$F$3:$H$1101,3,0),"")</f>
        <v>_</v>
      </c>
      <c r="AK128" s="185" t="str">
        <f>_xlfn.IFNA(VLOOKUP($AH128,Programma!$F$3:$I$1101,4,0),"")</f>
        <v>_</v>
      </c>
      <c r="AL128" s="185" t="str">
        <f>_xlfn.IFNA(VLOOKUP($AH128,Programma!$F$3:$J$1101,5,0),"")</f>
        <v>4w</v>
      </c>
      <c r="AM128" s="185" t="str">
        <f>_xlfn.IFNA(VLOOKUP($AH128,Programma!$F$3:$K$1101,6,0),"")</f>
        <v>1w</v>
      </c>
      <c r="AN128" s="185" t="str">
        <f>_xlfn.IFNA(VLOOKUP($AH128,Programma!$F$3:$L$1101,7,0),"")</f>
        <v>_</v>
      </c>
      <c r="AO128" s="185" t="str">
        <f>_xlfn.IFNA(VLOOKUP($AH128,Programma!$F$3:$M$1101,8,0),"")</f>
        <v>_</v>
      </c>
      <c r="AP128" s="185" t="str">
        <f>_xlfn.IFNA(VLOOKUP($AH128,Programma!$F$3:$N$1101,9,0),"")</f>
        <v>_</v>
      </c>
      <c r="AQ128" s="185" t="str">
        <f>_xlfn.IFNA(VLOOKUP($AH128,Programma!$F$3:$O$1101,10,0),"")</f>
        <v>_</v>
      </c>
      <c r="AR128" s="185" t="str">
        <f>_xlfn.IFNA(VLOOKUP($AH128,Programma!$F$3:$P$1101,11,0),"")</f>
        <v>_</v>
      </c>
      <c r="AS128" s="185" t="str">
        <f>_xlfn.IFNA(VLOOKUP($AH128,Programma!$F$3:$Q$1101,12,0),"")</f>
        <v>_</v>
      </c>
      <c r="AT128" s="185" t="str">
        <f>_xlfn.IFNA(VLOOKUP($AH128,Programma!$F$3:$R$1101,13,0),"")</f>
        <v>_</v>
      </c>
      <c r="AU128" s="185" t="str">
        <f>_xlfn.IFNA(VLOOKUP($AH128,Programma!$F$3:$S$1101,14,0),"")</f>
        <v>_</v>
      </c>
      <c r="AV128" s="185" t="str">
        <f>_xlfn.IFNA(VLOOKUP($AH128,Programma!$F$3:$T$1101,15,0),"")</f>
        <v>_</v>
      </c>
      <c r="AW128" s="185" t="str">
        <f>_xlfn.IFNA(VLOOKUP($AH128,Programma!$F$3:$U$1101,16,0),"")</f>
        <v>_</v>
      </c>
      <c r="AX128" s="185" t="str">
        <f>_xlfn.IFNA(VLOOKUP($AH128,Programma!$F$3:$V$1101,17,0),"")</f>
        <v>_</v>
      </c>
      <c r="AY128" s="185" t="str">
        <f>_xlfn.IFNA(VLOOKUP($AH128,Programma!$F$3:$W$1101,18,0),"")</f>
        <v>4w</v>
      </c>
      <c r="AZ128" s="185" t="str">
        <f>_xlfn.IFNA(VLOOKUP($AH128,Programma!$F$3:$X$1101,19,0),"")</f>
        <v>1w</v>
      </c>
      <c r="BA128" s="185" t="str">
        <f>_xlfn.IFNA(VLOOKUP($AH128,Programma!$F$3:$Y$1101,20,0),"")</f>
        <v>_</v>
      </c>
      <c r="BB128" s="182"/>
      <c r="BC128" s="181" t="str">
        <f>IF(Ruimtestaat[[#This Row],[Frequentie weekend]]="","",_xlfn.CONCAT(Ruimtestaat[[#This Row],[Ruimte code]],"-",Ruimtestaat[[#This Row],[Frequentie weekend]]," ",Ruimtestaat[[#This Row],[Vloer code]]))</f>
        <v/>
      </c>
      <c r="BD128" s="185" t="str">
        <f>_xlfn.IFNA(VLOOKUP($BC128,Programma!$F$3:$G$1101,2,0),"")</f>
        <v/>
      </c>
      <c r="BE128" s="185" t="str">
        <f>_xlfn.IFNA(VLOOKUP($BC128,Programma!$F$3:$H$1101,3,0),"")</f>
        <v/>
      </c>
      <c r="BF128" s="185" t="str">
        <f>_xlfn.IFNA(VLOOKUP($BC128,Programma!$F$3:$I$1101,4,0),"")</f>
        <v/>
      </c>
      <c r="BG128" s="185" t="str">
        <f>_xlfn.IFNA(VLOOKUP($BC128,Programma!$F$3:$J$1101,5,0),"")</f>
        <v/>
      </c>
      <c r="BH128" s="185" t="str">
        <f>_xlfn.IFNA(VLOOKUP($BC128,Programma!$F$3:$K$1101,6,0),"")</f>
        <v/>
      </c>
      <c r="BI128" s="185" t="str">
        <f>_xlfn.IFNA(VLOOKUP($BC128,Programma!$F$3:$L$1101,7,0),"")</f>
        <v/>
      </c>
      <c r="BJ128" s="185" t="str">
        <f>_xlfn.IFNA(VLOOKUP($BC128,Programma!$F$3:$M$1101,8,0),"")</f>
        <v/>
      </c>
      <c r="BK128" s="185" t="str">
        <f>_xlfn.IFNA(VLOOKUP($BC128,Programma!$F$3:$N$1101,9,0),"")</f>
        <v/>
      </c>
      <c r="BL128" s="185" t="str">
        <f>_xlfn.IFNA(VLOOKUP($BC128,Programma!$F$3:$O$1101,10,0),"")</f>
        <v/>
      </c>
      <c r="BM128" s="185" t="str">
        <f>_xlfn.IFNA(VLOOKUP($BC128,Programma!$F$3:$P$1101,11,0),"")</f>
        <v/>
      </c>
      <c r="BN128" s="185" t="str">
        <f>_xlfn.IFNA(VLOOKUP($BC128,Programma!$F$3:$Q$1101,12,0),"")</f>
        <v/>
      </c>
      <c r="BO128" s="185" t="str">
        <f>_xlfn.IFNA(VLOOKUP($BC128,Programma!$F$3:$R$1101,13,0),"")</f>
        <v/>
      </c>
      <c r="BP128" s="185" t="str">
        <f>_xlfn.IFNA(VLOOKUP($BC128,Programma!$F$3:$S$1101,14,0),"")</f>
        <v/>
      </c>
      <c r="BQ128" s="185" t="str">
        <f>_xlfn.IFNA(VLOOKUP($BC128,Programma!$F$3:$T$1101,15,0),"")</f>
        <v/>
      </c>
      <c r="BR128" s="185" t="str">
        <f>_xlfn.IFNA(VLOOKUP($BC128,Programma!$F$3:$U$1101,16,0),"")</f>
        <v/>
      </c>
      <c r="BS128" s="185" t="str">
        <f>_xlfn.IFNA(VLOOKUP($BC128,Programma!$F$3:$V$1101,17,0),"")</f>
        <v/>
      </c>
      <c r="BT128" s="185" t="str">
        <f>_xlfn.IFNA(VLOOKUP($BC128,Programma!$F$3:$W$1101,18,0),"")</f>
        <v/>
      </c>
      <c r="BU128" s="185" t="str">
        <f>_xlfn.IFNA(VLOOKUP($BC128,Programma!$F$3:$X$1101,19,0),"")</f>
        <v/>
      </c>
      <c r="BV128" s="185" t="str">
        <f>_xlfn.IFNA(VLOOKUP($BC128,Programma!$F$3:$Y$1101,20,0),"")</f>
        <v/>
      </c>
      <c r="BW128" s="78"/>
      <c r="BX128" s="78"/>
      <c r="BY128" s="78"/>
      <c r="BZ128" s="78"/>
      <c r="CA128" s="78"/>
      <c r="CB128" s="78"/>
      <c r="CC128" s="78"/>
      <c r="CD128" s="78"/>
      <c r="CE128" s="78"/>
      <c r="CF128" s="78"/>
      <c r="CG128" s="78"/>
      <c r="CH128" s="78"/>
      <c r="CI128" s="78"/>
      <c r="CJ128" s="78"/>
      <c r="CK128" s="78"/>
      <c r="CL128" s="78"/>
      <c r="CM128" s="78"/>
      <c r="CN128" s="78"/>
      <c r="CO128" s="78"/>
      <c r="CP128" s="78"/>
      <c r="CQ128" s="78"/>
      <c r="CR128" s="78"/>
      <c r="CS128" s="78"/>
      <c r="CT128" s="78"/>
      <c r="CU128" s="78"/>
      <c r="CV128" s="78"/>
      <c r="CW128" s="78"/>
      <c r="CX128" s="78"/>
      <c r="CY128" s="78"/>
      <c r="CZ128" s="78"/>
      <c r="DA128" s="78"/>
      <c r="DB128" s="78"/>
      <c r="DC128" s="78"/>
      <c r="DD128" s="78"/>
      <c r="DE128" s="78"/>
      <c r="DF128" s="78"/>
      <c r="DG128" s="78"/>
      <c r="DH128" s="78"/>
      <c r="DI128" s="78"/>
      <c r="DJ128" s="78"/>
      <c r="DK128" s="78"/>
      <c r="DL128" s="78"/>
      <c r="DM128" s="78"/>
      <c r="DN128" s="78"/>
      <c r="DO128" s="78"/>
      <c r="DP128" s="78"/>
      <c r="DQ128" s="78"/>
      <c r="DR128" s="78"/>
      <c r="DS128" s="78"/>
      <c r="DT128" s="78"/>
      <c r="DU128" s="78"/>
      <c r="DV128" s="78"/>
      <c r="DW128" s="78"/>
      <c r="DX128" s="78"/>
      <c r="DY128" s="78"/>
      <c r="DZ128" s="78"/>
      <c r="EA128" s="78"/>
      <c r="EB128" s="78"/>
      <c r="EC128" s="78"/>
      <c r="ED128" s="78"/>
      <c r="EE128" s="78"/>
      <c r="EF128" s="78"/>
      <c r="EG128" s="78"/>
      <c r="EH128" s="78"/>
      <c r="EI128" s="78"/>
      <c r="EJ128" s="78"/>
      <c r="EK128" s="78"/>
      <c r="EL128" s="78"/>
      <c r="EM128" s="78"/>
      <c r="EN128" s="78"/>
      <c r="EO128" s="78"/>
      <c r="EP128" s="78"/>
      <c r="EQ128" s="78"/>
      <c r="ER128" s="78"/>
      <c r="ES128" s="78"/>
      <c r="ET128" s="78"/>
      <c r="EU128" s="78"/>
      <c r="EV128" s="78"/>
      <c r="EW128" s="78"/>
      <c r="EX128" s="78"/>
      <c r="EY128" s="78"/>
      <c r="EZ128" s="78"/>
      <c r="FA128" s="78"/>
      <c r="FB128" s="78"/>
      <c r="FC128" s="78"/>
      <c r="FD128" s="78"/>
      <c r="FE128" s="78"/>
      <c r="FF128" s="78"/>
      <c r="FG128" s="78"/>
      <c r="FH128" s="78"/>
      <c r="FI128" s="78"/>
      <c r="FJ128" s="78"/>
      <c r="FK128" s="78"/>
      <c r="FL128" s="78"/>
      <c r="FM128" s="78"/>
      <c r="FN128" s="78"/>
      <c r="FO128" s="78"/>
      <c r="FP128" s="78"/>
      <c r="FQ128" s="78"/>
      <c r="FR128" s="78"/>
      <c r="FS128" s="78"/>
      <c r="FT128" s="78"/>
      <c r="FU128" s="78"/>
      <c r="FV128" s="78"/>
      <c r="FW128" s="78"/>
      <c r="FX128" s="78"/>
      <c r="FY128" s="78"/>
      <c r="FZ128" s="78"/>
      <c r="GA128" s="78"/>
      <c r="GB128" s="78"/>
      <c r="GC128" s="78"/>
      <c r="GD128" s="78"/>
      <c r="GE128" s="78"/>
      <c r="GF128" s="78"/>
      <c r="GG128" s="78"/>
      <c r="GH128" s="78"/>
      <c r="GI128" s="78"/>
      <c r="GJ128" s="78"/>
      <c r="GK128" s="78"/>
      <c r="GL128" s="78"/>
      <c r="GM128" s="78"/>
      <c r="GN128" s="78"/>
      <c r="GO128" s="78"/>
      <c r="GP128" s="78"/>
      <c r="GQ128" s="78"/>
      <c r="GR128" s="78"/>
      <c r="GS128" s="78"/>
      <c r="GT128" s="78"/>
      <c r="GU128" s="78"/>
      <c r="GV128" s="78"/>
      <c r="GW128" s="78"/>
      <c r="GX128" s="78"/>
      <c r="GY128" s="78"/>
      <c r="GZ128" s="78"/>
      <c r="HA128" s="78"/>
      <c r="HB128" s="78"/>
      <c r="HC128" s="78"/>
      <c r="HD128" s="78"/>
      <c r="HE128" s="78"/>
      <c r="HF128" s="78"/>
      <c r="HG128" s="78"/>
      <c r="HH128" s="78"/>
      <c r="HI128" s="78"/>
      <c r="HJ128" s="78"/>
      <c r="HK128" s="78"/>
    </row>
    <row r="129" spans="1:219" ht="15" customHeight="1">
      <c r="A129" s="149">
        <v>5</v>
      </c>
      <c r="B129" s="176" t="str">
        <f>VLOOKUP(Ruimtestaat[[#This Row],[Code]],Locaties[[Code]:[Locatie]],2,FALSE)</f>
        <v>OBS Harry Bannink</v>
      </c>
      <c r="C129" s="176" t="str">
        <f>VLOOKUP(Ruimtestaat[[#This Row],[Code]],Locaties[[#All],[Code]:[Adres]],4,FALSE)</f>
        <v>Het Bijvank 111</v>
      </c>
      <c r="D129" s="176" t="str">
        <f>VLOOKUP(Ruimtestaat[[#This Row],[Code]],Locaties[[#All],[Code]:[Postcode]],5,FALSE)</f>
        <v>7544 DA</v>
      </c>
      <c r="E129" s="176" t="str">
        <f>VLOOKUP(Ruimtestaat[[#This Row],[Code]],Locaties[#All],6,FALSE)</f>
        <v>Enschede</v>
      </c>
      <c r="F129" s="149"/>
      <c r="G129" s="149" t="s">
        <v>1646</v>
      </c>
      <c r="H129" s="300" t="s">
        <v>1652</v>
      </c>
      <c r="I129" s="301" t="s">
        <v>1722</v>
      </c>
      <c r="J129" s="99">
        <v>20</v>
      </c>
      <c r="K129" s="183" t="str">
        <f>VLOOKUP(Ruimtestaat[[#This Row],[Ruimte code]],Ruimtegroepen[[#All],[Code]:[Ruimte omschrijving]],2,FALSE)</f>
        <v>Niet in Onderhoud</v>
      </c>
      <c r="L129" s="149"/>
      <c r="M129" s="301"/>
      <c r="N129" s="177"/>
      <c r="O129" s="177">
        <v>0</v>
      </c>
      <c r="P129" s="178">
        <f>VLOOKUP(Ruimtestaat[[#This Row],[Ruimte code]],Ruimtegroepen[],4,FALSE)</f>
        <v>0</v>
      </c>
      <c r="Q129" s="149"/>
      <c r="R129" s="149"/>
      <c r="S129" s="149">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9" s="149">
        <f>IF(S129&gt;0,VLOOKUP($J129,Ruimtegroepen[],3,FALSE)*VLOOKUP($L129,Vloersoorten[],3,FALSE)*VLOOKUP($R129,Frequenties[],3,FALSE)*VLOOKUP($A129,Locaties[],3,FALSE),0)</f>
        <v>0</v>
      </c>
      <c r="U129" s="149">
        <f>Ruimtestaat[[#This Row],[Uitvoeringen werkdagen]]*Ruimtestaat[[#This Row],[Oppervlak (netto)]]</f>
        <v>0</v>
      </c>
      <c r="V129" s="179">
        <f>IF(T129&gt;0,Ruimtestaat[[#This Row],[Prest. (m2 /jaar) werkdagen]]/Ruimtestaat[[#This Row],[Norm (m2/uur) werkdagen]],0)</f>
        <v>0</v>
      </c>
      <c r="W129" s="180">
        <f>Ruimtestaat[[#This Row],[uren / jaar werkdagen]]*Tariefsopbouw!$E$35</f>
        <v>0</v>
      </c>
      <c r="X129" s="149"/>
      <c r="Y129" s="149">
        <f>IF(Ruimtestaat[[#This Row],[Frequentie weekend]]&gt;0,VALUE(LEFT(X129,1))*Q129,0)</f>
        <v>0</v>
      </c>
      <c r="Z129" s="148">
        <f>IF($Y129&gt;0,VLOOKUP($J129,Ruimtegroepen[],3,FALSE)*VLOOKUP($L129,Vloersoorten[],3,FALSE)*VLOOKUP($X129,Frequenties[],3,FALSE)*VLOOKUP(Ruimtestaat[[#This Row],[Code]],Locaties[],3,FALSE),0)</f>
        <v>0</v>
      </c>
      <c r="AA129" s="148">
        <f>Ruimtestaat[[#This Row],[Uitvoeringen weekend]]*Ruimtestaat[[#This Row],[Oppervlak (netto)]]</f>
        <v>0</v>
      </c>
      <c r="AB129" s="148">
        <f>IF(Z129&gt;0,Ruimtestaat[[#This Row],[Prest. (m2 /jaar) weekend]]/Ruimtestaat[[#This Row],[Norm (m2/uur) weekend]],0)</f>
        <v>0</v>
      </c>
      <c r="AC129" s="180">
        <f>Ruimtestaat[[#This Row],[uren / jaar weekend]]*Tariefsopbouw!$D$40</f>
        <v>0</v>
      </c>
      <c r="AD129" s="179">
        <f>Ruimtestaat[[#This Row],[Prest. (m2 /jaar) weekend]]+Ruimtestaat[[#This Row],[Prest. (m2 /jaar) werkdagen]]</f>
        <v>0</v>
      </c>
      <c r="AE129" s="179">
        <f>Ruimtestaat[[#This Row],[uren / jaar weekend]]+Ruimtestaat[[#This Row],[uren / jaar werkdagen]]</f>
        <v>0</v>
      </c>
      <c r="AF129" s="174">
        <f>Ruimtestaat[[#This Row],[kosten / jaar weekend]]+Ruimtestaat[[#This Row],[kosten / jaar werkdagen]]</f>
        <v>0</v>
      </c>
      <c r="AG129" s="174"/>
      <c r="AH129" s="181" t="str">
        <f>IF(Ruimtestaat[[#This Row],[Frequentie werkdagen]]="","",_xlfn.CONCAT(Ruimtestaat[[#This Row],[Ruimte code]],"-",Ruimtestaat[[#This Row],[Frequentie werkdagen]]," ",Ruimtestaat[[#This Row],[Vloer code]]))</f>
        <v/>
      </c>
      <c r="AI129" s="185" t="str">
        <f>_xlfn.IFNA(VLOOKUP($AH129,Programma!$F$3:$G$1101,2,0),"")</f>
        <v/>
      </c>
      <c r="AJ129" s="185" t="str">
        <f>_xlfn.IFNA(VLOOKUP($AH129,Programma!$F$3:$H$1101,3,0),"")</f>
        <v/>
      </c>
      <c r="AK129" s="185" t="str">
        <f>_xlfn.IFNA(VLOOKUP($AH129,Programma!$F$3:$I$1101,4,0),"")</f>
        <v/>
      </c>
      <c r="AL129" s="185" t="str">
        <f>_xlfn.IFNA(VLOOKUP($AH129,Programma!$F$3:$J$1101,5,0),"")</f>
        <v/>
      </c>
      <c r="AM129" s="185" t="str">
        <f>_xlfn.IFNA(VLOOKUP($AH129,Programma!$F$3:$K$1101,6,0),"")</f>
        <v/>
      </c>
      <c r="AN129" s="185" t="str">
        <f>_xlfn.IFNA(VLOOKUP($AH129,Programma!$F$3:$L$1101,7,0),"")</f>
        <v/>
      </c>
      <c r="AO129" s="185" t="str">
        <f>_xlfn.IFNA(VLOOKUP($AH129,Programma!$F$3:$M$1101,8,0),"")</f>
        <v/>
      </c>
      <c r="AP129" s="185" t="str">
        <f>_xlfn.IFNA(VLOOKUP($AH129,Programma!$F$3:$N$1101,9,0),"")</f>
        <v/>
      </c>
      <c r="AQ129" s="185" t="str">
        <f>_xlfn.IFNA(VLOOKUP($AH129,Programma!$F$3:$O$1101,10,0),"")</f>
        <v/>
      </c>
      <c r="AR129" s="185" t="str">
        <f>_xlfn.IFNA(VLOOKUP($AH129,Programma!$F$3:$P$1101,11,0),"")</f>
        <v/>
      </c>
      <c r="AS129" s="185" t="str">
        <f>_xlfn.IFNA(VLOOKUP($AH129,Programma!$F$3:$Q$1101,12,0),"")</f>
        <v/>
      </c>
      <c r="AT129" s="185" t="str">
        <f>_xlfn.IFNA(VLOOKUP($AH129,Programma!$F$3:$R$1101,13,0),"")</f>
        <v/>
      </c>
      <c r="AU129" s="185" t="str">
        <f>_xlfn.IFNA(VLOOKUP($AH129,Programma!$F$3:$S$1101,14,0),"")</f>
        <v/>
      </c>
      <c r="AV129" s="185" t="str">
        <f>_xlfn.IFNA(VLOOKUP($AH129,Programma!$F$3:$T$1101,15,0),"")</f>
        <v/>
      </c>
      <c r="AW129" s="185" t="str">
        <f>_xlfn.IFNA(VLOOKUP($AH129,Programma!$F$3:$U$1101,16,0),"")</f>
        <v/>
      </c>
      <c r="AX129" s="185" t="str">
        <f>_xlfn.IFNA(VLOOKUP($AH129,Programma!$F$3:$V$1101,17,0),"")</f>
        <v/>
      </c>
      <c r="AY129" s="185" t="str">
        <f>_xlfn.IFNA(VLOOKUP($AH129,Programma!$F$3:$W$1101,18,0),"")</f>
        <v/>
      </c>
      <c r="AZ129" s="185" t="str">
        <f>_xlfn.IFNA(VLOOKUP($AH129,Programma!$F$3:$X$1101,19,0),"")</f>
        <v/>
      </c>
      <c r="BA129" s="185" t="str">
        <f>_xlfn.IFNA(VLOOKUP($AH129,Programma!$F$3:$Y$1101,20,0),"")</f>
        <v/>
      </c>
      <c r="BB129" s="182"/>
      <c r="BC129" s="181" t="str">
        <f>IF(Ruimtestaat[[#This Row],[Frequentie weekend]]="","",_xlfn.CONCAT(Ruimtestaat[[#This Row],[Ruimte code]],"-",Ruimtestaat[[#This Row],[Frequentie weekend]]," ",Ruimtestaat[[#This Row],[Vloer code]]))</f>
        <v/>
      </c>
      <c r="BD129" s="185" t="str">
        <f>_xlfn.IFNA(VLOOKUP($BC129,Programma!$F$3:$G$1101,2,0),"")</f>
        <v/>
      </c>
      <c r="BE129" s="185" t="str">
        <f>_xlfn.IFNA(VLOOKUP($BC129,Programma!$F$3:$H$1101,3,0),"")</f>
        <v/>
      </c>
      <c r="BF129" s="185" t="str">
        <f>_xlfn.IFNA(VLOOKUP($BC129,Programma!$F$3:$I$1101,4,0),"")</f>
        <v/>
      </c>
      <c r="BG129" s="185" t="str">
        <f>_xlfn.IFNA(VLOOKUP($BC129,Programma!$F$3:$J$1101,5,0),"")</f>
        <v/>
      </c>
      <c r="BH129" s="185" t="str">
        <f>_xlfn.IFNA(VLOOKUP($BC129,Programma!$F$3:$K$1101,6,0),"")</f>
        <v/>
      </c>
      <c r="BI129" s="185" t="str">
        <f>_xlfn.IFNA(VLOOKUP($BC129,Programma!$F$3:$L$1101,7,0),"")</f>
        <v/>
      </c>
      <c r="BJ129" s="185" t="str">
        <f>_xlfn.IFNA(VLOOKUP($BC129,Programma!$F$3:$M$1101,8,0),"")</f>
        <v/>
      </c>
      <c r="BK129" s="185" t="str">
        <f>_xlfn.IFNA(VLOOKUP($BC129,Programma!$F$3:$N$1101,9,0),"")</f>
        <v/>
      </c>
      <c r="BL129" s="185" t="str">
        <f>_xlfn.IFNA(VLOOKUP($BC129,Programma!$F$3:$O$1101,10,0),"")</f>
        <v/>
      </c>
      <c r="BM129" s="185" t="str">
        <f>_xlfn.IFNA(VLOOKUP($BC129,Programma!$F$3:$P$1101,11,0),"")</f>
        <v/>
      </c>
      <c r="BN129" s="185" t="str">
        <f>_xlfn.IFNA(VLOOKUP($BC129,Programma!$F$3:$Q$1101,12,0),"")</f>
        <v/>
      </c>
      <c r="BO129" s="185" t="str">
        <f>_xlfn.IFNA(VLOOKUP($BC129,Programma!$F$3:$R$1101,13,0),"")</f>
        <v/>
      </c>
      <c r="BP129" s="185" t="str">
        <f>_xlfn.IFNA(VLOOKUP($BC129,Programma!$F$3:$S$1101,14,0),"")</f>
        <v/>
      </c>
      <c r="BQ129" s="185" t="str">
        <f>_xlfn.IFNA(VLOOKUP($BC129,Programma!$F$3:$T$1101,15,0),"")</f>
        <v/>
      </c>
      <c r="BR129" s="185" t="str">
        <f>_xlfn.IFNA(VLOOKUP($BC129,Programma!$F$3:$U$1101,16,0),"")</f>
        <v/>
      </c>
      <c r="BS129" s="185" t="str">
        <f>_xlfn.IFNA(VLOOKUP($BC129,Programma!$F$3:$V$1101,17,0),"")</f>
        <v/>
      </c>
      <c r="BT129" s="185" t="str">
        <f>_xlfn.IFNA(VLOOKUP($BC129,Programma!$F$3:$W$1101,18,0),"")</f>
        <v/>
      </c>
      <c r="BU129" s="185" t="str">
        <f>_xlfn.IFNA(VLOOKUP($BC129,Programma!$F$3:$X$1101,19,0),"")</f>
        <v/>
      </c>
      <c r="BV129" s="185" t="str">
        <f>_xlfn.IFNA(VLOOKUP($BC129,Programma!$F$3:$Y$1101,20,0),"")</f>
        <v/>
      </c>
      <c r="BW129" s="78"/>
      <c r="BX129" s="78"/>
      <c r="BY129" s="78"/>
      <c r="BZ129" s="78"/>
      <c r="CA129" s="78"/>
      <c r="CB129" s="78"/>
      <c r="CC129" s="78"/>
      <c r="CD129" s="78"/>
      <c r="CE129" s="78"/>
      <c r="CF129" s="78"/>
      <c r="CG129" s="78"/>
      <c r="CH129" s="78"/>
      <c r="CI129" s="78"/>
      <c r="CJ129" s="78"/>
      <c r="CK129" s="78"/>
      <c r="CL129" s="78"/>
      <c r="CM129" s="78"/>
      <c r="CN129" s="78"/>
      <c r="CO129" s="78"/>
      <c r="CP129" s="78"/>
      <c r="CQ129" s="78"/>
      <c r="CR129" s="78"/>
      <c r="CS129" s="78"/>
      <c r="CT129" s="78"/>
      <c r="CU129" s="78"/>
      <c r="CV129" s="78"/>
      <c r="CW129" s="78"/>
      <c r="CX129" s="78"/>
      <c r="CY129" s="78"/>
      <c r="CZ129" s="78"/>
      <c r="DA129" s="78"/>
      <c r="DB129" s="78"/>
      <c r="DC129" s="78"/>
      <c r="DD129" s="78"/>
      <c r="DE129" s="78"/>
      <c r="DF129" s="78"/>
      <c r="DG129" s="78"/>
      <c r="DH129" s="78"/>
      <c r="DI129" s="78"/>
      <c r="DJ129" s="78"/>
      <c r="DK129" s="78"/>
      <c r="DL129" s="78"/>
      <c r="DM129" s="78"/>
      <c r="DN129" s="78"/>
      <c r="DO129" s="78"/>
      <c r="DP129" s="78"/>
      <c r="DQ129" s="78"/>
      <c r="DR129" s="78"/>
      <c r="DS129" s="78"/>
      <c r="DT129" s="78"/>
      <c r="DU129" s="78"/>
      <c r="DV129" s="78"/>
      <c r="DW129" s="78"/>
      <c r="DX129" s="78"/>
      <c r="DY129" s="78"/>
      <c r="DZ129" s="78"/>
      <c r="EA129" s="78"/>
      <c r="EB129" s="78"/>
      <c r="EC129" s="78"/>
      <c r="ED129" s="78"/>
      <c r="EE129" s="78"/>
      <c r="EF129" s="78"/>
      <c r="EG129" s="78"/>
      <c r="EH129" s="78"/>
      <c r="EI129" s="78"/>
      <c r="EJ129" s="78"/>
      <c r="EK129" s="78"/>
      <c r="EL129" s="78"/>
      <c r="EM129" s="78"/>
      <c r="EN129" s="78"/>
      <c r="EO129" s="78"/>
      <c r="EP129" s="78"/>
      <c r="EQ129" s="78"/>
      <c r="ER129" s="78"/>
      <c r="ES129" s="78"/>
      <c r="ET129" s="78"/>
      <c r="EU129" s="78"/>
      <c r="EV129" s="78"/>
      <c r="EW129" s="78"/>
      <c r="EX129" s="78"/>
      <c r="EY129" s="78"/>
      <c r="EZ129" s="78"/>
      <c r="FA129" s="78"/>
      <c r="FB129" s="78"/>
      <c r="FC129" s="78"/>
      <c r="FD129" s="78"/>
      <c r="FE129" s="78"/>
      <c r="FF129" s="78"/>
      <c r="FG129" s="78"/>
      <c r="FH129" s="78"/>
      <c r="FI129" s="78"/>
      <c r="FJ129" s="78"/>
      <c r="FK129" s="78"/>
      <c r="FL129" s="78"/>
      <c r="FM129" s="78"/>
      <c r="FN129" s="78"/>
      <c r="FO129" s="78"/>
      <c r="FP129" s="78"/>
      <c r="FQ129" s="78"/>
      <c r="FR129" s="78"/>
      <c r="FS129" s="78"/>
      <c r="FT129" s="78"/>
      <c r="FU129" s="78"/>
      <c r="FV129" s="78"/>
      <c r="FW129" s="78"/>
      <c r="FX129" s="78"/>
      <c r="FY129" s="78"/>
      <c r="FZ129" s="78"/>
      <c r="GA129" s="78"/>
      <c r="GB129" s="78"/>
      <c r="GC129" s="78"/>
      <c r="GD129" s="78"/>
      <c r="GE129" s="78"/>
      <c r="GF129" s="78"/>
      <c r="GG129" s="78"/>
      <c r="GH129" s="78"/>
      <c r="GI129" s="78"/>
      <c r="GJ129" s="78"/>
      <c r="GK129" s="78"/>
      <c r="GL129" s="78"/>
      <c r="GM129" s="78"/>
      <c r="GN129" s="78"/>
      <c r="GO129" s="78"/>
      <c r="GP129" s="78"/>
      <c r="GQ129" s="78"/>
      <c r="GR129" s="78"/>
      <c r="GS129" s="78"/>
      <c r="GT129" s="78"/>
      <c r="GU129" s="78"/>
      <c r="GV129" s="78"/>
      <c r="GW129" s="78"/>
      <c r="GX129" s="78"/>
      <c r="GY129" s="78"/>
      <c r="GZ129" s="78"/>
      <c r="HA129" s="78"/>
      <c r="HB129" s="78"/>
      <c r="HC129" s="78"/>
      <c r="HD129" s="78"/>
      <c r="HE129" s="78"/>
      <c r="HF129" s="78"/>
      <c r="HG129" s="78"/>
      <c r="HH129" s="78"/>
      <c r="HI129" s="78"/>
      <c r="HJ129" s="78"/>
      <c r="HK129" s="78"/>
    </row>
    <row r="130" spans="1:219" ht="15" customHeight="1">
      <c r="A130" s="149">
        <v>5</v>
      </c>
      <c r="B130" s="176" t="str">
        <f>VLOOKUP(Ruimtestaat[[#This Row],[Code]],Locaties[[Code]:[Locatie]],2,FALSE)</f>
        <v>OBS Harry Bannink</v>
      </c>
      <c r="C130" s="176" t="str">
        <f>VLOOKUP(Ruimtestaat[[#This Row],[Code]],Locaties[[#All],[Code]:[Adres]],4,FALSE)</f>
        <v>Het Bijvank 111</v>
      </c>
      <c r="D130" s="176" t="str">
        <f>VLOOKUP(Ruimtestaat[[#This Row],[Code]],Locaties[[#All],[Code]:[Postcode]],5,FALSE)</f>
        <v>7544 DA</v>
      </c>
      <c r="E130" s="176" t="str">
        <f>VLOOKUP(Ruimtestaat[[#This Row],[Code]],Locaties[#All],6,FALSE)</f>
        <v>Enschede</v>
      </c>
      <c r="F130" s="149"/>
      <c r="G130" s="149" t="s">
        <v>1646</v>
      </c>
      <c r="H130" s="300" t="s">
        <v>1653</v>
      </c>
      <c r="I130" s="301" t="s">
        <v>1655</v>
      </c>
      <c r="J130" s="99">
        <v>5</v>
      </c>
      <c r="K130" s="183" t="str">
        <f>VLOOKUP(Ruimtestaat[[#This Row],[Ruimte code]],Ruimtegroepen[[#All],[Code]:[Ruimte omschrijving]],2,FALSE)</f>
        <v>Sanitair</v>
      </c>
      <c r="L130" s="149" t="s">
        <v>102</v>
      </c>
      <c r="M130" s="301" t="s">
        <v>120</v>
      </c>
      <c r="N130" s="177">
        <v>0.8</v>
      </c>
      <c r="O130" s="177"/>
      <c r="P130" s="178" t="str">
        <f>VLOOKUP(Ruimtestaat[[#This Row],[Ruimte code]],Ruimtegroepen[],4,FALSE)</f>
        <v>Sa</v>
      </c>
      <c r="Q130" s="149">
        <v>40</v>
      </c>
      <c r="R130" s="149" t="s">
        <v>2</v>
      </c>
      <c r="S130" s="149">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0" s="149">
        <f>IF(S130&gt;0,VLOOKUP($J130,Ruimtegroepen[],3,FALSE)*VLOOKUP($L130,Vloersoorten[],3,FALSE)*VLOOKUP($R130,Frequenties[],3,FALSE)*VLOOKUP($A130,Locaties[],3,FALSE),0)</f>
        <v>0</v>
      </c>
      <c r="U130" s="149">
        <f>Ruimtestaat[[#This Row],[Uitvoeringen werkdagen]]*Ruimtestaat[[#This Row],[Oppervlak (netto)]]</f>
        <v>160</v>
      </c>
      <c r="V130" s="179">
        <f>IF(T130&gt;0,Ruimtestaat[[#This Row],[Prest. (m2 /jaar) werkdagen]]/Ruimtestaat[[#This Row],[Norm (m2/uur) werkdagen]],0)</f>
        <v>0</v>
      </c>
      <c r="W130" s="180">
        <f>Ruimtestaat[[#This Row],[uren / jaar werkdagen]]*Tariefsopbouw!$E$35</f>
        <v>0</v>
      </c>
      <c r="X130" s="149"/>
      <c r="Y130" s="149">
        <f>IF(Ruimtestaat[[#This Row],[Frequentie weekend]]&gt;0,VALUE(LEFT(X130,1))*Q130,0)</f>
        <v>0</v>
      </c>
      <c r="Z130" s="148">
        <f>IF($Y130&gt;0,VLOOKUP($J130,Ruimtegroepen[],3,FALSE)*VLOOKUP($L130,Vloersoorten[],3,FALSE)*VLOOKUP($X130,Frequenties[],3,FALSE)*VLOOKUP(Ruimtestaat[[#This Row],[Code]],Locaties[],3,FALSE),0)</f>
        <v>0</v>
      </c>
      <c r="AA130" s="148">
        <f>Ruimtestaat[[#This Row],[Uitvoeringen weekend]]*Ruimtestaat[[#This Row],[Oppervlak (netto)]]</f>
        <v>0</v>
      </c>
      <c r="AB130" s="148">
        <f>IF(Z130&gt;0,Ruimtestaat[[#This Row],[Prest. (m2 /jaar) weekend]]/Ruimtestaat[[#This Row],[Norm (m2/uur) weekend]],0)</f>
        <v>0</v>
      </c>
      <c r="AC130" s="180">
        <f>Ruimtestaat[[#This Row],[uren / jaar weekend]]*Tariefsopbouw!$D$40</f>
        <v>0</v>
      </c>
      <c r="AD130" s="179">
        <f>Ruimtestaat[[#This Row],[Prest. (m2 /jaar) weekend]]+Ruimtestaat[[#This Row],[Prest. (m2 /jaar) werkdagen]]</f>
        <v>160</v>
      </c>
      <c r="AE130" s="179">
        <f>Ruimtestaat[[#This Row],[uren / jaar weekend]]+Ruimtestaat[[#This Row],[uren / jaar werkdagen]]</f>
        <v>0</v>
      </c>
      <c r="AF130" s="174">
        <f>Ruimtestaat[[#This Row],[kosten / jaar weekend]]+Ruimtestaat[[#This Row],[kosten / jaar werkdagen]]</f>
        <v>0</v>
      </c>
      <c r="AG130" s="174"/>
      <c r="AH130" s="181" t="str">
        <f>IF(Ruimtestaat[[#This Row],[Frequentie werkdagen]]="","",_xlfn.CONCAT(Ruimtestaat[[#This Row],[Ruimte code]],"-",Ruimtestaat[[#This Row],[Frequentie werkdagen]]," ",Ruimtestaat[[#This Row],[Vloer code]]))</f>
        <v>5-5w P</v>
      </c>
      <c r="AI130" s="185" t="str">
        <f>_xlfn.IFNA(VLOOKUP($AH130,Programma!$F$3:$G$1101,2,0),"")</f>
        <v>_</v>
      </c>
      <c r="AJ130" s="185" t="str">
        <f>_xlfn.IFNA(VLOOKUP($AH130,Programma!$F$3:$H$1101,3,0),"")</f>
        <v>_</v>
      </c>
      <c r="AK130" s="185" t="str">
        <f>_xlfn.IFNA(VLOOKUP($AH130,Programma!$F$3:$I$1101,4,0),"")</f>
        <v>_</v>
      </c>
      <c r="AL130" s="185" t="str">
        <f>_xlfn.IFNA(VLOOKUP($AH130,Programma!$F$3:$J$1101,5,0),"")</f>
        <v>4w</v>
      </c>
      <c r="AM130" s="185" t="str">
        <f>_xlfn.IFNA(VLOOKUP($AH130,Programma!$F$3:$K$1101,6,0),"")</f>
        <v>1w</v>
      </c>
      <c r="AN130" s="185" t="str">
        <f>_xlfn.IFNA(VLOOKUP($AH130,Programma!$F$3:$L$1101,7,0),"")</f>
        <v>_</v>
      </c>
      <c r="AO130" s="185" t="str">
        <f>_xlfn.IFNA(VLOOKUP($AH130,Programma!$F$3:$M$1101,8,0),"")</f>
        <v>_</v>
      </c>
      <c r="AP130" s="185" t="str">
        <f>_xlfn.IFNA(VLOOKUP($AH130,Programma!$F$3:$N$1101,9,0),"")</f>
        <v>_</v>
      </c>
      <c r="AQ130" s="185" t="str">
        <f>_xlfn.IFNA(VLOOKUP($AH130,Programma!$F$3:$O$1101,10,0),"")</f>
        <v>_</v>
      </c>
      <c r="AR130" s="185" t="str">
        <f>_xlfn.IFNA(VLOOKUP($AH130,Programma!$F$3:$P$1101,11,0),"")</f>
        <v>_</v>
      </c>
      <c r="AS130" s="185" t="str">
        <f>_xlfn.IFNA(VLOOKUP($AH130,Programma!$F$3:$Q$1101,12,0),"")</f>
        <v>_</v>
      </c>
      <c r="AT130" s="185" t="str">
        <f>_xlfn.IFNA(VLOOKUP($AH130,Programma!$F$3:$R$1101,13,0),"")</f>
        <v>_</v>
      </c>
      <c r="AU130" s="185" t="str">
        <f>_xlfn.IFNA(VLOOKUP($AH130,Programma!$F$3:$S$1101,14,0),"")</f>
        <v>_</v>
      </c>
      <c r="AV130" s="185" t="str">
        <f>_xlfn.IFNA(VLOOKUP($AH130,Programma!$F$3:$T$1101,15,0),"")</f>
        <v>_</v>
      </c>
      <c r="AW130" s="185" t="str">
        <f>_xlfn.IFNA(VLOOKUP($AH130,Programma!$F$3:$U$1101,16,0),"")</f>
        <v>_</v>
      </c>
      <c r="AX130" s="185" t="str">
        <f>_xlfn.IFNA(VLOOKUP($AH130,Programma!$F$3:$V$1101,17,0),"")</f>
        <v>_</v>
      </c>
      <c r="AY130" s="185" t="str">
        <f>_xlfn.IFNA(VLOOKUP($AH130,Programma!$F$3:$W$1101,18,0),"")</f>
        <v>4w</v>
      </c>
      <c r="AZ130" s="185" t="str">
        <f>_xlfn.IFNA(VLOOKUP($AH130,Programma!$F$3:$X$1101,19,0),"")</f>
        <v>1w</v>
      </c>
      <c r="BA130" s="185" t="str">
        <f>_xlfn.IFNA(VLOOKUP($AH130,Programma!$F$3:$Y$1101,20,0),"")</f>
        <v>_</v>
      </c>
      <c r="BB130" s="182"/>
      <c r="BC130" s="181" t="str">
        <f>IF(Ruimtestaat[[#This Row],[Frequentie weekend]]="","",_xlfn.CONCAT(Ruimtestaat[[#This Row],[Ruimte code]],"-",Ruimtestaat[[#This Row],[Frequentie weekend]]," ",Ruimtestaat[[#This Row],[Vloer code]]))</f>
        <v/>
      </c>
      <c r="BD130" s="185" t="str">
        <f>_xlfn.IFNA(VLOOKUP($BC130,Programma!$F$3:$G$1101,2,0),"")</f>
        <v/>
      </c>
      <c r="BE130" s="185" t="str">
        <f>_xlfn.IFNA(VLOOKUP($BC130,Programma!$F$3:$H$1101,3,0),"")</f>
        <v/>
      </c>
      <c r="BF130" s="185" t="str">
        <f>_xlfn.IFNA(VLOOKUP($BC130,Programma!$F$3:$I$1101,4,0),"")</f>
        <v/>
      </c>
      <c r="BG130" s="185" t="str">
        <f>_xlfn.IFNA(VLOOKUP($BC130,Programma!$F$3:$J$1101,5,0),"")</f>
        <v/>
      </c>
      <c r="BH130" s="185" t="str">
        <f>_xlfn.IFNA(VLOOKUP($BC130,Programma!$F$3:$K$1101,6,0),"")</f>
        <v/>
      </c>
      <c r="BI130" s="185" t="str">
        <f>_xlfn.IFNA(VLOOKUP($BC130,Programma!$F$3:$L$1101,7,0),"")</f>
        <v/>
      </c>
      <c r="BJ130" s="185" t="str">
        <f>_xlfn.IFNA(VLOOKUP($BC130,Programma!$F$3:$M$1101,8,0),"")</f>
        <v/>
      </c>
      <c r="BK130" s="185" t="str">
        <f>_xlfn.IFNA(VLOOKUP($BC130,Programma!$F$3:$N$1101,9,0),"")</f>
        <v/>
      </c>
      <c r="BL130" s="185" t="str">
        <f>_xlfn.IFNA(VLOOKUP($BC130,Programma!$F$3:$O$1101,10,0),"")</f>
        <v/>
      </c>
      <c r="BM130" s="185" t="str">
        <f>_xlfn.IFNA(VLOOKUP($BC130,Programma!$F$3:$P$1101,11,0),"")</f>
        <v/>
      </c>
      <c r="BN130" s="185" t="str">
        <f>_xlfn.IFNA(VLOOKUP($BC130,Programma!$F$3:$Q$1101,12,0),"")</f>
        <v/>
      </c>
      <c r="BO130" s="185" t="str">
        <f>_xlfn.IFNA(VLOOKUP($BC130,Programma!$F$3:$R$1101,13,0),"")</f>
        <v/>
      </c>
      <c r="BP130" s="185" t="str">
        <f>_xlfn.IFNA(VLOOKUP($BC130,Programma!$F$3:$S$1101,14,0),"")</f>
        <v/>
      </c>
      <c r="BQ130" s="185" t="str">
        <f>_xlfn.IFNA(VLOOKUP($BC130,Programma!$F$3:$T$1101,15,0),"")</f>
        <v/>
      </c>
      <c r="BR130" s="185" t="str">
        <f>_xlfn.IFNA(VLOOKUP($BC130,Programma!$F$3:$U$1101,16,0),"")</f>
        <v/>
      </c>
      <c r="BS130" s="185" t="str">
        <f>_xlfn.IFNA(VLOOKUP($BC130,Programma!$F$3:$V$1101,17,0),"")</f>
        <v/>
      </c>
      <c r="BT130" s="185" t="str">
        <f>_xlfn.IFNA(VLOOKUP($BC130,Programma!$F$3:$W$1101,18,0),"")</f>
        <v/>
      </c>
      <c r="BU130" s="185" t="str">
        <f>_xlfn.IFNA(VLOOKUP($BC130,Programma!$F$3:$X$1101,19,0),"")</f>
        <v/>
      </c>
      <c r="BV130" s="185" t="str">
        <f>_xlfn.IFNA(VLOOKUP($BC130,Programma!$F$3:$Y$1101,20,0),"")</f>
        <v/>
      </c>
      <c r="BW130" s="78"/>
      <c r="BX130" s="78"/>
      <c r="BY130" s="78"/>
      <c r="BZ130" s="78"/>
      <c r="CA130" s="78"/>
      <c r="CB130" s="78"/>
      <c r="CC130" s="78"/>
      <c r="CD130" s="78"/>
      <c r="CE130" s="78"/>
      <c r="CF130" s="78"/>
      <c r="CG130" s="78"/>
      <c r="CH130" s="78"/>
      <c r="CI130" s="78"/>
      <c r="CJ130" s="78"/>
      <c r="CK130" s="78"/>
      <c r="CL130" s="78"/>
      <c r="CM130" s="78"/>
      <c r="CN130" s="78"/>
      <c r="CO130" s="78"/>
      <c r="CP130" s="78"/>
      <c r="CQ130" s="78"/>
      <c r="CR130" s="78"/>
      <c r="CS130" s="78"/>
      <c r="CT130" s="78"/>
      <c r="CU130" s="78"/>
      <c r="CV130" s="78"/>
      <c r="CW130" s="78"/>
      <c r="CX130" s="78"/>
      <c r="CY130" s="78"/>
      <c r="CZ130" s="78"/>
      <c r="DA130" s="78"/>
      <c r="DB130" s="78"/>
      <c r="DC130" s="78"/>
      <c r="DD130" s="78"/>
      <c r="DE130" s="78"/>
      <c r="DF130" s="78"/>
      <c r="DG130" s="78"/>
      <c r="DH130" s="78"/>
      <c r="DI130" s="78"/>
      <c r="DJ130" s="78"/>
      <c r="DK130" s="78"/>
      <c r="DL130" s="78"/>
      <c r="DM130" s="78"/>
      <c r="DN130" s="78"/>
      <c r="DO130" s="78"/>
      <c r="DP130" s="78"/>
      <c r="DQ130" s="78"/>
      <c r="DR130" s="78"/>
      <c r="DS130" s="78"/>
      <c r="DT130" s="78"/>
      <c r="DU130" s="78"/>
      <c r="DV130" s="78"/>
      <c r="DW130" s="78"/>
      <c r="DX130" s="78"/>
      <c r="DY130" s="78"/>
      <c r="DZ130" s="78"/>
      <c r="EA130" s="78"/>
      <c r="EB130" s="78"/>
      <c r="EC130" s="78"/>
      <c r="ED130" s="78"/>
      <c r="EE130" s="78"/>
      <c r="EF130" s="78"/>
      <c r="EG130" s="78"/>
      <c r="EH130" s="78"/>
      <c r="EI130" s="78"/>
      <c r="EJ130" s="78"/>
      <c r="EK130" s="78"/>
      <c r="EL130" s="78"/>
      <c r="EM130" s="78"/>
      <c r="EN130" s="78"/>
      <c r="EO130" s="78"/>
      <c r="EP130" s="78"/>
      <c r="EQ130" s="78"/>
      <c r="ER130" s="78"/>
      <c r="ES130" s="78"/>
      <c r="ET130" s="78"/>
      <c r="EU130" s="78"/>
      <c r="EV130" s="78"/>
      <c r="EW130" s="78"/>
      <c r="EX130" s="78"/>
      <c r="EY130" s="78"/>
      <c r="EZ130" s="78"/>
      <c r="FA130" s="78"/>
      <c r="FB130" s="78"/>
      <c r="FC130" s="78"/>
      <c r="FD130" s="78"/>
      <c r="FE130" s="78"/>
      <c r="FF130" s="78"/>
      <c r="FG130" s="78"/>
      <c r="FH130" s="78"/>
      <c r="FI130" s="78"/>
      <c r="FJ130" s="78"/>
      <c r="FK130" s="78"/>
      <c r="FL130" s="78"/>
      <c r="FM130" s="78"/>
      <c r="FN130" s="78"/>
      <c r="FO130" s="78"/>
      <c r="FP130" s="78"/>
      <c r="FQ130" s="78"/>
      <c r="FR130" s="78"/>
      <c r="FS130" s="78"/>
      <c r="FT130" s="78"/>
      <c r="FU130" s="78"/>
      <c r="FV130" s="78"/>
      <c r="FW130" s="78"/>
      <c r="FX130" s="78"/>
      <c r="FY130" s="78"/>
      <c r="FZ130" s="78"/>
      <c r="GA130" s="78"/>
      <c r="GB130" s="78"/>
      <c r="GC130" s="78"/>
      <c r="GD130" s="78"/>
      <c r="GE130" s="78"/>
      <c r="GF130" s="78"/>
      <c r="GG130" s="78"/>
      <c r="GH130" s="78"/>
      <c r="GI130" s="78"/>
      <c r="GJ130" s="78"/>
      <c r="GK130" s="78"/>
      <c r="GL130" s="78"/>
      <c r="GM130" s="78"/>
      <c r="GN130" s="78"/>
      <c r="GO130" s="78"/>
      <c r="GP130" s="78"/>
      <c r="GQ130" s="78"/>
      <c r="GR130" s="78"/>
      <c r="GS130" s="78"/>
      <c r="GT130" s="78"/>
      <c r="GU130" s="78"/>
      <c r="GV130" s="78"/>
      <c r="GW130" s="78"/>
      <c r="GX130" s="78"/>
      <c r="GY130" s="78"/>
      <c r="GZ130" s="78"/>
      <c r="HA130" s="78"/>
      <c r="HB130" s="78"/>
      <c r="HC130" s="78"/>
      <c r="HD130" s="78"/>
      <c r="HE130" s="78"/>
      <c r="HF130" s="78"/>
      <c r="HG130" s="78"/>
      <c r="HH130" s="78"/>
      <c r="HI130" s="78"/>
      <c r="HJ130" s="78"/>
      <c r="HK130" s="78"/>
    </row>
    <row r="131" spans="1:219" ht="15" customHeight="1">
      <c r="A131" s="149">
        <v>5</v>
      </c>
      <c r="B131" s="176" t="str">
        <f>VLOOKUP(Ruimtestaat[[#This Row],[Code]],Locaties[[Code]:[Locatie]],2,FALSE)</f>
        <v>OBS Harry Bannink</v>
      </c>
      <c r="C131" s="176" t="str">
        <f>VLOOKUP(Ruimtestaat[[#This Row],[Code]],Locaties[[#All],[Code]:[Adres]],4,FALSE)</f>
        <v>Het Bijvank 111</v>
      </c>
      <c r="D131" s="176" t="str">
        <f>VLOOKUP(Ruimtestaat[[#This Row],[Code]],Locaties[[#All],[Code]:[Postcode]],5,FALSE)</f>
        <v>7544 DA</v>
      </c>
      <c r="E131" s="176" t="str">
        <f>VLOOKUP(Ruimtestaat[[#This Row],[Code]],Locaties[#All],6,FALSE)</f>
        <v>Enschede</v>
      </c>
      <c r="F131" s="149"/>
      <c r="G131" s="149" t="s">
        <v>1646</v>
      </c>
      <c r="H131" s="300" t="s">
        <v>1654</v>
      </c>
      <c r="I131" s="301" t="s">
        <v>1655</v>
      </c>
      <c r="J131" s="99">
        <v>5</v>
      </c>
      <c r="K131" s="183" t="str">
        <f>VLOOKUP(Ruimtestaat[[#This Row],[Ruimte code]],Ruimtegroepen[[#All],[Code]:[Ruimte omschrijving]],2,FALSE)</f>
        <v>Sanitair</v>
      </c>
      <c r="L131" s="149" t="s">
        <v>102</v>
      </c>
      <c r="M131" s="301" t="s">
        <v>120</v>
      </c>
      <c r="N131" s="177">
        <v>0.8</v>
      </c>
      <c r="O131" s="177"/>
      <c r="P131" s="178" t="str">
        <f>VLOOKUP(Ruimtestaat[[#This Row],[Ruimte code]],Ruimtegroepen[],4,FALSE)</f>
        <v>Sa</v>
      </c>
      <c r="Q131" s="149">
        <v>40</v>
      </c>
      <c r="R131" s="149" t="s">
        <v>2</v>
      </c>
      <c r="S131" s="149">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149">
        <f>IF(S131&gt;0,VLOOKUP($J131,Ruimtegroepen[],3,FALSE)*VLOOKUP($L131,Vloersoorten[],3,FALSE)*VLOOKUP($R131,Frequenties[],3,FALSE)*VLOOKUP($A131,Locaties[],3,FALSE),0)</f>
        <v>0</v>
      </c>
      <c r="U131" s="149">
        <f>Ruimtestaat[[#This Row],[Uitvoeringen werkdagen]]*Ruimtestaat[[#This Row],[Oppervlak (netto)]]</f>
        <v>160</v>
      </c>
      <c r="V131" s="179">
        <f>IF(T131&gt;0,Ruimtestaat[[#This Row],[Prest. (m2 /jaar) werkdagen]]/Ruimtestaat[[#This Row],[Norm (m2/uur) werkdagen]],0)</f>
        <v>0</v>
      </c>
      <c r="W131" s="180">
        <f>Ruimtestaat[[#This Row],[uren / jaar werkdagen]]*Tariefsopbouw!$E$35</f>
        <v>0</v>
      </c>
      <c r="X131" s="149"/>
      <c r="Y131" s="149">
        <f>IF(Ruimtestaat[[#This Row],[Frequentie weekend]]&gt;0,VALUE(LEFT(X131,1))*Q131,0)</f>
        <v>0</v>
      </c>
      <c r="Z131" s="148">
        <f>IF($Y131&gt;0,VLOOKUP($J131,Ruimtegroepen[],3,FALSE)*VLOOKUP($L131,Vloersoorten[],3,FALSE)*VLOOKUP($X131,Frequenties[],3,FALSE)*VLOOKUP(Ruimtestaat[[#This Row],[Code]],Locaties[],3,FALSE),0)</f>
        <v>0</v>
      </c>
      <c r="AA131" s="148">
        <f>Ruimtestaat[[#This Row],[Uitvoeringen weekend]]*Ruimtestaat[[#This Row],[Oppervlak (netto)]]</f>
        <v>0</v>
      </c>
      <c r="AB131" s="148">
        <f>IF(Z131&gt;0,Ruimtestaat[[#This Row],[Prest. (m2 /jaar) weekend]]/Ruimtestaat[[#This Row],[Norm (m2/uur) weekend]],0)</f>
        <v>0</v>
      </c>
      <c r="AC131" s="180">
        <f>Ruimtestaat[[#This Row],[uren / jaar weekend]]*Tariefsopbouw!$D$40</f>
        <v>0</v>
      </c>
      <c r="AD131" s="179">
        <f>Ruimtestaat[[#This Row],[Prest. (m2 /jaar) weekend]]+Ruimtestaat[[#This Row],[Prest. (m2 /jaar) werkdagen]]</f>
        <v>160</v>
      </c>
      <c r="AE131" s="179">
        <f>Ruimtestaat[[#This Row],[uren / jaar weekend]]+Ruimtestaat[[#This Row],[uren / jaar werkdagen]]</f>
        <v>0</v>
      </c>
      <c r="AF131" s="174">
        <f>Ruimtestaat[[#This Row],[kosten / jaar weekend]]+Ruimtestaat[[#This Row],[kosten / jaar werkdagen]]</f>
        <v>0</v>
      </c>
      <c r="AG131" s="174"/>
      <c r="AH131" s="181" t="str">
        <f>IF(Ruimtestaat[[#This Row],[Frequentie werkdagen]]="","",_xlfn.CONCAT(Ruimtestaat[[#This Row],[Ruimte code]],"-",Ruimtestaat[[#This Row],[Frequentie werkdagen]]," ",Ruimtestaat[[#This Row],[Vloer code]]))</f>
        <v>5-5w P</v>
      </c>
      <c r="AI131" s="185" t="str">
        <f>_xlfn.IFNA(VLOOKUP($AH131,Programma!$F$3:$G$1101,2,0),"")</f>
        <v>_</v>
      </c>
      <c r="AJ131" s="185" t="str">
        <f>_xlfn.IFNA(VLOOKUP($AH131,Programma!$F$3:$H$1101,3,0),"")</f>
        <v>_</v>
      </c>
      <c r="AK131" s="185" t="str">
        <f>_xlfn.IFNA(VLOOKUP($AH131,Programma!$F$3:$I$1101,4,0),"")</f>
        <v>_</v>
      </c>
      <c r="AL131" s="185" t="str">
        <f>_xlfn.IFNA(VLOOKUP($AH131,Programma!$F$3:$J$1101,5,0),"")</f>
        <v>4w</v>
      </c>
      <c r="AM131" s="185" t="str">
        <f>_xlfn.IFNA(VLOOKUP($AH131,Programma!$F$3:$K$1101,6,0),"")</f>
        <v>1w</v>
      </c>
      <c r="AN131" s="185" t="str">
        <f>_xlfn.IFNA(VLOOKUP($AH131,Programma!$F$3:$L$1101,7,0),"")</f>
        <v>_</v>
      </c>
      <c r="AO131" s="185" t="str">
        <f>_xlfn.IFNA(VLOOKUP($AH131,Programma!$F$3:$M$1101,8,0),"")</f>
        <v>_</v>
      </c>
      <c r="AP131" s="185" t="str">
        <f>_xlfn.IFNA(VLOOKUP($AH131,Programma!$F$3:$N$1101,9,0),"")</f>
        <v>_</v>
      </c>
      <c r="AQ131" s="185" t="str">
        <f>_xlfn.IFNA(VLOOKUP($AH131,Programma!$F$3:$O$1101,10,0),"")</f>
        <v>_</v>
      </c>
      <c r="AR131" s="185" t="str">
        <f>_xlfn.IFNA(VLOOKUP($AH131,Programma!$F$3:$P$1101,11,0),"")</f>
        <v>_</v>
      </c>
      <c r="AS131" s="185" t="str">
        <f>_xlfn.IFNA(VLOOKUP($AH131,Programma!$F$3:$Q$1101,12,0),"")</f>
        <v>_</v>
      </c>
      <c r="AT131" s="185" t="str">
        <f>_xlfn.IFNA(VLOOKUP($AH131,Programma!$F$3:$R$1101,13,0),"")</f>
        <v>_</v>
      </c>
      <c r="AU131" s="185" t="str">
        <f>_xlfn.IFNA(VLOOKUP($AH131,Programma!$F$3:$S$1101,14,0),"")</f>
        <v>_</v>
      </c>
      <c r="AV131" s="185" t="str">
        <f>_xlfn.IFNA(VLOOKUP($AH131,Programma!$F$3:$T$1101,15,0),"")</f>
        <v>_</v>
      </c>
      <c r="AW131" s="185" t="str">
        <f>_xlfn.IFNA(VLOOKUP($AH131,Programma!$F$3:$U$1101,16,0),"")</f>
        <v>_</v>
      </c>
      <c r="AX131" s="185" t="str">
        <f>_xlfn.IFNA(VLOOKUP($AH131,Programma!$F$3:$V$1101,17,0),"")</f>
        <v>_</v>
      </c>
      <c r="AY131" s="185" t="str">
        <f>_xlfn.IFNA(VLOOKUP($AH131,Programma!$F$3:$W$1101,18,0),"")</f>
        <v>4w</v>
      </c>
      <c r="AZ131" s="185" t="str">
        <f>_xlfn.IFNA(VLOOKUP($AH131,Programma!$F$3:$X$1101,19,0),"")</f>
        <v>1w</v>
      </c>
      <c r="BA131" s="185" t="str">
        <f>_xlfn.IFNA(VLOOKUP($AH131,Programma!$F$3:$Y$1101,20,0),"")</f>
        <v>_</v>
      </c>
      <c r="BB131" s="182"/>
      <c r="BC131" s="181" t="str">
        <f>IF(Ruimtestaat[[#This Row],[Frequentie weekend]]="","",_xlfn.CONCAT(Ruimtestaat[[#This Row],[Ruimte code]],"-",Ruimtestaat[[#This Row],[Frequentie weekend]]," ",Ruimtestaat[[#This Row],[Vloer code]]))</f>
        <v/>
      </c>
      <c r="BD131" s="185" t="str">
        <f>_xlfn.IFNA(VLOOKUP($BC131,Programma!$F$3:$G$1101,2,0),"")</f>
        <v/>
      </c>
      <c r="BE131" s="185" t="str">
        <f>_xlfn.IFNA(VLOOKUP($BC131,Programma!$F$3:$H$1101,3,0),"")</f>
        <v/>
      </c>
      <c r="BF131" s="185" t="str">
        <f>_xlfn.IFNA(VLOOKUP($BC131,Programma!$F$3:$I$1101,4,0),"")</f>
        <v/>
      </c>
      <c r="BG131" s="185" t="str">
        <f>_xlfn.IFNA(VLOOKUP($BC131,Programma!$F$3:$J$1101,5,0),"")</f>
        <v/>
      </c>
      <c r="BH131" s="185" t="str">
        <f>_xlfn.IFNA(VLOOKUP($BC131,Programma!$F$3:$K$1101,6,0),"")</f>
        <v/>
      </c>
      <c r="BI131" s="185" t="str">
        <f>_xlfn.IFNA(VLOOKUP($BC131,Programma!$F$3:$L$1101,7,0),"")</f>
        <v/>
      </c>
      <c r="BJ131" s="185" t="str">
        <f>_xlfn.IFNA(VLOOKUP($BC131,Programma!$F$3:$M$1101,8,0),"")</f>
        <v/>
      </c>
      <c r="BK131" s="185" t="str">
        <f>_xlfn.IFNA(VLOOKUP($BC131,Programma!$F$3:$N$1101,9,0),"")</f>
        <v/>
      </c>
      <c r="BL131" s="185" t="str">
        <f>_xlfn.IFNA(VLOOKUP($BC131,Programma!$F$3:$O$1101,10,0),"")</f>
        <v/>
      </c>
      <c r="BM131" s="185" t="str">
        <f>_xlfn.IFNA(VLOOKUP($BC131,Programma!$F$3:$P$1101,11,0),"")</f>
        <v/>
      </c>
      <c r="BN131" s="185" t="str">
        <f>_xlfn.IFNA(VLOOKUP($BC131,Programma!$F$3:$Q$1101,12,0),"")</f>
        <v/>
      </c>
      <c r="BO131" s="185" t="str">
        <f>_xlfn.IFNA(VLOOKUP($BC131,Programma!$F$3:$R$1101,13,0),"")</f>
        <v/>
      </c>
      <c r="BP131" s="185" t="str">
        <f>_xlfn.IFNA(VLOOKUP($BC131,Programma!$F$3:$S$1101,14,0),"")</f>
        <v/>
      </c>
      <c r="BQ131" s="185" t="str">
        <f>_xlfn.IFNA(VLOOKUP($BC131,Programma!$F$3:$T$1101,15,0),"")</f>
        <v/>
      </c>
      <c r="BR131" s="185" t="str">
        <f>_xlfn.IFNA(VLOOKUP($BC131,Programma!$F$3:$U$1101,16,0),"")</f>
        <v/>
      </c>
      <c r="BS131" s="185" t="str">
        <f>_xlfn.IFNA(VLOOKUP($BC131,Programma!$F$3:$V$1101,17,0),"")</f>
        <v/>
      </c>
      <c r="BT131" s="185" t="str">
        <f>_xlfn.IFNA(VLOOKUP($BC131,Programma!$F$3:$W$1101,18,0),"")</f>
        <v/>
      </c>
      <c r="BU131" s="185" t="str">
        <f>_xlfn.IFNA(VLOOKUP($BC131,Programma!$F$3:$X$1101,19,0),"")</f>
        <v/>
      </c>
      <c r="BV131" s="185" t="str">
        <f>_xlfn.IFNA(VLOOKUP($BC131,Programma!$F$3:$Y$1101,20,0),"")</f>
        <v/>
      </c>
      <c r="BW131" s="78"/>
      <c r="BX131" s="78"/>
      <c r="BY131" s="78"/>
      <c r="BZ131" s="78"/>
      <c r="CA131" s="78"/>
      <c r="CB131" s="78"/>
      <c r="CC131" s="78"/>
      <c r="CD131" s="78"/>
      <c r="CE131" s="78"/>
      <c r="CF131" s="78"/>
      <c r="CG131" s="78"/>
      <c r="CH131" s="78"/>
      <c r="CI131" s="78"/>
      <c r="CJ131" s="78"/>
      <c r="CK131" s="78"/>
      <c r="CL131" s="78"/>
      <c r="CM131" s="78"/>
      <c r="CN131" s="78"/>
      <c r="CO131" s="78"/>
      <c r="CP131" s="78"/>
      <c r="CQ131" s="78"/>
      <c r="CR131" s="78"/>
      <c r="CS131" s="78"/>
      <c r="CT131" s="78"/>
      <c r="CU131" s="78"/>
      <c r="CV131" s="78"/>
      <c r="CW131" s="78"/>
      <c r="CX131" s="78"/>
      <c r="CY131" s="78"/>
      <c r="CZ131" s="78"/>
      <c r="DA131" s="78"/>
      <c r="DB131" s="78"/>
      <c r="DC131" s="78"/>
      <c r="DD131" s="78"/>
      <c r="DE131" s="78"/>
      <c r="DF131" s="78"/>
      <c r="DG131" s="78"/>
      <c r="DH131" s="78"/>
      <c r="DI131" s="78"/>
      <c r="DJ131" s="78"/>
      <c r="DK131" s="78"/>
      <c r="DL131" s="78"/>
      <c r="DM131" s="78"/>
      <c r="DN131" s="78"/>
      <c r="DO131" s="78"/>
      <c r="DP131" s="78"/>
      <c r="DQ131" s="78"/>
      <c r="DR131" s="78"/>
      <c r="DS131" s="78"/>
      <c r="DT131" s="78"/>
      <c r="DU131" s="78"/>
      <c r="DV131" s="78"/>
      <c r="DW131" s="78"/>
      <c r="DX131" s="78"/>
      <c r="DY131" s="78"/>
      <c r="DZ131" s="78"/>
      <c r="EA131" s="78"/>
      <c r="EB131" s="78"/>
      <c r="EC131" s="78"/>
      <c r="ED131" s="78"/>
      <c r="EE131" s="78"/>
      <c r="EF131" s="78"/>
      <c r="EG131" s="78"/>
      <c r="EH131" s="78"/>
      <c r="EI131" s="78"/>
      <c r="EJ131" s="78"/>
      <c r="EK131" s="78"/>
      <c r="EL131" s="78"/>
      <c r="EM131" s="78"/>
      <c r="EN131" s="78"/>
      <c r="EO131" s="78"/>
      <c r="EP131" s="78"/>
      <c r="EQ131" s="78"/>
      <c r="ER131" s="78"/>
      <c r="ES131" s="78"/>
      <c r="ET131" s="78"/>
      <c r="EU131" s="78"/>
      <c r="EV131" s="78"/>
      <c r="EW131" s="78"/>
      <c r="EX131" s="78"/>
      <c r="EY131" s="78"/>
      <c r="EZ131" s="78"/>
      <c r="FA131" s="78"/>
      <c r="FB131" s="78"/>
      <c r="FC131" s="78"/>
      <c r="FD131" s="78"/>
      <c r="FE131" s="78"/>
      <c r="FF131" s="78"/>
      <c r="FG131" s="78"/>
      <c r="FH131" s="78"/>
      <c r="FI131" s="78"/>
      <c r="FJ131" s="78"/>
      <c r="FK131" s="78"/>
      <c r="FL131" s="78"/>
      <c r="FM131" s="78"/>
      <c r="FN131" s="78"/>
      <c r="FO131" s="78"/>
      <c r="FP131" s="78"/>
      <c r="FQ131" s="78"/>
      <c r="FR131" s="78"/>
      <c r="FS131" s="78"/>
      <c r="FT131" s="78"/>
      <c r="FU131" s="78"/>
      <c r="FV131" s="78"/>
      <c r="FW131" s="78"/>
      <c r="FX131" s="78"/>
      <c r="FY131" s="78"/>
      <c r="FZ131" s="78"/>
      <c r="GA131" s="78"/>
      <c r="GB131" s="78"/>
      <c r="GC131" s="78"/>
      <c r="GD131" s="78"/>
      <c r="GE131" s="78"/>
      <c r="GF131" s="78"/>
      <c r="GG131" s="78"/>
      <c r="GH131" s="78"/>
      <c r="GI131" s="78"/>
      <c r="GJ131" s="78"/>
      <c r="GK131" s="78"/>
      <c r="GL131" s="78"/>
      <c r="GM131" s="78"/>
      <c r="GN131" s="78"/>
      <c r="GO131" s="78"/>
      <c r="GP131" s="78"/>
      <c r="GQ131" s="78"/>
      <c r="GR131" s="78"/>
      <c r="GS131" s="78"/>
      <c r="GT131" s="78"/>
      <c r="GU131" s="78"/>
      <c r="GV131" s="78"/>
      <c r="GW131" s="78"/>
      <c r="GX131" s="78"/>
      <c r="GY131" s="78"/>
      <c r="GZ131" s="78"/>
      <c r="HA131" s="78"/>
      <c r="HB131" s="78"/>
      <c r="HC131" s="78"/>
      <c r="HD131" s="78"/>
      <c r="HE131" s="78"/>
      <c r="HF131" s="78"/>
      <c r="HG131" s="78"/>
      <c r="HH131" s="78"/>
      <c r="HI131" s="78"/>
      <c r="HJ131" s="78"/>
      <c r="HK131" s="78"/>
    </row>
    <row r="132" spans="1:219" ht="15" customHeight="1">
      <c r="A132" s="149">
        <v>5</v>
      </c>
      <c r="B132" s="176" t="str">
        <f>VLOOKUP(Ruimtestaat[[#This Row],[Code]],Locaties[[Code]:[Locatie]],2,FALSE)</f>
        <v>OBS Harry Bannink</v>
      </c>
      <c r="C132" s="176" t="str">
        <f>VLOOKUP(Ruimtestaat[[#This Row],[Code]],Locaties[[#All],[Code]:[Adres]],4,FALSE)</f>
        <v>Het Bijvank 111</v>
      </c>
      <c r="D132" s="176" t="str">
        <f>VLOOKUP(Ruimtestaat[[#This Row],[Code]],Locaties[[#All],[Code]:[Postcode]],5,FALSE)</f>
        <v>7544 DA</v>
      </c>
      <c r="E132" s="176" t="str">
        <f>VLOOKUP(Ruimtestaat[[#This Row],[Code]],Locaties[#All],6,FALSE)</f>
        <v>Enschede</v>
      </c>
      <c r="F132" s="149"/>
      <c r="G132" s="149" t="s">
        <v>1646</v>
      </c>
      <c r="H132" s="300" t="s">
        <v>1656</v>
      </c>
      <c r="I132" s="301" t="s">
        <v>1651</v>
      </c>
      <c r="J132" s="99">
        <v>16</v>
      </c>
      <c r="K132" s="183" t="str">
        <f>VLOOKUP(Ruimtestaat[[#This Row],[Ruimte code]],Ruimtegroepen[[#All],[Code]:[Ruimte omschrijving]],2,FALSE)</f>
        <v>Leslokalen</v>
      </c>
      <c r="L132" s="149" t="s">
        <v>100</v>
      </c>
      <c r="M132" s="301" t="s">
        <v>1697</v>
      </c>
      <c r="N132" s="177">
        <v>54.1</v>
      </c>
      <c r="O132" s="177"/>
      <c r="P132" s="178" t="str">
        <f>VLOOKUP(Ruimtestaat[[#This Row],[Ruimte code]],Ruimtegroepen[],4,FALSE)</f>
        <v>Le</v>
      </c>
      <c r="Q132" s="149">
        <v>40</v>
      </c>
      <c r="R132" s="149" t="s">
        <v>2</v>
      </c>
      <c r="S132" s="149">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149">
        <f>IF(S132&gt;0,VLOOKUP($J132,Ruimtegroepen[],3,FALSE)*VLOOKUP($L132,Vloersoorten[],3,FALSE)*VLOOKUP($R132,Frequenties[],3,FALSE)*VLOOKUP($A132,Locaties[],3,FALSE),0)</f>
        <v>0</v>
      </c>
      <c r="U132" s="149">
        <f>Ruimtestaat[[#This Row],[Uitvoeringen werkdagen]]*Ruimtestaat[[#This Row],[Oppervlak (netto)]]</f>
        <v>10820</v>
      </c>
      <c r="V132" s="179">
        <f>IF(T132&gt;0,Ruimtestaat[[#This Row],[Prest. (m2 /jaar) werkdagen]]/Ruimtestaat[[#This Row],[Norm (m2/uur) werkdagen]],0)</f>
        <v>0</v>
      </c>
      <c r="W132" s="180">
        <f>Ruimtestaat[[#This Row],[uren / jaar werkdagen]]*Tariefsopbouw!$E$35</f>
        <v>0</v>
      </c>
      <c r="X132" s="149"/>
      <c r="Y132" s="149">
        <f>IF(Ruimtestaat[[#This Row],[Frequentie weekend]]&gt;0,VALUE(LEFT(X132,1))*Q132,0)</f>
        <v>0</v>
      </c>
      <c r="Z132" s="148">
        <f>IF($Y132&gt;0,VLOOKUP($J132,Ruimtegroepen[],3,FALSE)*VLOOKUP($L132,Vloersoorten[],3,FALSE)*VLOOKUP($X132,Frequenties[],3,FALSE)*VLOOKUP(Ruimtestaat[[#This Row],[Code]],Locaties[],3,FALSE),0)</f>
        <v>0</v>
      </c>
      <c r="AA132" s="148">
        <f>Ruimtestaat[[#This Row],[Uitvoeringen weekend]]*Ruimtestaat[[#This Row],[Oppervlak (netto)]]</f>
        <v>0</v>
      </c>
      <c r="AB132" s="148">
        <f>IF(Z132&gt;0,Ruimtestaat[[#This Row],[Prest. (m2 /jaar) weekend]]/Ruimtestaat[[#This Row],[Norm (m2/uur) weekend]],0)</f>
        <v>0</v>
      </c>
      <c r="AC132" s="180">
        <f>Ruimtestaat[[#This Row],[uren / jaar weekend]]*Tariefsopbouw!$D$40</f>
        <v>0</v>
      </c>
      <c r="AD132" s="179">
        <f>Ruimtestaat[[#This Row],[Prest. (m2 /jaar) weekend]]+Ruimtestaat[[#This Row],[Prest. (m2 /jaar) werkdagen]]</f>
        <v>10820</v>
      </c>
      <c r="AE132" s="179">
        <f>Ruimtestaat[[#This Row],[uren / jaar weekend]]+Ruimtestaat[[#This Row],[uren / jaar werkdagen]]</f>
        <v>0</v>
      </c>
      <c r="AF132" s="174">
        <f>Ruimtestaat[[#This Row],[kosten / jaar weekend]]+Ruimtestaat[[#This Row],[kosten / jaar werkdagen]]</f>
        <v>0</v>
      </c>
      <c r="AG132" s="174"/>
      <c r="AH132" s="181" t="str">
        <f>IF(Ruimtestaat[[#This Row],[Frequentie werkdagen]]="","",_xlfn.CONCAT(Ruimtestaat[[#This Row],[Ruimte code]],"-",Ruimtestaat[[#This Row],[Frequentie werkdagen]]," ",Ruimtestaat[[#This Row],[Vloer code]]))</f>
        <v>16-5w L</v>
      </c>
      <c r="AI132" s="185" t="str">
        <f>_xlfn.IFNA(VLOOKUP($AH132,Programma!$F$3:$G$1101,2,0),"")</f>
        <v>_</v>
      </c>
      <c r="AJ132" s="185" t="str">
        <f>_xlfn.IFNA(VLOOKUP($AH132,Programma!$F$3:$H$1101,3,0),"")</f>
        <v>_</v>
      </c>
      <c r="AK132" s="185" t="str">
        <f>_xlfn.IFNA(VLOOKUP($AH132,Programma!$F$3:$I$1101,4,0),"")</f>
        <v>4w</v>
      </c>
      <c r="AL132" s="185" t="str">
        <f>_xlfn.IFNA(VLOOKUP($AH132,Programma!$F$3:$J$1101,5,0),"")</f>
        <v>1w</v>
      </c>
      <c r="AM132" s="185" t="str">
        <f>_xlfn.IFNA(VLOOKUP($AH132,Programma!$F$3:$K$1101,6,0),"")</f>
        <v>_</v>
      </c>
      <c r="AN132" s="185" t="str">
        <f>_xlfn.IFNA(VLOOKUP($AH132,Programma!$F$3:$L$1101,7,0),"")</f>
        <v>_</v>
      </c>
      <c r="AO132" s="185" t="str">
        <f>_xlfn.IFNA(VLOOKUP($AH132,Programma!$F$3:$M$1101,8,0),"")</f>
        <v>_</v>
      </c>
      <c r="AP132" s="185" t="str">
        <f>_xlfn.IFNA(VLOOKUP($AH132,Programma!$F$3:$N$1101,9,0),"")</f>
        <v>_</v>
      </c>
      <c r="AQ132" s="185" t="str">
        <f>_xlfn.IFNA(VLOOKUP($AH132,Programma!$F$3:$O$1101,10,0),"")</f>
        <v>5w</v>
      </c>
      <c r="AR132" s="185" t="str">
        <f>_xlfn.IFNA(VLOOKUP($AH132,Programma!$F$3:$P$1101,11,0),"")</f>
        <v>5w</v>
      </c>
      <c r="AS132" s="185" t="str">
        <f>_xlfn.IFNA(VLOOKUP($AH132,Programma!$F$3:$Q$1101,12,0),"")</f>
        <v>1w</v>
      </c>
      <c r="AT132" s="185" t="str">
        <f>_xlfn.IFNA(VLOOKUP($AH132,Programma!$F$3:$R$1101,13,0),"")</f>
        <v>1w</v>
      </c>
      <c r="AU132" s="185" t="str">
        <f>_xlfn.IFNA(VLOOKUP($AH132,Programma!$F$3:$S$1101,14,0),"")</f>
        <v>1m</v>
      </c>
      <c r="AV132" s="185" t="str">
        <f>_xlfn.IFNA(VLOOKUP($AH132,Programma!$F$3:$T$1101,15,0),"")</f>
        <v>2j</v>
      </c>
      <c r="AW132" s="185" t="str">
        <f>_xlfn.IFNA(VLOOKUP($AH132,Programma!$F$3:$U$1101,16,0),"")</f>
        <v>1j</v>
      </c>
      <c r="AX132" s="185" t="str">
        <f>_xlfn.IFNA(VLOOKUP($AH132,Programma!$F$3:$V$1101,17,0),"")</f>
        <v>_</v>
      </c>
      <c r="AY132" s="185" t="str">
        <f>_xlfn.IFNA(VLOOKUP($AH132,Programma!$F$3:$W$1101,18,0),"")</f>
        <v>_</v>
      </c>
      <c r="AZ132" s="185" t="str">
        <f>_xlfn.IFNA(VLOOKUP($AH132,Programma!$F$3:$X$1101,19,0),"")</f>
        <v>_</v>
      </c>
      <c r="BA132" s="185" t="str">
        <f>_xlfn.IFNA(VLOOKUP($AH132,Programma!$F$3:$Y$1101,20,0),"")</f>
        <v>_</v>
      </c>
      <c r="BB132" s="182"/>
      <c r="BC132" s="181" t="str">
        <f>IF(Ruimtestaat[[#This Row],[Frequentie weekend]]="","",_xlfn.CONCAT(Ruimtestaat[[#This Row],[Ruimte code]],"-",Ruimtestaat[[#This Row],[Frequentie weekend]]," ",Ruimtestaat[[#This Row],[Vloer code]]))</f>
        <v/>
      </c>
      <c r="BD132" s="185" t="str">
        <f>_xlfn.IFNA(VLOOKUP($BC132,Programma!$F$3:$G$1101,2,0),"")</f>
        <v/>
      </c>
      <c r="BE132" s="185" t="str">
        <f>_xlfn.IFNA(VLOOKUP($BC132,Programma!$F$3:$H$1101,3,0),"")</f>
        <v/>
      </c>
      <c r="BF132" s="185" t="str">
        <f>_xlfn.IFNA(VLOOKUP($BC132,Programma!$F$3:$I$1101,4,0),"")</f>
        <v/>
      </c>
      <c r="BG132" s="185" t="str">
        <f>_xlfn.IFNA(VLOOKUP($BC132,Programma!$F$3:$J$1101,5,0),"")</f>
        <v/>
      </c>
      <c r="BH132" s="185" t="str">
        <f>_xlfn.IFNA(VLOOKUP($BC132,Programma!$F$3:$K$1101,6,0),"")</f>
        <v/>
      </c>
      <c r="BI132" s="185" t="str">
        <f>_xlfn.IFNA(VLOOKUP($BC132,Programma!$F$3:$L$1101,7,0),"")</f>
        <v/>
      </c>
      <c r="BJ132" s="185" t="str">
        <f>_xlfn.IFNA(VLOOKUP($BC132,Programma!$F$3:$M$1101,8,0),"")</f>
        <v/>
      </c>
      <c r="BK132" s="185" t="str">
        <f>_xlfn.IFNA(VLOOKUP($BC132,Programma!$F$3:$N$1101,9,0),"")</f>
        <v/>
      </c>
      <c r="BL132" s="185" t="str">
        <f>_xlfn.IFNA(VLOOKUP($BC132,Programma!$F$3:$O$1101,10,0),"")</f>
        <v/>
      </c>
      <c r="BM132" s="185" t="str">
        <f>_xlfn.IFNA(VLOOKUP($BC132,Programma!$F$3:$P$1101,11,0),"")</f>
        <v/>
      </c>
      <c r="BN132" s="185" t="str">
        <f>_xlfn.IFNA(VLOOKUP($BC132,Programma!$F$3:$Q$1101,12,0),"")</f>
        <v/>
      </c>
      <c r="BO132" s="185" t="str">
        <f>_xlfn.IFNA(VLOOKUP($BC132,Programma!$F$3:$R$1101,13,0),"")</f>
        <v/>
      </c>
      <c r="BP132" s="185" t="str">
        <f>_xlfn.IFNA(VLOOKUP($BC132,Programma!$F$3:$S$1101,14,0),"")</f>
        <v/>
      </c>
      <c r="BQ132" s="185" t="str">
        <f>_xlfn.IFNA(VLOOKUP($BC132,Programma!$F$3:$T$1101,15,0),"")</f>
        <v/>
      </c>
      <c r="BR132" s="185" t="str">
        <f>_xlfn.IFNA(VLOOKUP($BC132,Programma!$F$3:$U$1101,16,0),"")</f>
        <v/>
      </c>
      <c r="BS132" s="185" t="str">
        <f>_xlfn.IFNA(VLOOKUP($BC132,Programma!$F$3:$V$1101,17,0),"")</f>
        <v/>
      </c>
      <c r="BT132" s="185" t="str">
        <f>_xlfn.IFNA(VLOOKUP($BC132,Programma!$F$3:$W$1101,18,0),"")</f>
        <v/>
      </c>
      <c r="BU132" s="185" t="str">
        <f>_xlfn.IFNA(VLOOKUP($BC132,Programma!$F$3:$X$1101,19,0),"")</f>
        <v/>
      </c>
      <c r="BV132" s="185" t="str">
        <f>_xlfn.IFNA(VLOOKUP($BC132,Programma!$F$3:$Y$1101,20,0),"")</f>
        <v/>
      </c>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c r="EK132" s="78"/>
      <c r="EL132" s="78"/>
      <c r="EM132" s="78"/>
      <c r="EN132" s="78"/>
      <c r="EO132" s="78"/>
      <c r="EP132" s="78"/>
      <c r="EQ132" s="78"/>
      <c r="ER132" s="78"/>
      <c r="ES132" s="78"/>
      <c r="ET132" s="78"/>
      <c r="EU132" s="78"/>
      <c r="EV132" s="78"/>
      <c r="EW132" s="78"/>
      <c r="EX132" s="78"/>
      <c r="EY132" s="78"/>
      <c r="EZ132" s="78"/>
      <c r="FA132" s="78"/>
      <c r="FB132" s="78"/>
      <c r="FC132" s="78"/>
      <c r="FD132" s="78"/>
      <c r="FE132" s="78"/>
      <c r="FF132" s="78"/>
      <c r="FG132" s="78"/>
      <c r="FH132" s="78"/>
      <c r="FI132" s="78"/>
      <c r="FJ132" s="78"/>
      <c r="FK132" s="78"/>
      <c r="FL132" s="78"/>
      <c r="FM132" s="78"/>
      <c r="FN132" s="78"/>
      <c r="FO132" s="78"/>
      <c r="FP132" s="78"/>
      <c r="FQ132" s="78"/>
      <c r="FR132" s="78"/>
      <c r="FS132" s="78"/>
      <c r="FT132" s="78"/>
      <c r="FU132" s="78"/>
      <c r="FV132" s="78"/>
      <c r="FW132" s="78"/>
      <c r="FX132" s="78"/>
      <c r="FY132" s="78"/>
      <c r="FZ132" s="78"/>
      <c r="GA132" s="78"/>
      <c r="GB132" s="78"/>
      <c r="GC132" s="78"/>
      <c r="GD132" s="78"/>
      <c r="GE132" s="78"/>
      <c r="GF132" s="78"/>
      <c r="GG132" s="78"/>
      <c r="GH132" s="78"/>
      <c r="GI132" s="78"/>
      <c r="GJ132" s="78"/>
      <c r="GK132" s="78"/>
      <c r="GL132" s="78"/>
      <c r="GM132" s="78"/>
      <c r="GN132" s="78"/>
      <c r="GO132" s="78"/>
      <c r="GP132" s="78"/>
      <c r="GQ132" s="78"/>
      <c r="GR132" s="78"/>
      <c r="GS132" s="78"/>
      <c r="GT132" s="78"/>
      <c r="GU132" s="78"/>
      <c r="GV132" s="78"/>
      <c r="GW132" s="78"/>
      <c r="GX132" s="78"/>
      <c r="GY132" s="78"/>
      <c r="GZ132" s="78"/>
      <c r="HA132" s="78"/>
      <c r="HB132" s="78"/>
      <c r="HC132" s="78"/>
      <c r="HD132" s="78"/>
      <c r="HE132" s="78"/>
      <c r="HF132" s="78"/>
      <c r="HG132" s="78"/>
      <c r="HH132" s="78"/>
      <c r="HI132" s="78"/>
      <c r="HJ132" s="78"/>
      <c r="HK132" s="78"/>
    </row>
    <row r="133" spans="1:219" ht="15" customHeight="1">
      <c r="A133" s="149">
        <v>5</v>
      </c>
      <c r="B133" s="176" t="str">
        <f>VLOOKUP(Ruimtestaat[[#This Row],[Code]],Locaties[[Code]:[Locatie]],2,FALSE)</f>
        <v>OBS Harry Bannink</v>
      </c>
      <c r="C133" s="176" t="str">
        <f>VLOOKUP(Ruimtestaat[[#This Row],[Code]],Locaties[[#All],[Code]:[Adres]],4,FALSE)</f>
        <v>Het Bijvank 111</v>
      </c>
      <c r="D133" s="176" t="str">
        <f>VLOOKUP(Ruimtestaat[[#This Row],[Code]],Locaties[[#All],[Code]:[Postcode]],5,FALSE)</f>
        <v>7544 DA</v>
      </c>
      <c r="E133" s="176" t="str">
        <f>VLOOKUP(Ruimtestaat[[#This Row],[Code]],Locaties[#All],6,FALSE)</f>
        <v>Enschede</v>
      </c>
      <c r="F133" s="149"/>
      <c r="G133" s="149" t="s">
        <v>1646</v>
      </c>
      <c r="H133" s="300" t="s">
        <v>1657</v>
      </c>
      <c r="I133" s="301" t="s">
        <v>1651</v>
      </c>
      <c r="J133" s="99">
        <v>16</v>
      </c>
      <c r="K133" s="183" t="str">
        <f>VLOOKUP(Ruimtestaat[[#This Row],[Ruimte code]],Ruimtegroepen[[#All],[Code]:[Ruimte omschrijving]],2,FALSE)</f>
        <v>Leslokalen</v>
      </c>
      <c r="L133" s="149" t="s">
        <v>100</v>
      </c>
      <c r="M133" s="301" t="s">
        <v>1697</v>
      </c>
      <c r="N133" s="177">
        <v>64.3</v>
      </c>
      <c r="O133" s="177"/>
      <c r="P133" s="178" t="str">
        <f>VLOOKUP(Ruimtestaat[[#This Row],[Ruimte code]],Ruimtegroepen[],4,FALSE)</f>
        <v>Le</v>
      </c>
      <c r="Q133" s="149">
        <v>40</v>
      </c>
      <c r="R133" s="149" t="s">
        <v>2</v>
      </c>
      <c r="S133" s="149">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3" s="149">
        <f>IF(S133&gt;0,VLOOKUP($J133,Ruimtegroepen[],3,FALSE)*VLOOKUP($L133,Vloersoorten[],3,FALSE)*VLOOKUP($R133,Frequenties[],3,FALSE)*VLOOKUP($A133,Locaties[],3,FALSE),0)</f>
        <v>0</v>
      </c>
      <c r="U133" s="149">
        <f>Ruimtestaat[[#This Row],[Uitvoeringen werkdagen]]*Ruimtestaat[[#This Row],[Oppervlak (netto)]]</f>
        <v>12860</v>
      </c>
      <c r="V133" s="179">
        <f>IF(T133&gt;0,Ruimtestaat[[#This Row],[Prest. (m2 /jaar) werkdagen]]/Ruimtestaat[[#This Row],[Norm (m2/uur) werkdagen]],0)</f>
        <v>0</v>
      </c>
      <c r="W133" s="180">
        <f>Ruimtestaat[[#This Row],[uren / jaar werkdagen]]*Tariefsopbouw!$E$35</f>
        <v>0</v>
      </c>
      <c r="X133" s="149"/>
      <c r="Y133" s="149">
        <f>IF(Ruimtestaat[[#This Row],[Frequentie weekend]]&gt;0,VALUE(LEFT(X133,1))*Q133,0)</f>
        <v>0</v>
      </c>
      <c r="Z133" s="148">
        <f>IF($Y133&gt;0,VLOOKUP($J133,Ruimtegroepen[],3,FALSE)*VLOOKUP($L133,Vloersoorten[],3,FALSE)*VLOOKUP($X133,Frequenties[],3,FALSE)*VLOOKUP(Ruimtestaat[[#This Row],[Code]],Locaties[],3,FALSE),0)</f>
        <v>0</v>
      </c>
      <c r="AA133" s="148">
        <f>Ruimtestaat[[#This Row],[Uitvoeringen weekend]]*Ruimtestaat[[#This Row],[Oppervlak (netto)]]</f>
        <v>0</v>
      </c>
      <c r="AB133" s="148">
        <f>IF(Z133&gt;0,Ruimtestaat[[#This Row],[Prest. (m2 /jaar) weekend]]/Ruimtestaat[[#This Row],[Norm (m2/uur) weekend]],0)</f>
        <v>0</v>
      </c>
      <c r="AC133" s="180">
        <f>Ruimtestaat[[#This Row],[uren / jaar weekend]]*Tariefsopbouw!$D$40</f>
        <v>0</v>
      </c>
      <c r="AD133" s="179">
        <f>Ruimtestaat[[#This Row],[Prest. (m2 /jaar) weekend]]+Ruimtestaat[[#This Row],[Prest. (m2 /jaar) werkdagen]]</f>
        <v>12860</v>
      </c>
      <c r="AE133" s="179">
        <f>Ruimtestaat[[#This Row],[uren / jaar weekend]]+Ruimtestaat[[#This Row],[uren / jaar werkdagen]]</f>
        <v>0</v>
      </c>
      <c r="AF133" s="174">
        <f>Ruimtestaat[[#This Row],[kosten / jaar weekend]]+Ruimtestaat[[#This Row],[kosten / jaar werkdagen]]</f>
        <v>0</v>
      </c>
      <c r="AG133" s="174"/>
      <c r="AH133" s="181" t="str">
        <f>IF(Ruimtestaat[[#This Row],[Frequentie werkdagen]]="","",_xlfn.CONCAT(Ruimtestaat[[#This Row],[Ruimte code]],"-",Ruimtestaat[[#This Row],[Frequentie werkdagen]]," ",Ruimtestaat[[#This Row],[Vloer code]]))</f>
        <v>16-5w L</v>
      </c>
      <c r="AI133" s="185" t="str">
        <f>_xlfn.IFNA(VLOOKUP($AH133,Programma!$F$3:$G$1101,2,0),"")</f>
        <v>_</v>
      </c>
      <c r="AJ133" s="185" t="str">
        <f>_xlfn.IFNA(VLOOKUP($AH133,Programma!$F$3:$H$1101,3,0),"")</f>
        <v>_</v>
      </c>
      <c r="AK133" s="185" t="str">
        <f>_xlfn.IFNA(VLOOKUP($AH133,Programma!$F$3:$I$1101,4,0),"")</f>
        <v>4w</v>
      </c>
      <c r="AL133" s="185" t="str">
        <f>_xlfn.IFNA(VLOOKUP($AH133,Programma!$F$3:$J$1101,5,0),"")</f>
        <v>1w</v>
      </c>
      <c r="AM133" s="185" t="str">
        <f>_xlfn.IFNA(VLOOKUP($AH133,Programma!$F$3:$K$1101,6,0),"")</f>
        <v>_</v>
      </c>
      <c r="AN133" s="185" t="str">
        <f>_xlfn.IFNA(VLOOKUP($AH133,Programma!$F$3:$L$1101,7,0),"")</f>
        <v>_</v>
      </c>
      <c r="AO133" s="185" t="str">
        <f>_xlfn.IFNA(VLOOKUP($AH133,Programma!$F$3:$M$1101,8,0),"")</f>
        <v>_</v>
      </c>
      <c r="AP133" s="185" t="str">
        <f>_xlfn.IFNA(VLOOKUP($AH133,Programma!$F$3:$N$1101,9,0),"")</f>
        <v>_</v>
      </c>
      <c r="AQ133" s="185" t="str">
        <f>_xlfn.IFNA(VLOOKUP($AH133,Programma!$F$3:$O$1101,10,0),"")</f>
        <v>5w</v>
      </c>
      <c r="AR133" s="185" t="str">
        <f>_xlfn.IFNA(VLOOKUP($AH133,Programma!$F$3:$P$1101,11,0),"")</f>
        <v>5w</v>
      </c>
      <c r="AS133" s="185" t="str">
        <f>_xlfn.IFNA(VLOOKUP($AH133,Programma!$F$3:$Q$1101,12,0),"")</f>
        <v>1w</v>
      </c>
      <c r="AT133" s="185" t="str">
        <f>_xlfn.IFNA(VLOOKUP($AH133,Programma!$F$3:$R$1101,13,0),"")</f>
        <v>1w</v>
      </c>
      <c r="AU133" s="185" t="str">
        <f>_xlfn.IFNA(VLOOKUP($AH133,Programma!$F$3:$S$1101,14,0),"")</f>
        <v>1m</v>
      </c>
      <c r="AV133" s="185" t="str">
        <f>_xlfn.IFNA(VLOOKUP($AH133,Programma!$F$3:$T$1101,15,0),"")</f>
        <v>2j</v>
      </c>
      <c r="AW133" s="185" t="str">
        <f>_xlfn.IFNA(VLOOKUP($AH133,Programma!$F$3:$U$1101,16,0),"")</f>
        <v>1j</v>
      </c>
      <c r="AX133" s="185" t="str">
        <f>_xlfn.IFNA(VLOOKUP($AH133,Programma!$F$3:$V$1101,17,0),"")</f>
        <v>_</v>
      </c>
      <c r="AY133" s="185" t="str">
        <f>_xlfn.IFNA(VLOOKUP($AH133,Programma!$F$3:$W$1101,18,0),"")</f>
        <v>_</v>
      </c>
      <c r="AZ133" s="185" t="str">
        <f>_xlfn.IFNA(VLOOKUP($AH133,Programma!$F$3:$X$1101,19,0),"")</f>
        <v>_</v>
      </c>
      <c r="BA133" s="185" t="str">
        <f>_xlfn.IFNA(VLOOKUP($AH133,Programma!$F$3:$Y$1101,20,0),"")</f>
        <v>_</v>
      </c>
      <c r="BB133" s="182"/>
      <c r="BC133" s="181" t="str">
        <f>IF(Ruimtestaat[[#This Row],[Frequentie weekend]]="","",_xlfn.CONCAT(Ruimtestaat[[#This Row],[Ruimte code]],"-",Ruimtestaat[[#This Row],[Frequentie weekend]]," ",Ruimtestaat[[#This Row],[Vloer code]]))</f>
        <v/>
      </c>
      <c r="BD133" s="185" t="str">
        <f>_xlfn.IFNA(VLOOKUP($BC133,Programma!$F$3:$G$1101,2,0),"")</f>
        <v/>
      </c>
      <c r="BE133" s="185" t="str">
        <f>_xlfn.IFNA(VLOOKUP($BC133,Programma!$F$3:$H$1101,3,0),"")</f>
        <v/>
      </c>
      <c r="BF133" s="185" t="str">
        <f>_xlfn.IFNA(VLOOKUP($BC133,Programma!$F$3:$I$1101,4,0),"")</f>
        <v/>
      </c>
      <c r="BG133" s="185" t="str">
        <f>_xlfn.IFNA(VLOOKUP($BC133,Programma!$F$3:$J$1101,5,0),"")</f>
        <v/>
      </c>
      <c r="BH133" s="185" t="str">
        <f>_xlfn.IFNA(VLOOKUP($BC133,Programma!$F$3:$K$1101,6,0),"")</f>
        <v/>
      </c>
      <c r="BI133" s="185" t="str">
        <f>_xlfn.IFNA(VLOOKUP($BC133,Programma!$F$3:$L$1101,7,0),"")</f>
        <v/>
      </c>
      <c r="BJ133" s="185" t="str">
        <f>_xlfn.IFNA(VLOOKUP($BC133,Programma!$F$3:$M$1101,8,0),"")</f>
        <v/>
      </c>
      <c r="BK133" s="185" t="str">
        <f>_xlfn.IFNA(VLOOKUP($BC133,Programma!$F$3:$N$1101,9,0),"")</f>
        <v/>
      </c>
      <c r="BL133" s="185" t="str">
        <f>_xlfn.IFNA(VLOOKUP($BC133,Programma!$F$3:$O$1101,10,0),"")</f>
        <v/>
      </c>
      <c r="BM133" s="185" t="str">
        <f>_xlfn.IFNA(VLOOKUP($BC133,Programma!$F$3:$P$1101,11,0),"")</f>
        <v/>
      </c>
      <c r="BN133" s="185" t="str">
        <f>_xlfn.IFNA(VLOOKUP($BC133,Programma!$F$3:$Q$1101,12,0),"")</f>
        <v/>
      </c>
      <c r="BO133" s="185" t="str">
        <f>_xlfn.IFNA(VLOOKUP($BC133,Programma!$F$3:$R$1101,13,0),"")</f>
        <v/>
      </c>
      <c r="BP133" s="185" t="str">
        <f>_xlfn.IFNA(VLOOKUP($BC133,Programma!$F$3:$S$1101,14,0),"")</f>
        <v/>
      </c>
      <c r="BQ133" s="185" t="str">
        <f>_xlfn.IFNA(VLOOKUP($BC133,Programma!$F$3:$T$1101,15,0),"")</f>
        <v/>
      </c>
      <c r="BR133" s="185" t="str">
        <f>_xlfn.IFNA(VLOOKUP($BC133,Programma!$F$3:$U$1101,16,0),"")</f>
        <v/>
      </c>
      <c r="BS133" s="185" t="str">
        <f>_xlfn.IFNA(VLOOKUP($BC133,Programma!$F$3:$V$1101,17,0),"")</f>
        <v/>
      </c>
      <c r="BT133" s="185" t="str">
        <f>_xlfn.IFNA(VLOOKUP($BC133,Programma!$F$3:$W$1101,18,0),"")</f>
        <v/>
      </c>
      <c r="BU133" s="185" t="str">
        <f>_xlfn.IFNA(VLOOKUP($BC133,Programma!$F$3:$X$1101,19,0),"")</f>
        <v/>
      </c>
      <c r="BV133" s="185" t="str">
        <f>_xlfn.IFNA(VLOOKUP($BC133,Programma!$F$3:$Y$1101,20,0),"")</f>
        <v/>
      </c>
      <c r="BW133" s="78"/>
      <c r="BX133" s="78"/>
      <c r="BY133" s="78"/>
      <c r="BZ133" s="78"/>
      <c r="CA133" s="78"/>
      <c r="CB133" s="78"/>
      <c r="CC133" s="78"/>
      <c r="CD133" s="78"/>
      <c r="CE133" s="78"/>
      <c r="CF133" s="78"/>
      <c r="CG133" s="78"/>
      <c r="CH133" s="78"/>
      <c r="CI133" s="78"/>
      <c r="CJ133" s="78"/>
      <c r="CK133" s="78"/>
      <c r="CL133" s="78"/>
      <c r="CM133" s="78"/>
      <c r="CN133" s="78"/>
      <c r="CO133" s="78"/>
      <c r="CP133" s="78"/>
      <c r="CQ133" s="78"/>
      <c r="CR133" s="78"/>
      <c r="CS133" s="78"/>
      <c r="CT133" s="78"/>
      <c r="CU133" s="78"/>
      <c r="CV133" s="78"/>
      <c r="CW133" s="78"/>
      <c r="CX133" s="78"/>
      <c r="CY133" s="78"/>
      <c r="CZ133" s="78"/>
      <c r="DA133" s="78"/>
      <c r="DB133" s="78"/>
      <c r="DC133" s="78"/>
      <c r="DD133" s="78"/>
      <c r="DE133" s="78"/>
      <c r="DF133" s="78"/>
      <c r="DG133" s="78"/>
      <c r="DH133" s="78"/>
      <c r="DI133" s="78"/>
      <c r="DJ133" s="78"/>
      <c r="DK133" s="78"/>
      <c r="DL133" s="78"/>
      <c r="DM133" s="78"/>
      <c r="DN133" s="78"/>
      <c r="DO133" s="78"/>
      <c r="DP133" s="78"/>
      <c r="DQ133" s="78"/>
      <c r="DR133" s="78"/>
      <c r="DS133" s="78"/>
      <c r="DT133" s="78"/>
      <c r="DU133" s="78"/>
      <c r="DV133" s="78"/>
      <c r="DW133" s="78"/>
      <c r="DX133" s="78"/>
      <c r="DY133" s="78"/>
      <c r="DZ133" s="78"/>
      <c r="EA133" s="78"/>
      <c r="EB133" s="78"/>
      <c r="EC133" s="78"/>
      <c r="ED133" s="78"/>
      <c r="EE133" s="78"/>
      <c r="EF133" s="78"/>
      <c r="EG133" s="78"/>
      <c r="EH133" s="78"/>
      <c r="EI133" s="78"/>
      <c r="EJ133" s="78"/>
      <c r="EK133" s="78"/>
      <c r="EL133" s="78"/>
      <c r="EM133" s="78"/>
      <c r="EN133" s="78"/>
      <c r="EO133" s="78"/>
      <c r="EP133" s="78"/>
      <c r="EQ133" s="78"/>
      <c r="ER133" s="78"/>
      <c r="ES133" s="78"/>
      <c r="ET133" s="78"/>
      <c r="EU133" s="78"/>
      <c r="EV133" s="78"/>
      <c r="EW133" s="78"/>
      <c r="EX133" s="78"/>
      <c r="EY133" s="78"/>
      <c r="EZ133" s="78"/>
      <c r="FA133" s="78"/>
      <c r="FB133" s="78"/>
      <c r="FC133" s="78"/>
      <c r="FD133" s="78"/>
      <c r="FE133" s="78"/>
      <c r="FF133" s="78"/>
      <c r="FG133" s="78"/>
      <c r="FH133" s="78"/>
      <c r="FI133" s="78"/>
      <c r="FJ133" s="78"/>
      <c r="FK133" s="78"/>
      <c r="FL133" s="78"/>
      <c r="FM133" s="78"/>
      <c r="FN133" s="78"/>
      <c r="FO133" s="78"/>
      <c r="FP133" s="78"/>
      <c r="FQ133" s="78"/>
      <c r="FR133" s="78"/>
      <c r="FS133" s="78"/>
      <c r="FT133" s="78"/>
      <c r="FU133" s="78"/>
      <c r="FV133" s="78"/>
      <c r="FW133" s="78"/>
      <c r="FX133" s="78"/>
      <c r="FY133" s="78"/>
      <c r="FZ133" s="78"/>
      <c r="GA133" s="78"/>
      <c r="GB133" s="78"/>
      <c r="GC133" s="78"/>
      <c r="GD133" s="78"/>
      <c r="GE133" s="78"/>
      <c r="GF133" s="78"/>
      <c r="GG133" s="78"/>
      <c r="GH133" s="78"/>
      <c r="GI133" s="78"/>
      <c r="GJ133" s="78"/>
      <c r="GK133" s="78"/>
      <c r="GL133" s="78"/>
      <c r="GM133" s="78"/>
      <c r="GN133" s="78"/>
      <c r="GO133" s="78"/>
      <c r="GP133" s="78"/>
      <c r="GQ133" s="78"/>
      <c r="GR133" s="78"/>
      <c r="GS133" s="78"/>
      <c r="GT133" s="78"/>
      <c r="GU133" s="78"/>
      <c r="GV133" s="78"/>
      <c r="GW133" s="78"/>
      <c r="GX133" s="78"/>
      <c r="GY133" s="78"/>
      <c r="GZ133" s="78"/>
      <c r="HA133" s="78"/>
      <c r="HB133" s="78"/>
      <c r="HC133" s="78"/>
      <c r="HD133" s="78"/>
      <c r="HE133" s="78"/>
      <c r="HF133" s="78"/>
      <c r="HG133" s="78"/>
      <c r="HH133" s="78"/>
      <c r="HI133" s="78"/>
      <c r="HJ133" s="78"/>
      <c r="HK133" s="78"/>
    </row>
    <row r="134" spans="1:219" ht="15" customHeight="1">
      <c r="A134" s="149">
        <v>5</v>
      </c>
      <c r="B134" s="176" t="str">
        <f>VLOOKUP(Ruimtestaat[[#This Row],[Code]],Locaties[[Code]:[Locatie]],2,FALSE)</f>
        <v>OBS Harry Bannink</v>
      </c>
      <c r="C134" s="176" t="str">
        <f>VLOOKUP(Ruimtestaat[[#This Row],[Code]],Locaties[[#All],[Code]:[Adres]],4,FALSE)</f>
        <v>Het Bijvank 111</v>
      </c>
      <c r="D134" s="176" t="str">
        <f>VLOOKUP(Ruimtestaat[[#This Row],[Code]],Locaties[[#All],[Code]:[Postcode]],5,FALSE)</f>
        <v>7544 DA</v>
      </c>
      <c r="E134" s="176" t="str">
        <f>VLOOKUP(Ruimtestaat[[#This Row],[Code]],Locaties[#All],6,FALSE)</f>
        <v>Enschede</v>
      </c>
      <c r="F134" s="149"/>
      <c r="G134" s="149" t="s">
        <v>1646</v>
      </c>
      <c r="H134" s="300" t="s">
        <v>1659</v>
      </c>
      <c r="I134" s="301" t="s">
        <v>1655</v>
      </c>
      <c r="J134" s="99">
        <v>5</v>
      </c>
      <c r="K134" s="183" t="str">
        <f>VLOOKUP(Ruimtestaat[[#This Row],[Ruimte code]],Ruimtegroepen[[#All],[Code]:[Ruimte omschrijving]],2,FALSE)</f>
        <v>Sanitair</v>
      </c>
      <c r="L134" s="149" t="s">
        <v>102</v>
      </c>
      <c r="M134" s="301" t="s">
        <v>120</v>
      </c>
      <c r="N134" s="177">
        <v>0.8</v>
      </c>
      <c r="O134" s="177"/>
      <c r="P134" s="178" t="str">
        <f>VLOOKUP(Ruimtestaat[[#This Row],[Ruimte code]],Ruimtegroepen[],4,FALSE)</f>
        <v>Sa</v>
      </c>
      <c r="Q134" s="149">
        <v>40</v>
      </c>
      <c r="R134" s="149" t="s">
        <v>2</v>
      </c>
      <c r="S134" s="149">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4" s="149">
        <f>IF(S134&gt;0,VLOOKUP($J134,Ruimtegroepen[],3,FALSE)*VLOOKUP($L134,Vloersoorten[],3,FALSE)*VLOOKUP($R134,Frequenties[],3,FALSE)*VLOOKUP($A134,Locaties[],3,FALSE),0)</f>
        <v>0</v>
      </c>
      <c r="U134" s="149">
        <f>Ruimtestaat[[#This Row],[Uitvoeringen werkdagen]]*Ruimtestaat[[#This Row],[Oppervlak (netto)]]</f>
        <v>160</v>
      </c>
      <c r="V134" s="179">
        <f>IF(T134&gt;0,Ruimtestaat[[#This Row],[Prest. (m2 /jaar) werkdagen]]/Ruimtestaat[[#This Row],[Norm (m2/uur) werkdagen]],0)</f>
        <v>0</v>
      </c>
      <c r="W134" s="180">
        <f>Ruimtestaat[[#This Row],[uren / jaar werkdagen]]*Tariefsopbouw!$E$35</f>
        <v>0</v>
      </c>
      <c r="X134" s="149"/>
      <c r="Y134" s="149">
        <f>IF(Ruimtestaat[[#This Row],[Frequentie weekend]]&gt;0,VALUE(LEFT(X134,1))*Q134,0)</f>
        <v>0</v>
      </c>
      <c r="Z134" s="148">
        <f>IF($Y134&gt;0,VLOOKUP($J134,Ruimtegroepen[],3,FALSE)*VLOOKUP($L134,Vloersoorten[],3,FALSE)*VLOOKUP($X134,Frequenties[],3,FALSE)*VLOOKUP(Ruimtestaat[[#This Row],[Code]],Locaties[],3,FALSE),0)</f>
        <v>0</v>
      </c>
      <c r="AA134" s="148">
        <f>Ruimtestaat[[#This Row],[Uitvoeringen weekend]]*Ruimtestaat[[#This Row],[Oppervlak (netto)]]</f>
        <v>0</v>
      </c>
      <c r="AB134" s="148">
        <f>IF(Z134&gt;0,Ruimtestaat[[#This Row],[Prest. (m2 /jaar) weekend]]/Ruimtestaat[[#This Row],[Norm (m2/uur) weekend]],0)</f>
        <v>0</v>
      </c>
      <c r="AC134" s="180">
        <f>Ruimtestaat[[#This Row],[uren / jaar weekend]]*Tariefsopbouw!$D$40</f>
        <v>0</v>
      </c>
      <c r="AD134" s="179">
        <f>Ruimtestaat[[#This Row],[Prest. (m2 /jaar) weekend]]+Ruimtestaat[[#This Row],[Prest. (m2 /jaar) werkdagen]]</f>
        <v>160</v>
      </c>
      <c r="AE134" s="179">
        <f>Ruimtestaat[[#This Row],[uren / jaar weekend]]+Ruimtestaat[[#This Row],[uren / jaar werkdagen]]</f>
        <v>0</v>
      </c>
      <c r="AF134" s="174">
        <f>Ruimtestaat[[#This Row],[kosten / jaar weekend]]+Ruimtestaat[[#This Row],[kosten / jaar werkdagen]]</f>
        <v>0</v>
      </c>
      <c r="AG134" s="174"/>
      <c r="AH134" s="181" t="str">
        <f>IF(Ruimtestaat[[#This Row],[Frequentie werkdagen]]="","",_xlfn.CONCAT(Ruimtestaat[[#This Row],[Ruimte code]],"-",Ruimtestaat[[#This Row],[Frequentie werkdagen]]," ",Ruimtestaat[[#This Row],[Vloer code]]))</f>
        <v>5-5w P</v>
      </c>
      <c r="AI134" s="185" t="str">
        <f>_xlfn.IFNA(VLOOKUP($AH134,Programma!$F$3:$G$1101,2,0),"")</f>
        <v>_</v>
      </c>
      <c r="AJ134" s="185" t="str">
        <f>_xlfn.IFNA(VLOOKUP($AH134,Programma!$F$3:$H$1101,3,0),"")</f>
        <v>_</v>
      </c>
      <c r="AK134" s="185" t="str">
        <f>_xlfn.IFNA(VLOOKUP($AH134,Programma!$F$3:$I$1101,4,0),"")</f>
        <v>_</v>
      </c>
      <c r="AL134" s="185" t="str">
        <f>_xlfn.IFNA(VLOOKUP($AH134,Programma!$F$3:$J$1101,5,0),"")</f>
        <v>4w</v>
      </c>
      <c r="AM134" s="185" t="str">
        <f>_xlfn.IFNA(VLOOKUP($AH134,Programma!$F$3:$K$1101,6,0),"")</f>
        <v>1w</v>
      </c>
      <c r="AN134" s="185" t="str">
        <f>_xlfn.IFNA(VLOOKUP($AH134,Programma!$F$3:$L$1101,7,0),"")</f>
        <v>_</v>
      </c>
      <c r="AO134" s="185" t="str">
        <f>_xlfn.IFNA(VLOOKUP($AH134,Programma!$F$3:$M$1101,8,0),"")</f>
        <v>_</v>
      </c>
      <c r="AP134" s="185" t="str">
        <f>_xlfn.IFNA(VLOOKUP($AH134,Programma!$F$3:$N$1101,9,0),"")</f>
        <v>_</v>
      </c>
      <c r="AQ134" s="185" t="str">
        <f>_xlfn.IFNA(VLOOKUP($AH134,Programma!$F$3:$O$1101,10,0),"")</f>
        <v>_</v>
      </c>
      <c r="AR134" s="185" t="str">
        <f>_xlfn.IFNA(VLOOKUP($AH134,Programma!$F$3:$P$1101,11,0),"")</f>
        <v>_</v>
      </c>
      <c r="AS134" s="185" t="str">
        <f>_xlfn.IFNA(VLOOKUP($AH134,Programma!$F$3:$Q$1101,12,0),"")</f>
        <v>_</v>
      </c>
      <c r="AT134" s="185" t="str">
        <f>_xlfn.IFNA(VLOOKUP($AH134,Programma!$F$3:$R$1101,13,0),"")</f>
        <v>_</v>
      </c>
      <c r="AU134" s="185" t="str">
        <f>_xlfn.IFNA(VLOOKUP($AH134,Programma!$F$3:$S$1101,14,0),"")</f>
        <v>_</v>
      </c>
      <c r="AV134" s="185" t="str">
        <f>_xlfn.IFNA(VLOOKUP($AH134,Programma!$F$3:$T$1101,15,0),"")</f>
        <v>_</v>
      </c>
      <c r="AW134" s="185" t="str">
        <f>_xlfn.IFNA(VLOOKUP($AH134,Programma!$F$3:$U$1101,16,0),"")</f>
        <v>_</v>
      </c>
      <c r="AX134" s="185" t="str">
        <f>_xlfn.IFNA(VLOOKUP($AH134,Programma!$F$3:$V$1101,17,0),"")</f>
        <v>_</v>
      </c>
      <c r="AY134" s="185" t="str">
        <f>_xlfn.IFNA(VLOOKUP($AH134,Programma!$F$3:$W$1101,18,0),"")</f>
        <v>4w</v>
      </c>
      <c r="AZ134" s="185" t="str">
        <f>_xlfn.IFNA(VLOOKUP($AH134,Programma!$F$3:$X$1101,19,0),"")</f>
        <v>1w</v>
      </c>
      <c r="BA134" s="185" t="str">
        <f>_xlfn.IFNA(VLOOKUP($AH134,Programma!$F$3:$Y$1101,20,0),"")</f>
        <v>_</v>
      </c>
      <c r="BB134" s="182"/>
      <c r="BC134" s="181" t="str">
        <f>IF(Ruimtestaat[[#This Row],[Frequentie weekend]]="","",_xlfn.CONCAT(Ruimtestaat[[#This Row],[Ruimte code]],"-",Ruimtestaat[[#This Row],[Frequentie weekend]]," ",Ruimtestaat[[#This Row],[Vloer code]]))</f>
        <v/>
      </c>
      <c r="BD134" s="185" t="str">
        <f>_xlfn.IFNA(VLOOKUP($BC134,Programma!$F$3:$G$1101,2,0),"")</f>
        <v/>
      </c>
      <c r="BE134" s="185" t="str">
        <f>_xlfn.IFNA(VLOOKUP($BC134,Programma!$F$3:$H$1101,3,0),"")</f>
        <v/>
      </c>
      <c r="BF134" s="185" t="str">
        <f>_xlfn.IFNA(VLOOKUP($BC134,Programma!$F$3:$I$1101,4,0),"")</f>
        <v/>
      </c>
      <c r="BG134" s="185" t="str">
        <f>_xlfn.IFNA(VLOOKUP($BC134,Programma!$F$3:$J$1101,5,0),"")</f>
        <v/>
      </c>
      <c r="BH134" s="185" t="str">
        <f>_xlfn.IFNA(VLOOKUP($BC134,Programma!$F$3:$K$1101,6,0),"")</f>
        <v/>
      </c>
      <c r="BI134" s="185" t="str">
        <f>_xlfn.IFNA(VLOOKUP($BC134,Programma!$F$3:$L$1101,7,0),"")</f>
        <v/>
      </c>
      <c r="BJ134" s="185" t="str">
        <f>_xlfn.IFNA(VLOOKUP($BC134,Programma!$F$3:$M$1101,8,0),"")</f>
        <v/>
      </c>
      <c r="BK134" s="185" t="str">
        <f>_xlfn.IFNA(VLOOKUP($BC134,Programma!$F$3:$N$1101,9,0),"")</f>
        <v/>
      </c>
      <c r="BL134" s="185" t="str">
        <f>_xlfn.IFNA(VLOOKUP($BC134,Programma!$F$3:$O$1101,10,0),"")</f>
        <v/>
      </c>
      <c r="BM134" s="185" t="str">
        <f>_xlfn.IFNA(VLOOKUP($BC134,Programma!$F$3:$P$1101,11,0),"")</f>
        <v/>
      </c>
      <c r="BN134" s="185" t="str">
        <f>_xlfn.IFNA(VLOOKUP($BC134,Programma!$F$3:$Q$1101,12,0),"")</f>
        <v/>
      </c>
      <c r="BO134" s="185" t="str">
        <f>_xlfn.IFNA(VLOOKUP($BC134,Programma!$F$3:$R$1101,13,0),"")</f>
        <v/>
      </c>
      <c r="BP134" s="185" t="str">
        <f>_xlfn.IFNA(VLOOKUP($BC134,Programma!$F$3:$S$1101,14,0),"")</f>
        <v/>
      </c>
      <c r="BQ134" s="185" t="str">
        <f>_xlfn.IFNA(VLOOKUP($BC134,Programma!$F$3:$T$1101,15,0),"")</f>
        <v/>
      </c>
      <c r="BR134" s="185" t="str">
        <f>_xlfn.IFNA(VLOOKUP($BC134,Programma!$F$3:$U$1101,16,0),"")</f>
        <v/>
      </c>
      <c r="BS134" s="185" t="str">
        <f>_xlfn.IFNA(VLOOKUP($BC134,Programma!$F$3:$V$1101,17,0),"")</f>
        <v/>
      </c>
      <c r="BT134" s="185" t="str">
        <f>_xlfn.IFNA(VLOOKUP($BC134,Programma!$F$3:$W$1101,18,0),"")</f>
        <v/>
      </c>
      <c r="BU134" s="185" t="str">
        <f>_xlfn.IFNA(VLOOKUP($BC134,Programma!$F$3:$X$1101,19,0),"")</f>
        <v/>
      </c>
      <c r="BV134" s="185" t="str">
        <f>_xlfn.IFNA(VLOOKUP($BC134,Programma!$F$3:$Y$1101,20,0),"")</f>
        <v/>
      </c>
      <c r="BW134" s="78"/>
      <c r="BX134" s="78"/>
      <c r="BY134" s="78"/>
      <c r="BZ134" s="78"/>
      <c r="CA134" s="78"/>
      <c r="CB134" s="78"/>
      <c r="CC134" s="78"/>
      <c r="CD134" s="78"/>
      <c r="CE134" s="78"/>
      <c r="CF134" s="78"/>
      <c r="CG134" s="78"/>
      <c r="CH134" s="78"/>
      <c r="CI134" s="78"/>
      <c r="CJ134" s="78"/>
      <c r="CK134" s="78"/>
      <c r="CL134" s="78"/>
      <c r="CM134" s="78"/>
      <c r="CN134" s="78"/>
      <c r="CO134" s="78"/>
      <c r="CP134" s="78"/>
      <c r="CQ134" s="78"/>
      <c r="CR134" s="78"/>
      <c r="CS134" s="78"/>
      <c r="CT134" s="78"/>
      <c r="CU134" s="78"/>
      <c r="CV134" s="78"/>
      <c r="CW134" s="78"/>
      <c r="CX134" s="78"/>
      <c r="CY134" s="78"/>
      <c r="CZ134" s="78"/>
      <c r="DA134" s="78"/>
      <c r="DB134" s="78"/>
      <c r="DC134" s="78"/>
      <c r="DD134" s="78"/>
      <c r="DE134" s="78"/>
      <c r="DF134" s="78"/>
      <c r="DG134" s="78"/>
      <c r="DH134" s="78"/>
      <c r="DI134" s="78"/>
      <c r="DJ134" s="78"/>
      <c r="DK134" s="78"/>
      <c r="DL134" s="78"/>
      <c r="DM134" s="78"/>
      <c r="DN134" s="78"/>
      <c r="DO134" s="78"/>
      <c r="DP134" s="78"/>
      <c r="DQ134" s="78"/>
      <c r="DR134" s="78"/>
      <c r="DS134" s="78"/>
      <c r="DT134" s="78"/>
      <c r="DU134" s="78"/>
      <c r="DV134" s="78"/>
      <c r="DW134" s="78"/>
      <c r="DX134" s="78"/>
      <c r="DY134" s="78"/>
      <c r="DZ134" s="78"/>
      <c r="EA134" s="78"/>
      <c r="EB134" s="78"/>
      <c r="EC134" s="78"/>
      <c r="ED134" s="78"/>
      <c r="EE134" s="78"/>
      <c r="EF134" s="78"/>
      <c r="EG134" s="78"/>
      <c r="EH134" s="78"/>
      <c r="EI134" s="78"/>
      <c r="EJ134" s="78"/>
      <c r="EK134" s="78"/>
      <c r="EL134" s="78"/>
      <c r="EM134" s="78"/>
      <c r="EN134" s="78"/>
      <c r="EO134" s="78"/>
      <c r="EP134" s="78"/>
      <c r="EQ134" s="78"/>
      <c r="ER134" s="78"/>
      <c r="ES134" s="78"/>
      <c r="ET134" s="78"/>
      <c r="EU134" s="78"/>
      <c r="EV134" s="78"/>
      <c r="EW134" s="78"/>
      <c r="EX134" s="78"/>
      <c r="EY134" s="78"/>
      <c r="EZ134" s="78"/>
      <c r="FA134" s="78"/>
      <c r="FB134" s="78"/>
      <c r="FC134" s="78"/>
      <c r="FD134" s="78"/>
      <c r="FE134" s="78"/>
      <c r="FF134" s="78"/>
      <c r="FG134" s="78"/>
      <c r="FH134" s="78"/>
      <c r="FI134" s="78"/>
      <c r="FJ134" s="78"/>
      <c r="FK134" s="78"/>
      <c r="FL134" s="78"/>
      <c r="FM134" s="78"/>
      <c r="FN134" s="78"/>
      <c r="FO134" s="78"/>
      <c r="FP134" s="78"/>
      <c r="FQ134" s="78"/>
      <c r="FR134" s="78"/>
      <c r="FS134" s="78"/>
      <c r="FT134" s="78"/>
      <c r="FU134" s="78"/>
      <c r="FV134" s="78"/>
      <c r="FW134" s="78"/>
      <c r="FX134" s="78"/>
      <c r="FY134" s="78"/>
      <c r="FZ134" s="78"/>
      <c r="GA134" s="78"/>
      <c r="GB134" s="78"/>
      <c r="GC134" s="78"/>
      <c r="GD134" s="78"/>
      <c r="GE134" s="78"/>
      <c r="GF134" s="78"/>
      <c r="GG134" s="78"/>
      <c r="GH134" s="78"/>
      <c r="GI134" s="78"/>
      <c r="GJ134" s="78"/>
      <c r="GK134" s="78"/>
      <c r="GL134" s="78"/>
      <c r="GM134" s="78"/>
      <c r="GN134" s="78"/>
      <c r="GO134" s="78"/>
      <c r="GP134" s="78"/>
      <c r="GQ134" s="78"/>
      <c r="GR134" s="78"/>
      <c r="GS134" s="78"/>
      <c r="GT134" s="78"/>
      <c r="GU134" s="78"/>
      <c r="GV134" s="78"/>
      <c r="GW134" s="78"/>
      <c r="GX134" s="78"/>
      <c r="GY134" s="78"/>
      <c r="GZ134" s="78"/>
      <c r="HA134" s="78"/>
      <c r="HB134" s="78"/>
      <c r="HC134" s="78"/>
      <c r="HD134" s="78"/>
      <c r="HE134" s="78"/>
      <c r="HF134" s="78"/>
      <c r="HG134" s="78"/>
      <c r="HH134" s="78"/>
      <c r="HI134" s="78"/>
      <c r="HJ134" s="78"/>
      <c r="HK134" s="78"/>
    </row>
    <row r="135" spans="1:219" ht="15" customHeight="1">
      <c r="A135" s="149">
        <v>5</v>
      </c>
      <c r="B135" s="176" t="str">
        <f>VLOOKUP(Ruimtestaat[[#This Row],[Code]],Locaties[[Code]:[Locatie]],2,FALSE)</f>
        <v>OBS Harry Bannink</v>
      </c>
      <c r="C135" s="176" t="str">
        <f>VLOOKUP(Ruimtestaat[[#This Row],[Code]],Locaties[[#All],[Code]:[Adres]],4,FALSE)</f>
        <v>Het Bijvank 111</v>
      </c>
      <c r="D135" s="176" t="str">
        <f>VLOOKUP(Ruimtestaat[[#This Row],[Code]],Locaties[[#All],[Code]:[Postcode]],5,FALSE)</f>
        <v>7544 DA</v>
      </c>
      <c r="E135" s="176" t="str">
        <f>VLOOKUP(Ruimtestaat[[#This Row],[Code]],Locaties[#All],6,FALSE)</f>
        <v>Enschede</v>
      </c>
      <c r="F135" s="149"/>
      <c r="G135" s="149" t="s">
        <v>1646</v>
      </c>
      <c r="H135" s="300" t="s">
        <v>1660</v>
      </c>
      <c r="I135" s="301" t="s">
        <v>1655</v>
      </c>
      <c r="J135" s="149">
        <v>5</v>
      </c>
      <c r="K135" s="183" t="str">
        <f>VLOOKUP(Ruimtestaat[[#This Row],[Ruimte code]],Ruimtegroepen[[#All],[Code]:[Ruimte omschrijving]],2,FALSE)</f>
        <v>Sanitair</v>
      </c>
      <c r="L135" s="149" t="s">
        <v>102</v>
      </c>
      <c r="M135" s="301" t="s">
        <v>120</v>
      </c>
      <c r="N135" s="177">
        <v>0.8</v>
      </c>
      <c r="O135" s="177"/>
      <c r="P135" s="178" t="str">
        <f>VLOOKUP(Ruimtestaat[[#This Row],[Ruimte code]],Ruimtegroepen[],4,FALSE)</f>
        <v>Sa</v>
      </c>
      <c r="Q135" s="149">
        <v>40</v>
      </c>
      <c r="R135" s="149" t="s">
        <v>2</v>
      </c>
      <c r="S135" s="149">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5" s="149">
        <f>IF(S135&gt;0,VLOOKUP($J135,Ruimtegroepen[],3,FALSE)*VLOOKUP($L135,Vloersoorten[],3,FALSE)*VLOOKUP($R135,Frequenties[],3,FALSE)*VLOOKUP($A135,Locaties[],3,FALSE),0)</f>
        <v>0</v>
      </c>
      <c r="U135" s="149">
        <f>Ruimtestaat[[#This Row],[Uitvoeringen werkdagen]]*Ruimtestaat[[#This Row],[Oppervlak (netto)]]</f>
        <v>160</v>
      </c>
      <c r="V135" s="179">
        <f>IF(T135&gt;0,Ruimtestaat[[#This Row],[Prest. (m2 /jaar) werkdagen]]/Ruimtestaat[[#This Row],[Norm (m2/uur) werkdagen]],0)</f>
        <v>0</v>
      </c>
      <c r="W135" s="180">
        <f>Ruimtestaat[[#This Row],[uren / jaar werkdagen]]*Tariefsopbouw!$E$35</f>
        <v>0</v>
      </c>
      <c r="X135" s="149"/>
      <c r="Y135" s="149">
        <f>IF(Ruimtestaat[[#This Row],[Frequentie weekend]]&gt;0,VALUE(LEFT(X135,1))*Q135,0)</f>
        <v>0</v>
      </c>
      <c r="Z135" s="148">
        <f>IF($Y135&gt;0,VLOOKUP($J135,Ruimtegroepen[],3,FALSE)*VLOOKUP($L135,Vloersoorten[],3,FALSE)*VLOOKUP($X135,Frequenties[],3,FALSE)*VLOOKUP(Ruimtestaat[[#This Row],[Code]],Locaties[],3,FALSE),0)</f>
        <v>0</v>
      </c>
      <c r="AA135" s="148">
        <f>Ruimtestaat[[#This Row],[Uitvoeringen weekend]]*Ruimtestaat[[#This Row],[Oppervlak (netto)]]</f>
        <v>0</v>
      </c>
      <c r="AB135" s="148">
        <f>IF(Z135&gt;0,Ruimtestaat[[#This Row],[Prest. (m2 /jaar) weekend]]/Ruimtestaat[[#This Row],[Norm (m2/uur) weekend]],0)</f>
        <v>0</v>
      </c>
      <c r="AC135" s="180">
        <f>Ruimtestaat[[#This Row],[uren / jaar weekend]]*Tariefsopbouw!$D$40</f>
        <v>0</v>
      </c>
      <c r="AD135" s="179">
        <f>Ruimtestaat[[#This Row],[Prest. (m2 /jaar) weekend]]+Ruimtestaat[[#This Row],[Prest. (m2 /jaar) werkdagen]]</f>
        <v>160</v>
      </c>
      <c r="AE135" s="179">
        <f>Ruimtestaat[[#This Row],[uren / jaar weekend]]+Ruimtestaat[[#This Row],[uren / jaar werkdagen]]</f>
        <v>0</v>
      </c>
      <c r="AF135" s="174">
        <f>Ruimtestaat[[#This Row],[kosten / jaar weekend]]+Ruimtestaat[[#This Row],[kosten / jaar werkdagen]]</f>
        <v>0</v>
      </c>
      <c r="AG135" s="174"/>
      <c r="AH135" s="181" t="str">
        <f>IF(Ruimtestaat[[#This Row],[Frequentie werkdagen]]="","",_xlfn.CONCAT(Ruimtestaat[[#This Row],[Ruimte code]],"-",Ruimtestaat[[#This Row],[Frequentie werkdagen]]," ",Ruimtestaat[[#This Row],[Vloer code]]))</f>
        <v>5-5w P</v>
      </c>
      <c r="AI135" s="185" t="str">
        <f>_xlfn.IFNA(VLOOKUP($AH135,Programma!$F$3:$G$1101,2,0),"")</f>
        <v>_</v>
      </c>
      <c r="AJ135" s="185" t="str">
        <f>_xlfn.IFNA(VLOOKUP($AH135,Programma!$F$3:$H$1101,3,0),"")</f>
        <v>_</v>
      </c>
      <c r="AK135" s="185" t="str">
        <f>_xlfn.IFNA(VLOOKUP($AH135,Programma!$F$3:$I$1101,4,0),"")</f>
        <v>_</v>
      </c>
      <c r="AL135" s="185" t="str">
        <f>_xlfn.IFNA(VLOOKUP($AH135,Programma!$F$3:$J$1101,5,0),"")</f>
        <v>4w</v>
      </c>
      <c r="AM135" s="185" t="str">
        <f>_xlfn.IFNA(VLOOKUP($AH135,Programma!$F$3:$K$1101,6,0),"")</f>
        <v>1w</v>
      </c>
      <c r="AN135" s="185" t="str">
        <f>_xlfn.IFNA(VLOOKUP($AH135,Programma!$F$3:$L$1101,7,0),"")</f>
        <v>_</v>
      </c>
      <c r="AO135" s="185" t="str">
        <f>_xlfn.IFNA(VLOOKUP($AH135,Programma!$F$3:$M$1101,8,0),"")</f>
        <v>_</v>
      </c>
      <c r="AP135" s="185" t="str">
        <f>_xlfn.IFNA(VLOOKUP($AH135,Programma!$F$3:$N$1101,9,0),"")</f>
        <v>_</v>
      </c>
      <c r="AQ135" s="185" t="str">
        <f>_xlfn.IFNA(VLOOKUP($AH135,Programma!$F$3:$O$1101,10,0),"")</f>
        <v>_</v>
      </c>
      <c r="AR135" s="185" t="str">
        <f>_xlfn.IFNA(VLOOKUP($AH135,Programma!$F$3:$P$1101,11,0),"")</f>
        <v>_</v>
      </c>
      <c r="AS135" s="185" t="str">
        <f>_xlfn.IFNA(VLOOKUP($AH135,Programma!$F$3:$Q$1101,12,0),"")</f>
        <v>_</v>
      </c>
      <c r="AT135" s="185" t="str">
        <f>_xlfn.IFNA(VLOOKUP($AH135,Programma!$F$3:$R$1101,13,0),"")</f>
        <v>_</v>
      </c>
      <c r="AU135" s="185" t="str">
        <f>_xlfn.IFNA(VLOOKUP($AH135,Programma!$F$3:$S$1101,14,0),"")</f>
        <v>_</v>
      </c>
      <c r="AV135" s="185" t="str">
        <f>_xlfn.IFNA(VLOOKUP($AH135,Programma!$F$3:$T$1101,15,0),"")</f>
        <v>_</v>
      </c>
      <c r="AW135" s="185" t="str">
        <f>_xlfn.IFNA(VLOOKUP($AH135,Programma!$F$3:$U$1101,16,0),"")</f>
        <v>_</v>
      </c>
      <c r="AX135" s="185" t="str">
        <f>_xlfn.IFNA(VLOOKUP($AH135,Programma!$F$3:$V$1101,17,0),"")</f>
        <v>_</v>
      </c>
      <c r="AY135" s="185" t="str">
        <f>_xlfn.IFNA(VLOOKUP($AH135,Programma!$F$3:$W$1101,18,0),"")</f>
        <v>4w</v>
      </c>
      <c r="AZ135" s="185" t="str">
        <f>_xlfn.IFNA(VLOOKUP($AH135,Programma!$F$3:$X$1101,19,0),"")</f>
        <v>1w</v>
      </c>
      <c r="BA135" s="185" t="str">
        <f>_xlfn.IFNA(VLOOKUP($AH135,Programma!$F$3:$Y$1101,20,0),"")</f>
        <v>_</v>
      </c>
      <c r="BB135" s="182"/>
      <c r="BC135" s="181" t="str">
        <f>IF(Ruimtestaat[[#This Row],[Frequentie weekend]]="","",_xlfn.CONCAT(Ruimtestaat[[#This Row],[Ruimte code]],"-",Ruimtestaat[[#This Row],[Frequentie weekend]]," ",Ruimtestaat[[#This Row],[Vloer code]]))</f>
        <v/>
      </c>
      <c r="BD135" s="185" t="str">
        <f>_xlfn.IFNA(VLOOKUP($BC135,Programma!$F$3:$G$1101,2,0),"")</f>
        <v/>
      </c>
      <c r="BE135" s="185" t="str">
        <f>_xlfn.IFNA(VLOOKUP($BC135,Programma!$F$3:$H$1101,3,0),"")</f>
        <v/>
      </c>
      <c r="BF135" s="185" t="str">
        <f>_xlfn.IFNA(VLOOKUP($BC135,Programma!$F$3:$I$1101,4,0),"")</f>
        <v/>
      </c>
      <c r="BG135" s="185" t="str">
        <f>_xlfn.IFNA(VLOOKUP($BC135,Programma!$F$3:$J$1101,5,0),"")</f>
        <v/>
      </c>
      <c r="BH135" s="185" t="str">
        <f>_xlfn.IFNA(VLOOKUP($BC135,Programma!$F$3:$K$1101,6,0),"")</f>
        <v/>
      </c>
      <c r="BI135" s="185" t="str">
        <f>_xlfn.IFNA(VLOOKUP($BC135,Programma!$F$3:$L$1101,7,0),"")</f>
        <v/>
      </c>
      <c r="BJ135" s="185" t="str">
        <f>_xlfn.IFNA(VLOOKUP($BC135,Programma!$F$3:$M$1101,8,0),"")</f>
        <v/>
      </c>
      <c r="BK135" s="185" t="str">
        <f>_xlfn.IFNA(VLOOKUP($BC135,Programma!$F$3:$N$1101,9,0),"")</f>
        <v/>
      </c>
      <c r="BL135" s="185" t="str">
        <f>_xlfn.IFNA(VLOOKUP($BC135,Programma!$F$3:$O$1101,10,0),"")</f>
        <v/>
      </c>
      <c r="BM135" s="185" t="str">
        <f>_xlfn.IFNA(VLOOKUP($BC135,Programma!$F$3:$P$1101,11,0),"")</f>
        <v/>
      </c>
      <c r="BN135" s="185" t="str">
        <f>_xlfn.IFNA(VLOOKUP($BC135,Programma!$F$3:$Q$1101,12,0),"")</f>
        <v/>
      </c>
      <c r="BO135" s="185" t="str">
        <f>_xlfn.IFNA(VLOOKUP($BC135,Programma!$F$3:$R$1101,13,0),"")</f>
        <v/>
      </c>
      <c r="BP135" s="185" t="str">
        <f>_xlfn.IFNA(VLOOKUP($BC135,Programma!$F$3:$S$1101,14,0),"")</f>
        <v/>
      </c>
      <c r="BQ135" s="185" t="str">
        <f>_xlfn.IFNA(VLOOKUP($BC135,Programma!$F$3:$T$1101,15,0),"")</f>
        <v/>
      </c>
      <c r="BR135" s="185" t="str">
        <f>_xlfn.IFNA(VLOOKUP($BC135,Programma!$F$3:$U$1101,16,0),"")</f>
        <v/>
      </c>
      <c r="BS135" s="185" t="str">
        <f>_xlfn.IFNA(VLOOKUP($BC135,Programma!$F$3:$V$1101,17,0),"")</f>
        <v/>
      </c>
      <c r="BT135" s="185" t="str">
        <f>_xlfn.IFNA(VLOOKUP($BC135,Programma!$F$3:$W$1101,18,0),"")</f>
        <v/>
      </c>
      <c r="BU135" s="185" t="str">
        <f>_xlfn.IFNA(VLOOKUP($BC135,Programma!$F$3:$X$1101,19,0),"")</f>
        <v/>
      </c>
      <c r="BV135" s="185" t="str">
        <f>_xlfn.IFNA(VLOOKUP($BC135,Programma!$F$3:$Y$1101,20,0),"")</f>
        <v/>
      </c>
      <c r="BW135" s="78"/>
      <c r="BX135" s="78"/>
      <c r="BY135" s="78"/>
      <c r="BZ135" s="78"/>
      <c r="CA135" s="78"/>
      <c r="CB135" s="78"/>
      <c r="CC135" s="78"/>
      <c r="CD135" s="78"/>
      <c r="CE135" s="78"/>
      <c r="CF135" s="78"/>
      <c r="CG135" s="78"/>
      <c r="CH135" s="78"/>
      <c r="CI135" s="78"/>
      <c r="CJ135" s="78"/>
      <c r="CK135" s="78"/>
      <c r="CL135" s="78"/>
      <c r="CM135" s="78"/>
      <c r="CN135" s="78"/>
      <c r="CO135" s="78"/>
      <c r="CP135" s="78"/>
      <c r="CQ135" s="78"/>
      <c r="CR135" s="78"/>
      <c r="CS135" s="78"/>
      <c r="CT135" s="78"/>
      <c r="CU135" s="78"/>
      <c r="CV135" s="78"/>
      <c r="CW135" s="78"/>
      <c r="CX135" s="78"/>
      <c r="CY135" s="78"/>
      <c r="CZ135" s="78"/>
      <c r="DA135" s="78"/>
      <c r="DB135" s="78"/>
      <c r="DC135" s="78"/>
      <c r="DD135" s="78"/>
      <c r="DE135" s="78"/>
      <c r="DF135" s="78"/>
      <c r="DG135" s="78"/>
      <c r="DH135" s="78"/>
      <c r="DI135" s="78"/>
      <c r="DJ135" s="78"/>
      <c r="DK135" s="78"/>
      <c r="DL135" s="78"/>
      <c r="DM135" s="78"/>
      <c r="DN135" s="78"/>
      <c r="DO135" s="78"/>
      <c r="DP135" s="78"/>
      <c r="DQ135" s="78"/>
      <c r="DR135" s="78"/>
      <c r="DS135" s="78"/>
      <c r="DT135" s="78"/>
      <c r="DU135" s="78"/>
      <c r="DV135" s="78"/>
      <c r="DW135" s="78"/>
      <c r="DX135" s="78"/>
      <c r="DY135" s="78"/>
      <c r="DZ135" s="78"/>
      <c r="EA135" s="78"/>
      <c r="EB135" s="78"/>
      <c r="EC135" s="78"/>
      <c r="ED135" s="78"/>
      <c r="EE135" s="78"/>
      <c r="EF135" s="78"/>
      <c r="EG135" s="78"/>
      <c r="EH135" s="78"/>
      <c r="EI135" s="78"/>
      <c r="EJ135" s="78"/>
      <c r="EK135" s="78"/>
      <c r="EL135" s="78"/>
      <c r="EM135" s="78"/>
      <c r="EN135" s="78"/>
      <c r="EO135" s="78"/>
      <c r="EP135" s="78"/>
      <c r="EQ135" s="78"/>
      <c r="ER135" s="78"/>
      <c r="ES135" s="78"/>
      <c r="ET135" s="78"/>
      <c r="EU135" s="78"/>
      <c r="EV135" s="78"/>
      <c r="EW135" s="78"/>
      <c r="EX135" s="78"/>
      <c r="EY135" s="78"/>
      <c r="EZ135" s="78"/>
      <c r="FA135" s="78"/>
      <c r="FB135" s="78"/>
      <c r="FC135" s="78"/>
      <c r="FD135" s="78"/>
      <c r="FE135" s="78"/>
      <c r="FF135" s="78"/>
      <c r="FG135" s="78"/>
      <c r="FH135" s="78"/>
      <c r="FI135" s="78"/>
      <c r="FJ135" s="78"/>
      <c r="FK135" s="78"/>
      <c r="FL135" s="78"/>
      <c r="FM135" s="78"/>
      <c r="FN135" s="78"/>
      <c r="FO135" s="78"/>
      <c r="FP135" s="78"/>
      <c r="FQ135" s="78"/>
      <c r="FR135" s="78"/>
      <c r="FS135" s="78"/>
      <c r="FT135" s="78"/>
      <c r="FU135" s="78"/>
      <c r="FV135" s="78"/>
      <c r="FW135" s="78"/>
      <c r="FX135" s="78"/>
      <c r="FY135" s="78"/>
      <c r="FZ135" s="78"/>
      <c r="GA135" s="78"/>
      <c r="GB135" s="78"/>
      <c r="GC135" s="78"/>
      <c r="GD135" s="78"/>
      <c r="GE135" s="78"/>
      <c r="GF135" s="78"/>
      <c r="GG135" s="78"/>
      <c r="GH135" s="78"/>
      <c r="GI135" s="78"/>
      <c r="GJ135" s="78"/>
      <c r="GK135" s="78"/>
      <c r="GL135" s="78"/>
      <c r="GM135" s="78"/>
      <c r="GN135" s="78"/>
      <c r="GO135" s="78"/>
      <c r="GP135" s="78"/>
      <c r="GQ135" s="78"/>
      <c r="GR135" s="78"/>
      <c r="GS135" s="78"/>
      <c r="GT135" s="78"/>
      <c r="GU135" s="78"/>
      <c r="GV135" s="78"/>
      <c r="GW135" s="78"/>
      <c r="GX135" s="78"/>
      <c r="GY135" s="78"/>
      <c r="GZ135" s="78"/>
      <c r="HA135" s="78"/>
      <c r="HB135" s="78"/>
      <c r="HC135" s="78"/>
      <c r="HD135" s="78"/>
      <c r="HE135" s="78"/>
      <c r="HF135" s="78"/>
      <c r="HG135" s="78"/>
      <c r="HH135" s="78"/>
      <c r="HI135" s="78"/>
      <c r="HJ135" s="78"/>
      <c r="HK135" s="78"/>
    </row>
    <row r="136" spans="1:219" ht="15" customHeight="1">
      <c r="A136" s="149">
        <v>5</v>
      </c>
      <c r="B136" s="176" t="str">
        <f>VLOOKUP(Ruimtestaat[[#This Row],[Code]],Locaties[[Code]:[Locatie]],2,FALSE)</f>
        <v>OBS Harry Bannink</v>
      </c>
      <c r="C136" s="176" t="str">
        <f>VLOOKUP(Ruimtestaat[[#This Row],[Code]],Locaties[[#All],[Code]:[Adres]],4,FALSE)</f>
        <v>Het Bijvank 111</v>
      </c>
      <c r="D136" s="176" t="str">
        <f>VLOOKUP(Ruimtestaat[[#This Row],[Code]],Locaties[[#All],[Code]:[Postcode]],5,FALSE)</f>
        <v>7544 DA</v>
      </c>
      <c r="E136" s="176" t="str">
        <f>VLOOKUP(Ruimtestaat[[#This Row],[Code]],Locaties[#All],6,FALSE)</f>
        <v>Enschede</v>
      </c>
      <c r="F136" s="149"/>
      <c r="G136" s="149" t="s">
        <v>1646</v>
      </c>
      <c r="H136" s="300" t="s">
        <v>1661</v>
      </c>
      <c r="I136" s="301" t="s">
        <v>1655</v>
      </c>
      <c r="J136" s="99">
        <v>5</v>
      </c>
      <c r="K136" s="183" t="str">
        <f>VLOOKUP(Ruimtestaat[[#This Row],[Ruimte code]],Ruimtegroepen[[#All],[Code]:[Ruimte omschrijving]],2,FALSE)</f>
        <v>Sanitair</v>
      </c>
      <c r="L136" s="149" t="s">
        <v>102</v>
      </c>
      <c r="M136" s="301" t="s">
        <v>120</v>
      </c>
      <c r="N136" s="177">
        <v>0.8</v>
      </c>
      <c r="O136" s="177"/>
      <c r="P136" s="178" t="str">
        <f>VLOOKUP(Ruimtestaat[[#This Row],[Ruimte code]],Ruimtegroepen[],4,FALSE)</f>
        <v>Sa</v>
      </c>
      <c r="Q136" s="149">
        <v>40</v>
      </c>
      <c r="R136" s="149" t="s">
        <v>2</v>
      </c>
      <c r="S136" s="149">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6" s="149">
        <f>IF(S136&gt;0,VLOOKUP($J136,Ruimtegroepen[],3,FALSE)*VLOOKUP($L136,Vloersoorten[],3,FALSE)*VLOOKUP($R136,Frequenties[],3,FALSE)*VLOOKUP($A136,Locaties[],3,FALSE),0)</f>
        <v>0</v>
      </c>
      <c r="U136" s="149">
        <f>Ruimtestaat[[#This Row],[Uitvoeringen werkdagen]]*Ruimtestaat[[#This Row],[Oppervlak (netto)]]</f>
        <v>160</v>
      </c>
      <c r="V136" s="179">
        <f>IF(T136&gt;0,Ruimtestaat[[#This Row],[Prest. (m2 /jaar) werkdagen]]/Ruimtestaat[[#This Row],[Norm (m2/uur) werkdagen]],0)</f>
        <v>0</v>
      </c>
      <c r="W136" s="180">
        <f>Ruimtestaat[[#This Row],[uren / jaar werkdagen]]*Tariefsopbouw!$E$35</f>
        <v>0</v>
      </c>
      <c r="X136" s="149"/>
      <c r="Y136" s="149">
        <f>IF(Ruimtestaat[[#This Row],[Frequentie weekend]]&gt;0,VALUE(LEFT(X136,1))*Q136,0)</f>
        <v>0</v>
      </c>
      <c r="Z136" s="148">
        <f>IF($Y136&gt;0,VLOOKUP($J136,Ruimtegroepen[],3,FALSE)*VLOOKUP($L136,Vloersoorten[],3,FALSE)*VLOOKUP($X136,Frequenties[],3,FALSE)*VLOOKUP(Ruimtestaat[[#This Row],[Code]],Locaties[],3,FALSE),0)</f>
        <v>0</v>
      </c>
      <c r="AA136" s="148">
        <f>Ruimtestaat[[#This Row],[Uitvoeringen weekend]]*Ruimtestaat[[#This Row],[Oppervlak (netto)]]</f>
        <v>0</v>
      </c>
      <c r="AB136" s="148">
        <f>IF(Z136&gt;0,Ruimtestaat[[#This Row],[Prest. (m2 /jaar) weekend]]/Ruimtestaat[[#This Row],[Norm (m2/uur) weekend]],0)</f>
        <v>0</v>
      </c>
      <c r="AC136" s="180">
        <f>Ruimtestaat[[#This Row],[uren / jaar weekend]]*Tariefsopbouw!$D$40</f>
        <v>0</v>
      </c>
      <c r="AD136" s="179">
        <f>Ruimtestaat[[#This Row],[Prest. (m2 /jaar) weekend]]+Ruimtestaat[[#This Row],[Prest. (m2 /jaar) werkdagen]]</f>
        <v>160</v>
      </c>
      <c r="AE136" s="179">
        <f>Ruimtestaat[[#This Row],[uren / jaar weekend]]+Ruimtestaat[[#This Row],[uren / jaar werkdagen]]</f>
        <v>0</v>
      </c>
      <c r="AF136" s="174">
        <f>Ruimtestaat[[#This Row],[kosten / jaar weekend]]+Ruimtestaat[[#This Row],[kosten / jaar werkdagen]]</f>
        <v>0</v>
      </c>
      <c r="AG136" s="174"/>
      <c r="AH136" s="181" t="str">
        <f>IF(Ruimtestaat[[#This Row],[Frequentie werkdagen]]="","",_xlfn.CONCAT(Ruimtestaat[[#This Row],[Ruimte code]],"-",Ruimtestaat[[#This Row],[Frequentie werkdagen]]," ",Ruimtestaat[[#This Row],[Vloer code]]))</f>
        <v>5-5w P</v>
      </c>
      <c r="AI136" s="185" t="str">
        <f>_xlfn.IFNA(VLOOKUP($AH136,Programma!$F$3:$G$1101,2,0),"")</f>
        <v>_</v>
      </c>
      <c r="AJ136" s="185" t="str">
        <f>_xlfn.IFNA(VLOOKUP($AH136,Programma!$F$3:$H$1101,3,0),"")</f>
        <v>_</v>
      </c>
      <c r="AK136" s="185" t="str">
        <f>_xlfn.IFNA(VLOOKUP($AH136,Programma!$F$3:$I$1101,4,0),"")</f>
        <v>_</v>
      </c>
      <c r="AL136" s="185" t="str">
        <f>_xlfn.IFNA(VLOOKUP($AH136,Programma!$F$3:$J$1101,5,0),"")</f>
        <v>4w</v>
      </c>
      <c r="AM136" s="185" t="str">
        <f>_xlfn.IFNA(VLOOKUP($AH136,Programma!$F$3:$K$1101,6,0),"")</f>
        <v>1w</v>
      </c>
      <c r="AN136" s="185" t="str">
        <f>_xlfn.IFNA(VLOOKUP($AH136,Programma!$F$3:$L$1101,7,0),"")</f>
        <v>_</v>
      </c>
      <c r="AO136" s="185" t="str">
        <f>_xlfn.IFNA(VLOOKUP($AH136,Programma!$F$3:$M$1101,8,0),"")</f>
        <v>_</v>
      </c>
      <c r="AP136" s="185" t="str">
        <f>_xlfn.IFNA(VLOOKUP($AH136,Programma!$F$3:$N$1101,9,0),"")</f>
        <v>_</v>
      </c>
      <c r="AQ136" s="185" t="str">
        <f>_xlfn.IFNA(VLOOKUP($AH136,Programma!$F$3:$O$1101,10,0),"")</f>
        <v>_</v>
      </c>
      <c r="AR136" s="185" t="str">
        <f>_xlfn.IFNA(VLOOKUP($AH136,Programma!$F$3:$P$1101,11,0),"")</f>
        <v>_</v>
      </c>
      <c r="AS136" s="185" t="str">
        <f>_xlfn.IFNA(VLOOKUP($AH136,Programma!$F$3:$Q$1101,12,0),"")</f>
        <v>_</v>
      </c>
      <c r="AT136" s="185" t="str">
        <f>_xlfn.IFNA(VLOOKUP($AH136,Programma!$F$3:$R$1101,13,0),"")</f>
        <v>_</v>
      </c>
      <c r="AU136" s="185" t="str">
        <f>_xlfn.IFNA(VLOOKUP($AH136,Programma!$F$3:$S$1101,14,0),"")</f>
        <v>_</v>
      </c>
      <c r="AV136" s="185" t="str">
        <f>_xlfn.IFNA(VLOOKUP($AH136,Programma!$F$3:$T$1101,15,0),"")</f>
        <v>_</v>
      </c>
      <c r="AW136" s="185" t="str">
        <f>_xlfn.IFNA(VLOOKUP($AH136,Programma!$F$3:$U$1101,16,0),"")</f>
        <v>_</v>
      </c>
      <c r="AX136" s="185" t="str">
        <f>_xlfn.IFNA(VLOOKUP($AH136,Programma!$F$3:$V$1101,17,0),"")</f>
        <v>_</v>
      </c>
      <c r="AY136" s="185" t="str">
        <f>_xlfn.IFNA(VLOOKUP($AH136,Programma!$F$3:$W$1101,18,0),"")</f>
        <v>4w</v>
      </c>
      <c r="AZ136" s="185" t="str">
        <f>_xlfn.IFNA(VLOOKUP($AH136,Programma!$F$3:$X$1101,19,0),"")</f>
        <v>1w</v>
      </c>
      <c r="BA136" s="185" t="str">
        <f>_xlfn.IFNA(VLOOKUP($AH136,Programma!$F$3:$Y$1101,20,0),"")</f>
        <v>_</v>
      </c>
      <c r="BB136" s="182"/>
      <c r="BC136" s="181" t="str">
        <f>IF(Ruimtestaat[[#This Row],[Frequentie weekend]]="","",_xlfn.CONCAT(Ruimtestaat[[#This Row],[Ruimte code]],"-",Ruimtestaat[[#This Row],[Frequentie weekend]]," ",Ruimtestaat[[#This Row],[Vloer code]]))</f>
        <v/>
      </c>
      <c r="BD136" s="185" t="str">
        <f>_xlfn.IFNA(VLOOKUP($BC136,Programma!$F$3:$G$1101,2,0),"")</f>
        <v/>
      </c>
      <c r="BE136" s="185" t="str">
        <f>_xlfn.IFNA(VLOOKUP($BC136,Programma!$F$3:$H$1101,3,0),"")</f>
        <v/>
      </c>
      <c r="BF136" s="185" t="str">
        <f>_xlfn.IFNA(VLOOKUP($BC136,Programma!$F$3:$I$1101,4,0),"")</f>
        <v/>
      </c>
      <c r="BG136" s="185" t="str">
        <f>_xlfn.IFNA(VLOOKUP($BC136,Programma!$F$3:$J$1101,5,0),"")</f>
        <v/>
      </c>
      <c r="BH136" s="185" t="str">
        <f>_xlfn.IFNA(VLOOKUP($BC136,Programma!$F$3:$K$1101,6,0),"")</f>
        <v/>
      </c>
      <c r="BI136" s="185" t="str">
        <f>_xlfn.IFNA(VLOOKUP($BC136,Programma!$F$3:$L$1101,7,0),"")</f>
        <v/>
      </c>
      <c r="BJ136" s="185" t="str">
        <f>_xlfn.IFNA(VLOOKUP($BC136,Programma!$F$3:$M$1101,8,0),"")</f>
        <v/>
      </c>
      <c r="BK136" s="185" t="str">
        <f>_xlfn.IFNA(VLOOKUP($BC136,Programma!$F$3:$N$1101,9,0),"")</f>
        <v/>
      </c>
      <c r="BL136" s="185" t="str">
        <f>_xlfn.IFNA(VLOOKUP($BC136,Programma!$F$3:$O$1101,10,0),"")</f>
        <v/>
      </c>
      <c r="BM136" s="185" t="str">
        <f>_xlfn.IFNA(VLOOKUP($BC136,Programma!$F$3:$P$1101,11,0),"")</f>
        <v/>
      </c>
      <c r="BN136" s="185" t="str">
        <f>_xlfn.IFNA(VLOOKUP($BC136,Programma!$F$3:$Q$1101,12,0),"")</f>
        <v/>
      </c>
      <c r="BO136" s="185" t="str">
        <f>_xlfn.IFNA(VLOOKUP($BC136,Programma!$F$3:$R$1101,13,0),"")</f>
        <v/>
      </c>
      <c r="BP136" s="185" t="str">
        <f>_xlfn.IFNA(VLOOKUP($BC136,Programma!$F$3:$S$1101,14,0),"")</f>
        <v/>
      </c>
      <c r="BQ136" s="185" t="str">
        <f>_xlfn.IFNA(VLOOKUP($BC136,Programma!$F$3:$T$1101,15,0),"")</f>
        <v/>
      </c>
      <c r="BR136" s="185" t="str">
        <f>_xlfn.IFNA(VLOOKUP($BC136,Programma!$F$3:$U$1101,16,0),"")</f>
        <v/>
      </c>
      <c r="BS136" s="185" t="str">
        <f>_xlfn.IFNA(VLOOKUP($BC136,Programma!$F$3:$V$1101,17,0),"")</f>
        <v/>
      </c>
      <c r="BT136" s="185" t="str">
        <f>_xlfn.IFNA(VLOOKUP($BC136,Programma!$F$3:$W$1101,18,0),"")</f>
        <v/>
      </c>
      <c r="BU136" s="185" t="str">
        <f>_xlfn.IFNA(VLOOKUP($BC136,Programma!$F$3:$X$1101,19,0),"")</f>
        <v/>
      </c>
      <c r="BV136" s="185" t="str">
        <f>_xlfn.IFNA(VLOOKUP($BC136,Programma!$F$3:$Y$1101,20,0),"")</f>
        <v/>
      </c>
      <c r="BW136" s="78"/>
      <c r="BX136" s="78"/>
      <c r="BY136" s="78"/>
      <c r="BZ136" s="78"/>
      <c r="CA136" s="78"/>
      <c r="CB136" s="78"/>
      <c r="CC136" s="78"/>
      <c r="CD136" s="78"/>
      <c r="CE136" s="78"/>
      <c r="CF136" s="78"/>
      <c r="CG136" s="78"/>
      <c r="CH136" s="78"/>
      <c r="CI136" s="78"/>
      <c r="CJ136" s="78"/>
      <c r="CK136" s="78"/>
      <c r="CL136" s="78"/>
      <c r="CM136" s="78"/>
      <c r="CN136" s="78"/>
      <c r="CO136" s="78"/>
      <c r="CP136" s="78"/>
      <c r="CQ136" s="78"/>
      <c r="CR136" s="78"/>
      <c r="CS136" s="78"/>
      <c r="CT136" s="78"/>
      <c r="CU136" s="78"/>
      <c r="CV136" s="78"/>
      <c r="CW136" s="78"/>
      <c r="CX136" s="78"/>
      <c r="CY136" s="78"/>
      <c r="CZ136" s="78"/>
      <c r="DA136" s="78"/>
      <c r="DB136" s="78"/>
      <c r="DC136" s="78"/>
      <c r="DD136" s="78"/>
      <c r="DE136" s="78"/>
      <c r="DF136" s="78"/>
      <c r="DG136" s="78"/>
      <c r="DH136" s="78"/>
      <c r="DI136" s="78"/>
      <c r="DJ136" s="78"/>
      <c r="DK136" s="78"/>
      <c r="DL136" s="78"/>
      <c r="DM136" s="78"/>
      <c r="DN136" s="78"/>
      <c r="DO136" s="78"/>
      <c r="DP136" s="78"/>
      <c r="DQ136" s="78"/>
      <c r="DR136" s="78"/>
      <c r="DS136" s="78"/>
      <c r="DT136" s="78"/>
      <c r="DU136" s="78"/>
      <c r="DV136" s="78"/>
      <c r="DW136" s="78"/>
      <c r="DX136" s="78"/>
      <c r="DY136" s="78"/>
      <c r="DZ136" s="78"/>
      <c r="EA136" s="78"/>
      <c r="EB136" s="78"/>
      <c r="EC136" s="78"/>
      <c r="ED136" s="78"/>
      <c r="EE136" s="78"/>
      <c r="EF136" s="78"/>
      <c r="EG136" s="78"/>
      <c r="EH136" s="78"/>
      <c r="EI136" s="78"/>
      <c r="EJ136" s="78"/>
      <c r="EK136" s="78"/>
      <c r="EL136" s="78"/>
      <c r="EM136" s="78"/>
      <c r="EN136" s="78"/>
      <c r="EO136" s="78"/>
      <c r="EP136" s="78"/>
      <c r="EQ136" s="78"/>
      <c r="ER136" s="78"/>
      <c r="ES136" s="78"/>
      <c r="ET136" s="78"/>
      <c r="EU136" s="78"/>
      <c r="EV136" s="78"/>
      <c r="EW136" s="78"/>
      <c r="EX136" s="78"/>
      <c r="EY136" s="78"/>
      <c r="EZ136" s="78"/>
      <c r="FA136" s="78"/>
      <c r="FB136" s="78"/>
      <c r="FC136" s="78"/>
      <c r="FD136" s="78"/>
      <c r="FE136" s="78"/>
      <c r="FF136" s="78"/>
      <c r="FG136" s="78"/>
      <c r="FH136" s="78"/>
      <c r="FI136" s="78"/>
      <c r="FJ136" s="78"/>
      <c r="FK136" s="78"/>
      <c r="FL136" s="78"/>
      <c r="FM136" s="78"/>
      <c r="FN136" s="78"/>
      <c r="FO136" s="78"/>
      <c r="FP136" s="78"/>
      <c r="FQ136" s="78"/>
      <c r="FR136" s="78"/>
      <c r="FS136" s="78"/>
      <c r="FT136" s="78"/>
      <c r="FU136" s="78"/>
      <c r="FV136" s="78"/>
      <c r="FW136" s="78"/>
      <c r="FX136" s="78"/>
      <c r="FY136" s="78"/>
      <c r="FZ136" s="78"/>
      <c r="GA136" s="78"/>
      <c r="GB136" s="78"/>
      <c r="GC136" s="78"/>
      <c r="GD136" s="78"/>
      <c r="GE136" s="78"/>
      <c r="GF136" s="78"/>
      <c r="GG136" s="78"/>
      <c r="GH136" s="78"/>
      <c r="GI136" s="78"/>
      <c r="GJ136" s="78"/>
      <c r="GK136" s="78"/>
      <c r="GL136" s="78"/>
      <c r="GM136" s="78"/>
      <c r="GN136" s="78"/>
      <c r="GO136" s="78"/>
      <c r="GP136" s="78"/>
      <c r="GQ136" s="78"/>
      <c r="GR136" s="78"/>
      <c r="GS136" s="78"/>
      <c r="GT136" s="78"/>
      <c r="GU136" s="78"/>
      <c r="GV136" s="78"/>
      <c r="GW136" s="78"/>
      <c r="GX136" s="78"/>
      <c r="GY136" s="78"/>
      <c r="GZ136" s="78"/>
      <c r="HA136" s="78"/>
      <c r="HB136" s="78"/>
      <c r="HC136" s="78"/>
      <c r="HD136" s="78"/>
      <c r="HE136" s="78"/>
      <c r="HF136" s="78"/>
      <c r="HG136" s="78"/>
      <c r="HH136" s="78"/>
      <c r="HI136" s="78"/>
      <c r="HJ136" s="78"/>
      <c r="HK136" s="78"/>
    </row>
    <row r="137" spans="1:219" ht="15" customHeight="1">
      <c r="A137" s="149">
        <v>5</v>
      </c>
      <c r="B137" s="176" t="str">
        <f>VLOOKUP(Ruimtestaat[[#This Row],[Code]],Locaties[[Code]:[Locatie]],2,FALSE)</f>
        <v>OBS Harry Bannink</v>
      </c>
      <c r="C137" s="176" t="str">
        <f>VLOOKUP(Ruimtestaat[[#This Row],[Code]],Locaties[[#All],[Code]:[Adres]],4,FALSE)</f>
        <v>Het Bijvank 111</v>
      </c>
      <c r="D137" s="176" t="str">
        <f>VLOOKUP(Ruimtestaat[[#This Row],[Code]],Locaties[[#All],[Code]:[Postcode]],5,FALSE)</f>
        <v>7544 DA</v>
      </c>
      <c r="E137" s="176" t="str">
        <f>VLOOKUP(Ruimtestaat[[#This Row],[Code]],Locaties[#All],6,FALSE)</f>
        <v>Enschede</v>
      </c>
      <c r="F137" s="149"/>
      <c r="G137" s="149" t="s">
        <v>1646</v>
      </c>
      <c r="H137" s="300" t="s">
        <v>1662</v>
      </c>
      <c r="I137" s="301" t="s">
        <v>1655</v>
      </c>
      <c r="J137" s="99">
        <v>5</v>
      </c>
      <c r="K137" s="183" t="str">
        <f>VLOOKUP(Ruimtestaat[[#This Row],[Ruimte code]],Ruimtegroepen[[#All],[Code]:[Ruimte omschrijving]],2,FALSE)</f>
        <v>Sanitair</v>
      </c>
      <c r="L137" s="149" t="s">
        <v>102</v>
      </c>
      <c r="M137" s="301" t="s">
        <v>120</v>
      </c>
      <c r="N137" s="177">
        <v>0.8</v>
      </c>
      <c r="O137" s="177"/>
      <c r="P137" s="178" t="str">
        <f>VLOOKUP(Ruimtestaat[[#This Row],[Ruimte code]],Ruimtegroepen[],4,FALSE)</f>
        <v>Sa</v>
      </c>
      <c r="Q137" s="149">
        <v>40</v>
      </c>
      <c r="R137" s="149" t="s">
        <v>2</v>
      </c>
      <c r="S137" s="149">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7" s="149">
        <f>IF(S137&gt;0,VLOOKUP($J137,Ruimtegroepen[],3,FALSE)*VLOOKUP($L137,Vloersoorten[],3,FALSE)*VLOOKUP($R137,Frequenties[],3,FALSE)*VLOOKUP($A137,Locaties[],3,FALSE),0)</f>
        <v>0</v>
      </c>
      <c r="U137" s="149">
        <f>Ruimtestaat[[#This Row],[Uitvoeringen werkdagen]]*Ruimtestaat[[#This Row],[Oppervlak (netto)]]</f>
        <v>160</v>
      </c>
      <c r="V137" s="179">
        <f>IF(T137&gt;0,Ruimtestaat[[#This Row],[Prest. (m2 /jaar) werkdagen]]/Ruimtestaat[[#This Row],[Norm (m2/uur) werkdagen]],0)</f>
        <v>0</v>
      </c>
      <c r="W137" s="180">
        <f>Ruimtestaat[[#This Row],[uren / jaar werkdagen]]*Tariefsopbouw!$E$35</f>
        <v>0</v>
      </c>
      <c r="X137" s="149"/>
      <c r="Y137" s="149">
        <f>IF(Ruimtestaat[[#This Row],[Frequentie weekend]]&gt;0,VALUE(LEFT(X137,1))*Q137,0)</f>
        <v>0</v>
      </c>
      <c r="Z137" s="148">
        <f>IF($Y137&gt;0,VLOOKUP($J137,Ruimtegroepen[],3,FALSE)*VLOOKUP($L137,Vloersoorten[],3,FALSE)*VLOOKUP($X137,Frequenties[],3,FALSE)*VLOOKUP(Ruimtestaat[[#This Row],[Code]],Locaties[],3,FALSE),0)</f>
        <v>0</v>
      </c>
      <c r="AA137" s="148">
        <f>Ruimtestaat[[#This Row],[Uitvoeringen weekend]]*Ruimtestaat[[#This Row],[Oppervlak (netto)]]</f>
        <v>0</v>
      </c>
      <c r="AB137" s="148">
        <f>IF(Z137&gt;0,Ruimtestaat[[#This Row],[Prest. (m2 /jaar) weekend]]/Ruimtestaat[[#This Row],[Norm (m2/uur) weekend]],0)</f>
        <v>0</v>
      </c>
      <c r="AC137" s="180">
        <f>Ruimtestaat[[#This Row],[uren / jaar weekend]]*Tariefsopbouw!$D$40</f>
        <v>0</v>
      </c>
      <c r="AD137" s="179">
        <f>Ruimtestaat[[#This Row],[Prest. (m2 /jaar) weekend]]+Ruimtestaat[[#This Row],[Prest. (m2 /jaar) werkdagen]]</f>
        <v>160</v>
      </c>
      <c r="AE137" s="179">
        <f>Ruimtestaat[[#This Row],[uren / jaar weekend]]+Ruimtestaat[[#This Row],[uren / jaar werkdagen]]</f>
        <v>0</v>
      </c>
      <c r="AF137" s="174">
        <f>Ruimtestaat[[#This Row],[kosten / jaar weekend]]+Ruimtestaat[[#This Row],[kosten / jaar werkdagen]]</f>
        <v>0</v>
      </c>
      <c r="AG137" s="174"/>
      <c r="AH137" s="181" t="str">
        <f>IF(Ruimtestaat[[#This Row],[Frequentie werkdagen]]="","",_xlfn.CONCAT(Ruimtestaat[[#This Row],[Ruimte code]],"-",Ruimtestaat[[#This Row],[Frequentie werkdagen]]," ",Ruimtestaat[[#This Row],[Vloer code]]))</f>
        <v>5-5w P</v>
      </c>
      <c r="AI137" s="185" t="str">
        <f>_xlfn.IFNA(VLOOKUP($AH137,Programma!$F$3:$G$1101,2,0),"")</f>
        <v>_</v>
      </c>
      <c r="AJ137" s="185" t="str">
        <f>_xlfn.IFNA(VLOOKUP($AH137,Programma!$F$3:$H$1101,3,0),"")</f>
        <v>_</v>
      </c>
      <c r="AK137" s="185" t="str">
        <f>_xlfn.IFNA(VLOOKUP($AH137,Programma!$F$3:$I$1101,4,0),"")</f>
        <v>_</v>
      </c>
      <c r="AL137" s="185" t="str">
        <f>_xlfn.IFNA(VLOOKUP($AH137,Programma!$F$3:$J$1101,5,0),"")</f>
        <v>4w</v>
      </c>
      <c r="AM137" s="185" t="str">
        <f>_xlfn.IFNA(VLOOKUP($AH137,Programma!$F$3:$K$1101,6,0),"")</f>
        <v>1w</v>
      </c>
      <c r="AN137" s="185" t="str">
        <f>_xlfn.IFNA(VLOOKUP($AH137,Programma!$F$3:$L$1101,7,0),"")</f>
        <v>_</v>
      </c>
      <c r="AO137" s="185" t="str">
        <f>_xlfn.IFNA(VLOOKUP($AH137,Programma!$F$3:$M$1101,8,0),"")</f>
        <v>_</v>
      </c>
      <c r="AP137" s="185" t="str">
        <f>_xlfn.IFNA(VLOOKUP($AH137,Programma!$F$3:$N$1101,9,0),"")</f>
        <v>_</v>
      </c>
      <c r="AQ137" s="185" t="str">
        <f>_xlfn.IFNA(VLOOKUP($AH137,Programma!$F$3:$O$1101,10,0),"")</f>
        <v>_</v>
      </c>
      <c r="AR137" s="185" t="str">
        <f>_xlfn.IFNA(VLOOKUP($AH137,Programma!$F$3:$P$1101,11,0),"")</f>
        <v>_</v>
      </c>
      <c r="AS137" s="185" t="str">
        <f>_xlfn.IFNA(VLOOKUP($AH137,Programma!$F$3:$Q$1101,12,0),"")</f>
        <v>_</v>
      </c>
      <c r="AT137" s="185" t="str">
        <f>_xlfn.IFNA(VLOOKUP($AH137,Programma!$F$3:$R$1101,13,0),"")</f>
        <v>_</v>
      </c>
      <c r="AU137" s="185" t="str">
        <f>_xlfn.IFNA(VLOOKUP($AH137,Programma!$F$3:$S$1101,14,0),"")</f>
        <v>_</v>
      </c>
      <c r="AV137" s="185" t="str">
        <f>_xlfn.IFNA(VLOOKUP($AH137,Programma!$F$3:$T$1101,15,0),"")</f>
        <v>_</v>
      </c>
      <c r="AW137" s="185" t="str">
        <f>_xlfn.IFNA(VLOOKUP($AH137,Programma!$F$3:$U$1101,16,0),"")</f>
        <v>_</v>
      </c>
      <c r="AX137" s="185" t="str">
        <f>_xlfn.IFNA(VLOOKUP($AH137,Programma!$F$3:$V$1101,17,0),"")</f>
        <v>_</v>
      </c>
      <c r="AY137" s="185" t="str">
        <f>_xlfn.IFNA(VLOOKUP($AH137,Programma!$F$3:$W$1101,18,0),"")</f>
        <v>4w</v>
      </c>
      <c r="AZ137" s="185" t="str">
        <f>_xlfn.IFNA(VLOOKUP($AH137,Programma!$F$3:$X$1101,19,0),"")</f>
        <v>1w</v>
      </c>
      <c r="BA137" s="185" t="str">
        <f>_xlfn.IFNA(VLOOKUP($AH137,Programma!$F$3:$Y$1101,20,0),"")</f>
        <v>_</v>
      </c>
      <c r="BB137" s="182"/>
      <c r="BC137" s="181" t="str">
        <f>IF(Ruimtestaat[[#This Row],[Frequentie weekend]]="","",_xlfn.CONCAT(Ruimtestaat[[#This Row],[Ruimte code]],"-",Ruimtestaat[[#This Row],[Frequentie weekend]]," ",Ruimtestaat[[#This Row],[Vloer code]]))</f>
        <v/>
      </c>
      <c r="BD137" s="185" t="str">
        <f>_xlfn.IFNA(VLOOKUP($BC137,Programma!$F$3:$G$1101,2,0),"")</f>
        <v/>
      </c>
      <c r="BE137" s="185" t="str">
        <f>_xlfn.IFNA(VLOOKUP($BC137,Programma!$F$3:$H$1101,3,0),"")</f>
        <v/>
      </c>
      <c r="BF137" s="185" t="str">
        <f>_xlfn.IFNA(VLOOKUP($BC137,Programma!$F$3:$I$1101,4,0),"")</f>
        <v/>
      </c>
      <c r="BG137" s="185" t="str">
        <f>_xlfn.IFNA(VLOOKUP($BC137,Programma!$F$3:$J$1101,5,0),"")</f>
        <v/>
      </c>
      <c r="BH137" s="185" t="str">
        <f>_xlfn.IFNA(VLOOKUP($BC137,Programma!$F$3:$K$1101,6,0),"")</f>
        <v/>
      </c>
      <c r="BI137" s="185" t="str">
        <f>_xlfn.IFNA(VLOOKUP($BC137,Programma!$F$3:$L$1101,7,0),"")</f>
        <v/>
      </c>
      <c r="BJ137" s="185" t="str">
        <f>_xlfn.IFNA(VLOOKUP($BC137,Programma!$F$3:$M$1101,8,0),"")</f>
        <v/>
      </c>
      <c r="BK137" s="185" t="str">
        <f>_xlfn.IFNA(VLOOKUP($BC137,Programma!$F$3:$N$1101,9,0),"")</f>
        <v/>
      </c>
      <c r="BL137" s="185" t="str">
        <f>_xlfn.IFNA(VLOOKUP($BC137,Programma!$F$3:$O$1101,10,0),"")</f>
        <v/>
      </c>
      <c r="BM137" s="185" t="str">
        <f>_xlfn.IFNA(VLOOKUP($BC137,Programma!$F$3:$P$1101,11,0),"")</f>
        <v/>
      </c>
      <c r="BN137" s="185" t="str">
        <f>_xlfn.IFNA(VLOOKUP($BC137,Programma!$F$3:$Q$1101,12,0),"")</f>
        <v/>
      </c>
      <c r="BO137" s="185" t="str">
        <f>_xlfn.IFNA(VLOOKUP($BC137,Programma!$F$3:$R$1101,13,0),"")</f>
        <v/>
      </c>
      <c r="BP137" s="185" t="str">
        <f>_xlfn.IFNA(VLOOKUP($BC137,Programma!$F$3:$S$1101,14,0),"")</f>
        <v/>
      </c>
      <c r="BQ137" s="185" t="str">
        <f>_xlfn.IFNA(VLOOKUP($BC137,Programma!$F$3:$T$1101,15,0),"")</f>
        <v/>
      </c>
      <c r="BR137" s="185" t="str">
        <f>_xlfn.IFNA(VLOOKUP($BC137,Programma!$F$3:$U$1101,16,0),"")</f>
        <v/>
      </c>
      <c r="BS137" s="185" t="str">
        <f>_xlfn.IFNA(VLOOKUP($BC137,Programma!$F$3:$V$1101,17,0),"")</f>
        <v/>
      </c>
      <c r="BT137" s="185" t="str">
        <f>_xlfn.IFNA(VLOOKUP($BC137,Programma!$F$3:$W$1101,18,0),"")</f>
        <v/>
      </c>
      <c r="BU137" s="185" t="str">
        <f>_xlfn.IFNA(VLOOKUP($BC137,Programma!$F$3:$X$1101,19,0),"")</f>
        <v/>
      </c>
      <c r="BV137" s="185" t="str">
        <f>_xlfn.IFNA(VLOOKUP($BC137,Programma!$F$3:$Y$1101,20,0),"")</f>
        <v/>
      </c>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c r="EK137" s="78"/>
      <c r="EL137" s="78"/>
      <c r="EM137" s="78"/>
      <c r="EN137" s="78"/>
      <c r="EO137" s="78"/>
      <c r="EP137" s="78"/>
      <c r="EQ137" s="78"/>
      <c r="ER137" s="78"/>
      <c r="ES137" s="78"/>
      <c r="ET137" s="78"/>
      <c r="EU137" s="78"/>
      <c r="EV137" s="78"/>
      <c r="EW137" s="78"/>
      <c r="EX137" s="78"/>
      <c r="EY137" s="78"/>
      <c r="EZ137" s="78"/>
      <c r="FA137" s="78"/>
      <c r="FB137" s="78"/>
      <c r="FC137" s="78"/>
      <c r="FD137" s="78"/>
      <c r="FE137" s="78"/>
      <c r="FF137" s="78"/>
      <c r="FG137" s="78"/>
      <c r="FH137" s="78"/>
      <c r="FI137" s="78"/>
      <c r="FJ137" s="78"/>
      <c r="FK137" s="78"/>
      <c r="FL137" s="78"/>
      <c r="FM137" s="78"/>
      <c r="FN137" s="78"/>
      <c r="FO137" s="78"/>
      <c r="FP137" s="78"/>
      <c r="FQ137" s="78"/>
      <c r="FR137" s="78"/>
      <c r="FS137" s="78"/>
      <c r="FT137" s="78"/>
      <c r="FU137" s="78"/>
      <c r="FV137" s="78"/>
      <c r="FW137" s="78"/>
      <c r="FX137" s="78"/>
      <c r="FY137" s="78"/>
      <c r="FZ137" s="78"/>
      <c r="GA137" s="78"/>
      <c r="GB137" s="78"/>
      <c r="GC137" s="78"/>
      <c r="GD137" s="78"/>
      <c r="GE137" s="78"/>
      <c r="GF137" s="78"/>
      <c r="GG137" s="78"/>
      <c r="GH137" s="78"/>
      <c r="GI137" s="78"/>
      <c r="GJ137" s="78"/>
      <c r="GK137" s="78"/>
      <c r="GL137" s="78"/>
      <c r="GM137" s="78"/>
      <c r="GN137" s="78"/>
      <c r="GO137" s="78"/>
      <c r="GP137" s="78"/>
      <c r="GQ137" s="78"/>
      <c r="GR137" s="78"/>
      <c r="GS137" s="78"/>
      <c r="GT137" s="78"/>
      <c r="GU137" s="78"/>
      <c r="GV137" s="78"/>
      <c r="GW137" s="78"/>
      <c r="GX137" s="78"/>
      <c r="GY137" s="78"/>
      <c r="GZ137" s="78"/>
      <c r="HA137" s="78"/>
      <c r="HB137" s="78"/>
      <c r="HC137" s="78"/>
      <c r="HD137" s="78"/>
      <c r="HE137" s="78"/>
      <c r="HF137" s="78"/>
      <c r="HG137" s="78"/>
      <c r="HH137" s="78"/>
      <c r="HI137" s="78"/>
      <c r="HJ137" s="78"/>
      <c r="HK137" s="78"/>
    </row>
    <row r="138" spans="1:219" ht="15" customHeight="1">
      <c r="A138" s="149">
        <v>5</v>
      </c>
      <c r="B138" s="176" t="str">
        <f>VLOOKUP(Ruimtestaat[[#This Row],[Code]],Locaties[[Code]:[Locatie]],2,FALSE)</f>
        <v>OBS Harry Bannink</v>
      </c>
      <c r="C138" s="176" t="str">
        <f>VLOOKUP(Ruimtestaat[[#This Row],[Code]],Locaties[[#All],[Code]:[Adres]],4,FALSE)</f>
        <v>Het Bijvank 111</v>
      </c>
      <c r="D138" s="176" t="str">
        <f>VLOOKUP(Ruimtestaat[[#This Row],[Code]],Locaties[[#All],[Code]:[Postcode]],5,FALSE)</f>
        <v>7544 DA</v>
      </c>
      <c r="E138" s="176" t="str">
        <f>VLOOKUP(Ruimtestaat[[#This Row],[Code]],Locaties[#All],6,FALSE)</f>
        <v>Enschede</v>
      </c>
      <c r="F138" s="149"/>
      <c r="G138" s="149" t="s">
        <v>1646</v>
      </c>
      <c r="H138" s="300" t="s">
        <v>1663</v>
      </c>
      <c r="I138" s="301" t="s">
        <v>1651</v>
      </c>
      <c r="J138" s="99">
        <v>16</v>
      </c>
      <c r="K138" s="183" t="str">
        <f>VLOOKUP(Ruimtestaat[[#This Row],[Ruimte code]],Ruimtegroepen[[#All],[Code]:[Ruimte omschrijving]],2,FALSE)</f>
        <v>Leslokalen</v>
      </c>
      <c r="L138" s="149" t="s">
        <v>100</v>
      </c>
      <c r="M138" s="301" t="s">
        <v>1697</v>
      </c>
      <c r="N138" s="177">
        <v>54.3</v>
      </c>
      <c r="O138" s="177"/>
      <c r="P138" s="178" t="str">
        <f>VLOOKUP(Ruimtestaat[[#This Row],[Ruimte code]],Ruimtegroepen[],4,FALSE)</f>
        <v>Le</v>
      </c>
      <c r="Q138" s="149">
        <v>40</v>
      </c>
      <c r="R138" s="149" t="s">
        <v>2</v>
      </c>
      <c r="S138" s="149">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8" s="149">
        <f>IF(S138&gt;0,VLOOKUP($J138,Ruimtegroepen[],3,FALSE)*VLOOKUP($L138,Vloersoorten[],3,FALSE)*VLOOKUP($R138,Frequenties[],3,FALSE)*VLOOKUP($A138,Locaties[],3,FALSE),0)</f>
        <v>0</v>
      </c>
      <c r="U138" s="149">
        <f>Ruimtestaat[[#This Row],[Uitvoeringen werkdagen]]*Ruimtestaat[[#This Row],[Oppervlak (netto)]]</f>
        <v>10860</v>
      </c>
      <c r="V138" s="179">
        <f>IF(T138&gt;0,Ruimtestaat[[#This Row],[Prest. (m2 /jaar) werkdagen]]/Ruimtestaat[[#This Row],[Norm (m2/uur) werkdagen]],0)</f>
        <v>0</v>
      </c>
      <c r="W138" s="180">
        <f>Ruimtestaat[[#This Row],[uren / jaar werkdagen]]*Tariefsopbouw!$E$35</f>
        <v>0</v>
      </c>
      <c r="X138" s="149"/>
      <c r="Y138" s="149">
        <f>IF(Ruimtestaat[[#This Row],[Frequentie weekend]]&gt;0,VALUE(LEFT(X138,1))*Q138,0)</f>
        <v>0</v>
      </c>
      <c r="Z138" s="148">
        <f>IF($Y138&gt;0,VLOOKUP($J138,Ruimtegroepen[],3,FALSE)*VLOOKUP($L138,Vloersoorten[],3,FALSE)*VLOOKUP($X138,Frequenties[],3,FALSE)*VLOOKUP(Ruimtestaat[[#This Row],[Code]],Locaties[],3,FALSE),0)</f>
        <v>0</v>
      </c>
      <c r="AA138" s="148">
        <f>Ruimtestaat[[#This Row],[Uitvoeringen weekend]]*Ruimtestaat[[#This Row],[Oppervlak (netto)]]</f>
        <v>0</v>
      </c>
      <c r="AB138" s="148">
        <f>IF(Z138&gt;0,Ruimtestaat[[#This Row],[Prest. (m2 /jaar) weekend]]/Ruimtestaat[[#This Row],[Norm (m2/uur) weekend]],0)</f>
        <v>0</v>
      </c>
      <c r="AC138" s="180">
        <f>Ruimtestaat[[#This Row],[uren / jaar weekend]]*Tariefsopbouw!$D$40</f>
        <v>0</v>
      </c>
      <c r="AD138" s="179">
        <f>Ruimtestaat[[#This Row],[Prest. (m2 /jaar) weekend]]+Ruimtestaat[[#This Row],[Prest. (m2 /jaar) werkdagen]]</f>
        <v>10860</v>
      </c>
      <c r="AE138" s="179">
        <f>Ruimtestaat[[#This Row],[uren / jaar weekend]]+Ruimtestaat[[#This Row],[uren / jaar werkdagen]]</f>
        <v>0</v>
      </c>
      <c r="AF138" s="174">
        <f>Ruimtestaat[[#This Row],[kosten / jaar weekend]]+Ruimtestaat[[#This Row],[kosten / jaar werkdagen]]</f>
        <v>0</v>
      </c>
      <c r="AG138" s="174"/>
      <c r="AH138" s="181" t="str">
        <f>IF(Ruimtestaat[[#This Row],[Frequentie werkdagen]]="","",_xlfn.CONCAT(Ruimtestaat[[#This Row],[Ruimte code]],"-",Ruimtestaat[[#This Row],[Frequentie werkdagen]]," ",Ruimtestaat[[#This Row],[Vloer code]]))</f>
        <v>16-5w L</v>
      </c>
      <c r="AI138" s="185" t="str">
        <f>_xlfn.IFNA(VLOOKUP($AH138,Programma!$F$3:$G$1101,2,0),"")</f>
        <v>_</v>
      </c>
      <c r="AJ138" s="185" t="str">
        <f>_xlfn.IFNA(VLOOKUP($AH138,Programma!$F$3:$H$1101,3,0),"")</f>
        <v>_</v>
      </c>
      <c r="AK138" s="185" t="str">
        <f>_xlfn.IFNA(VLOOKUP($AH138,Programma!$F$3:$I$1101,4,0),"")</f>
        <v>4w</v>
      </c>
      <c r="AL138" s="185" t="str">
        <f>_xlfn.IFNA(VLOOKUP($AH138,Programma!$F$3:$J$1101,5,0),"")</f>
        <v>1w</v>
      </c>
      <c r="AM138" s="185" t="str">
        <f>_xlfn.IFNA(VLOOKUP($AH138,Programma!$F$3:$K$1101,6,0),"")</f>
        <v>_</v>
      </c>
      <c r="AN138" s="185" t="str">
        <f>_xlfn.IFNA(VLOOKUP($AH138,Programma!$F$3:$L$1101,7,0),"")</f>
        <v>_</v>
      </c>
      <c r="AO138" s="185" t="str">
        <f>_xlfn.IFNA(VLOOKUP($AH138,Programma!$F$3:$M$1101,8,0),"")</f>
        <v>_</v>
      </c>
      <c r="AP138" s="185" t="str">
        <f>_xlfn.IFNA(VLOOKUP($AH138,Programma!$F$3:$N$1101,9,0),"")</f>
        <v>_</v>
      </c>
      <c r="AQ138" s="185" t="str">
        <f>_xlfn.IFNA(VLOOKUP($AH138,Programma!$F$3:$O$1101,10,0),"")</f>
        <v>5w</v>
      </c>
      <c r="AR138" s="185" t="str">
        <f>_xlfn.IFNA(VLOOKUP($AH138,Programma!$F$3:$P$1101,11,0),"")</f>
        <v>5w</v>
      </c>
      <c r="AS138" s="185" t="str">
        <f>_xlfn.IFNA(VLOOKUP($AH138,Programma!$F$3:$Q$1101,12,0),"")</f>
        <v>1w</v>
      </c>
      <c r="AT138" s="185" t="str">
        <f>_xlfn.IFNA(VLOOKUP($AH138,Programma!$F$3:$R$1101,13,0),"")</f>
        <v>1w</v>
      </c>
      <c r="AU138" s="185" t="str">
        <f>_xlfn.IFNA(VLOOKUP($AH138,Programma!$F$3:$S$1101,14,0),"")</f>
        <v>1m</v>
      </c>
      <c r="AV138" s="185" t="str">
        <f>_xlfn.IFNA(VLOOKUP($AH138,Programma!$F$3:$T$1101,15,0),"")</f>
        <v>2j</v>
      </c>
      <c r="AW138" s="185" t="str">
        <f>_xlfn.IFNA(VLOOKUP($AH138,Programma!$F$3:$U$1101,16,0),"")</f>
        <v>1j</v>
      </c>
      <c r="AX138" s="185" t="str">
        <f>_xlfn.IFNA(VLOOKUP($AH138,Programma!$F$3:$V$1101,17,0),"")</f>
        <v>_</v>
      </c>
      <c r="AY138" s="185" t="str">
        <f>_xlfn.IFNA(VLOOKUP($AH138,Programma!$F$3:$W$1101,18,0),"")</f>
        <v>_</v>
      </c>
      <c r="AZ138" s="185" t="str">
        <f>_xlfn.IFNA(VLOOKUP($AH138,Programma!$F$3:$X$1101,19,0),"")</f>
        <v>_</v>
      </c>
      <c r="BA138" s="185" t="str">
        <f>_xlfn.IFNA(VLOOKUP($AH138,Programma!$F$3:$Y$1101,20,0),"")</f>
        <v>_</v>
      </c>
      <c r="BB138" s="182"/>
      <c r="BC138" s="181" t="str">
        <f>IF(Ruimtestaat[[#This Row],[Frequentie weekend]]="","",_xlfn.CONCAT(Ruimtestaat[[#This Row],[Ruimte code]],"-",Ruimtestaat[[#This Row],[Frequentie weekend]]," ",Ruimtestaat[[#This Row],[Vloer code]]))</f>
        <v/>
      </c>
      <c r="BD138" s="185" t="str">
        <f>_xlfn.IFNA(VLOOKUP($BC138,Programma!$F$3:$G$1101,2,0),"")</f>
        <v/>
      </c>
      <c r="BE138" s="185" t="str">
        <f>_xlfn.IFNA(VLOOKUP($BC138,Programma!$F$3:$H$1101,3,0),"")</f>
        <v/>
      </c>
      <c r="BF138" s="185" t="str">
        <f>_xlfn.IFNA(VLOOKUP($BC138,Programma!$F$3:$I$1101,4,0),"")</f>
        <v/>
      </c>
      <c r="BG138" s="185" t="str">
        <f>_xlfn.IFNA(VLOOKUP($BC138,Programma!$F$3:$J$1101,5,0),"")</f>
        <v/>
      </c>
      <c r="BH138" s="185" t="str">
        <f>_xlfn.IFNA(VLOOKUP($BC138,Programma!$F$3:$K$1101,6,0),"")</f>
        <v/>
      </c>
      <c r="BI138" s="185" t="str">
        <f>_xlfn.IFNA(VLOOKUP($BC138,Programma!$F$3:$L$1101,7,0),"")</f>
        <v/>
      </c>
      <c r="BJ138" s="185" t="str">
        <f>_xlfn.IFNA(VLOOKUP($BC138,Programma!$F$3:$M$1101,8,0),"")</f>
        <v/>
      </c>
      <c r="BK138" s="185" t="str">
        <f>_xlfn.IFNA(VLOOKUP($BC138,Programma!$F$3:$N$1101,9,0),"")</f>
        <v/>
      </c>
      <c r="BL138" s="185" t="str">
        <f>_xlfn.IFNA(VLOOKUP($BC138,Programma!$F$3:$O$1101,10,0),"")</f>
        <v/>
      </c>
      <c r="BM138" s="185" t="str">
        <f>_xlfn.IFNA(VLOOKUP($BC138,Programma!$F$3:$P$1101,11,0),"")</f>
        <v/>
      </c>
      <c r="BN138" s="185" t="str">
        <f>_xlfn.IFNA(VLOOKUP($BC138,Programma!$F$3:$Q$1101,12,0),"")</f>
        <v/>
      </c>
      <c r="BO138" s="185" t="str">
        <f>_xlfn.IFNA(VLOOKUP($BC138,Programma!$F$3:$R$1101,13,0),"")</f>
        <v/>
      </c>
      <c r="BP138" s="185" t="str">
        <f>_xlfn.IFNA(VLOOKUP($BC138,Programma!$F$3:$S$1101,14,0),"")</f>
        <v/>
      </c>
      <c r="BQ138" s="185" t="str">
        <f>_xlfn.IFNA(VLOOKUP($BC138,Programma!$F$3:$T$1101,15,0),"")</f>
        <v/>
      </c>
      <c r="BR138" s="185" t="str">
        <f>_xlfn.IFNA(VLOOKUP($BC138,Programma!$F$3:$U$1101,16,0),"")</f>
        <v/>
      </c>
      <c r="BS138" s="185" t="str">
        <f>_xlfn.IFNA(VLOOKUP($BC138,Programma!$F$3:$V$1101,17,0),"")</f>
        <v/>
      </c>
      <c r="BT138" s="185" t="str">
        <f>_xlfn.IFNA(VLOOKUP($BC138,Programma!$F$3:$W$1101,18,0),"")</f>
        <v/>
      </c>
      <c r="BU138" s="185" t="str">
        <f>_xlfn.IFNA(VLOOKUP($BC138,Programma!$F$3:$X$1101,19,0),"")</f>
        <v/>
      </c>
      <c r="BV138" s="185" t="str">
        <f>_xlfn.IFNA(VLOOKUP($BC138,Programma!$F$3:$Y$1101,20,0),"")</f>
        <v/>
      </c>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c r="EK138" s="78"/>
      <c r="EL138" s="78"/>
      <c r="EM138" s="78"/>
      <c r="EN138" s="78"/>
      <c r="EO138" s="78"/>
      <c r="EP138" s="78"/>
      <c r="EQ138" s="78"/>
      <c r="ER138" s="78"/>
      <c r="ES138" s="78"/>
      <c r="ET138" s="78"/>
      <c r="EU138" s="78"/>
      <c r="EV138" s="78"/>
      <c r="EW138" s="78"/>
      <c r="EX138" s="78"/>
      <c r="EY138" s="78"/>
      <c r="EZ138" s="78"/>
      <c r="FA138" s="78"/>
      <c r="FB138" s="78"/>
      <c r="FC138" s="78"/>
      <c r="FD138" s="78"/>
      <c r="FE138" s="78"/>
      <c r="FF138" s="78"/>
      <c r="FG138" s="78"/>
      <c r="FH138" s="78"/>
      <c r="FI138" s="78"/>
      <c r="FJ138" s="78"/>
      <c r="FK138" s="78"/>
      <c r="FL138" s="78"/>
      <c r="FM138" s="78"/>
      <c r="FN138" s="78"/>
      <c r="FO138" s="78"/>
      <c r="FP138" s="78"/>
      <c r="FQ138" s="78"/>
      <c r="FR138" s="78"/>
      <c r="FS138" s="78"/>
      <c r="FT138" s="78"/>
      <c r="FU138" s="78"/>
      <c r="FV138" s="78"/>
      <c r="FW138" s="78"/>
      <c r="FX138" s="78"/>
      <c r="FY138" s="78"/>
      <c r="FZ138" s="78"/>
      <c r="GA138" s="78"/>
      <c r="GB138" s="78"/>
      <c r="GC138" s="78"/>
      <c r="GD138" s="78"/>
      <c r="GE138" s="78"/>
      <c r="GF138" s="78"/>
      <c r="GG138" s="78"/>
      <c r="GH138" s="78"/>
      <c r="GI138" s="78"/>
      <c r="GJ138" s="78"/>
      <c r="GK138" s="78"/>
      <c r="GL138" s="78"/>
      <c r="GM138" s="78"/>
      <c r="GN138" s="78"/>
      <c r="GO138" s="78"/>
      <c r="GP138" s="78"/>
      <c r="GQ138" s="78"/>
      <c r="GR138" s="78"/>
      <c r="GS138" s="78"/>
      <c r="GT138" s="78"/>
      <c r="GU138" s="78"/>
      <c r="GV138" s="78"/>
      <c r="GW138" s="78"/>
      <c r="GX138" s="78"/>
      <c r="GY138" s="78"/>
      <c r="GZ138" s="78"/>
      <c r="HA138" s="78"/>
      <c r="HB138" s="78"/>
      <c r="HC138" s="78"/>
      <c r="HD138" s="78"/>
      <c r="HE138" s="78"/>
      <c r="HF138" s="78"/>
      <c r="HG138" s="78"/>
      <c r="HH138" s="78"/>
      <c r="HI138" s="78"/>
      <c r="HJ138" s="78"/>
      <c r="HK138" s="78"/>
    </row>
    <row r="139" spans="1:219" ht="15" customHeight="1">
      <c r="A139" s="149">
        <v>5</v>
      </c>
      <c r="B139" s="176" t="str">
        <f>VLOOKUP(Ruimtestaat[[#This Row],[Code]],Locaties[[Code]:[Locatie]],2,FALSE)</f>
        <v>OBS Harry Bannink</v>
      </c>
      <c r="C139" s="176" t="str">
        <f>VLOOKUP(Ruimtestaat[[#This Row],[Code]],Locaties[[#All],[Code]:[Adres]],4,FALSE)</f>
        <v>Het Bijvank 111</v>
      </c>
      <c r="D139" s="176" t="str">
        <f>VLOOKUP(Ruimtestaat[[#This Row],[Code]],Locaties[[#All],[Code]:[Postcode]],5,FALSE)</f>
        <v>7544 DA</v>
      </c>
      <c r="E139" s="176" t="str">
        <f>VLOOKUP(Ruimtestaat[[#This Row],[Code]],Locaties[#All],6,FALSE)</f>
        <v>Enschede</v>
      </c>
      <c r="F139" s="149"/>
      <c r="G139" s="149" t="s">
        <v>1646</v>
      </c>
      <c r="H139" s="300" t="s">
        <v>1664</v>
      </c>
      <c r="I139" s="301" t="s">
        <v>38</v>
      </c>
      <c r="J139" s="99">
        <v>7</v>
      </c>
      <c r="K139" s="183" t="str">
        <f>VLOOKUP(Ruimtestaat[[#This Row],[Ruimte code]],Ruimtegroepen[[#All],[Code]:[Ruimte omschrijving]],2,FALSE)</f>
        <v>Entree</v>
      </c>
      <c r="L139" s="149" t="s">
        <v>99</v>
      </c>
      <c r="M139" s="301" t="s">
        <v>36</v>
      </c>
      <c r="N139" s="177">
        <v>7.3</v>
      </c>
      <c r="O139" s="177"/>
      <c r="P139" s="178" t="str">
        <f>VLOOKUP(Ruimtestaat[[#This Row],[Ruimte code]],Ruimtegroepen[],4,FALSE)</f>
        <v>Ve</v>
      </c>
      <c r="Q139" s="149">
        <v>40</v>
      </c>
      <c r="R139" s="149" t="s">
        <v>2</v>
      </c>
      <c r="S139" s="149">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149">
        <f>IF(S139&gt;0,VLOOKUP($J139,Ruimtegroepen[],3,FALSE)*VLOOKUP($L139,Vloersoorten[],3,FALSE)*VLOOKUP($R139,Frequenties[],3,FALSE)*VLOOKUP($A139,Locaties[],3,FALSE),0)</f>
        <v>0</v>
      </c>
      <c r="U139" s="149">
        <f>Ruimtestaat[[#This Row],[Uitvoeringen werkdagen]]*Ruimtestaat[[#This Row],[Oppervlak (netto)]]</f>
        <v>1460</v>
      </c>
      <c r="V139" s="179">
        <f>IF(T139&gt;0,Ruimtestaat[[#This Row],[Prest. (m2 /jaar) werkdagen]]/Ruimtestaat[[#This Row],[Norm (m2/uur) werkdagen]],0)</f>
        <v>0</v>
      </c>
      <c r="W139" s="180">
        <f>Ruimtestaat[[#This Row],[uren / jaar werkdagen]]*Tariefsopbouw!$E$35</f>
        <v>0</v>
      </c>
      <c r="X139" s="149"/>
      <c r="Y139" s="149">
        <f>IF(Ruimtestaat[[#This Row],[Frequentie weekend]]&gt;0,VALUE(LEFT(X139,1))*Q139,0)</f>
        <v>0</v>
      </c>
      <c r="Z139" s="148">
        <f>IF($Y139&gt;0,VLOOKUP($J139,Ruimtegroepen[],3,FALSE)*VLOOKUP($L139,Vloersoorten[],3,FALSE)*VLOOKUP($X139,Frequenties[],3,FALSE)*VLOOKUP(Ruimtestaat[[#This Row],[Code]],Locaties[],3,FALSE),0)</f>
        <v>0</v>
      </c>
      <c r="AA139" s="148">
        <f>Ruimtestaat[[#This Row],[Uitvoeringen weekend]]*Ruimtestaat[[#This Row],[Oppervlak (netto)]]</f>
        <v>0</v>
      </c>
      <c r="AB139" s="148">
        <f>IF(Z139&gt;0,Ruimtestaat[[#This Row],[Prest. (m2 /jaar) weekend]]/Ruimtestaat[[#This Row],[Norm (m2/uur) weekend]],0)</f>
        <v>0</v>
      </c>
      <c r="AC139" s="180">
        <f>Ruimtestaat[[#This Row],[uren / jaar weekend]]*Tariefsopbouw!$D$40</f>
        <v>0</v>
      </c>
      <c r="AD139" s="179">
        <f>Ruimtestaat[[#This Row],[Prest. (m2 /jaar) weekend]]+Ruimtestaat[[#This Row],[Prest. (m2 /jaar) werkdagen]]</f>
        <v>1460</v>
      </c>
      <c r="AE139" s="179">
        <f>Ruimtestaat[[#This Row],[uren / jaar weekend]]+Ruimtestaat[[#This Row],[uren / jaar werkdagen]]</f>
        <v>0</v>
      </c>
      <c r="AF139" s="174">
        <f>Ruimtestaat[[#This Row],[kosten / jaar weekend]]+Ruimtestaat[[#This Row],[kosten / jaar werkdagen]]</f>
        <v>0</v>
      </c>
      <c r="AG139" s="174"/>
      <c r="AH139" s="181" t="str">
        <f>IF(Ruimtestaat[[#This Row],[Frequentie werkdagen]]="","",_xlfn.CONCAT(Ruimtestaat[[#This Row],[Ruimte code]],"-",Ruimtestaat[[#This Row],[Frequentie werkdagen]]," ",Ruimtestaat[[#This Row],[Vloer code]]))</f>
        <v>7-5w T</v>
      </c>
      <c r="AI139" s="185" t="str">
        <f>_xlfn.IFNA(VLOOKUP($AH139,Programma!$F$3:$G$1101,2,0),"")</f>
        <v>_</v>
      </c>
      <c r="AJ139" s="185" t="str">
        <f>_xlfn.IFNA(VLOOKUP($AH139,Programma!$F$3:$H$1101,3,0),"")</f>
        <v>5w</v>
      </c>
      <c r="AK139" s="185" t="str">
        <f>_xlfn.IFNA(VLOOKUP($AH139,Programma!$F$3:$I$1101,4,0),"")</f>
        <v>_</v>
      </c>
      <c r="AL139" s="185" t="str">
        <f>_xlfn.IFNA(VLOOKUP($AH139,Programma!$F$3:$J$1101,5,0),"")</f>
        <v>_</v>
      </c>
      <c r="AM139" s="185" t="str">
        <f>_xlfn.IFNA(VLOOKUP($AH139,Programma!$F$3:$K$1101,6,0),"")</f>
        <v>_</v>
      </c>
      <c r="AN139" s="185" t="str">
        <f>_xlfn.IFNA(VLOOKUP($AH139,Programma!$F$3:$L$1101,7,0),"")</f>
        <v>_</v>
      </c>
      <c r="AO139" s="185" t="str">
        <f>_xlfn.IFNA(VLOOKUP($AH139,Programma!$F$3:$M$1101,8,0),"")</f>
        <v>_</v>
      </c>
      <c r="AP139" s="185" t="str">
        <f>_xlfn.IFNA(VLOOKUP($AH139,Programma!$F$3:$N$1101,9,0),"")</f>
        <v>_</v>
      </c>
      <c r="AQ139" s="185" t="str">
        <f>_xlfn.IFNA(VLOOKUP($AH139,Programma!$F$3:$O$1101,10,0),"")</f>
        <v>5w</v>
      </c>
      <c r="AR139" s="185" t="str">
        <f>_xlfn.IFNA(VLOOKUP($AH139,Programma!$F$3:$P$1101,11,0),"")</f>
        <v>5w</v>
      </c>
      <c r="AS139" s="185" t="str">
        <f>_xlfn.IFNA(VLOOKUP($AH139,Programma!$F$3:$Q$1101,12,0),"")</f>
        <v>1w</v>
      </c>
      <c r="AT139" s="185" t="str">
        <f>_xlfn.IFNA(VLOOKUP($AH139,Programma!$F$3:$R$1101,13,0),"")</f>
        <v>1w</v>
      </c>
      <c r="AU139" s="185" t="str">
        <f>_xlfn.IFNA(VLOOKUP($AH139,Programma!$F$3:$S$1101,14,0),"")</f>
        <v>1m</v>
      </c>
      <c r="AV139" s="185" t="str">
        <f>_xlfn.IFNA(VLOOKUP($AH139,Programma!$F$3:$T$1101,15,0),"")</f>
        <v>2j</v>
      </c>
      <c r="AW139" s="185" t="str">
        <f>_xlfn.IFNA(VLOOKUP($AH139,Programma!$F$3:$U$1101,16,0),"")</f>
        <v>1j</v>
      </c>
      <c r="AX139" s="185" t="str">
        <f>_xlfn.IFNA(VLOOKUP($AH139,Programma!$F$3:$V$1101,17,0),"")</f>
        <v>_</v>
      </c>
      <c r="AY139" s="185" t="str">
        <f>_xlfn.IFNA(VLOOKUP($AH139,Programma!$F$3:$W$1101,18,0),"")</f>
        <v>_</v>
      </c>
      <c r="AZ139" s="185" t="str">
        <f>_xlfn.IFNA(VLOOKUP($AH139,Programma!$F$3:$X$1101,19,0),"")</f>
        <v>_</v>
      </c>
      <c r="BA139" s="185" t="str">
        <f>_xlfn.IFNA(VLOOKUP($AH139,Programma!$F$3:$Y$1101,20,0),"")</f>
        <v>_</v>
      </c>
      <c r="BB139" s="182"/>
      <c r="BC139" s="181" t="str">
        <f>IF(Ruimtestaat[[#This Row],[Frequentie weekend]]="","",_xlfn.CONCAT(Ruimtestaat[[#This Row],[Ruimte code]],"-",Ruimtestaat[[#This Row],[Frequentie weekend]]," ",Ruimtestaat[[#This Row],[Vloer code]]))</f>
        <v/>
      </c>
      <c r="BD139" s="185" t="str">
        <f>_xlfn.IFNA(VLOOKUP($BC139,Programma!$F$3:$G$1101,2,0),"")</f>
        <v/>
      </c>
      <c r="BE139" s="185" t="str">
        <f>_xlfn.IFNA(VLOOKUP($BC139,Programma!$F$3:$H$1101,3,0),"")</f>
        <v/>
      </c>
      <c r="BF139" s="185" t="str">
        <f>_xlfn.IFNA(VLOOKUP($BC139,Programma!$F$3:$I$1101,4,0),"")</f>
        <v/>
      </c>
      <c r="BG139" s="185" t="str">
        <f>_xlfn.IFNA(VLOOKUP($BC139,Programma!$F$3:$J$1101,5,0),"")</f>
        <v/>
      </c>
      <c r="BH139" s="185" t="str">
        <f>_xlfn.IFNA(VLOOKUP($BC139,Programma!$F$3:$K$1101,6,0),"")</f>
        <v/>
      </c>
      <c r="BI139" s="185" t="str">
        <f>_xlfn.IFNA(VLOOKUP($BC139,Programma!$F$3:$L$1101,7,0),"")</f>
        <v/>
      </c>
      <c r="BJ139" s="185" t="str">
        <f>_xlfn.IFNA(VLOOKUP($BC139,Programma!$F$3:$M$1101,8,0),"")</f>
        <v/>
      </c>
      <c r="BK139" s="185" t="str">
        <f>_xlfn.IFNA(VLOOKUP($BC139,Programma!$F$3:$N$1101,9,0),"")</f>
        <v/>
      </c>
      <c r="BL139" s="185" t="str">
        <f>_xlfn.IFNA(VLOOKUP($BC139,Programma!$F$3:$O$1101,10,0),"")</f>
        <v/>
      </c>
      <c r="BM139" s="185" t="str">
        <f>_xlfn.IFNA(VLOOKUP($BC139,Programma!$F$3:$P$1101,11,0),"")</f>
        <v/>
      </c>
      <c r="BN139" s="185" t="str">
        <f>_xlfn.IFNA(VLOOKUP($BC139,Programma!$F$3:$Q$1101,12,0),"")</f>
        <v/>
      </c>
      <c r="BO139" s="185" t="str">
        <f>_xlfn.IFNA(VLOOKUP($BC139,Programma!$F$3:$R$1101,13,0),"")</f>
        <v/>
      </c>
      <c r="BP139" s="185" t="str">
        <f>_xlfn.IFNA(VLOOKUP($BC139,Programma!$F$3:$S$1101,14,0),"")</f>
        <v/>
      </c>
      <c r="BQ139" s="185" t="str">
        <f>_xlfn.IFNA(VLOOKUP($BC139,Programma!$F$3:$T$1101,15,0),"")</f>
        <v/>
      </c>
      <c r="BR139" s="185" t="str">
        <f>_xlfn.IFNA(VLOOKUP($BC139,Programma!$F$3:$U$1101,16,0),"")</f>
        <v/>
      </c>
      <c r="BS139" s="185" t="str">
        <f>_xlfn.IFNA(VLOOKUP($BC139,Programma!$F$3:$V$1101,17,0),"")</f>
        <v/>
      </c>
      <c r="BT139" s="185" t="str">
        <f>_xlfn.IFNA(VLOOKUP($BC139,Programma!$F$3:$W$1101,18,0),"")</f>
        <v/>
      </c>
      <c r="BU139" s="185" t="str">
        <f>_xlfn.IFNA(VLOOKUP($BC139,Programma!$F$3:$X$1101,19,0),"")</f>
        <v/>
      </c>
      <c r="BV139" s="185" t="str">
        <f>_xlfn.IFNA(VLOOKUP($BC139,Programma!$F$3:$Y$1101,20,0),"")</f>
        <v/>
      </c>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c r="EK139" s="78"/>
      <c r="EL139" s="78"/>
      <c r="EM139" s="78"/>
      <c r="EN139" s="78"/>
      <c r="EO139" s="78"/>
      <c r="EP139" s="78"/>
      <c r="EQ139" s="78"/>
      <c r="ER139" s="78"/>
      <c r="ES139" s="78"/>
      <c r="ET139" s="78"/>
      <c r="EU139" s="78"/>
      <c r="EV139" s="78"/>
      <c r="EW139" s="78"/>
      <c r="EX139" s="78"/>
      <c r="EY139" s="78"/>
      <c r="EZ139" s="78"/>
      <c r="FA139" s="78"/>
      <c r="FB139" s="78"/>
      <c r="FC139" s="78"/>
      <c r="FD139" s="78"/>
      <c r="FE139" s="78"/>
      <c r="FF139" s="78"/>
      <c r="FG139" s="78"/>
      <c r="FH139" s="78"/>
      <c r="FI139" s="78"/>
      <c r="FJ139" s="78"/>
      <c r="FK139" s="78"/>
      <c r="FL139" s="78"/>
      <c r="FM139" s="78"/>
      <c r="FN139" s="78"/>
      <c r="FO139" s="78"/>
      <c r="FP139" s="78"/>
      <c r="FQ139" s="78"/>
      <c r="FR139" s="78"/>
      <c r="FS139" s="78"/>
      <c r="FT139" s="78"/>
      <c r="FU139" s="78"/>
      <c r="FV139" s="78"/>
      <c r="FW139" s="78"/>
      <c r="FX139" s="78"/>
      <c r="FY139" s="78"/>
      <c r="FZ139" s="78"/>
      <c r="GA139" s="78"/>
      <c r="GB139" s="78"/>
      <c r="GC139" s="78"/>
      <c r="GD139" s="78"/>
      <c r="GE139" s="78"/>
      <c r="GF139" s="78"/>
      <c r="GG139" s="78"/>
      <c r="GH139" s="78"/>
      <c r="GI139" s="78"/>
      <c r="GJ139" s="78"/>
      <c r="GK139" s="78"/>
      <c r="GL139" s="78"/>
      <c r="GM139" s="78"/>
      <c r="GN139" s="78"/>
      <c r="GO139" s="78"/>
      <c r="GP139" s="78"/>
      <c r="GQ139" s="78"/>
      <c r="GR139" s="78"/>
      <c r="GS139" s="78"/>
      <c r="GT139" s="78"/>
      <c r="GU139" s="78"/>
      <c r="GV139" s="78"/>
      <c r="GW139" s="78"/>
      <c r="GX139" s="78"/>
      <c r="GY139" s="78"/>
      <c r="GZ139" s="78"/>
      <c r="HA139" s="78"/>
      <c r="HB139" s="78"/>
      <c r="HC139" s="78"/>
      <c r="HD139" s="78"/>
      <c r="HE139" s="78"/>
      <c r="HF139" s="78"/>
      <c r="HG139" s="78"/>
      <c r="HH139" s="78"/>
      <c r="HI139" s="78"/>
      <c r="HJ139" s="78"/>
      <c r="HK139" s="78"/>
    </row>
    <row r="140" spans="1:219" ht="15" customHeight="1">
      <c r="A140" s="149">
        <v>5</v>
      </c>
      <c r="B140" s="176" t="str">
        <f>VLOOKUP(Ruimtestaat[[#This Row],[Code]],Locaties[[Code]:[Locatie]],2,FALSE)</f>
        <v>OBS Harry Bannink</v>
      </c>
      <c r="C140" s="176" t="str">
        <f>VLOOKUP(Ruimtestaat[[#This Row],[Code]],Locaties[[#All],[Code]:[Adres]],4,FALSE)</f>
        <v>Het Bijvank 111</v>
      </c>
      <c r="D140" s="176" t="str">
        <f>VLOOKUP(Ruimtestaat[[#This Row],[Code]],Locaties[[#All],[Code]:[Postcode]],5,FALSE)</f>
        <v>7544 DA</v>
      </c>
      <c r="E140" s="176" t="str">
        <f>VLOOKUP(Ruimtestaat[[#This Row],[Code]],Locaties[#All],6,FALSE)</f>
        <v>Enschede</v>
      </c>
      <c r="F140" s="149"/>
      <c r="G140" s="149" t="s">
        <v>1646</v>
      </c>
      <c r="H140" s="300" t="s">
        <v>1666</v>
      </c>
      <c r="I140" s="301" t="s">
        <v>1683</v>
      </c>
      <c r="J140" s="99">
        <v>20</v>
      </c>
      <c r="K140" s="183" t="str">
        <f>VLOOKUP(Ruimtestaat[[#This Row],[Ruimte code]],Ruimtegroepen[[#All],[Code]:[Ruimte omschrijving]],2,FALSE)</f>
        <v>Niet in Onderhoud</v>
      </c>
      <c r="L140" s="149" t="s">
        <v>100</v>
      </c>
      <c r="M140" s="301" t="s">
        <v>1697</v>
      </c>
      <c r="N140" s="177"/>
      <c r="O140" s="177">
        <v>7.2</v>
      </c>
      <c r="P140" s="178">
        <f>VLOOKUP(Ruimtestaat[[#This Row],[Ruimte code]],Ruimtegroepen[],4,FALSE)</f>
        <v>0</v>
      </c>
      <c r="Q140" s="149"/>
      <c r="R140" s="149"/>
      <c r="S140" s="149">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0" s="149">
        <f>IF(S140&gt;0,VLOOKUP($J140,Ruimtegroepen[],3,FALSE)*VLOOKUP($L140,Vloersoorten[],3,FALSE)*VLOOKUP($R140,Frequenties[],3,FALSE)*VLOOKUP($A140,Locaties[],3,FALSE),0)</f>
        <v>0</v>
      </c>
      <c r="U140" s="149">
        <f>Ruimtestaat[[#This Row],[Uitvoeringen werkdagen]]*Ruimtestaat[[#This Row],[Oppervlak (netto)]]</f>
        <v>0</v>
      </c>
      <c r="V140" s="179">
        <f>IF(T140&gt;0,Ruimtestaat[[#This Row],[Prest. (m2 /jaar) werkdagen]]/Ruimtestaat[[#This Row],[Norm (m2/uur) werkdagen]],0)</f>
        <v>0</v>
      </c>
      <c r="W140" s="180">
        <f>Ruimtestaat[[#This Row],[uren / jaar werkdagen]]*Tariefsopbouw!$E$35</f>
        <v>0</v>
      </c>
      <c r="X140" s="149"/>
      <c r="Y140" s="149">
        <f>IF(Ruimtestaat[[#This Row],[Frequentie weekend]]&gt;0,VALUE(LEFT(X140,1))*Q140,0)</f>
        <v>0</v>
      </c>
      <c r="Z140" s="148">
        <f>IF($Y140&gt;0,VLOOKUP($J140,Ruimtegroepen[],3,FALSE)*VLOOKUP($L140,Vloersoorten[],3,FALSE)*VLOOKUP($X140,Frequenties[],3,FALSE)*VLOOKUP(Ruimtestaat[[#This Row],[Code]],Locaties[],3,FALSE),0)</f>
        <v>0</v>
      </c>
      <c r="AA140" s="148">
        <f>Ruimtestaat[[#This Row],[Uitvoeringen weekend]]*Ruimtestaat[[#This Row],[Oppervlak (netto)]]</f>
        <v>0</v>
      </c>
      <c r="AB140" s="148">
        <f>IF(Z140&gt;0,Ruimtestaat[[#This Row],[Prest. (m2 /jaar) weekend]]/Ruimtestaat[[#This Row],[Norm (m2/uur) weekend]],0)</f>
        <v>0</v>
      </c>
      <c r="AC140" s="180">
        <f>Ruimtestaat[[#This Row],[uren / jaar weekend]]*Tariefsopbouw!$D$40</f>
        <v>0</v>
      </c>
      <c r="AD140" s="179">
        <f>Ruimtestaat[[#This Row],[Prest. (m2 /jaar) weekend]]+Ruimtestaat[[#This Row],[Prest. (m2 /jaar) werkdagen]]</f>
        <v>0</v>
      </c>
      <c r="AE140" s="179">
        <f>Ruimtestaat[[#This Row],[uren / jaar weekend]]+Ruimtestaat[[#This Row],[uren / jaar werkdagen]]</f>
        <v>0</v>
      </c>
      <c r="AF140" s="174">
        <f>Ruimtestaat[[#This Row],[kosten / jaar weekend]]+Ruimtestaat[[#This Row],[kosten / jaar werkdagen]]</f>
        <v>0</v>
      </c>
      <c r="AG140" s="174"/>
      <c r="AH140" s="181" t="str">
        <f>IF(Ruimtestaat[[#This Row],[Frequentie werkdagen]]="","",_xlfn.CONCAT(Ruimtestaat[[#This Row],[Ruimte code]],"-",Ruimtestaat[[#This Row],[Frequentie werkdagen]]," ",Ruimtestaat[[#This Row],[Vloer code]]))</f>
        <v/>
      </c>
      <c r="AI140" s="185" t="str">
        <f>_xlfn.IFNA(VLOOKUP($AH140,Programma!$F$3:$G$1101,2,0),"")</f>
        <v/>
      </c>
      <c r="AJ140" s="185" t="str">
        <f>_xlfn.IFNA(VLOOKUP($AH140,Programma!$F$3:$H$1101,3,0),"")</f>
        <v/>
      </c>
      <c r="AK140" s="185" t="str">
        <f>_xlfn.IFNA(VLOOKUP($AH140,Programma!$F$3:$I$1101,4,0),"")</f>
        <v/>
      </c>
      <c r="AL140" s="185" t="str">
        <f>_xlfn.IFNA(VLOOKUP($AH140,Programma!$F$3:$J$1101,5,0),"")</f>
        <v/>
      </c>
      <c r="AM140" s="185" t="str">
        <f>_xlfn.IFNA(VLOOKUP($AH140,Programma!$F$3:$K$1101,6,0),"")</f>
        <v/>
      </c>
      <c r="AN140" s="185" t="str">
        <f>_xlfn.IFNA(VLOOKUP($AH140,Programma!$F$3:$L$1101,7,0),"")</f>
        <v/>
      </c>
      <c r="AO140" s="185" t="str">
        <f>_xlfn.IFNA(VLOOKUP($AH140,Programma!$F$3:$M$1101,8,0),"")</f>
        <v/>
      </c>
      <c r="AP140" s="185" t="str">
        <f>_xlfn.IFNA(VLOOKUP($AH140,Programma!$F$3:$N$1101,9,0),"")</f>
        <v/>
      </c>
      <c r="AQ140" s="185" t="str">
        <f>_xlfn.IFNA(VLOOKUP($AH140,Programma!$F$3:$O$1101,10,0),"")</f>
        <v/>
      </c>
      <c r="AR140" s="185" t="str">
        <f>_xlfn.IFNA(VLOOKUP($AH140,Programma!$F$3:$P$1101,11,0),"")</f>
        <v/>
      </c>
      <c r="AS140" s="185" t="str">
        <f>_xlfn.IFNA(VLOOKUP($AH140,Programma!$F$3:$Q$1101,12,0),"")</f>
        <v/>
      </c>
      <c r="AT140" s="185" t="str">
        <f>_xlfn.IFNA(VLOOKUP($AH140,Programma!$F$3:$R$1101,13,0),"")</f>
        <v/>
      </c>
      <c r="AU140" s="185" t="str">
        <f>_xlfn.IFNA(VLOOKUP($AH140,Programma!$F$3:$S$1101,14,0),"")</f>
        <v/>
      </c>
      <c r="AV140" s="185" t="str">
        <f>_xlfn.IFNA(VLOOKUP($AH140,Programma!$F$3:$T$1101,15,0),"")</f>
        <v/>
      </c>
      <c r="AW140" s="185" t="str">
        <f>_xlfn.IFNA(VLOOKUP($AH140,Programma!$F$3:$U$1101,16,0),"")</f>
        <v/>
      </c>
      <c r="AX140" s="185" t="str">
        <f>_xlfn.IFNA(VLOOKUP($AH140,Programma!$F$3:$V$1101,17,0),"")</f>
        <v/>
      </c>
      <c r="AY140" s="185" t="str">
        <f>_xlfn.IFNA(VLOOKUP($AH140,Programma!$F$3:$W$1101,18,0),"")</f>
        <v/>
      </c>
      <c r="AZ140" s="185" t="str">
        <f>_xlfn.IFNA(VLOOKUP($AH140,Programma!$F$3:$X$1101,19,0),"")</f>
        <v/>
      </c>
      <c r="BA140" s="185" t="str">
        <f>_xlfn.IFNA(VLOOKUP($AH140,Programma!$F$3:$Y$1101,20,0),"")</f>
        <v/>
      </c>
      <c r="BB140" s="182"/>
      <c r="BC140" s="181" t="str">
        <f>IF(Ruimtestaat[[#This Row],[Frequentie weekend]]="","",_xlfn.CONCAT(Ruimtestaat[[#This Row],[Ruimte code]],"-",Ruimtestaat[[#This Row],[Frequentie weekend]]," ",Ruimtestaat[[#This Row],[Vloer code]]))</f>
        <v/>
      </c>
      <c r="BD140" s="185" t="str">
        <f>_xlfn.IFNA(VLOOKUP($BC140,Programma!$F$3:$G$1101,2,0),"")</f>
        <v/>
      </c>
      <c r="BE140" s="185" t="str">
        <f>_xlfn.IFNA(VLOOKUP($BC140,Programma!$F$3:$H$1101,3,0),"")</f>
        <v/>
      </c>
      <c r="BF140" s="185" t="str">
        <f>_xlfn.IFNA(VLOOKUP($BC140,Programma!$F$3:$I$1101,4,0),"")</f>
        <v/>
      </c>
      <c r="BG140" s="185" t="str">
        <f>_xlfn.IFNA(VLOOKUP($BC140,Programma!$F$3:$J$1101,5,0),"")</f>
        <v/>
      </c>
      <c r="BH140" s="185" t="str">
        <f>_xlfn.IFNA(VLOOKUP($BC140,Programma!$F$3:$K$1101,6,0),"")</f>
        <v/>
      </c>
      <c r="BI140" s="185" t="str">
        <f>_xlfn.IFNA(VLOOKUP($BC140,Programma!$F$3:$L$1101,7,0),"")</f>
        <v/>
      </c>
      <c r="BJ140" s="185" t="str">
        <f>_xlfn.IFNA(VLOOKUP($BC140,Programma!$F$3:$M$1101,8,0),"")</f>
        <v/>
      </c>
      <c r="BK140" s="185" t="str">
        <f>_xlfn.IFNA(VLOOKUP($BC140,Programma!$F$3:$N$1101,9,0),"")</f>
        <v/>
      </c>
      <c r="BL140" s="185" t="str">
        <f>_xlfn.IFNA(VLOOKUP($BC140,Programma!$F$3:$O$1101,10,0),"")</f>
        <v/>
      </c>
      <c r="BM140" s="185" t="str">
        <f>_xlfn.IFNA(VLOOKUP($BC140,Programma!$F$3:$P$1101,11,0),"")</f>
        <v/>
      </c>
      <c r="BN140" s="185" t="str">
        <f>_xlfn.IFNA(VLOOKUP($BC140,Programma!$F$3:$Q$1101,12,0),"")</f>
        <v/>
      </c>
      <c r="BO140" s="185" t="str">
        <f>_xlfn.IFNA(VLOOKUP($BC140,Programma!$F$3:$R$1101,13,0),"")</f>
        <v/>
      </c>
      <c r="BP140" s="185" t="str">
        <f>_xlfn.IFNA(VLOOKUP($BC140,Programma!$F$3:$S$1101,14,0),"")</f>
        <v/>
      </c>
      <c r="BQ140" s="185" t="str">
        <f>_xlfn.IFNA(VLOOKUP($BC140,Programma!$F$3:$T$1101,15,0),"")</f>
        <v/>
      </c>
      <c r="BR140" s="185" t="str">
        <f>_xlfn.IFNA(VLOOKUP($BC140,Programma!$F$3:$U$1101,16,0),"")</f>
        <v/>
      </c>
      <c r="BS140" s="185" t="str">
        <f>_xlfn.IFNA(VLOOKUP($BC140,Programma!$F$3:$V$1101,17,0),"")</f>
        <v/>
      </c>
      <c r="BT140" s="185" t="str">
        <f>_xlfn.IFNA(VLOOKUP($BC140,Programma!$F$3:$W$1101,18,0),"")</f>
        <v/>
      </c>
      <c r="BU140" s="185" t="str">
        <f>_xlfn.IFNA(VLOOKUP($BC140,Programma!$F$3:$X$1101,19,0),"")</f>
        <v/>
      </c>
      <c r="BV140" s="185" t="str">
        <f>_xlfn.IFNA(VLOOKUP($BC140,Programma!$F$3:$Y$1101,20,0),"")</f>
        <v/>
      </c>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c r="EO140" s="78"/>
      <c r="EP140" s="78"/>
      <c r="EQ140" s="78"/>
      <c r="ER140" s="78"/>
      <c r="ES140" s="78"/>
      <c r="ET140" s="78"/>
      <c r="EU140" s="78"/>
      <c r="EV140" s="78"/>
      <c r="EW140" s="78"/>
      <c r="EX140" s="78"/>
      <c r="EY140" s="78"/>
      <c r="EZ140" s="78"/>
      <c r="FA140" s="78"/>
      <c r="FB140" s="78"/>
      <c r="FC140" s="78"/>
      <c r="FD140" s="78"/>
      <c r="FE140" s="78"/>
      <c r="FF140" s="78"/>
      <c r="FG140" s="78"/>
      <c r="FH140" s="78"/>
      <c r="FI140" s="78"/>
      <c r="FJ140" s="78"/>
      <c r="FK140" s="78"/>
      <c r="FL140" s="78"/>
      <c r="FM140" s="78"/>
      <c r="FN140" s="78"/>
      <c r="FO140" s="78"/>
      <c r="FP140" s="78"/>
      <c r="FQ140" s="78"/>
      <c r="FR140" s="78"/>
      <c r="FS140" s="78"/>
      <c r="FT140" s="78"/>
      <c r="FU140" s="78"/>
      <c r="FV140" s="78"/>
      <c r="FW140" s="78"/>
      <c r="FX140" s="78"/>
      <c r="FY140" s="78"/>
      <c r="FZ140" s="78"/>
      <c r="GA140" s="78"/>
      <c r="GB140" s="78"/>
      <c r="GC140" s="78"/>
      <c r="GD140" s="78"/>
      <c r="GE140" s="78"/>
      <c r="GF140" s="78"/>
      <c r="GG140" s="78"/>
      <c r="GH140" s="78"/>
      <c r="GI140" s="78"/>
      <c r="GJ140" s="78"/>
      <c r="GK140" s="78"/>
      <c r="GL140" s="78"/>
      <c r="GM140" s="78"/>
      <c r="GN140" s="78"/>
      <c r="GO140" s="78"/>
      <c r="GP140" s="78"/>
      <c r="GQ140" s="78"/>
      <c r="GR140" s="78"/>
      <c r="GS140" s="78"/>
      <c r="GT140" s="78"/>
      <c r="GU140" s="78"/>
      <c r="GV140" s="78"/>
      <c r="GW140" s="78"/>
      <c r="GX140" s="78"/>
      <c r="GY140" s="78"/>
      <c r="GZ140" s="78"/>
      <c r="HA140" s="78"/>
      <c r="HB140" s="78"/>
      <c r="HC140" s="78"/>
      <c r="HD140" s="78"/>
      <c r="HE140" s="78"/>
      <c r="HF140" s="78"/>
      <c r="HG140" s="78"/>
      <c r="HH140" s="78"/>
      <c r="HI140" s="78"/>
      <c r="HJ140" s="78"/>
      <c r="HK140" s="78"/>
    </row>
    <row r="141" spans="1:219" ht="15" customHeight="1">
      <c r="A141" s="149">
        <v>5</v>
      </c>
      <c r="B141" s="176" t="str">
        <f>VLOOKUP(Ruimtestaat[[#This Row],[Code]],Locaties[[Code]:[Locatie]],2,FALSE)</f>
        <v>OBS Harry Bannink</v>
      </c>
      <c r="C141" s="176" t="str">
        <f>VLOOKUP(Ruimtestaat[[#This Row],[Code]],Locaties[[#All],[Code]:[Adres]],4,FALSE)</f>
        <v>Het Bijvank 111</v>
      </c>
      <c r="D141" s="176" t="str">
        <f>VLOOKUP(Ruimtestaat[[#This Row],[Code]],Locaties[[#All],[Code]:[Postcode]],5,FALSE)</f>
        <v>7544 DA</v>
      </c>
      <c r="E141" s="176" t="str">
        <f>VLOOKUP(Ruimtestaat[[#This Row],[Code]],Locaties[#All],6,FALSE)</f>
        <v>Enschede</v>
      </c>
      <c r="F141" s="149"/>
      <c r="G141" s="149" t="s">
        <v>1646</v>
      </c>
      <c r="H141" s="300" t="s">
        <v>1668</v>
      </c>
      <c r="I141" s="301" t="s">
        <v>1272</v>
      </c>
      <c r="J141" s="99">
        <v>18</v>
      </c>
      <c r="K141" s="183" t="str">
        <f>VLOOKUP(Ruimtestaat[[#This Row],[Ruimte code]],Ruimtegroepen[[#All],[Code]:[Ruimte omschrijving]],2,FALSE)</f>
        <v>Gymzaal</v>
      </c>
      <c r="L141" s="149" t="s">
        <v>102</v>
      </c>
      <c r="M141" s="301" t="s">
        <v>1727</v>
      </c>
      <c r="N141" s="177">
        <v>60</v>
      </c>
      <c r="O141" s="177"/>
      <c r="P141" s="178" t="str">
        <f>VLOOKUP(Ruimtestaat[[#This Row],[Ruimte code]],Ruimtegroepen[],4,FALSE)</f>
        <v>Sp</v>
      </c>
      <c r="Q141" s="149">
        <v>40</v>
      </c>
      <c r="R141" s="149" t="s">
        <v>2</v>
      </c>
      <c r="S141" s="149">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149">
        <f>IF(S141&gt;0,VLOOKUP($J141,Ruimtegroepen[],3,FALSE)*VLOOKUP($L141,Vloersoorten[],3,FALSE)*VLOOKUP($R141,Frequenties[],3,FALSE)*VLOOKUP($A141,Locaties[],3,FALSE),0)</f>
        <v>0</v>
      </c>
      <c r="U141" s="149">
        <f>Ruimtestaat[[#This Row],[Uitvoeringen werkdagen]]*Ruimtestaat[[#This Row],[Oppervlak (netto)]]</f>
        <v>12000</v>
      </c>
      <c r="V141" s="179">
        <f>IF(T141&gt;0,Ruimtestaat[[#This Row],[Prest. (m2 /jaar) werkdagen]]/Ruimtestaat[[#This Row],[Norm (m2/uur) werkdagen]],0)</f>
        <v>0</v>
      </c>
      <c r="W141" s="180">
        <f>Ruimtestaat[[#This Row],[uren / jaar werkdagen]]*Tariefsopbouw!$E$35</f>
        <v>0</v>
      </c>
      <c r="X141" s="149"/>
      <c r="Y141" s="149">
        <f>IF(Ruimtestaat[[#This Row],[Frequentie weekend]]&gt;0,VALUE(LEFT(X141,1))*Q141,0)</f>
        <v>0</v>
      </c>
      <c r="Z141" s="148">
        <f>IF($Y141&gt;0,VLOOKUP($J141,Ruimtegroepen[],3,FALSE)*VLOOKUP($L141,Vloersoorten[],3,FALSE)*VLOOKUP($X141,Frequenties[],3,FALSE)*VLOOKUP(Ruimtestaat[[#This Row],[Code]],Locaties[],3,FALSE),0)</f>
        <v>0</v>
      </c>
      <c r="AA141" s="148">
        <f>Ruimtestaat[[#This Row],[Uitvoeringen weekend]]*Ruimtestaat[[#This Row],[Oppervlak (netto)]]</f>
        <v>0</v>
      </c>
      <c r="AB141" s="148">
        <f>IF(Z141&gt;0,Ruimtestaat[[#This Row],[Prest. (m2 /jaar) weekend]]/Ruimtestaat[[#This Row],[Norm (m2/uur) weekend]],0)</f>
        <v>0</v>
      </c>
      <c r="AC141" s="180">
        <f>Ruimtestaat[[#This Row],[uren / jaar weekend]]*Tariefsopbouw!$D$40</f>
        <v>0</v>
      </c>
      <c r="AD141" s="179">
        <f>Ruimtestaat[[#This Row],[Prest. (m2 /jaar) weekend]]+Ruimtestaat[[#This Row],[Prest. (m2 /jaar) werkdagen]]</f>
        <v>12000</v>
      </c>
      <c r="AE141" s="179">
        <f>Ruimtestaat[[#This Row],[uren / jaar weekend]]+Ruimtestaat[[#This Row],[uren / jaar werkdagen]]</f>
        <v>0</v>
      </c>
      <c r="AF141" s="174">
        <f>Ruimtestaat[[#This Row],[kosten / jaar weekend]]+Ruimtestaat[[#This Row],[kosten / jaar werkdagen]]</f>
        <v>0</v>
      </c>
      <c r="AG141" s="174"/>
      <c r="AH141" s="181" t="str">
        <f>IF(Ruimtestaat[[#This Row],[Frequentie werkdagen]]="","",_xlfn.CONCAT(Ruimtestaat[[#This Row],[Ruimte code]],"-",Ruimtestaat[[#This Row],[Frequentie werkdagen]]," ",Ruimtestaat[[#This Row],[Vloer code]]))</f>
        <v>18-5w P</v>
      </c>
      <c r="AI141" s="185" t="str">
        <f>_xlfn.IFNA(VLOOKUP($AH141,Programma!$F$3:$G$1101,2,0),"")</f>
        <v>_</v>
      </c>
      <c r="AJ141" s="185" t="str">
        <f>_xlfn.IFNA(VLOOKUP($AH141,Programma!$F$3:$H$1101,3,0),"")</f>
        <v>_</v>
      </c>
      <c r="AK141" s="185" t="str">
        <f>_xlfn.IFNA(VLOOKUP($AH141,Programma!$F$3:$I$1101,4,0),"")</f>
        <v>4w</v>
      </c>
      <c r="AL141" s="185" t="str">
        <f>_xlfn.IFNA(VLOOKUP($AH141,Programma!$F$3:$J$1101,5,0),"")</f>
        <v>1w</v>
      </c>
      <c r="AM141" s="185" t="str">
        <f>_xlfn.IFNA(VLOOKUP($AH141,Programma!$F$3:$K$1101,6,0),"")</f>
        <v>4j</v>
      </c>
      <c r="AN141" s="185" t="str">
        <f>_xlfn.IFNA(VLOOKUP($AH141,Programma!$F$3:$L$1101,7,0),"")</f>
        <v>_</v>
      </c>
      <c r="AO141" s="185" t="str">
        <f>_xlfn.IFNA(VLOOKUP($AH141,Programma!$F$3:$M$1101,8,0),"")</f>
        <v>_</v>
      </c>
      <c r="AP141" s="185" t="str">
        <f>_xlfn.IFNA(VLOOKUP($AH141,Programma!$F$3:$N$1101,9,0),"")</f>
        <v>_</v>
      </c>
      <c r="AQ141" s="185" t="str">
        <f>_xlfn.IFNA(VLOOKUP($AH141,Programma!$F$3:$O$1101,10,0),"")</f>
        <v>5w</v>
      </c>
      <c r="AR141" s="185" t="str">
        <f>_xlfn.IFNA(VLOOKUP($AH141,Programma!$F$3:$P$1101,11,0),"")</f>
        <v>5w</v>
      </c>
      <c r="AS141" s="185" t="str">
        <f>_xlfn.IFNA(VLOOKUP($AH141,Programma!$F$3:$Q$1101,12,0),"")</f>
        <v>5w</v>
      </c>
      <c r="AT141" s="185" t="str">
        <f>_xlfn.IFNA(VLOOKUP($AH141,Programma!$F$3:$R$1101,13,0),"")</f>
        <v>5w</v>
      </c>
      <c r="AU141" s="185" t="str">
        <f>_xlfn.IFNA(VLOOKUP($AH141,Programma!$F$3:$S$1101,14,0),"")</f>
        <v>1m</v>
      </c>
      <c r="AV141" s="185" t="str">
        <f>_xlfn.IFNA(VLOOKUP($AH141,Programma!$F$3:$T$1101,15,0),"")</f>
        <v>2j</v>
      </c>
      <c r="AW141" s="185" t="str">
        <f>_xlfn.IFNA(VLOOKUP($AH141,Programma!$F$3:$U$1101,16,0),"")</f>
        <v>1j</v>
      </c>
      <c r="AX141" s="185" t="str">
        <f>_xlfn.IFNA(VLOOKUP($AH141,Programma!$F$3:$V$1101,17,0),"")</f>
        <v>_</v>
      </c>
      <c r="AY141" s="185" t="str">
        <f>_xlfn.IFNA(VLOOKUP($AH141,Programma!$F$3:$W$1101,18,0),"")</f>
        <v>_</v>
      </c>
      <c r="AZ141" s="185" t="str">
        <f>_xlfn.IFNA(VLOOKUP($AH141,Programma!$F$3:$X$1101,19,0),"")</f>
        <v>_</v>
      </c>
      <c r="BA141" s="185" t="str">
        <f>_xlfn.IFNA(VLOOKUP($AH141,Programma!$F$3:$Y$1101,20,0),"")</f>
        <v>_</v>
      </c>
      <c r="BB141" s="182"/>
      <c r="BC141" s="181" t="str">
        <f>IF(Ruimtestaat[[#This Row],[Frequentie weekend]]="","",_xlfn.CONCAT(Ruimtestaat[[#This Row],[Ruimte code]],"-",Ruimtestaat[[#This Row],[Frequentie weekend]]," ",Ruimtestaat[[#This Row],[Vloer code]]))</f>
        <v/>
      </c>
      <c r="BD141" s="185" t="str">
        <f>_xlfn.IFNA(VLOOKUP($BC141,Programma!$F$3:$G$1101,2,0),"")</f>
        <v/>
      </c>
      <c r="BE141" s="185" t="str">
        <f>_xlfn.IFNA(VLOOKUP($BC141,Programma!$F$3:$H$1101,3,0),"")</f>
        <v/>
      </c>
      <c r="BF141" s="185" t="str">
        <f>_xlfn.IFNA(VLOOKUP($BC141,Programma!$F$3:$I$1101,4,0),"")</f>
        <v/>
      </c>
      <c r="BG141" s="185" t="str">
        <f>_xlfn.IFNA(VLOOKUP($BC141,Programma!$F$3:$J$1101,5,0),"")</f>
        <v/>
      </c>
      <c r="BH141" s="185" t="str">
        <f>_xlfn.IFNA(VLOOKUP($BC141,Programma!$F$3:$K$1101,6,0),"")</f>
        <v/>
      </c>
      <c r="BI141" s="185" t="str">
        <f>_xlfn.IFNA(VLOOKUP($BC141,Programma!$F$3:$L$1101,7,0),"")</f>
        <v/>
      </c>
      <c r="BJ141" s="185" t="str">
        <f>_xlfn.IFNA(VLOOKUP($BC141,Programma!$F$3:$M$1101,8,0),"")</f>
        <v/>
      </c>
      <c r="BK141" s="185" t="str">
        <f>_xlfn.IFNA(VLOOKUP($BC141,Programma!$F$3:$N$1101,9,0),"")</f>
        <v/>
      </c>
      <c r="BL141" s="185" t="str">
        <f>_xlfn.IFNA(VLOOKUP($BC141,Programma!$F$3:$O$1101,10,0),"")</f>
        <v/>
      </c>
      <c r="BM141" s="185" t="str">
        <f>_xlfn.IFNA(VLOOKUP($BC141,Programma!$F$3:$P$1101,11,0),"")</f>
        <v/>
      </c>
      <c r="BN141" s="185" t="str">
        <f>_xlfn.IFNA(VLOOKUP($BC141,Programma!$F$3:$Q$1101,12,0),"")</f>
        <v/>
      </c>
      <c r="BO141" s="185" t="str">
        <f>_xlfn.IFNA(VLOOKUP($BC141,Programma!$F$3:$R$1101,13,0),"")</f>
        <v/>
      </c>
      <c r="BP141" s="185" t="str">
        <f>_xlfn.IFNA(VLOOKUP($BC141,Programma!$F$3:$S$1101,14,0),"")</f>
        <v/>
      </c>
      <c r="BQ141" s="185" t="str">
        <f>_xlfn.IFNA(VLOOKUP($BC141,Programma!$F$3:$T$1101,15,0),"")</f>
        <v/>
      </c>
      <c r="BR141" s="185" t="str">
        <f>_xlfn.IFNA(VLOOKUP($BC141,Programma!$F$3:$U$1101,16,0),"")</f>
        <v/>
      </c>
      <c r="BS141" s="185" t="str">
        <f>_xlfn.IFNA(VLOOKUP($BC141,Programma!$F$3:$V$1101,17,0),"")</f>
        <v/>
      </c>
      <c r="BT141" s="185" t="str">
        <f>_xlfn.IFNA(VLOOKUP($BC141,Programma!$F$3:$W$1101,18,0),"")</f>
        <v/>
      </c>
      <c r="BU141" s="185" t="str">
        <f>_xlfn.IFNA(VLOOKUP($BC141,Programma!$F$3:$X$1101,19,0),"")</f>
        <v/>
      </c>
      <c r="BV141" s="185" t="str">
        <f>_xlfn.IFNA(VLOOKUP($BC141,Programma!$F$3:$Y$1101,20,0),"")</f>
        <v/>
      </c>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c r="EK141" s="78"/>
      <c r="EL141" s="78"/>
      <c r="EM141" s="78"/>
      <c r="EN141" s="78"/>
      <c r="EO141" s="78"/>
      <c r="EP141" s="78"/>
      <c r="EQ141" s="78"/>
      <c r="ER141" s="78"/>
      <c r="ES141" s="78"/>
      <c r="ET141" s="78"/>
      <c r="EU141" s="78"/>
      <c r="EV141" s="78"/>
      <c r="EW141" s="78"/>
      <c r="EX141" s="78"/>
      <c r="EY141" s="78"/>
      <c r="EZ141" s="78"/>
      <c r="FA141" s="78"/>
      <c r="FB141" s="78"/>
      <c r="FC141" s="78"/>
      <c r="FD141" s="78"/>
      <c r="FE141" s="78"/>
      <c r="FF141" s="78"/>
      <c r="FG141" s="78"/>
      <c r="FH141" s="78"/>
      <c r="FI141" s="78"/>
      <c r="FJ141" s="78"/>
      <c r="FK141" s="78"/>
      <c r="FL141" s="78"/>
      <c r="FM141" s="78"/>
      <c r="FN141" s="78"/>
      <c r="FO141" s="78"/>
      <c r="FP141" s="78"/>
      <c r="FQ141" s="78"/>
      <c r="FR141" s="78"/>
      <c r="FS141" s="78"/>
      <c r="FT141" s="78"/>
      <c r="FU141" s="78"/>
      <c r="FV141" s="78"/>
      <c r="FW141" s="78"/>
      <c r="FX141" s="78"/>
      <c r="FY141" s="78"/>
      <c r="FZ141" s="78"/>
      <c r="GA141" s="78"/>
      <c r="GB141" s="78"/>
      <c r="GC141" s="78"/>
      <c r="GD141" s="78"/>
      <c r="GE141" s="78"/>
      <c r="GF141" s="78"/>
      <c r="GG141" s="78"/>
      <c r="GH141" s="78"/>
      <c r="GI141" s="78"/>
      <c r="GJ141" s="78"/>
      <c r="GK141" s="78"/>
      <c r="GL141" s="78"/>
      <c r="GM141" s="78"/>
      <c r="GN141" s="78"/>
      <c r="GO141" s="78"/>
      <c r="GP141" s="78"/>
      <c r="GQ141" s="78"/>
      <c r="GR141" s="78"/>
      <c r="GS141" s="78"/>
      <c r="GT141" s="78"/>
      <c r="GU141" s="78"/>
      <c r="GV141" s="78"/>
      <c r="GW141" s="78"/>
      <c r="GX141" s="78"/>
      <c r="GY141" s="78"/>
      <c r="GZ141" s="78"/>
      <c r="HA141" s="78"/>
      <c r="HB141" s="78"/>
      <c r="HC141" s="78"/>
      <c r="HD141" s="78"/>
      <c r="HE141" s="78"/>
      <c r="HF141" s="78"/>
      <c r="HG141" s="78"/>
      <c r="HH141" s="78"/>
      <c r="HI141" s="78"/>
      <c r="HJ141" s="78"/>
      <c r="HK141" s="78"/>
    </row>
    <row r="142" spans="1:219" ht="15" customHeight="1">
      <c r="A142" s="149">
        <v>5</v>
      </c>
      <c r="B142" s="176" t="str">
        <f>VLOOKUP(Ruimtestaat[[#This Row],[Code]],Locaties[[Code]:[Locatie]],2,FALSE)</f>
        <v>OBS Harry Bannink</v>
      </c>
      <c r="C142" s="176" t="str">
        <f>VLOOKUP(Ruimtestaat[[#This Row],[Code]],Locaties[[#All],[Code]:[Adres]],4,FALSE)</f>
        <v>Het Bijvank 111</v>
      </c>
      <c r="D142" s="176" t="str">
        <f>VLOOKUP(Ruimtestaat[[#This Row],[Code]],Locaties[[#All],[Code]:[Postcode]],5,FALSE)</f>
        <v>7544 DA</v>
      </c>
      <c r="E142" s="176" t="str">
        <f>VLOOKUP(Ruimtestaat[[#This Row],[Code]],Locaties[#All],6,FALSE)</f>
        <v>Enschede</v>
      </c>
      <c r="F142" s="149"/>
      <c r="G142" s="149" t="s">
        <v>1646</v>
      </c>
      <c r="H142" s="300" t="s">
        <v>1669</v>
      </c>
      <c r="I142" s="301" t="s">
        <v>1649</v>
      </c>
      <c r="J142" s="99">
        <v>2</v>
      </c>
      <c r="K142" s="183" t="str">
        <f>VLOOKUP(Ruimtestaat[[#This Row],[Ruimte code]],Ruimtegroepen[[#All],[Code]:[Ruimte omschrijving]],2,FALSE)</f>
        <v>Kantoren</v>
      </c>
      <c r="L142" s="149" t="s">
        <v>100</v>
      </c>
      <c r="M142" s="301" t="s">
        <v>1697</v>
      </c>
      <c r="N142" s="177">
        <v>25.6</v>
      </c>
      <c r="O142" s="177"/>
      <c r="P142" s="178" t="str">
        <f>VLOOKUP(Ruimtestaat[[#This Row],[Ruimte code]],Ruimtegroepen[],4,FALSE)</f>
        <v>Bu</v>
      </c>
      <c r="Q142" s="149">
        <v>40</v>
      </c>
      <c r="R142" s="149" t="s">
        <v>18</v>
      </c>
      <c r="S142" s="149">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2" s="149">
        <f>IF(S142&gt;0,VLOOKUP($J142,Ruimtegroepen[],3,FALSE)*VLOOKUP($L142,Vloersoorten[],3,FALSE)*VLOOKUP($R142,Frequenties[],3,FALSE)*VLOOKUP($A142,Locaties[],3,FALSE),0)</f>
        <v>0</v>
      </c>
      <c r="U142" s="149">
        <f>Ruimtestaat[[#This Row],[Uitvoeringen werkdagen]]*Ruimtestaat[[#This Row],[Oppervlak (netto)]]</f>
        <v>3072</v>
      </c>
      <c r="V142" s="179">
        <f>IF(T142&gt;0,Ruimtestaat[[#This Row],[Prest. (m2 /jaar) werkdagen]]/Ruimtestaat[[#This Row],[Norm (m2/uur) werkdagen]],0)</f>
        <v>0</v>
      </c>
      <c r="W142" s="180">
        <f>Ruimtestaat[[#This Row],[uren / jaar werkdagen]]*Tariefsopbouw!$E$35</f>
        <v>0</v>
      </c>
      <c r="X142" s="149"/>
      <c r="Y142" s="149">
        <f>IF(Ruimtestaat[[#This Row],[Frequentie weekend]]&gt;0,VALUE(LEFT(X142,1))*Q142,0)</f>
        <v>0</v>
      </c>
      <c r="Z142" s="148">
        <f>IF($Y142&gt;0,VLOOKUP($J142,Ruimtegroepen[],3,FALSE)*VLOOKUP($L142,Vloersoorten[],3,FALSE)*VLOOKUP($X142,Frequenties[],3,FALSE)*VLOOKUP(Ruimtestaat[[#This Row],[Code]],Locaties[],3,FALSE),0)</f>
        <v>0</v>
      </c>
      <c r="AA142" s="148">
        <f>Ruimtestaat[[#This Row],[Uitvoeringen weekend]]*Ruimtestaat[[#This Row],[Oppervlak (netto)]]</f>
        <v>0</v>
      </c>
      <c r="AB142" s="148">
        <f>IF(Z142&gt;0,Ruimtestaat[[#This Row],[Prest. (m2 /jaar) weekend]]/Ruimtestaat[[#This Row],[Norm (m2/uur) weekend]],0)</f>
        <v>0</v>
      </c>
      <c r="AC142" s="180">
        <f>Ruimtestaat[[#This Row],[uren / jaar weekend]]*Tariefsopbouw!$D$40</f>
        <v>0</v>
      </c>
      <c r="AD142" s="179">
        <f>Ruimtestaat[[#This Row],[Prest. (m2 /jaar) weekend]]+Ruimtestaat[[#This Row],[Prest. (m2 /jaar) werkdagen]]</f>
        <v>3072</v>
      </c>
      <c r="AE142" s="179">
        <f>Ruimtestaat[[#This Row],[uren / jaar weekend]]+Ruimtestaat[[#This Row],[uren / jaar werkdagen]]</f>
        <v>0</v>
      </c>
      <c r="AF142" s="174">
        <f>Ruimtestaat[[#This Row],[kosten / jaar weekend]]+Ruimtestaat[[#This Row],[kosten / jaar werkdagen]]</f>
        <v>0</v>
      </c>
      <c r="AG142" s="174"/>
      <c r="AH142" s="181" t="str">
        <f>IF(Ruimtestaat[[#This Row],[Frequentie werkdagen]]="","",_xlfn.CONCAT(Ruimtestaat[[#This Row],[Ruimte code]],"-",Ruimtestaat[[#This Row],[Frequentie werkdagen]]," ",Ruimtestaat[[#This Row],[Vloer code]]))</f>
        <v>2-3w L</v>
      </c>
      <c r="AI142" s="185" t="str">
        <f>_xlfn.IFNA(VLOOKUP($AH142,Programma!$F$3:$G$1101,2,0),"")</f>
        <v>_</v>
      </c>
      <c r="AJ142" s="185" t="str">
        <f>_xlfn.IFNA(VLOOKUP($AH142,Programma!$F$3:$H$1101,3,0),"")</f>
        <v>_</v>
      </c>
      <c r="AK142" s="185" t="str">
        <f>_xlfn.IFNA(VLOOKUP($AH142,Programma!$F$3:$I$1101,4,0),"")</f>
        <v>2w</v>
      </c>
      <c r="AL142" s="185" t="str">
        <f>_xlfn.IFNA(VLOOKUP($AH142,Programma!$F$3:$J$1101,5,0),"")</f>
        <v>1w</v>
      </c>
      <c r="AM142" s="185" t="str">
        <f>_xlfn.IFNA(VLOOKUP($AH142,Programma!$F$3:$K$1101,6,0),"")</f>
        <v>_</v>
      </c>
      <c r="AN142" s="185" t="str">
        <f>_xlfn.IFNA(VLOOKUP($AH142,Programma!$F$3:$L$1101,7,0),"")</f>
        <v>_</v>
      </c>
      <c r="AO142" s="185" t="str">
        <f>_xlfn.IFNA(VLOOKUP($AH142,Programma!$F$3:$M$1101,8,0),"")</f>
        <v>_</v>
      </c>
      <c r="AP142" s="185" t="str">
        <f>_xlfn.IFNA(VLOOKUP($AH142,Programma!$F$3:$N$1101,9,0),"")</f>
        <v>_</v>
      </c>
      <c r="AQ142" s="185" t="str">
        <f>_xlfn.IFNA(VLOOKUP($AH142,Programma!$F$3:$O$1101,10,0),"")</f>
        <v>3w</v>
      </c>
      <c r="AR142" s="185" t="str">
        <f>_xlfn.IFNA(VLOOKUP($AH142,Programma!$F$3:$P$1101,11,0),"")</f>
        <v>3w</v>
      </c>
      <c r="AS142" s="185" t="str">
        <f>_xlfn.IFNA(VLOOKUP($AH142,Programma!$F$3:$Q$1101,12,0),"")</f>
        <v>1w</v>
      </c>
      <c r="AT142" s="185" t="str">
        <f>_xlfn.IFNA(VLOOKUP($AH142,Programma!$F$3:$R$1101,13,0),"")</f>
        <v>1w</v>
      </c>
      <c r="AU142" s="185" t="str">
        <f>_xlfn.IFNA(VLOOKUP($AH142,Programma!$F$3:$S$1101,14,0),"")</f>
        <v>1m</v>
      </c>
      <c r="AV142" s="185" t="str">
        <f>_xlfn.IFNA(VLOOKUP($AH142,Programma!$F$3:$T$1101,15,0),"")</f>
        <v>2j</v>
      </c>
      <c r="AW142" s="185" t="str">
        <f>_xlfn.IFNA(VLOOKUP($AH142,Programma!$F$3:$U$1101,16,0),"")</f>
        <v>1j</v>
      </c>
      <c r="AX142" s="185" t="str">
        <f>_xlfn.IFNA(VLOOKUP($AH142,Programma!$F$3:$V$1101,17,0),"")</f>
        <v>_</v>
      </c>
      <c r="AY142" s="185" t="str">
        <f>_xlfn.IFNA(VLOOKUP($AH142,Programma!$F$3:$W$1101,18,0),"")</f>
        <v>_</v>
      </c>
      <c r="AZ142" s="185" t="str">
        <f>_xlfn.IFNA(VLOOKUP($AH142,Programma!$F$3:$X$1101,19,0),"")</f>
        <v>_</v>
      </c>
      <c r="BA142" s="185" t="str">
        <f>_xlfn.IFNA(VLOOKUP($AH142,Programma!$F$3:$Y$1101,20,0),"")</f>
        <v>_</v>
      </c>
      <c r="BB142" s="182"/>
      <c r="BC142" s="181" t="str">
        <f>IF(Ruimtestaat[[#This Row],[Frequentie weekend]]="","",_xlfn.CONCAT(Ruimtestaat[[#This Row],[Ruimte code]],"-",Ruimtestaat[[#This Row],[Frequentie weekend]]," ",Ruimtestaat[[#This Row],[Vloer code]]))</f>
        <v/>
      </c>
      <c r="BD142" s="185" t="str">
        <f>_xlfn.IFNA(VLOOKUP($BC142,Programma!$F$3:$G$1101,2,0),"")</f>
        <v/>
      </c>
      <c r="BE142" s="185" t="str">
        <f>_xlfn.IFNA(VLOOKUP($BC142,Programma!$F$3:$H$1101,3,0),"")</f>
        <v/>
      </c>
      <c r="BF142" s="185" t="str">
        <f>_xlfn.IFNA(VLOOKUP($BC142,Programma!$F$3:$I$1101,4,0),"")</f>
        <v/>
      </c>
      <c r="BG142" s="185" t="str">
        <f>_xlfn.IFNA(VLOOKUP($BC142,Programma!$F$3:$J$1101,5,0),"")</f>
        <v/>
      </c>
      <c r="BH142" s="185" t="str">
        <f>_xlfn.IFNA(VLOOKUP($BC142,Programma!$F$3:$K$1101,6,0),"")</f>
        <v/>
      </c>
      <c r="BI142" s="185" t="str">
        <f>_xlfn.IFNA(VLOOKUP($BC142,Programma!$F$3:$L$1101,7,0),"")</f>
        <v/>
      </c>
      <c r="BJ142" s="185" t="str">
        <f>_xlfn.IFNA(VLOOKUP($BC142,Programma!$F$3:$M$1101,8,0),"")</f>
        <v/>
      </c>
      <c r="BK142" s="185" t="str">
        <f>_xlfn.IFNA(VLOOKUP($BC142,Programma!$F$3:$N$1101,9,0),"")</f>
        <v/>
      </c>
      <c r="BL142" s="185" t="str">
        <f>_xlfn.IFNA(VLOOKUP($BC142,Programma!$F$3:$O$1101,10,0),"")</f>
        <v/>
      </c>
      <c r="BM142" s="185" t="str">
        <f>_xlfn.IFNA(VLOOKUP($BC142,Programma!$F$3:$P$1101,11,0),"")</f>
        <v/>
      </c>
      <c r="BN142" s="185" t="str">
        <f>_xlfn.IFNA(VLOOKUP($BC142,Programma!$F$3:$Q$1101,12,0),"")</f>
        <v/>
      </c>
      <c r="BO142" s="185" t="str">
        <f>_xlfn.IFNA(VLOOKUP($BC142,Programma!$F$3:$R$1101,13,0),"")</f>
        <v/>
      </c>
      <c r="BP142" s="185" t="str">
        <f>_xlfn.IFNA(VLOOKUP($BC142,Programma!$F$3:$S$1101,14,0),"")</f>
        <v/>
      </c>
      <c r="BQ142" s="185" t="str">
        <f>_xlfn.IFNA(VLOOKUP($BC142,Programma!$F$3:$T$1101,15,0),"")</f>
        <v/>
      </c>
      <c r="BR142" s="185" t="str">
        <f>_xlfn.IFNA(VLOOKUP($BC142,Programma!$F$3:$U$1101,16,0),"")</f>
        <v/>
      </c>
      <c r="BS142" s="185" t="str">
        <f>_xlfn.IFNA(VLOOKUP($BC142,Programma!$F$3:$V$1101,17,0),"")</f>
        <v/>
      </c>
      <c r="BT142" s="185" t="str">
        <f>_xlfn.IFNA(VLOOKUP($BC142,Programma!$F$3:$W$1101,18,0),"")</f>
        <v/>
      </c>
      <c r="BU142" s="185" t="str">
        <f>_xlfn.IFNA(VLOOKUP($BC142,Programma!$F$3:$X$1101,19,0),"")</f>
        <v/>
      </c>
      <c r="BV142" s="185" t="str">
        <f>_xlfn.IFNA(VLOOKUP($BC142,Programma!$F$3:$Y$1101,20,0),"")</f>
        <v/>
      </c>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c r="DV142" s="78"/>
      <c r="DW142" s="78"/>
      <c r="DX142" s="78"/>
      <c r="DY142" s="78"/>
      <c r="DZ142" s="78"/>
      <c r="EA142" s="78"/>
      <c r="EB142" s="78"/>
      <c r="EC142" s="78"/>
      <c r="ED142" s="78"/>
      <c r="EE142" s="78"/>
      <c r="EF142" s="78"/>
      <c r="EG142" s="78"/>
      <c r="EH142" s="78"/>
      <c r="EI142" s="78"/>
      <c r="EJ142" s="78"/>
      <c r="EK142" s="78"/>
      <c r="EL142" s="78"/>
      <c r="EM142" s="78"/>
      <c r="EN142" s="78"/>
      <c r="EO142" s="78"/>
      <c r="EP142" s="78"/>
      <c r="EQ142" s="78"/>
      <c r="ER142" s="78"/>
      <c r="ES142" s="78"/>
      <c r="ET142" s="78"/>
      <c r="EU142" s="78"/>
      <c r="EV142" s="78"/>
      <c r="EW142" s="78"/>
      <c r="EX142" s="78"/>
      <c r="EY142" s="78"/>
      <c r="EZ142" s="78"/>
      <c r="FA142" s="78"/>
      <c r="FB142" s="78"/>
      <c r="FC142" s="78"/>
      <c r="FD142" s="78"/>
      <c r="FE142" s="78"/>
      <c r="FF142" s="78"/>
      <c r="FG142" s="78"/>
      <c r="FH142" s="78"/>
      <c r="FI142" s="78"/>
      <c r="FJ142" s="78"/>
      <c r="FK142" s="78"/>
      <c r="FL142" s="78"/>
      <c r="FM142" s="78"/>
      <c r="FN142" s="78"/>
      <c r="FO142" s="78"/>
      <c r="FP142" s="78"/>
      <c r="FQ142" s="78"/>
      <c r="FR142" s="78"/>
      <c r="FS142" s="78"/>
      <c r="FT142" s="78"/>
      <c r="FU142" s="78"/>
      <c r="FV142" s="78"/>
      <c r="FW142" s="78"/>
      <c r="FX142" s="78"/>
      <c r="FY142" s="78"/>
      <c r="FZ142" s="78"/>
      <c r="GA142" s="78"/>
      <c r="GB142" s="78"/>
      <c r="GC142" s="78"/>
      <c r="GD142" s="78"/>
      <c r="GE142" s="78"/>
      <c r="GF142" s="78"/>
      <c r="GG142" s="78"/>
      <c r="GH142" s="78"/>
      <c r="GI142" s="78"/>
      <c r="GJ142" s="78"/>
      <c r="GK142" s="78"/>
      <c r="GL142" s="78"/>
      <c r="GM142" s="78"/>
      <c r="GN142" s="78"/>
      <c r="GO142" s="78"/>
      <c r="GP142" s="78"/>
      <c r="GQ142" s="78"/>
      <c r="GR142" s="78"/>
      <c r="GS142" s="78"/>
      <c r="GT142" s="78"/>
      <c r="GU142" s="78"/>
      <c r="GV142" s="78"/>
      <c r="GW142" s="78"/>
      <c r="GX142" s="78"/>
      <c r="GY142" s="78"/>
      <c r="GZ142" s="78"/>
      <c r="HA142" s="78"/>
      <c r="HB142" s="78"/>
      <c r="HC142" s="78"/>
      <c r="HD142" s="78"/>
      <c r="HE142" s="78"/>
      <c r="HF142" s="78"/>
      <c r="HG142" s="78"/>
      <c r="HH142" s="78"/>
      <c r="HI142" s="78"/>
      <c r="HJ142" s="78"/>
      <c r="HK142" s="78"/>
    </row>
    <row r="143" spans="1:219" ht="15" customHeight="1">
      <c r="A143" s="149">
        <v>5</v>
      </c>
      <c r="B143" s="176" t="str">
        <f>VLOOKUP(Ruimtestaat[[#This Row],[Code]],Locaties[[Code]:[Locatie]],2,FALSE)</f>
        <v>OBS Harry Bannink</v>
      </c>
      <c r="C143" s="176" t="str">
        <f>VLOOKUP(Ruimtestaat[[#This Row],[Code]],Locaties[[#All],[Code]:[Adres]],4,FALSE)</f>
        <v>Het Bijvank 111</v>
      </c>
      <c r="D143" s="176" t="str">
        <f>VLOOKUP(Ruimtestaat[[#This Row],[Code]],Locaties[[#All],[Code]:[Postcode]],5,FALSE)</f>
        <v>7544 DA</v>
      </c>
      <c r="E143" s="176" t="str">
        <f>VLOOKUP(Ruimtestaat[[#This Row],[Code]],Locaties[#All],6,FALSE)</f>
        <v>Enschede</v>
      </c>
      <c r="F143" s="149"/>
      <c r="G143" s="149" t="s">
        <v>1646</v>
      </c>
      <c r="H143" s="300" t="s">
        <v>1670</v>
      </c>
      <c r="I143" s="301" t="s">
        <v>1649</v>
      </c>
      <c r="J143" s="99">
        <v>2</v>
      </c>
      <c r="K143" s="183" t="str">
        <f>VLOOKUP(Ruimtestaat[[#This Row],[Ruimte code]],Ruimtegroepen[[#All],[Code]:[Ruimte omschrijving]],2,FALSE)</f>
        <v>Kantoren</v>
      </c>
      <c r="L143" s="149" t="s">
        <v>100</v>
      </c>
      <c r="M143" s="301" t="s">
        <v>1697</v>
      </c>
      <c r="N143" s="177">
        <v>18.8</v>
      </c>
      <c r="O143" s="177"/>
      <c r="P143" s="178" t="str">
        <f>VLOOKUP(Ruimtestaat[[#This Row],[Ruimte code]],Ruimtegroepen[],4,FALSE)</f>
        <v>Bu</v>
      </c>
      <c r="Q143" s="149">
        <v>40</v>
      </c>
      <c r="R143" s="149" t="s">
        <v>18</v>
      </c>
      <c r="S143" s="149">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3" s="149">
        <f>IF(S143&gt;0,VLOOKUP($J143,Ruimtegroepen[],3,FALSE)*VLOOKUP($L143,Vloersoorten[],3,FALSE)*VLOOKUP($R143,Frequenties[],3,FALSE)*VLOOKUP($A143,Locaties[],3,FALSE),0)</f>
        <v>0</v>
      </c>
      <c r="U143" s="149">
        <f>Ruimtestaat[[#This Row],[Uitvoeringen werkdagen]]*Ruimtestaat[[#This Row],[Oppervlak (netto)]]</f>
        <v>2256</v>
      </c>
      <c r="V143" s="179">
        <f>IF(T143&gt;0,Ruimtestaat[[#This Row],[Prest. (m2 /jaar) werkdagen]]/Ruimtestaat[[#This Row],[Norm (m2/uur) werkdagen]],0)</f>
        <v>0</v>
      </c>
      <c r="W143" s="180">
        <f>Ruimtestaat[[#This Row],[uren / jaar werkdagen]]*Tariefsopbouw!$E$35</f>
        <v>0</v>
      </c>
      <c r="X143" s="149"/>
      <c r="Y143" s="149">
        <f>IF(Ruimtestaat[[#This Row],[Frequentie weekend]]&gt;0,VALUE(LEFT(X143,1))*Q143,0)</f>
        <v>0</v>
      </c>
      <c r="Z143" s="148">
        <f>IF($Y143&gt;0,VLOOKUP($J143,Ruimtegroepen[],3,FALSE)*VLOOKUP($L143,Vloersoorten[],3,FALSE)*VLOOKUP($X143,Frequenties[],3,FALSE)*VLOOKUP(Ruimtestaat[[#This Row],[Code]],Locaties[],3,FALSE),0)</f>
        <v>0</v>
      </c>
      <c r="AA143" s="148">
        <f>Ruimtestaat[[#This Row],[Uitvoeringen weekend]]*Ruimtestaat[[#This Row],[Oppervlak (netto)]]</f>
        <v>0</v>
      </c>
      <c r="AB143" s="148">
        <f>IF(Z143&gt;0,Ruimtestaat[[#This Row],[Prest. (m2 /jaar) weekend]]/Ruimtestaat[[#This Row],[Norm (m2/uur) weekend]],0)</f>
        <v>0</v>
      </c>
      <c r="AC143" s="180">
        <f>Ruimtestaat[[#This Row],[uren / jaar weekend]]*Tariefsopbouw!$D$40</f>
        <v>0</v>
      </c>
      <c r="AD143" s="179">
        <f>Ruimtestaat[[#This Row],[Prest. (m2 /jaar) weekend]]+Ruimtestaat[[#This Row],[Prest. (m2 /jaar) werkdagen]]</f>
        <v>2256</v>
      </c>
      <c r="AE143" s="179">
        <f>Ruimtestaat[[#This Row],[uren / jaar weekend]]+Ruimtestaat[[#This Row],[uren / jaar werkdagen]]</f>
        <v>0</v>
      </c>
      <c r="AF143" s="174">
        <f>Ruimtestaat[[#This Row],[kosten / jaar weekend]]+Ruimtestaat[[#This Row],[kosten / jaar werkdagen]]</f>
        <v>0</v>
      </c>
      <c r="AG143" s="174"/>
      <c r="AH143" s="181" t="str">
        <f>IF(Ruimtestaat[[#This Row],[Frequentie werkdagen]]="","",_xlfn.CONCAT(Ruimtestaat[[#This Row],[Ruimte code]],"-",Ruimtestaat[[#This Row],[Frequentie werkdagen]]," ",Ruimtestaat[[#This Row],[Vloer code]]))</f>
        <v>2-3w L</v>
      </c>
      <c r="AI143" s="185" t="str">
        <f>_xlfn.IFNA(VLOOKUP($AH143,Programma!$F$3:$G$1101,2,0),"")</f>
        <v>_</v>
      </c>
      <c r="AJ143" s="185" t="str">
        <f>_xlfn.IFNA(VLOOKUP($AH143,Programma!$F$3:$H$1101,3,0),"")</f>
        <v>_</v>
      </c>
      <c r="AK143" s="185" t="str">
        <f>_xlfn.IFNA(VLOOKUP($AH143,Programma!$F$3:$I$1101,4,0),"")</f>
        <v>2w</v>
      </c>
      <c r="AL143" s="185" t="str">
        <f>_xlfn.IFNA(VLOOKUP($AH143,Programma!$F$3:$J$1101,5,0),"")</f>
        <v>1w</v>
      </c>
      <c r="AM143" s="185" t="str">
        <f>_xlfn.IFNA(VLOOKUP($AH143,Programma!$F$3:$K$1101,6,0),"")</f>
        <v>_</v>
      </c>
      <c r="AN143" s="185" t="str">
        <f>_xlfn.IFNA(VLOOKUP($AH143,Programma!$F$3:$L$1101,7,0),"")</f>
        <v>_</v>
      </c>
      <c r="AO143" s="185" t="str">
        <f>_xlfn.IFNA(VLOOKUP($AH143,Programma!$F$3:$M$1101,8,0),"")</f>
        <v>_</v>
      </c>
      <c r="AP143" s="185" t="str">
        <f>_xlfn.IFNA(VLOOKUP($AH143,Programma!$F$3:$N$1101,9,0),"")</f>
        <v>_</v>
      </c>
      <c r="AQ143" s="185" t="str">
        <f>_xlfn.IFNA(VLOOKUP($AH143,Programma!$F$3:$O$1101,10,0),"")</f>
        <v>3w</v>
      </c>
      <c r="AR143" s="185" t="str">
        <f>_xlfn.IFNA(VLOOKUP($AH143,Programma!$F$3:$P$1101,11,0),"")</f>
        <v>3w</v>
      </c>
      <c r="AS143" s="185" t="str">
        <f>_xlfn.IFNA(VLOOKUP($AH143,Programma!$F$3:$Q$1101,12,0),"")</f>
        <v>1w</v>
      </c>
      <c r="AT143" s="185" t="str">
        <f>_xlfn.IFNA(VLOOKUP($AH143,Programma!$F$3:$R$1101,13,0),"")</f>
        <v>1w</v>
      </c>
      <c r="AU143" s="185" t="str">
        <f>_xlfn.IFNA(VLOOKUP($AH143,Programma!$F$3:$S$1101,14,0),"")</f>
        <v>1m</v>
      </c>
      <c r="AV143" s="185" t="str">
        <f>_xlfn.IFNA(VLOOKUP($AH143,Programma!$F$3:$T$1101,15,0),"")</f>
        <v>2j</v>
      </c>
      <c r="AW143" s="185" t="str">
        <f>_xlfn.IFNA(VLOOKUP($AH143,Programma!$F$3:$U$1101,16,0),"")</f>
        <v>1j</v>
      </c>
      <c r="AX143" s="185" t="str">
        <f>_xlfn.IFNA(VLOOKUP($AH143,Programma!$F$3:$V$1101,17,0),"")</f>
        <v>_</v>
      </c>
      <c r="AY143" s="185" t="str">
        <f>_xlfn.IFNA(VLOOKUP($AH143,Programma!$F$3:$W$1101,18,0),"")</f>
        <v>_</v>
      </c>
      <c r="AZ143" s="185" t="str">
        <f>_xlfn.IFNA(VLOOKUP($AH143,Programma!$F$3:$X$1101,19,0),"")</f>
        <v>_</v>
      </c>
      <c r="BA143" s="185" t="str">
        <f>_xlfn.IFNA(VLOOKUP($AH143,Programma!$F$3:$Y$1101,20,0),"")</f>
        <v>_</v>
      </c>
      <c r="BB143" s="182"/>
      <c r="BC143" s="181" t="str">
        <f>IF(Ruimtestaat[[#This Row],[Frequentie weekend]]="","",_xlfn.CONCAT(Ruimtestaat[[#This Row],[Ruimte code]],"-",Ruimtestaat[[#This Row],[Frequentie weekend]]," ",Ruimtestaat[[#This Row],[Vloer code]]))</f>
        <v/>
      </c>
      <c r="BD143" s="185" t="str">
        <f>_xlfn.IFNA(VLOOKUP($BC143,Programma!$F$3:$G$1101,2,0),"")</f>
        <v/>
      </c>
      <c r="BE143" s="185" t="str">
        <f>_xlfn.IFNA(VLOOKUP($BC143,Programma!$F$3:$H$1101,3,0),"")</f>
        <v/>
      </c>
      <c r="BF143" s="185" t="str">
        <f>_xlfn.IFNA(VLOOKUP($BC143,Programma!$F$3:$I$1101,4,0),"")</f>
        <v/>
      </c>
      <c r="BG143" s="185" t="str">
        <f>_xlfn.IFNA(VLOOKUP($BC143,Programma!$F$3:$J$1101,5,0),"")</f>
        <v/>
      </c>
      <c r="BH143" s="185" t="str">
        <f>_xlfn.IFNA(VLOOKUP($BC143,Programma!$F$3:$K$1101,6,0),"")</f>
        <v/>
      </c>
      <c r="BI143" s="185" t="str">
        <f>_xlfn.IFNA(VLOOKUP($BC143,Programma!$F$3:$L$1101,7,0),"")</f>
        <v/>
      </c>
      <c r="BJ143" s="185" t="str">
        <f>_xlfn.IFNA(VLOOKUP($BC143,Programma!$F$3:$M$1101,8,0),"")</f>
        <v/>
      </c>
      <c r="BK143" s="185" t="str">
        <f>_xlfn.IFNA(VLOOKUP($BC143,Programma!$F$3:$N$1101,9,0),"")</f>
        <v/>
      </c>
      <c r="BL143" s="185" t="str">
        <f>_xlfn.IFNA(VLOOKUP($BC143,Programma!$F$3:$O$1101,10,0),"")</f>
        <v/>
      </c>
      <c r="BM143" s="185" t="str">
        <f>_xlfn.IFNA(VLOOKUP($BC143,Programma!$F$3:$P$1101,11,0),"")</f>
        <v/>
      </c>
      <c r="BN143" s="185" t="str">
        <f>_xlfn.IFNA(VLOOKUP($BC143,Programma!$F$3:$Q$1101,12,0),"")</f>
        <v/>
      </c>
      <c r="BO143" s="185" t="str">
        <f>_xlfn.IFNA(VLOOKUP($BC143,Programma!$F$3:$R$1101,13,0),"")</f>
        <v/>
      </c>
      <c r="BP143" s="185" t="str">
        <f>_xlfn.IFNA(VLOOKUP($BC143,Programma!$F$3:$S$1101,14,0),"")</f>
        <v/>
      </c>
      <c r="BQ143" s="185" t="str">
        <f>_xlfn.IFNA(VLOOKUP($BC143,Programma!$F$3:$T$1101,15,0),"")</f>
        <v/>
      </c>
      <c r="BR143" s="185" t="str">
        <f>_xlfn.IFNA(VLOOKUP($BC143,Programma!$F$3:$U$1101,16,0),"")</f>
        <v/>
      </c>
      <c r="BS143" s="185" t="str">
        <f>_xlfn.IFNA(VLOOKUP($BC143,Programma!$F$3:$V$1101,17,0),"")</f>
        <v/>
      </c>
      <c r="BT143" s="185" t="str">
        <f>_xlfn.IFNA(VLOOKUP($BC143,Programma!$F$3:$W$1101,18,0),"")</f>
        <v/>
      </c>
      <c r="BU143" s="185" t="str">
        <f>_xlfn.IFNA(VLOOKUP($BC143,Programma!$F$3:$X$1101,19,0),"")</f>
        <v/>
      </c>
      <c r="BV143" s="185" t="str">
        <f>_xlfn.IFNA(VLOOKUP($BC143,Programma!$F$3:$Y$1101,20,0),"")</f>
        <v/>
      </c>
      <c r="BW143" s="78"/>
      <c r="BX143" s="78"/>
      <c r="BY143" s="78"/>
      <c r="BZ143" s="78"/>
      <c r="CA143" s="78"/>
      <c r="CB143" s="78"/>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78"/>
      <c r="DB143" s="78"/>
      <c r="DC143" s="78"/>
      <c r="DD143" s="78"/>
      <c r="DE143" s="78"/>
      <c r="DF143" s="78"/>
      <c r="DG143" s="78"/>
      <c r="DH143" s="78"/>
      <c r="DI143" s="78"/>
      <c r="DJ143" s="78"/>
      <c r="DK143" s="78"/>
      <c r="DL143" s="78"/>
      <c r="DM143" s="78"/>
      <c r="DN143" s="78"/>
      <c r="DO143" s="78"/>
      <c r="DP143" s="78"/>
      <c r="DQ143" s="78"/>
      <c r="DR143" s="78"/>
      <c r="DS143" s="78"/>
      <c r="DT143" s="78"/>
      <c r="DU143" s="78"/>
      <c r="DV143" s="78"/>
      <c r="DW143" s="78"/>
      <c r="DX143" s="78"/>
      <c r="DY143" s="78"/>
      <c r="DZ143" s="78"/>
      <c r="EA143" s="78"/>
      <c r="EB143" s="78"/>
      <c r="EC143" s="78"/>
      <c r="ED143" s="78"/>
      <c r="EE143" s="78"/>
      <c r="EF143" s="78"/>
      <c r="EG143" s="78"/>
      <c r="EH143" s="78"/>
      <c r="EI143" s="78"/>
      <c r="EJ143" s="78"/>
      <c r="EK143" s="78"/>
      <c r="EL143" s="78"/>
      <c r="EM143" s="78"/>
      <c r="EN143" s="78"/>
      <c r="EO143" s="78"/>
      <c r="EP143" s="78"/>
      <c r="EQ143" s="78"/>
      <c r="ER143" s="78"/>
      <c r="ES143" s="78"/>
      <c r="ET143" s="78"/>
      <c r="EU143" s="78"/>
      <c r="EV143" s="78"/>
      <c r="EW143" s="78"/>
      <c r="EX143" s="78"/>
      <c r="EY143" s="78"/>
      <c r="EZ143" s="78"/>
      <c r="FA143" s="78"/>
      <c r="FB143" s="78"/>
      <c r="FC143" s="78"/>
      <c r="FD143" s="78"/>
      <c r="FE143" s="78"/>
      <c r="FF143" s="78"/>
      <c r="FG143" s="78"/>
      <c r="FH143" s="78"/>
      <c r="FI143" s="78"/>
      <c r="FJ143" s="78"/>
      <c r="FK143" s="78"/>
      <c r="FL143" s="78"/>
      <c r="FM143" s="78"/>
      <c r="FN143" s="78"/>
      <c r="FO143" s="78"/>
      <c r="FP143" s="78"/>
      <c r="FQ143" s="78"/>
      <c r="FR143" s="78"/>
      <c r="FS143" s="78"/>
      <c r="FT143" s="78"/>
      <c r="FU143" s="78"/>
      <c r="FV143" s="78"/>
      <c r="FW143" s="78"/>
      <c r="FX143" s="78"/>
      <c r="FY143" s="78"/>
      <c r="FZ143" s="78"/>
      <c r="GA143" s="78"/>
      <c r="GB143" s="78"/>
      <c r="GC143" s="78"/>
      <c r="GD143" s="78"/>
      <c r="GE143" s="78"/>
      <c r="GF143" s="78"/>
      <c r="GG143" s="78"/>
      <c r="GH143" s="78"/>
      <c r="GI143" s="78"/>
      <c r="GJ143" s="78"/>
      <c r="GK143" s="78"/>
      <c r="GL143" s="78"/>
      <c r="GM143" s="78"/>
      <c r="GN143" s="78"/>
      <c r="GO143" s="78"/>
      <c r="GP143" s="78"/>
      <c r="GQ143" s="78"/>
      <c r="GR143" s="78"/>
      <c r="GS143" s="78"/>
      <c r="GT143" s="78"/>
      <c r="GU143" s="78"/>
      <c r="GV143" s="78"/>
      <c r="GW143" s="78"/>
      <c r="GX143" s="78"/>
      <c r="GY143" s="78"/>
      <c r="GZ143" s="78"/>
      <c r="HA143" s="78"/>
      <c r="HB143" s="78"/>
      <c r="HC143" s="78"/>
      <c r="HD143" s="78"/>
      <c r="HE143" s="78"/>
      <c r="HF143" s="78"/>
      <c r="HG143" s="78"/>
      <c r="HH143" s="78"/>
      <c r="HI143" s="78"/>
      <c r="HJ143" s="78"/>
      <c r="HK143" s="78"/>
    </row>
    <row r="144" spans="1:219" ht="15" customHeight="1">
      <c r="A144" s="149">
        <v>5</v>
      </c>
      <c r="B144" s="176" t="str">
        <f>VLOOKUP(Ruimtestaat[[#This Row],[Code]],Locaties[[Code]:[Locatie]],2,FALSE)</f>
        <v>OBS Harry Bannink</v>
      </c>
      <c r="C144" s="176" t="str">
        <f>VLOOKUP(Ruimtestaat[[#This Row],[Code]],Locaties[[#All],[Code]:[Adres]],4,FALSE)</f>
        <v>Het Bijvank 111</v>
      </c>
      <c r="D144" s="176" t="str">
        <f>VLOOKUP(Ruimtestaat[[#This Row],[Code]],Locaties[[#All],[Code]:[Postcode]],5,FALSE)</f>
        <v>7544 DA</v>
      </c>
      <c r="E144" s="176" t="str">
        <f>VLOOKUP(Ruimtestaat[[#This Row],[Code]],Locaties[#All],6,FALSE)</f>
        <v>Enschede</v>
      </c>
      <c r="F144" s="149"/>
      <c r="G144" s="149" t="s">
        <v>1646</v>
      </c>
      <c r="H144" s="300" t="s">
        <v>1671</v>
      </c>
      <c r="I144" s="301" t="s">
        <v>1649</v>
      </c>
      <c r="J144" s="99">
        <v>2</v>
      </c>
      <c r="K144" s="183" t="str">
        <f>VLOOKUP(Ruimtestaat[[#This Row],[Ruimte code]],Ruimtegroepen[[#All],[Code]:[Ruimte omschrijving]],2,FALSE)</f>
        <v>Kantoren</v>
      </c>
      <c r="L144" s="149" t="s">
        <v>100</v>
      </c>
      <c r="M144" s="301" t="s">
        <v>1697</v>
      </c>
      <c r="N144" s="177">
        <v>10.6</v>
      </c>
      <c r="O144" s="177"/>
      <c r="P144" s="178" t="str">
        <f>VLOOKUP(Ruimtestaat[[#This Row],[Ruimte code]],Ruimtegroepen[],4,FALSE)</f>
        <v>Bu</v>
      </c>
      <c r="Q144" s="149">
        <v>40</v>
      </c>
      <c r="R144" s="149" t="s">
        <v>18</v>
      </c>
      <c r="S144" s="149">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4" s="149">
        <f>IF(S144&gt;0,VLOOKUP($J144,Ruimtegroepen[],3,FALSE)*VLOOKUP($L144,Vloersoorten[],3,FALSE)*VLOOKUP($R144,Frequenties[],3,FALSE)*VLOOKUP($A144,Locaties[],3,FALSE),0)</f>
        <v>0</v>
      </c>
      <c r="U144" s="149">
        <f>Ruimtestaat[[#This Row],[Uitvoeringen werkdagen]]*Ruimtestaat[[#This Row],[Oppervlak (netto)]]</f>
        <v>1272</v>
      </c>
      <c r="V144" s="179">
        <f>IF(T144&gt;0,Ruimtestaat[[#This Row],[Prest. (m2 /jaar) werkdagen]]/Ruimtestaat[[#This Row],[Norm (m2/uur) werkdagen]],0)</f>
        <v>0</v>
      </c>
      <c r="W144" s="180">
        <f>Ruimtestaat[[#This Row],[uren / jaar werkdagen]]*Tariefsopbouw!$E$35</f>
        <v>0</v>
      </c>
      <c r="X144" s="149"/>
      <c r="Y144" s="149">
        <f>IF(Ruimtestaat[[#This Row],[Frequentie weekend]]&gt;0,VALUE(LEFT(X144,1))*Q144,0)</f>
        <v>0</v>
      </c>
      <c r="Z144" s="148">
        <f>IF($Y144&gt;0,VLOOKUP($J144,Ruimtegroepen[],3,FALSE)*VLOOKUP($L144,Vloersoorten[],3,FALSE)*VLOOKUP($X144,Frequenties[],3,FALSE)*VLOOKUP(Ruimtestaat[[#This Row],[Code]],Locaties[],3,FALSE),0)</f>
        <v>0</v>
      </c>
      <c r="AA144" s="148">
        <f>Ruimtestaat[[#This Row],[Uitvoeringen weekend]]*Ruimtestaat[[#This Row],[Oppervlak (netto)]]</f>
        <v>0</v>
      </c>
      <c r="AB144" s="148">
        <f>IF(Z144&gt;0,Ruimtestaat[[#This Row],[Prest. (m2 /jaar) weekend]]/Ruimtestaat[[#This Row],[Norm (m2/uur) weekend]],0)</f>
        <v>0</v>
      </c>
      <c r="AC144" s="180">
        <f>Ruimtestaat[[#This Row],[uren / jaar weekend]]*Tariefsopbouw!$D$40</f>
        <v>0</v>
      </c>
      <c r="AD144" s="179">
        <f>Ruimtestaat[[#This Row],[Prest. (m2 /jaar) weekend]]+Ruimtestaat[[#This Row],[Prest. (m2 /jaar) werkdagen]]</f>
        <v>1272</v>
      </c>
      <c r="AE144" s="179">
        <f>Ruimtestaat[[#This Row],[uren / jaar weekend]]+Ruimtestaat[[#This Row],[uren / jaar werkdagen]]</f>
        <v>0</v>
      </c>
      <c r="AF144" s="174">
        <f>Ruimtestaat[[#This Row],[kosten / jaar weekend]]+Ruimtestaat[[#This Row],[kosten / jaar werkdagen]]</f>
        <v>0</v>
      </c>
      <c r="AG144" s="174"/>
      <c r="AH144" s="181" t="str">
        <f>IF(Ruimtestaat[[#This Row],[Frequentie werkdagen]]="","",_xlfn.CONCAT(Ruimtestaat[[#This Row],[Ruimte code]],"-",Ruimtestaat[[#This Row],[Frequentie werkdagen]]," ",Ruimtestaat[[#This Row],[Vloer code]]))</f>
        <v>2-3w L</v>
      </c>
      <c r="AI144" s="185" t="str">
        <f>_xlfn.IFNA(VLOOKUP($AH144,Programma!$F$3:$G$1101,2,0),"")</f>
        <v>_</v>
      </c>
      <c r="AJ144" s="185" t="str">
        <f>_xlfn.IFNA(VLOOKUP($AH144,Programma!$F$3:$H$1101,3,0),"")</f>
        <v>_</v>
      </c>
      <c r="AK144" s="185" t="str">
        <f>_xlfn.IFNA(VLOOKUP($AH144,Programma!$F$3:$I$1101,4,0),"")</f>
        <v>2w</v>
      </c>
      <c r="AL144" s="185" t="str">
        <f>_xlfn.IFNA(VLOOKUP($AH144,Programma!$F$3:$J$1101,5,0),"")</f>
        <v>1w</v>
      </c>
      <c r="AM144" s="185" t="str">
        <f>_xlfn.IFNA(VLOOKUP($AH144,Programma!$F$3:$K$1101,6,0),"")</f>
        <v>_</v>
      </c>
      <c r="AN144" s="185" t="str">
        <f>_xlfn.IFNA(VLOOKUP($AH144,Programma!$F$3:$L$1101,7,0),"")</f>
        <v>_</v>
      </c>
      <c r="AO144" s="185" t="str">
        <f>_xlfn.IFNA(VLOOKUP($AH144,Programma!$F$3:$M$1101,8,0),"")</f>
        <v>_</v>
      </c>
      <c r="AP144" s="185" t="str">
        <f>_xlfn.IFNA(VLOOKUP($AH144,Programma!$F$3:$N$1101,9,0),"")</f>
        <v>_</v>
      </c>
      <c r="AQ144" s="185" t="str">
        <f>_xlfn.IFNA(VLOOKUP($AH144,Programma!$F$3:$O$1101,10,0),"")</f>
        <v>3w</v>
      </c>
      <c r="AR144" s="185" t="str">
        <f>_xlfn.IFNA(VLOOKUP($AH144,Programma!$F$3:$P$1101,11,0),"")</f>
        <v>3w</v>
      </c>
      <c r="AS144" s="185" t="str">
        <f>_xlfn.IFNA(VLOOKUP($AH144,Programma!$F$3:$Q$1101,12,0),"")</f>
        <v>1w</v>
      </c>
      <c r="AT144" s="185" t="str">
        <f>_xlfn.IFNA(VLOOKUP($AH144,Programma!$F$3:$R$1101,13,0),"")</f>
        <v>1w</v>
      </c>
      <c r="AU144" s="185" t="str">
        <f>_xlfn.IFNA(VLOOKUP($AH144,Programma!$F$3:$S$1101,14,0),"")</f>
        <v>1m</v>
      </c>
      <c r="AV144" s="185" t="str">
        <f>_xlfn.IFNA(VLOOKUP($AH144,Programma!$F$3:$T$1101,15,0),"")</f>
        <v>2j</v>
      </c>
      <c r="AW144" s="185" t="str">
        <f>_xlfn.IFNA(VLOOKUP($AH144,Programma!$F$3:$U$1101,16,0),"")</f>
        <v>1j</v>
      </c>
      <c r="AX144" s="185" t="str">
        <f>_xlfn.IFNA(VLOOKUP($AH144,Programma!$F$3:$V$1101,17,0),"")</f>
        <v>_</v>
      </c>
      <c r="AY144" s="185" t="str">
        <f>_xlfn.IFNA(VLOOKUP($AH144,Programma!$F$3:$W$1101,18,0),"")</f>
        <v>_</v>
      </c>
      <c r="AZ144" s="185" t="str">
        <f>_xlfn.IFNA(VLOOKUP($AH144,Programma!$F$3:$X$1101,19,0),"")</f>
        <v>_</v>
      </c>
      <c r="BA144" s="185" t="str">
        <f>_xlfn.IFNA(VLOOKUP($AH144,Programma!$F$3:$Y$1101,20,0),"")</f>
        <v>_</v>
      </c>
      <c r="BB144" s="182"/>
      <c r="BC144" s="181" t="str">
        <f>IF(Ruimtestaat[[#This Row],[Frequentie weekend]]="","",_xlfn.CONCAT(Ruimtestaat[[#This Row],[Ruimte code]],"-",Ruimtestaat[[#This Row],[Frequentie weekend]]," ",Ruimtestaat[[#This Row],[Vloer code]]))</f>
        <v/>
      </c>
      <c r="BD144" s="185" t="str">
        <f>_xlfn.IFNA(VLOOKUP($BC144,Programma!$F$3:$G$1101,2,0),"")</f>
        <v/>
      </c>
      <c r="BE144" s="185" t="str">
        <f>_xlfn.IFNA(VLOOKUP($BC144,Programma!$F$3:$H$1101,3,0),"")</f>
        <v/>
      </c>
      <c r="BF144" s="185" t="str">
        <f>_xlfn.IFNA(VLOOKUP($BC144,Programma!$F$3:$I$1101,4,0),"")</f>
        <v/>
      </c>
      <c r="BG144" s="185" t="str">
        <f>_xlfn.IFNA(VLOOKUP($BC144,Programma!$F$3:$J$1101,5,0),"")</f>
        <v/>
      </c>
      <c r="BH144" s="185" t="str">
        <f>_xlfn.IFNA(VLOOKUP($BC144,Programma!$F$3:$K$1101,6,0),"")</f>
        <v/>
      </c>
      <c r="BI144" s="185" t="str">
        <f>_xlfn.IFNA(VLOOKUP($BC144,Programma!$F$3:$L$1101,7,0),"")</f>
        <v/>
      </c>
      <c r="BJ144" s="185" t="str">
        <f>_xlfn.IFNA(VLOOKUP($BC144,Programma!$F$3:$M$1101,8,0),"")</f>
        <v/>
      </c>
      <c r="BK144" s="185" t="str">
        <f>_xlfn.IFNA(VLOOKUP($BC144,Programma!$F$3:$N$1101,9,0),"")</f>
        <v/>
      </c>
      <c r="BL144" s="185" t="str">
        <f>_xlfn.IFNA(VLOOKUP($BC144,Programma!$F$3:$O$1101,10,0),"")</f>
        <v/>
      </c>
      <c r="BM144" s="185" t="str">
        <f>_xlfn.IFNA(VLOOKUP($BC144,Programma!$F$3:$P$1101,11,0),"")</f>
        <v/>
      </c>
      <c r="BN144" s="185" t="str">
        <f>_xlfn.IFNA(VLOOKUP($BC144,Programma!$F$3:$Q$1101,12,0),"")</f>
        <v/>
      </c>
      <c r="BO144" s="185" t="str">
        <f>_xlfn.IFNA(VLOOKUP($BC144,Programma!$F$3:$R$1101,13,0),"")</f>
        <v/>
      </c>
      <c r="BP144" s="185" t="str">
        <f>_xlfn.IFNA(VLOOKUP($BC144,Programma!$F$3:$S$1101,14,0),"")</f>
        <v/>
      </c>
      <c r="BQ144" s="185" t="str">
        <f>_xlfn.IFNA(VLOOKUP($BC144,Programma!$F$3:$T$1101,15,0),"")</f>
        <v/>
      </c>
      <c r="BR144" s="185" t="str">
        <f>_xlfn.IFNA(VLOOKUP($BC144,Programma!$F$3:$U$1101,16,0),"")</f>
        <v/>
      </c>
      <c r="BS144" s="185" t="str">
        <f>_xlfn.IFNA(VLOOKUP($BC144,Programma!$F$3:$V$1101,17,0),"")</f>
        <v/>
      </c>
      <c r="BT144" s="185" t="str">
        <f>_xlfn.IFNA(VLOOKUP($BC144,Programma!$F$3:$W$1101,18,0),"")</f>
        <v/>
      </c>
      <c r="BU144" s="185" t="str">
        <f>_xlfn.IFNA(VLOOKUP($BC144,Programma!$F$3:$X$1101,19,0),"")</f>
        <v/>
      </c>
      <c r="BV144" s="185" t="str">
        <f>_xlfn.IFNA(VLOOKUP($BC144,Programma!$F$3:$Y$1101,20,0),"")</f>
        <v/>
      </c>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78"/>
      <c r="DO144" s="78"/>
      <c r="DP144" s="78"/>
      <c r="DQ144" s="78"/>
      <c r="DR144" s="78"/>
      <c r="DS144" s="78"/>
      <c r="DT144" s="78"/>
      <c r="DU144" s="78"/>
      <c r="DV144" s="78"/>
      <c r="DW144" s="78"/>
      <c r="DX144" s="78"/>
      <c r="DY144" s="78"/>
      <c r="DZ144" s="78"/>
      <c r="EA144" s="78"/>
      <c r="EB144" s="78"/>
      <c r="EC144" s="78"/>
      <c r="ED144" s="78"/>
      <c r="EE144" s="78"/>
      <c r="EF144" s="78"/>
      <c r="EG144" s="78"/>
      <c r="EH144" s="78"/>
      <c r="EI144" s="78"/>
      <c r="EJ144" s="78"/>
      <c r="EK144" s="78"/>
      <c r="EL144" s="78"/>
      <c r="EM144" s="78"/>
      <c r="EN144" s="78"/>
      <c r="EO144" s="78"/>
      <c r="EP144" s="78"/>
      <c r="EQ144" s="78"/>
      <c r="ER144" s="78"/>
      <c r="ES144" s="78"/>
      <c r="ET144" s="78"/>
      <c r="EU144" s="78"/>
      <c r="EV144" s="78"/>
      <c r="EW144" s="78"/>
      <c r="EX144" s="78"/>
      <c r="EY144" s="78"/>
      <c r="EZ144" s="78"/>
      <c r="FA144" s="78"/>
      <c r="FB144" s="78"/>
      <c r="FC144" s="78"/>
      <c r="FD144" s="78"/>
      <c r="FE144" s="78"/>
      <c r="FF144" s="78"/>
      <c r="FG144" s="78"/>
      <c r="FH144" s="78"/>
      <c r="FI144" s="78"/>
      <c r="FJ144" s="78"/>
      <c r="FK144" s="78"/>
      <c r="FL144" s="78"/>
      <c r="FM144" s="78"/>
      <c r="FN144" s="78"/>
      <c r="FO144" s="78"/>
      <c r="FP144" s="78"/>
      <c r="FQ144" s="78"/>
      <c r="FR144" s="78"/>
      <c r="FS144" s="78"/>
      <c r="FT144" s="78"/>
      <c r="FU144" s="78"/>
      <c r="FV144" s="78"/>
      <c r="FW144" s="78"/>
      <c r="FX144" s="78"/>
      <c r="FY144" s="78"/>
      <c r="FZ144" s="78"/>
      <c r="GA144" s="78"/>
      <c r="GB144" s="78"/>
      <c r="GC144" s="78"/>
      <c r="GD144" s="78"/>
      <c r="GE144" s="78"/>
      <c r="GF144" s="78"/>
      <c r="GG144" s="78"/>
      <c r="GH144" s="78"/>
      <c r="GI144" s="78"/>
      <c r="GJ144" s="78"/>
      <c r="GK144" s="78"/>
      <c r="GL144" s="78"/>
      <c r="GM144" s="78"/>
      <c r="GN144" s="78"/>
      <c r="GO144" s="78"/>
      <c r="GP144" s="78"/>
      <c r="GQ144" s="78"/>
      <c r="GR144" s="78"/>
      <c r="GS144" s="78"/>
      <c r="GT144" s="78"/>
      <c r="GU144" s="78"/>
      <c r="GV144" s="78"/>
      <c r="GW144" s="78"/>
      <c r="GX144" s="78"/>
      <c r="GY144" s="78"/>
      <c r="GZ144" s="78"/>
      <c r="HA144" s="78"/>
      <c r="HB144" s="78"/>
      <c r="HC144" s="78"/>
      <c r="HD144" s="78"/>
      <c r="HE144" s="78"/>
      <c r="HF144" s="78"/>
      <c r="HG144" s="78"/>
      <c r="HH144" s="78"/>
      <c r="HI144" s="78"/>
      <c r="HJ144" s="78"/>
      <c r="HK144" s="78"/>
    </row>
    <row r="145" spans="1:219" ht="15" customHeight="1">
      <c r="A145" s="149">
        <v>5</v>
      </c>
      <c r="B145" s="176" t="str">
        <f>VLOOKUP(Ruimtestaat[[#This Row],[Code]],Locaties[[Code]:[Locatie]],2,FALSE)</f>
        <v>OBS Harry Bannink</v>
      </c>
      <c r="C145" s="176" t="str">
        <f>VLOOKUP(Ruimtestaat[[#This Row],[Code]],Locaties[[#All],[Code]:[Adres]],4,FALSE)</f>
        <v>Het Bijvank 111</v>
      </c>
      <c r="D145" s="176" t="str">
        <f>VLOOKUP(Ruimtestaat[[#This Row],[Code]],Locaties[[#All],[Code]:[Postcode]],5,FALSE)</f>
        <v>7544 DA</v>
      </c>
      <c r="E145" s="176" t="str">
        <f>VLOOKUP(Ruimtestaat[[#This Row],[Code]],Locaties[#All],6,FALSE)</f>
        <v>Enschede</v>
      </c>
      <c r="F145" s="149"/>
      <c r="G145" s="149" t="s">
        <v>1646</v>
      </c>
      <c r="H145" s="300" t="s">
        <v>1672</v>
      </c>
      <c r="I145" s="301" t="s">
        <v>1681</v>
      </c>
      <c r="J145" s="149">
        <v>6</v>
      </c>
      <c r="K145" s="183" t="str">
        <f>VLOOKUP(Ruimtestaat[[#This Row],[Ruimte code]],Ruimtegroepen[[#All],[Code]:[Ruimte omschrijving]],2,FALSE)</f>
        <v>Gangen/hallen</v>
      </c>
      <c r="L145" s="149" t="s">
        <v>100</v>
      </c>
      <c r="M145" s="301" t="s">
        <v>1697</v>
      </c>
      <c r="N145" s="177">
        <v>186.5</v>
      </c>
      <c r="O145" s="177"/>
      <c r="P145" s="178" t="str">
        <f>VLOOKUP(Ruimtestaat[[#This Row],[Ruimte code]],Ruimtegroepen[],4,FALSE)</f>
        <v>Ve</v>
      </c>
      <c r="Q145" s="149">
        <v>40</v>
      </c>
      <c r="R145" s="149" t="s">
        <v>2</v>
      </c>
      <c r="S145" s="149">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5" s="149">
        <f>IF(S145&gt;0,VLOOKUP($J145,Ruimtegroepen[],3,FALSE)*VLOOKUP($L145,Vloersoorten[],3,FALSE)*VLOOKUP($R145,Frequenties[],3,FALSE)*VLOOKUP($A145,Locaties[],3,FALSE),0)</f>
        <v>0</v>
      </c>
      <c r="U145" s="149">
        <f>Ruimtestaat[[#This Row],[Uitvoeringen werkdagen]]*Ruimtestaat[[#This Row],[Oppervlak (netto)]]</f>
        <v>37300</v>
      </c>
      <c r="V145" s="179">
        <f>IF(T145&gt;0,Ruimtestaat[[#This Row],[Prest. (m2 /jaar) werkdagen]]/Ruimtestaat[[#This Row],[Norm (m2/uur) werkdagen]],0)</f>
        <v>0</v>
      </c>
      <c r="W145" s="180">
        <f>Ruimtestaat[[#This Row],[uren / jaar werkdagen]]*Tariefsopbouw!$E$35</f>
        <v>0</v>
      </c>
      <c r="X145" s="149"/>
      <c r="Y145" s="149">
        <f>IF(Ruimtestaat[[#This Row],[Frequentie weekend]]&gt;0,VALUE(LEFT(X145,1))*Q145,0)</f>
        <v>0</v>
      </c>
      <c r="Z145" s="148">
        <f>IF($Y145&gt;0,VLOOKUP($J145,Ruimtegroepen[],3,FALSE)*VLOOKUP($L145,Vloersoorten[],3,FALSE)*VLOOKUP($X145,Frequenties[],3,FALSE)*VLOOKUP(Ruimtestaat[[#This Row],[Code]],Locaties[],3,FALSE),0)</f>
        <v>0</v>
      </c>
      <c r="AA145" s="148">
        <f>Ruimtestaat[[#This Row],[Uitvoeringen weekend]]*Ruimtestaat[[#This Row],[Oppervlak (netto)]]</f>
        <v>0</v>
      </c>
      <c r="AB145" s="148">
        <f>IF(Z145&gt;0,Ruimtestaat[[#This Row],[Prest. (m2 /jaar) weekend]]/Ruimtestaat[[#This Row],[Norm (m2/uur) weekend]],0)</f>
        <v>0</v>
      </c>
      <c r="AC145" s="180">
        <f>Ruimtestaat[[#This Row],[uren / jaar weekend]]*Tariefsopbouw!$D$40</f>
        <v>0</v>
      </c>
      <c r="AD145" s="179">
        <f>Ruimtestaat[[#This Row],[Prest. (m2 /jaar) weekend]]+Ruimtestaat[[#This Row],[Prest. (m2 /jaar) werkdagen]]</f>
        <v>37300</v>
      </c>
      <c r="AE145" s="179">
        <f>Ruimtestaat[[#This Row],[uren / jaar weekend]]+Ruimtestaat[[#This Row],[uren / jaar werkdagen]]</f>
        <v>0</v>
      </c>
      <c r="AF145" s="174">
        <f>Ruimtestaat[[#This Row],[kosten / jaar weekend]]+Ruimtestaat[[#This Row],[kosten / jaar werkdagen]]</f>
        <v>0</v>
      </c>
      <c r="AG145" s="174"/>
      <c r="AH145" s="181" t="str">
        <f>IF(Ruimtestaat[[#This Row],[Frequentie werkdagen]]="","",_xlfn.CONCAT(Ruimtestaat[[#This Row],[Ruimte code]],"-",Ruimtestaat[[#This Row],[Frequentie werkdagen]]," ",Ruimtestaat[[#This Row],[Vloer code]]))</f>
        <v>6-5w L</v>
      </c>
      <c r="AI145" s="185" t="str">
        <f>_xlfn.IFNA(VLOOKUP($AH145,Programma!$F$3:$G$1101,2,0),"")</f>
        <v>_</v>
      </c>
      <c r="AJ145" s="185" t="str">
        <f>_xlfn.IFNA(VLOOKUP($AH145,Programma!$F$3:$H$1101,3,0),"")</f>
        <v>_</v>
      </c>
      <c r="AK145" s="185" t="str">
        <f>_xlfn.IFNA(VLOOKUP($AH145,Programma!$F$3:$I$1101,4,0),"")</f>
        <v>_</v>
      </c>
      <c r="AL145" s="185" t="str">
        <f>_xlfn.IFNA(VLOOKUP($AH145,Programma!$F$3:$J$1101,5,0),"")</f>
        <v>5w</v>
      </c>
      <c r="AM145" s="185" t="str">
        <f>_xlfn.IFNA(VLOOKUP($AH145,Programma!$F$3:$K$1101,6,0),"")</f>
        <v>_</v>
      </c>
      <c r="AN145" s="185" t="str">
        <f>_xlfn.IFNA(VLOOKUP($AH145,Programma!$F$3:$L$1101,7,0),"")</f>
        <v>_</v>
      </c>
      <c r="AO145" s="185" t="str">
        <f>_xlfn.IFNA(VLOOKUP($AH145,Programma!$F$3:$M$1101,8,0),"")</f>
        <v>_</v>
      </c>
      <c r="AP145" s="185" t="str">
        <f>_xlfn.IFNA(VLOOKUP($AH145,Programma!$F$3:$N$1101,9,0),"")</f>
        <v>_</v>
      </c>
      <c r="AQ145" s="185" t="str">
        <f>_xlfn.IFNA(VLOOKUP($AH145,Programma!$F$3:$O$1101,10,0),"")</f>
        <v>5w</v>
      </c>
      <c r="AR145" s="185" t="str">
        <f>_xlfn.IFNA(VLOOKUP($AH145,Programma!$F$3:$P$1101,11,0),"")</f>
        <v>5w</v>
      </c>
      <c r="AS145" s="185" t="str">
        <f>_xlfn.IFNA(VLOOKUP($AH145,Programma!$F$3:$Q$1101,12,0),"")</f>
        <v>1w</v>
      </c>
      <c r="AT145" s="185" t="str">
        <f>_xlfn.IFNA(VLOOKUP($AH145,Programma!$F$3:$R$1101,13,0),"")</f>
        <v>1w</v>
      </c>
      <c r="AU145" s="185" t="str">
        <f>_xlfn.IFNA(VLOOKUP($AH145,Programma!$F$3:$S$1101,14,0),"")</f>
        <v>1m</v>
      </c>
      <c r="AV145" s="185" t="str">
        <f>_xlfn.IFNA(VLOOKUP($AH145,Programma!$F$3:$T$1101,15,0),"")</f>
        <v>2j</v>
      </c>
      <c r="AW145" s="185" t="str">
        <f>_xlfn.IFNA(VLOOKUP($AH145,Programma!$F$3:$U$1101,16,0),"")</f>
        <v>1j</v>
      </c>
      <c r="AX145" s="185" t="str">
        <f>_xlfn.IFNA(VLOOKUP($AH145,Programma!$F$3:$V$1101,17,0),"")</f>
        <v>_</v>
      </c>
      <c r="AY145" s="185" t="str">
        <f>_xlfn.IFNA(VLOOKUP($AH145,Programma!$F$3:$W$1101,18,0),"")</f>
        <v>_</v>
      </c>
      <c r="AZ145" s="185" t="str">
        <f>_xlfn.IFNA(VLOOKUP($AH145,Programma!$F$3:$X$1101,19,0),"")</f>
        <v>_</v>
      </c>
      <c r="BA145" s="185" t="str">
        <f>_xlfn.IFNA(VLOOKUP($AH145,Programma!$F$3:$Y$1101,20,0),"")</f>
        <v>_</v>
      </c>
      <c r="BB145" s="182"/>
      <c r="BC145" s="181" t="str">
        <f>IF(Ruimtestaat[[#This Row],[Frequentie weekend]]="","",_xlfn.CONCAT(Ruimtestaat[[#This Row],[Ruimte code]],"-",Ruimtestaat[[#This Row],[Frequentie weekend]]," ",Ruimtestaat[[#This Row],[Vloer code]]))</f>
        <v/>
      </c>
      <c r="BD145" s="185" t="str">
        <f>_xlfn.IFNA(VLOOKUP($BC145,Programma!$F$3:$G$1101,2,0),"")</f>
        <v/>
      </c>
      <c r="BE145" s="185" t="str">
        <f>_xlfn.IFNA(VLOOKUP($BC145,Programma!$F$3:$H$1101,3,0),"")</f>
        <v/>
      </c>
      <c r="BF145" s="185" t="str">
        <f>_xlfn.IFNA(VLOOKUP($BC145,Programma!$F$3:$I$1101,4,0),"")</f>
        <v/>
      </c>
      <c r="BG145" s="185" t="str">
        <f>_xlfn.IFNA(VLOOKUP($BC145,Programma!$F$3:$J$1101,5,0),"")</f>
        <v/>
      </c>
      <c r="BH145" s="185" t="str">
        <f>_xlfn.IFNA(VLOOKUP($BC145,Programma!$F$3:$K$1101,6,0),"")</f>
        <v/>
      </c>
      <c r="BI145" s="185" t="str">
        <f>_xlfn.IFNA(VLOOKUP($BC145,Programma!$F$3:$L$1101,7,0),"")</f>
        <v/>
      </c>
      <c r="BJ145" s="185" t="str">
        <f>_xlfn.IFNA(VLOOKUP($BC145,Programma!$F$3:$M$1101,8,0),"")</f>
        <v/>
      </c>
      <c r="BK145" s="185" t="str">
        <f>_xlfn.IFNA(VLOOKUP($BC145,Programma!$F$3:$N$1101,9,0),"")</f>
        <v/>
      </c>
      <c r="BL145" s="185" t="str">
        <f>_xlfn.IFNA(VLOOKUP($BC145,Programma!$F$3:$O$1101,10,0),"")</f>
        <v/>
      </c>
      <c r="BM145" s="185" t="str">
        <f>_xlfn.IFNA(VLOOKUP($BC145,Programma!$F$3:$P$1101,11,0),"")</f>
        <v/>
      </c>
      <c r="BN145" s="185" t="str">
        <f>_xlfn.IFNA(VLOOKUP($BC145,Programma!$F$3:$Q$1101,12,0),"")</f>
        <v/>
      </c>
      <c r="BO145" s="185" t="str">
        <f>_xlfn.IFNA(VLOOKUP($BC145,Programma!$F$3:$R$1101,13,0),"")</f>
        <v/>
      </c>
      <c r="BP145" s="185" t="str">
        <f>_xlfn.IFNA(VLOOKUP($BC145,Programma!$F$3:$S$1101,14,0),"")</f>
        <v/>
      </c>
      <c r="BQ145" s="185" t="str">
        <f>_xlfn.IFNA(VLOOKUP($BC145,Programma!$F$3:$T$1101,15,0),"")</f>
        <v/>
      </c>
      <c r="BR145" s="185" t="str">
        <f>_xlfn.IFNA(VLOOKUP($BC145,Programma!$F$3:$U$1101,16,0),"")</f>
        <v/>
      </c>
      <c r="BS145" s="185" t="str">
        <f>_xlfn.IFNA(VLOOKUP($BC145,Programma!$F$3:$V$1101,17,0),"")</f>
        <v/>
      </c>
      <c r="BT145" s="185" t="str">
        <f>_xlfn.IFNA(VLOOKUP($BC145,Programma!$F$3:$W$1101,18,0),"")</f>
        <v/>
      </c>
      <c r="BU145" s="185" t="str">
        <f>_xlfn.IFNA(VLOOKUP($BC145,Programma!$F$3:$X$1101,19,0),"")</f>
        <v/>
      </c>
      <c r="BV145" s="185" t="str">
        <f>_xlfn.IFNA(VLOOKUP($BC145,Programma!$F$3:$Y$1101,20,0),"")</f>
        <v/>
      </c>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78"/>
      <c r="DO145" s="78"/>
      <c r="DP145" s="78"/>
      <c r="DQ145" s="78"/>
      <c r="DR145" s="78"/>
      <c r="DS145" s="78"/>
      <c r="DT145" s="78"/>
      <c r="DU145" s="78"/>
      <c r="DV145" s="78"/>
      <c r="DW145" s="78"/>
      <c r="DX145" s="78"/>
      <c r="DY145" s="78"/>
      <c r="DZ145" s="78"/>
      <c r="EA145" s="78"/>
      <c r="EB145" s="78"/>
      <c r="EC145" s="78"/>
      <c r="ED145" s="78"/>
      <c r="EE145" s="78"/>
      <c r="EF145" s="78"/>
      <c r="EG145" s="78"/>
      <c r="EH145" s="78"/>
      <c r="EI145" s="78"/>
      <c r="EJ145" s="78"/>
      <c r="EK145" s="78"/>
      <c r="EL145" s="78"/>
      <c r="EM145" s="78"/>
      <c r="EN145" s="78"/>
      <c r="EO145" s="78"/>
      <c r="EP145" s="78"/>
      <c r="EQ145" s="78"/>
      <c r="ER145" s="78"/>
      <c r="ES145" s="78"/>
      <c r="ET145" s="78"/>
      <c r="EU145" s="78"/>
      <c r="EV145" s="78"/>
      <c r="EW145" s="78"/>
      <c r="EX145" s="78"/>
      <c r="EY145" s="78"/>
      <c r="EZ145" s="78"/>
      <c r="FA145" s="78"/>
      <c r="FB145" s="78"/>
      <c r="FC145" s="78"/>
      <c r="FD145" s="78"/>
      <c r="FE145" s="78"/>
      <c r="FF145" s="78"/>
      <c r="FG145" s="78"/>
      <c r="FH145" s="78"/>
      <c r="FI145" s="78"/>
      <c r="FJ145" s="78"/>
      <c r="FK145" s="78"/>
      <c r="FL145" s="78"/>
      <c r="FM145" s="78"/>
      <c r="FN145" s="78"/>
      <c r="FO145" s="78"/>
      <c r="FP145" s="78"/>
      <c r="FQ145" s="78"/>
      <c r="FR145" s="78"/>
      <c r="FS145" s="78"/>
      <c r="FT145" s="78"/>
      <c r="FU145" s="78"/>
      <c r="FV145" s="78"/>
      <c r="FW145" s="78"/>
      <c r="FX145" s="78"/>
      <c r="FY145" s="78"/>
      <c r="FZ145" s="78"/>
      <c r="GA145" s="78"/>
      <c r="GB145" s="78"/>
      <c r="GC145" s="78"/>
      <c r="GD145" s="78"/>
      <c r="GE145" s="78"/>
      <c r="GF145" s="78"/>
      <c r="GG145" s="78"/>
      <c r="GH145" s="78"/>
      <c r="GI145" s="78"/>
      <c r="GJ145" s="78"/>
      <c r="GK145" s="78"/>
      <c r="GL145" s="78"/>
      <c r="GM145" s="78"/>
      <c r="GN145" s="78"/>
      <c r="GO145" s="78"/>
      <c r="GP145" s="78"/>
      <c r="GQ145" s="78"/>
      <c r="GR145" s="78"/>
      <c r="GS145" s="78"/>
      <c r="GT145" s="78"/>
      <c r="GU145" s="78"/>
      <c r="GV145" s="78"/>
      <c r="GW145" s="78"/>
      <c r="GX145" s="78"/>
      <c r="GY145" s="78"/>
      <c r="GZ145" s="78"/>
      <c r="HA145" s="78"/>
      <c r="HB145" s="78"/>
      <c r="HC145" s="78"/>
      <c r="HD145" s="78"/>
      <c r="HE145" s="78"/>
      <c r="HF145" s="78"/>
      <c r="HG145" s="78"/>
      <c r="HH145" s="78"/>
      <c r="HI145" s="78"/>
      <c r="HJ145" s="78"/>
      <c r="HK145" s="78"/>
    </row>
    <row r="146" spans="1:219" ht="15" customHeight="1">
      <c r="A146" s="149">
        <v>5</v>
      </c>
      <c r="B146" s="176" t="str">
        <f>VLOOKUP(Ruimtestaat[[#This Row],[Code]],Locaties[[Code]:[Locatie]],2,FALSE)</f>
        <v>OBS Harry Bannink</v>
      </c>
      <c r="C146" s="176" t="str">
        <f>VLOOKUP(Ruimtestaat[[#This Row],[Code]],Locaties[[#All],[Code]:[Adres]],4,FALSE)</f>
        <v>Het Bijvank 111</v>
      </c>
      <c r="D146" s="176" t="str">
        <f>VLOOKUP(Ruimtestaat[[#This Row],[Code]],Locaties[[#All],[Code]:[Postcode]],5,FALSE)</f>
        <v>7544 DA</v>
      </c>
      <c r="E146" s="176" t="str">
        <f>VLOOKUP(Ruimtestaat[[#This Row],[Code]],Locaties[#All],6,FALSE)</f>
        <v>Enschede</v>
      </c>
      <c r="F146" s="149"/>
      <c r="G146" s="149" t="s">
        <v>1714</v>
      </c>
      <c r="H146" s="300" t="s">
        <v>1715</v>
      </c>
      <c r="I146" s="301" t="s">
        <v>1655</v>
      </c>
      <c r="J146" s="99">
        <v>5</v>
      </c>
      <c r="K146" s="183" t="str">
        <f>VLOOKUP(Ruimtestaat[[#This Row],[Ruimte code]],Ruimtegroepen[[#All],[Code]:[Ruimte omschrijving]],2,FALSE)</f>
        <v>Sanitair</v>
      </c>
      <c r="L146" s="149" t="s">
        <v>102</v>
      </c>
      <c r="M146" s="301" t="s">
        <v>120</v>
      </c>
      <c r="N146" s="177">
        <v>0.8</v>
      </c>
      <c r="O146" s="177"/>
      <c r="P146" s="178" t="str">
        <f>VLOOKUP(Ruimtestaat[[#This Row],[Ruimte code]],Ruimtegroepen[],4,FALSE)</f>
        <v>Sa</v>
      </c>
      <c r="Q146" s="149">
        <v>40</v>
      </c>
      <c r="R146" s="149" t="s">
        <v>2</v>
      </c>
      <c r="S146" s="149">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149">
        <f>IF(S146&gt;0,VLOOKUP($J146,Ruimtegroepen[],3,FALSE)*VLOOKUP($L146,Vloersoorten[],3,FALSE)*VLOOKUP($R146,Frequenties[],3,FALSE)*VLOOKUP($A146,Locaties[],3,FALSE),0)</f>
        <v>0</v>
      </c>
      <c r="U146" s="149">
        <f>Ruimtestaat[[#This Row],[Uitvoeringen werkdagen]]*Ruimtestaat[[#This Row],[Oppervlak (netto)]]</f>
        <v>160</v>
      </c>
      <c r="V146" s="179">
        <f>IF(T146&gt;0,Ruimtestaat[[#This Row],[Prest. (m2 /jaar) werkdagen]]/Ruimtestaat[[#This Row],[Norm (m2/uur) werkdagen]],0)</f>
        <v>0</v>
      </c>
      <c r="W146" s="180">
        <f>Ruimtestaat[[#This Row],[uren / jaar werkdagen]]*Tariefsopbouw!$E$35</f>
        <v>0</v>
      </c>
      <c r="X146" s="149"/>
      <c r="Y146" s="149">
        <f>IF(Ruimtestaat[[#This Row],[Frequentie weekend]]&gt;0,VALUE(LEFT(X146,1))*Q146,0)</f>
        <v>0</v>
      </c>
      <c r="Z146" s="148">
        <f>IF($Y146&gt;0,VLOOKUP($J146,Ruimtegroepen[],3,FALSE)*VLOOKUP($L146,Vloersoorten[],3,FALSE)*VLOOKUP($X146,Frequenties[],3,FALSE)*VLOOKUP(Ruimtestaat[[#This Row],[Code]],Locaties[],3,FALSE),0)</f>
        <v>0</v>
      </c>
      <c r="AA146" s="148">
        <f>Ruimtestaat[[#This Row],[Uitvoeringen weekend]]*Ruimtestaat[[#This Row],[Oppervlak (netto)]]</f>
        <v>0</v>
      </c>
      <c r="AB146" s="148">
        <f>IF(Z146&gt;0,Ruimtestaat[[#This Row],[Prest. (m2 /jaar) weekend]]/Ruimtestaat[[#This Row],[Norm (m2/uur) weekend]],0)</f>
        <v>0</v>
      </c>
      <c r="AC146" s="180">
        <f>Ruimtestaat[[#This Row],[uren / jaar weekend]]*Tariefsopbouw!$D$40</f>
        <v>0</v>
      </c>
      <c r="AD146" s="179">
        <f>Ruimtestaat[[#This Row],[Prest. (m2 /jaar) weekend]]+Ruimtestaat[[#This Row],[Prest. (m2 /jaar) werkdagen]]</f>
        <v>160</v>
      </c>
      <c r="AE146" s="179">
        <f>Ruimtestaat[[#This Row],[uren / jaar weekend]]+Ruimtestaat[[#This Row],[uren / jaar werkdagen]]</f>
        <v>0</v>
      </c>
      <c r="AF146" s="174">
        <f>Ruimtestaat[[#This Row],[kosten / jaar weekend]]+Ruimtestaat[[#This Row],[kosten / jaar werkdagen]]</f>
        <v>0</v>
      </c>
      <c r="AG146" s="174"/>
      <c r="AH146" s="181" t="str">
        <f>IF(Ruimtestaat[[#This Row],[Frequentie werkdagen]]="","",_xlfn.CONCAT(Ruimtestaat[[#This Row],[Ruimte code]],"-",Ruimtestaat[[#This Row],[Frequentie werkdagen]]," ",Ruimtestaat[[#This Row],[Vloer code]]))</f>
        <v>5-5w P</v>
      </c>
      <c r="AI146" s="185" t="str">
        <f>_xlfn.IFNA(VLOOKUP($AH146,Programma!$F$3:$G$1101,2,0),"")</f>
        <v>_</v>
      </c>
      <c r="AJ146" s="185" t="str">
        <f>_xlfn.IFNA(VLOOKUP($AH146,Programma!$F$3:$H$1101,3,0),"")</f>
        <v>_</v>
      </c>
      <c r="AK146" s="185" t="str">
        <f>_xlfn.IFNA(VLOOKUP($AH146,Programma!$F$3:$I$1101,4,0),"")</f>
        <v>_</v>
      </c>
      <c r="AL146" s="185" t="str">
        <f>_xlfn.IFNA(VLOOKUP($AH146,Programma!$F$3:$J$1101,5,0),"")</f>
        <v>4w</v>
      </c>
      <c r="AM146" s="185" t="str">
        <f>_xlfn.IFNA(VLOOKUP($AH146,Programma!$F$3:$K$1101,6,0),"")</f>
        <v>1w</v>
      </c>
      <c r="AN146" s="185" t="str">
        <f>_xlfn.IFNA(VLOOKUP($AH146,Programma!$F$3:$L$1101,7,0),"")</f>
        <v>_</v>
      </c>
      <c r="AO146" s="185" t="str">
        <f>_xlfn.IFNA(VLOOKUP($AH146,Programma!$F$3:$M$1101,8,0),"")</f>
        <v>_</v>
      </c>
      <c r="AP146" s="185" t="str">
        <f>_xlfn.IFNA(VLOOKUP($AH146,Programma!$F$3:$N$1101,9,0),"")</f>
        <v>_</v>
      </c>
      <c r="AQ146" s="185" t="str">
        <f>_xlfn.IFNA(VLOOKUP($AH146,Programma!$F$3:$O$1101,10,0),"")</f>
        <v>_</v>
      </c>
      <c r="AR146" s="185" t="str">
        <f>_xlfn.IFNA(VLOOKUP($AH146,Programma!$F$3:$P$1101,11,0),"")</f>
        <v>_</v>
      </c>
      <c r="AS146" s="185" t="str">
        <f>_xlfn.IFNA(VLOOKUP($AH146,Programma!$F$3:$Q$1101,12,0),"")</f>
        <v>_</v>
      </c>
      <c r="AT146" s="185" t="str">
        <f>_xlfn.IFNA(VLOOKUP($AH146,Programma!$F$3:$R$1101,13,0),"")</f>
        <v>_</v>
      </c>
      <c r="AU146" s="185" t="str">
        <f>_xlfn.IFNA(VLOOKUP($AH146,Programma!$F$3:$S$1101,14,0),"")</f>
        <v>_</v>
      </c>
      <c r="AV146" s="185" t="str">
        <f>_xlfn.IFNA(VLOOKUP($AH146,Programma!$F$3:$T$1101,15,0),"")</f>
        <v>_</v>
      </c>
      <c r="AW146" s="185" t="str">
        <f>_xlfn.IFNA(VLOOKUP($AH146,Programma!$F$3:$U$1101,16,0),"")</f>
        <v>_</v>
      </c>
      <c r="AX146" s="185" t="str">
        <f>_xlfn.IFNA(VLOOKUP($AH146,Programma!$F$3:$V$1101,17,0),"")</f>
        <v>_</v>
      </c>
      <c r="AY146" s="185" t="str">
        <f>_xlfn.IFNA(VLOOKUP($AH146,Programma!$F$3:$W$1101,18,0),"")</f>
        <v>4w</v>
      </c>
      <c r="AZ146" s="185" t="str">
        <f>_xlfn.IFNA(VLOOKUP($AH146,Programma!$F$3:$X$1101,19,0),"")</f>
        <v>1w</v>
      </c>
      <c r="BA146" s="185" t="str">
        <f>_xlfn.IFNA(VLOOKUP($AH146,Programma!$F$3:$Y$1101,20,0),"")</f>
        <v>_</v>
      </c>
      <c r="BB146" s="182"/>
      <c r="BC146" s="181" t="str">
        <f>IF(Ruimtestaat[[#This Row],[Frequentie weekend]]="","",_xlfn.CONCAT(Ruimtestaat[[#This Row],[Ruimte code]],"-",Ruimtestaat[[#This Row],[Frequentie weekend]]," ",Ruimtestaat[[#This Row],[Vloer code]]))</f>
        <v/>
      </c>
      <c r="BD146" s="185" t="str">
        <f>_xlfn.IFNA(VLOOKUP($BC146,Programma!$F$3:$G$1101,2,0),"")</f>
        <v/>
      </c>
      <c r="BE146" s="185" t="str">
        <f>_xlfn.IFNA(VLOOKUP($BC146,Programma!$F$3:$H$1101,3,0),"")</f>
        <v/>
      </c>
      <c r="BF146" s="185" t="str">
        <f>_xlfn.IFNA(VLOOKUP($BC146,Programma!$F$3:$I$1101,4,0),"")</f>
        <v/>
      </c>
      <c r="BG146" s="185" t="str">
        <f>_xlfn.IFNA(VLOOKUP($BC146,Programma!$F$3:$J$1101,5,0),"")</f>
        <v/>
      </c>
      <c r="BH146" s="185" t="str">
        <f>_xlfn.IFNA(VLOOKUP($BC146,Programma!$F$3:$K$1101,6,0),"")</f>
        <v/>
      </c>
      <c r="BI146" s="185" t="str">
        <f>_xlfn.IFNA(VLOOKUP($BC146,Programma!$F$3:$L$1101,7,0),"")</f>
        <v/>
      </c>
      <c r="BJ146" s="185" t="str">
        <f>_xlfn.IFNA(VLOOKUP($BC146,Programma!$F$3:$M$1101,8,0),"")</f>
        <v/>
      </c>
      <c r="BK146" s="185" t="str">
        <f>_xlfn.IFNA(VLOOKUP($BC146,Programma!$F$3:$N$1101,9,0),"")</f>
        <v/>
      </c>
      <c r="BL146" s="185" t="str">
        <f>_xlfn.IFNA(VLOOKUP($BC146,Programma!$F$3:$O$1101,10,0),"")</f>
        <v/>
      </c>
      <c r="BM146" s="185" t="str">
        <f>_xlfn.IFNA(VLOOKUP($BC146,Programma!$F$3:$P$1101,11,0),"")</f>
        <v/>
      </c>
      <c r="BN146" s="185" t="str">
        <f>_xlfn.IFNA(VLOOKUP($BC146,Programma!$F$3:$Q$1101,12,0),"")</f>
        <v/>
      </c>
      <c r="BO146" s="185" t="str">
        <f>_xlfn.IFNA(VLOOKUP($BC146,Programma!$F$3:$R$1101,13,0),"")</f>
        <v/>
      </c>
      <c r="BP146" s="185" t="str">
        <f>_xlfn.IFNA(VLOOKUP($BC146,Programma!$F$3:$S$1101,14,0),"")</f>
        <v/>
      </c>
      <c r="BQ146" s="185" t="str">
        <f>_xlfn.IFNA(VLOOKUP($BC146,Programma!$F$3:$T$1101,15,0),"")</f>
        <v/>
      </c>
      <c r="BR146" s="185" t="str">
        <f>_xlfn.IFNA(VLOOKUP($BC146,Programma!$F$3:$U$1101,16,0),"")</f>
        <v/>
      </c>
      <c r="BS146" s="185" t="str">
        <f>_xlfn.IFNA(VLOOKUP($BC146,Programma!$F$3:$V$1101,17,0),"")</f>
        <v/>
      </c>
      <c r="BT146" s="185" t="str">
        <f>_xlfn.IFNA(VLOOKUP($BC146,Programma!$F$3:$W$1101,18,0),"")</f>
        <v/>
      </c>
      <c r="BU146" s="185" t="str">
        <f>_xlfn.IFNA(VLOOKUP($BC146,Programma!$F$3:$X$1101,19,0),"")</f>
        <v/>
      </c>
      <c r="BV146" s="185" t="str">
        <f>_xlfn.IFNA(VLOOKUP($BC146,Programma!$F$3:$Y$1101,20,0),"")</f>
        <v/>
      </c>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78"/>
      <c r="DO146" s="78"/>
      <c r="DP146" s="78"/>
      <c r="DQ146" s="78"/>
      <c r="DR146" s="78"/>
      <c r="DS146" s="78"/>
      <c r="DT146" s="78"/>
      <c r="DU146" s="78"/>
      <c r="DV146" s="78"/>
      <c r="DW146" s="78"/>
      <c r="DX146" s="78"/>
      <c r="DY146" s="78"/>
      <c r="DZ146" s="78"/>
      <c r="EA146" s="78"/>
      <c r="EB146" s="78"/>
      <c r="EC146" s="78"/>
      <c r="ED146" s="78"/>
      <c r="EE146" s="78"/>
      <c r="EF146" s="78"/>
      <c r="EG146" s="78"/>
      <c r="EH146" s="78"/>
      <c r="EI146" s="78"/>
      <c r="EJ146" s="78"/>
      <c r="EK146" s="78"/>
      <c r="EL146" s="78"/>
      <c r="EM146" s="78"/>
      <c r="EN146" s="78"/>
      <c r="EO146" s="78"/>
      <c r="EP146" s="78"/>
      <c r="EQ146" s="78"/>
      <c r="ER146" s="78"/>
      <c r="ES146" s="78"/>
      <c r="ET146" s="78"/>
      <c r="EU146" s="78"/>
      <c r="EV146" s="78"/>
      <c r="EW146" s="78"/>
      <c r="EX146" s="78"/>
      <c r="EY146" s="78"/>
      <c r="EZ146" s="78"/>
      <c r="FA146" s="78"/>
      <c r="FB146" s="78"/>
      <c r="FC146" s="78"/>
      <c r="FD146" s="78"/>
      <c r="FE146" s="78"/>
      <c r="FF146" s="78"/>
      <c r="FG146" s="78"/>
      <c r="FH146" s="78"/>
      <c r="FI146" s="78"/>
      <c r="FJ146" s="78"/>
      <c r="FK146" s="78"/>
      <c r="FL146" s="78"/>
      <c r="FM146" s="78"/>
      <c r="FN146" s="78"/>
      <c r="FO146" s="78"/>
      <c r="FP146" s="78"/>
      <c r="FQ146" s="78"/>
      <c r="FR146" s="78"/>
      <c r="FS146" s="78"/>
      <c r="FT146" s="78"/>
      <c r="FU146" s="78"/>
      <c r="FV146" s="78"/>
      <c r="FW146" s="78"/>
      <c r="FX146" s="78"/>
      <c r="FY146" s="78"/>
      <c r="FZ146" s="78"/>
      <c r="GA146" s="78"/>
      <c r="GB146" s="78"/>
      <c r="GC146" s="78"/>
      <c r="GD146" s="78"/>
      <c r="GE146" s="78"/>
      <c r="GF146" s="78"/>
      <c r="GG146" s="78"/>
      <c r="GH146" s="78"/>
      <c r="GI146" s="78"/>
      <c r="GJ146" s="78"/>
      <c r="GK146" s="78"/>
      <c r="GL146" s="78"/>
      <c r="GM146" s="78"/>
      <c r="GN146" s="78"/>
      <c r="GO146" s="78"/>
      <c r="GP146" s="78"/>
      <c r="GQ146" s="78"/>
      <c r="GR146" s="78"/>
      <c r="GS146" s="78"/>
      <c r="GT146" s="78"/>
      <c r="GU146" s="78"/>
      <c r="GV146" s="78"/>
      <c r="GW146" s="78"/>
      <c r="GX146" s="78"/>
      <c r="GY146" s="78"/>
      <c r="GZ146" s="78"/>
      <c r="HA146" s="78"/>
      <c r="HB146" s="78"/>
      <c r="HC146" s="78"/>
      <c r="HD146" s="78"/>
      <c r="HE146" s="78"/>
      <c r="HF146" s="78"/>
      <c r="HG146" s="78"/>
      <c r="HH146" s="78"/>
      <c r="HI146" s="78"/>
      <c r="HJ146" s="78"/>
      <c r="HK146" s="78"/>
    </row>
    <row r="147" spans="1:219" ht="15" customHeight="1">
      <c r="A147" s="149">
        <v>5</v>
      </c>
      <c r="B147" s="176" t="str">
        <f>VLOOKUP(Ruimtestaat[[#This Row],[Code]],Locaties[[Code]:[Locatie]],2,FALSE)</f>
        <v>OBS Harry Bannink</v>
      </c>
      <c r="C147" s="176" t="str">
        <f>VLOOKUP(Ruimtestaat[[#This Row],[Code]],Locaties[[#All],[Code]:[Adres]],4,FALSE)</f>
        <v>Het Bijvank 111</v>
      </c>
      <c r="D147" s="176" t="str">
        <f>VLOOKUP(Ruimtestaat[[#This Row],[Code]],Locaties[[#All],[Code]:[Postcode]],5,FALSE)</f>
        <v>7544 DA</v>
      </c>
      <c r="E147" s="176" t="str">
        <f>VLOOKUP(Ruimtestaat[[#This Row],[Code]],Locaties[#All],6,FALSE)</f>
        <v>Enschede</v>
      </c>
      <c r="F147" s="149"/>
      <c r="G147" s="149" t="s">
        <v>1714</v>
      </c>
      <c r="H147" s="300" t="s">
        <v>1716</v>
      </c>
      <c r="I147" s="301" t="s">
        <v>1655</v>
      </c>
      <c r="J147" s="99">
        <v>5</v>
      </c>
      <c r="K147" s="183" t="str">
        <f>VLOOKUP(Ruimtestaat[[#This Row],[Ruimte code]],Ruimtegroepen[[#All],[Code]:[Ruimte omschrijving]],2,FALSE)</f>
        <v>Sanitair</v>
      </c>
      <c r="L147" s="149" t="s">
        <v>102</v>
      </c>
      <c r="M147" s="301" t="s">
        <v>120</v>
      </c>
      <c r="N147" s="177">
        <v>0.8</v>
      </c>
      <c r="O147" s="177"/>
      <c r="P147" s="178" t="str">
        <f>VLOOKUP(Ruimtestaat[[#This Row],[Ruimte code]],Ruimtegroepen[],4,FALSE)</f>
        <v>Sa</v>
      </c>
      <c r="Q147" s="149">
        <v>40</v>
      </c>
      <c r="R147" s="149" t="s">
        <v>2</v>
      </c>
      <c r="S147" s="149">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149">
        <f>IF(S147&gt;0,VLOOKUP($J147,Ruimtegroepen[],3,FALSE)*VLOOKUP($L147,Vloersoorten[],3,FALSE)*VLOOKUP($R147,Frequenties[],3,FALSE)*VLOOKUP($A147,Locaties[],3,FALSE),0)</f>
        <v>0</v>
      </c>
      <c r="U147" s="149">
        <f>Ruimtestaat[[#This Row],[Uitvoeringen werkdagen]]*Ruimtestaat[[#This Row],[Oppervlak (netto)]]</f>
        <v>160</v>
      </c>
      <c r="V147" s="179">
        <f>IF(T147&gt;0,Ruimtestaat[[#This Row],[Prest. (m2 /jaar) werkdagen]]/Ruimtestaat[[#This Row],[Norm (m2/uur) werkdagen]],0)</f>
        <v>0</v>
      </c>
      <c r="W147" s="180">
        <f>Ruimtestaat[[#This Row],[uren / jaar werkdagen]]*Tariefsopbouw!$E$35</f>
        <v>0</v>
      </c>
      <c r="X147" s="149"/>
      <c r="Y147" s="149">
        <f>IF(Ruimtestaat[[#This Row],[Frequentie weekend]]&gt;0,VALUE(LEFT(X147,1))*Q147,0)</f>
        <v>0</v>
      </c>
      <c r="Z147" s="148">
        <f>IF($Y147&gt;0,VLOOKUP($J147,Ruimtegroepen[],3,FALSE)*VLOOKUP($L147,Vloersoorten[],3,FALSE)*VLOOKUP($X147,Frequenties[],3,FALSE)*VLOOKUP(Ruimtestaat[[#This Row],[Code]],Locaties[],3,FALSE),0)</f>
        <v>0</v>
      </c>
      <c r="AA147" s="148">
        <f>Ruimtestaat[[#This Row],[Uitvoeringen weekend]]*Ruimtestaat[[#This Row],[Oppervlak (netto)]]</f>
        <v>0</v>
      </c>
      <c r="AB147" s="148">
        <f>IF(Z147&gt;0,Ruimtestaat[[#This Row],[Prest. (m2 /jaar) weekend]]/Ruimtestaat[[#This Row],[Norm (m2/uur) weekend]],0)</f>
        <v>0</v>
      </c>
      <c r="AC147" s="180">
        <f>Ruimtestaat[[#This Row],[uren / jaar weekend]]*Tariefsopbouw!$D$40</f>
        <v>0</v>
      </c>
      <c r="AD147" s="179">
        <f>Ruimtestaat[[#This Row],[Prest. (m2 /jaar) weekend]]+Ruimtestaat[[#This Row],[Prest. (m2 /jaar) werkdagen]]</f>
        <v>160</v>
      </c>
      <c r="AE147" s="179">
        <f>Ruimtestaat[[#This Row],[uren / jaar weekend]]+Ruimtestaat[[#This Row],[uren / jaar werkdagen]]</f>
        <v>0</v>
      </c>
      <c r="AF147" s="174">
        <f>Ruimtestaat[[#This Row],[kosten / jaar weekend]]+Ruimtestaat[[#This Row],[kosten / jaar werkdagen]]</f>
        <v>0</v>
      </c>
      <c r="AG147" s="174"/>
      <c r="AH147" s="181" t="str">
        <f>IF(Ruimtestaat[[#This Row],[Frequentie werkdagen]]="","",_xlfn.CONCAT(Ruimtestaat[[#This Row],[Ruimte code]],"-",Ruimtestaat[[#This Row],[Frequentie werkdagen]]," ",Ruimtestaat[[#This Row],[Vloer code]]))</f>
        <v>5-5w P</v>
      </c>
      <c r="AI147" s="185" t="str">
        <f>_xlfn.IFNA(VLOOKUP($AH147,Programma!$F$3:$G$1101,2,0),"")</f>
        <v>_</v>
      </c>
      <c r="AJ147" s="185" t="str">
        <f>_xlfn.IFNA(VLOOKUP($AH147,Programma!$F$3:$H$1101,3,0),"")</f>
        <v>_</v>
      </c>
      <c r="AK147" s="185" t="str">
        <f>_xlfn.IFNA(VLOOKUP($AH147,Programma!$F$3:$I$1101,4,0),"")</f>
        <v>_</v>
      </c>
      <c r="AL147" s="185" t="str">
        <f>_xlfn.IFNA(VLOOKUP($AH147,Programma!$F$3:$J$1101,5,0),"")</f>
        <v>4w</v>
      </c>
      <c r="AM147" s="185" t="str">
        <f>_xlfn.IFNA(VLOOKUP($AH147,Programma!$F$3:$K$1101,6,0),"")</f>
        <v>1w</v>
      </c>
      <c r="AN147" s="185" t="str">
        <f>_xlfn.IFNA(VLOOKUP($AH147,Programma!$F$3:$L$1101,7,0),"")</f>
        <v>_</v>
      </c>
      <c r="AO147" s="185" t="str">
        <f>_xlfn.IFNA(VLOOKUP($AH147,Programma!$F$3:$M$1101,8,0),"")</f>
        <v>_</v>
      </c>
      <c r="AP147" s="185" t="str">
        <f>_xlfn.IFNA(VLOOKUP($AH147,Programma!$F$3:$N$1101,9,0),"")</f>
        <v>_</v>
      </c>
      <c r="AQ147" s="185" t="str">
        <f>_xlfn.IFNA(VLOOKUP($AH147,Programma!$F$3:$O$1101,10,0),"")</f>
        <v>_</v>
      </c>
      <c r="AR147" s="185" t="str">
        <f>_xlfn.IFNA(VLOOKUP($AH147,Programma!$F$3:$P$1101,11,0),"")</f>
        <v>_</v>
      </c>
      <c r="AS147" s="185" t="str">
        <f>_xlfn.IFNA(VLOOKUP($AH147,Programma!$F$3:$Q$1101,12,0),"")</f>
        <v>_</v>
      </c>
      <c r="AT147" s="185" t="str">
        <f>_xlfn.IFNA(VLOOKUP($AH147,Programma!$F$3:$R$1101,13,0),"")</f>
        <v>_</v>
      </c>
      <c r="AU147" s="185" t="str">
        <f>_xlfn.IFNA(VLOOKUP($AH147,Programma!$F$3:$S$1101,14,0),"")</f>
        <v>_</v>
      </c>
      <c r="AV147" s="185" t="str">
        <f>_xlfn.IFNA(VLOOKUP($AH147,Programma!$F$3:$T$1101,15,0),"")</f>
        <v>_</v>
      </c>
      <c r="AW147" s="185" t="str">
        <f>_xlfn.IFNA(VLOOKUP($AH147,Programma!$F$3:$U$1101,16,0),"")</f>
        <v>_</v>
      </c>
      <c r="AX147" s="185" t="str">
        <f>_xlfn.IFNA(VLOOKUP($AH147,Programma!$F$3:$V$1101,17,0),"")</f>
        <v>_</v>
      </c>
      <c r="AY147" s="185" t="str">
        <f>_xlfn.IFNA(VLOOKUP($AH147,Programma!$F$3:$W$1101,18,0),"")</f>
        <v>4w</v>
      </c>
      <c r="AZ147" s="185" t="str">
        <f>_xlfn.IFNA(VLOOKUP($AH147,Programma!$F$3:$X$1101,19,0),"")</f>
        <v>1w</v>
      </c>
      <c r="BA147" s="185" t="str">
        <f>_xlfn.IFNA(VLOOKUP($AH147,Programma!$F$3:$Y$1101,20,0),"")</f>
        <v>_</v>
      </c>
      <c r="BB147" s="182"/>
      <c r="BC147" s="181" t="str">
        <f>IF(Ruimtestaat[[#This Row],[Frequentie weekend]]="","",_xlfn.CONCAT(Ruimtestaat[[#This Row],[Ruimte code]],"-",Ruimtestaat[[#This Row],[Frequentie weekend]]," ",Ruimtestaat[[#This Row],[Vloer code]]))</f>
        <v/>
      </c>
      <c r="BD147" s="185" t="str">
        <f>_xlfn.IFNA(VLOOKUP($BC147,Programma!$F$3:$G$1101,2,0),"")</f>
        <v/>
      </c>
      <c r="BE147" s="185" t="str">
        <f>_xlfn.IFNA(VLOOKUP($BC147,Programma!$F$3:$H$1101,3,0),"")</f>
        <v/>
      </c>
      <c r="BF147" s="185" t="str">
        <f>_xlfn.IFNA(VLOOKUP($BC147,Programma!$F$3:$I$1101,4,0),"")</f>
        <v/>
      </c>
      <c r="BG147" s="185" t="str">
        <f>_xlfn.IFNA(VLOOKUP($BC147,Programma!$F$3:$J$1101,5,0),"")</f>
        <v/>
      </c>
      <c r="BH147" s="185" t="str">
        <f>_xlfn.IFNA(VLOOKUP($BC147,Programma!$F$3:$K$1101,6,0),"")</f>
        <v/>
      </c>
      <c r="BI147" s="185" t="str">
        <f>_xlfn.IFNA(VLOOKUP($BC147,Programma!$F$3:$L$1101,7,0),"")</f>
        <v/>
      </c>
      <c r="BJ147" s="185" t="str">
        <f>_xlfn.IFNA(VLOOKUP($BC147,Programma!$F$3:$M$1101,8,0),"")</f>
        <v/>
      </c>
      <c r="BK147" s="185" t="str">
        <f>_xlfn.IFNA(VLOOKUP($BC147,Programma!$F$3:$N$1101,9,0),"")</f>
        <v/>
      </c>
      <c r="BL147" s="185" t="str">
        <f>_xlfn.IFNA(VLOOKUP($BC147,Programma!$F$3:$O$1101,10,0),"")</f>
        <v/>
      </c>
      <c r="BM147" s="185" t="str">
        <f>_xlfn.IFNA(VLOOKUP($BC147,Programma!$F$3:$P$1101,11,0),"")</f>
        <v/>
      </c>
      <c r="BN147" s="185" t="str">
        <f>_xlfn.IFNA(VLOOKUP($BC147,Programma!$F$3:$Q$1101,12,0),"")</f>
        <v/>
      </c>
      <c r="BO147" s="185" t="str">
        <f>_xlfn.IFNA(VLOOKUP($BC147,Programma!$F$3:$R$1101,13,0),"")</f>
        <v/>
      </c>
      <c r="BP147" s="185" t="str">
        <f>_xlfn.IFNA(VLOOKUP($BC147,Programma!$F$3:$S$1101,14,0),"")</f>
        <v/>
      </c>
      <c r="BQ147" s="185" t="str">
        <f>_xlfn.IFNA(VLOOKUP($BC147,Programma!$F$3:$T$1101,15,0),"")</f>
        <v/>
      </c>
      <c r="BR147" s="185" t="str">
        <f>_xlfn.IFNA(VLOOKUP($BC147,Programma!$F$3:$U$1101,16,0),"")</f>
        <v/>
      </c>
      <c r="BS147" s="185" t="str">
        <f>_xlfn.IFNA(VLOOKUP($BC147,Programma!$F$3:$V$1101,17,0),"")</f>
        <v/>
      </c>
      <c r="BT147" s="185" t="str">
        <f>_xlfn.IFNA(VLOOKUP($BC147,Programma!$F$3:$W$1101,18,0),"")</f>
        <v/>
      </c>
      <c r="BU147" s="185" t="str">
        <f>_xlfn.IFNA(VLOOKUP($BC147,Programma!$F$3:$X$1101,19,0),"")</f>
        <v/>
      </c>
      <c r="BV147" s="185" t="str">
        <f>_xlfn.IFNA(VLOOKUP($BC147,Programma!$F$3:$Y$1101,20,0),"")</f>
        <v/>
      </c>
      <c r="BW147" s="78"/>
      <c r="BX147" s="78"/>
      <c r="BY147" s="78"/>
      <c r="BZ147" s="78"/>
      <c r="CA147" s="78"/>
      <c r="CB147" s="78"/>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8"/>
      <c r="DJ147" s="78"/>
      <c r="DK147" s="78"/>
      <c r="DL147" s="78"/>
      <c r="DM147" s="78"/>
      <c r="DN147" s="78"/>
      <c r="DO147" s="78"/>
      <c r="DP147" s="78"/>
      <c r="DQ147" s="78"/>
      <c r="DR147" s="78"/>
      <c r="DS147" s="78"/>
      <c r="DT147" s="78"/>
      <c r="DU147" s="78"/>
      <c r="DV147" s="78"/>
      <c r="DW147" s="78"/>
      <c r="DX147" s="78"/>
      <c r="DY147" s="78"/>
      <c r="DZ147" s="78"/>
      <c r="EA147" s="78"/>
      <c r="EB147" s="78"/>
      <c r="EC147" s="78"/>
      <c r="ED147" s="78"/>
      <c r="EE147" s="78"/>
      <c r="EF147" s="78"/>
      <c r="EG147" s="78"/>
      <c r="EH147" s="78"/>
      <c r="EI147" s="78"/>
      <c r="EJ147" s="78"/>
      <c r="EK147" s="78"/>
      <c r="EL147" s="78"/>
      <c r="EM147" s="78"/>
      <c r="EN147" s="78"/>
      <c r="EO147" s="78"/>
      <c r="EP147" s="78"/>
      <c r="EQ147" s="78"/>
      <c r="ER147" s="78"/>
      <c r="ES147" s="78"/>
      <c r="ET147" s="78"/>
      <c r="EU147" s="78"/>
      <c r="EV147" s="78"/>
      <c r="EW147" s="78"/>
      <c r="EX147" s="78"/>
      <c r="EY147" s="78"/>
      <c r="EZ147" s="78"/>
      <c r="FA147" s="78"/>
      <c r="FB147" s="78"/>
      <c r="FC147" s="78"/>
      <c r="FD147" s="78"/>
      <c r="FE147" s="78"/>
      <c r="FF147" s="78"/>
      <c r="FG147" s="78"/>
      <c r="FH147" s="78"/>
      <c r="FI147" s="78"/>
      <c r="FJ147" s="78"/>
      <c r="FK147" s="78"/>
      <c r="FL147" s="78"/>
      <c r="FM147" s="78"/>
      <c r="FN147" s="78"/>
      <c r="FO147" s="78"/>
      <c r="FP147" s="78"/>
      <c r="FQ147" s="78"/>
      <c r="FR147" s="78"/>
      <c r="FS147" s="78"/>
      <c r="FT147" s="78"/>
      <c r="FU147" s="78"/>
      <c r="FV147" s="78"/>
      <c r="FW147" s="78"/>
      <c r="FX147" s="78"/>
      <c r="FY147" s="78"/>
      <c r="FZ147" s="78"/>
      <c r="GA147" s="78"/>
      <c r="GB147" s="78"/>
      <c r="GC147" s="78"/>
      <c r="GD147" s="78"/>
      <c r="GE147" s="78"/>
      <c r="GF147" s="78"/>
      <c r="GG147" s="78"/>
      <c r="GH147" s="78"/>
      <c r="GI147" s="78"/>
      <c r="GJ147" s="78"/>
      <c r="GK147" s="78"/>
      <c r="GL147" s="78"/>
      <c r="GM147" s="78"/>
      <c r="GN147" s="78"/>
      <c r="GO147" s="78"/>
      <c r="GP147" s="78"/>
      <c r="GQ147" s="78"/>
      <c r="GR147" s="78"/>
      <c r="GS147" s="78"/>
      <c r="GT147" s="78"/>
      <c r="GU147" s="78"/>
      <c r="GV147" s="78"/>
      <c r="GW147" s="78"/>
      <c r="GX147" s="78"/>
      <c r="GY147" s="78"/>
      <c r="GZ147" s="78"/>
      <c r="HA147" s="78"/>
      <c r="HB147" s="78"/>
      <c r="HC147" s="78"/>
      <c r="HD147" s="78"/>
      <c r="HE147" s="78"/>
      <c r="HF147" s="78"/>
      <c r="HG147" s="78"/>
      <c r="HH147" s="78"/>
      <c r="HI147" s="78"/>
      <c r="HJ147" s="78"/>
      <c r="HK147" s="78"/>
    </row>
    <row r="148" spans="1:219" ht="15" customHeight="1">
      <c r="A148" s="149">
        <v>5</v>
      </c>
      <c r="B148" s="176" t="str">
        <f>VLOOKUP(Ruimtestaat[[#This Row],[Code]],Locaties[[Code]:[Locatie]],2,FALSE)</f>
        <v>OBS Harry Bannink</v>
      </c>
      <c r="C148" s="176" t="str">
        <f>VLOOKUP(Ruimtestaat[[#This Row],[Code]],Locaties[[#All],[Code]:[Adres]],4,FALSE)</f>
        <v>Het Bijvank 111</v>
      </c>
      <c r="D148" s="176" t="str">
        <f>VLOOKUP(Ruimtestaat[[#This Row],[Code]],Locaties[[#All],[Code]:[Postcode]],5,FALSE)</f>
        <v>7544 DA</v>
      </c>
      <c r="E148" s="176" t="str">
        <f>VLOOKUP(Ruimtestaat[[#This Row],[Code]],Locaties[#All],6,FALSE)</f>
        <v>Enschede</v>
      </c>
      <c r="F148" s="149"/>
      <c r="G148" s="149" t="s">
        <v>1714</v>
      </c>
      <c r="H148" s="300" t="s">
        <v>1717</v>
      </c>
      <c r="I148" s="301" t="s">
        <v>1651</v>
      </c>
      <c r="J148" s="99">
        <v>16</v>
      </c>
      <c r="K148" s="183" t="str">
        <f>VLOOKUP(Ruimtestaat[[#This Row],[Ruimte code]],Ruimtegroepen[[#All],[Code]:[Ruimte omschrijving]],2,FALSE)</f>
        <v>Leslokalen</v>
      </c>
      <c r="L148" s="149" t="s">
        <v>100</v>
      </c>
      <c r="M148" s="301" t="s">
        <v>1697</v>
      </c>
      <c r="N148" s="177">
        <v>54.1</v>
      </c>
      <c r="O148" s="177"/>
      <c r="P148" s="178" t="str">
        <f>VLOOKUP(Ruimtestaat[[#This Row],[Ruimte code]],Ruimtegroepen[],4,FALSE)</f>
        <v>Le</v>
      </c>
      <c r="Q148" s="149">
        <v>40</v>
      </c>
      <c r="R148" s="149" t="s">
        <v>2</v>
      </c>
      <c r="S148" s="149">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8" s="149">
        <f>IF(S148&gt;0,VLOOKUP($J148,Ruimtegroepen[],3,FALSE)*VLOOKUP($L148,Vloersoorten[],3,FALSE)*VLOOKUP($R148,Frequenties[],3,FALSE)*VLOOKUP($A148,Locaties[],3,FALSE),0)</f>
        <v>0</v>
      </c>
      <c r="U148" s="149">
        <f>Ruimtestaat[[#This Row],[Uitvoeringen werkdagen]]*Ruimtestaat[[#This Row],[Oppervlak (netto)]]</f>
        <v>10820</v>
      </c>
      <c r="V148" s="179">
        <f>IF(T148&gt;0,Ruimtestaat[[#This Row],[Prest. (m2 /jaar) werkdagen]]/Ruimtestaat[[#This Row],[Norm (m2/uur) werkdagen]],0)</f>
        <v>0</v>
      </c>
      <c r="W148" s="180">
        <f>Ruimtestaat[[#This Row],[uren / jaar werkdagen]]*Tariefsopbouw!$E$35</f>
        <v>0</v>
      </c>
      <c r="X148" s="149"/>
      <c r="Y148" s="149">
        <f>IF(Ruimtestaat[[#This Row],[Frequentie weekend]]&gt;0,VALUE(LEFT(X148,1))*Q148,0)</f>
        <v>0</v>
      </c>
      <c r="Z148" s="148">
        <f>IF($Y148&gt;0,VLOOKUP($J148,Ruimtegroepen[],3,FALSE)*VLOOKUP($L148,Vloersoorten[],3,FALSE)*VLOOKUP($X148,Frequenties[],3,FALSE)*VLOOKUP(Ruimtestaat[[#This Row],[Code]],Locaties[],3,FALSE),0)</f>
        <v>0</v>
      </c>
      <c r="AA148" s="148">
        <f>Ruimtestaat[[#This Row],[Uitvoeringen weekend]]*Ruimtestaat[[#This Row],[Oppervlak (netto)]]</f>
        <v>0</v>
      </c>
      <c r="AB148" s="148">
        <f>IF(Z148&gt;0,Ruimtestaat[[#This Row],[Prest. (m2 /jaar) weekend]]/Ruimtestaat[[#This Row],[Norm (m2/uur) weekend]],0)</f>
        <v>0</v>
      </c>
      <c r="AC148" s="180">
        <f>Ruimtestaat[[#This Row],[uren / jaar weekend]]*Tariefsopbouw!$D$40</f>
        <v>0</v>
      </c>
      <c r="AD148" s="179">
        <f>Ruimtestaat[[#This Row],[Prest. (m2 /jaar) weekend]]+Ruimtestaat[[#This Row],[Prest. (m2 /jaar) werkdagen]]</f>
        <v>10820</v>
      </c>
      <c r="AE148" s="179">
        <f>Ruimtestaat[[#This Row],[uren / jaar weekend]]+Ruimtestaat[[#This Row],[uren / jaar werkdagen]]</f>
        <v>0</v>
      </c>
      <c r="AF148" s="174">
        <f>Ruimtestaat[[#This Row],[kosten / jaar weekend]]+Ruimtestaat[[#This Row],[kosten / jaar werkdagen]]</f>
        <v>0</v>
      </c>
      <c r="AG148" s="174"/>
      <c r="AH148" s="181" t="str">
        <f>IF(Ruimtestaat[[#This Row],[Frequentie werkdagen]]="","",_xlfn.CONCAT(Ruimtestaat[[#This Row],[Ruimte code]],"-",Ruimtestaat[[#This Row],[Frequentie werkdagen]]," ",Ruimtestaat[[#This Row],[Vloer code]]))</f>
        <v>16-5w L</v>
      </c>
      <c r="AI148" s="185" t="str">
        <f>_xlfn.IFNA(VLOOKUP($AH148,Programma!$F$3:$G$1101,2,0),"")</f>
        <v>_</v>
      </c>
      <c r="AJ148" s="185" t="str">
        <f>_xlfn.IFNA(VLOOKUP($AH148,Programma!$F$3:$H$1101,3,0),"")</f>
        <v>_</v>
      </c>
      <c r="AK148" s="185" t="str">
        <f>_xlfn.IFNA(VLOOKUP($AH148,Programma!$F$3:$I$1101,4,0),"")</f>
        <v>4w</v>
      </c>
      <c r="AL148" s="185" t="str">
        <f>_xlfn.IFNA(VLOOKUP($AH148,Programma!$F$3:$J$1101,5,0),"")</f>
        <v>1w</v>
      </c>
      <c r="AM148" s="185" t="str">
        <f>_xlfn.IFNA(VLOOKUP($AH148,Programma!$F$3:$K$1101,6,0),"")</f>
        <v>_</v>
      </c>
      <c r="AN148" s="185" t="str">
        <f>_xlfn.IFNA(VLOOKUP($AH148,Programma!$F$3:$L$1101,7,0),"")</f>
        <v>_</v>
      </c>
      <c r="AO148" s="185" t="str">
        <f>_xlfn.IFNA(VLOOKUP($AH148,Programma!$F$3:$M$1101,8,0),"")</f>
        <v>_</v>
      </c>
      <c r="AP148" s="185" t="str">
        <f>_xlfn.IFNA(VLOOKUP($AH148,Programma!$F$3:$N$1101,9,0),"")</f>
        <v>_</v>
      </c>
      <c r="AQ148" s="185" t="str">
        <f>_xlfn.IFNA(VLOOKUP($AH148,Programma!$F$3:$O$1101,10,0),"")</f>
        <v>5w</v>
      </c>
      <c r="AR148" s="185" t="str">
        <f>_xlfn.IFNA(VLOOKUP($AH148,Programma!$F$3:$P$1101,11,0),"")</f>
        <v>5w</v>
      </c>
      <c r="AS148" s="185" t="str">
        <f>_xlfn.IFNA(VLOOKUP($AH148,Programma!$F$3:$Q$1101,12,0),"")</f>
        <v>1w</v>
      </c>
      <c r="AT148" s="185" t="str">
        <f>_xlfn.IFNA(VLOOKUP($AH148,Programma!$F$3:$R$1101,13,0),"")</f>
        <v>1w</v>
      </c>
      <c r="AU148" s="185" t="str">
        <f>_xlfn.IFNA(VLOOKUP($AH148,Programma!$F$3:$S$1101,14,0),"")</f>
        <v>1m</v>
      </c>
      <c r="AV148" s="185" t="str">
        <f>_xlfn.IFNA(VLOOKUP($AH148,Programma!$F$3:$T$1101,15,0),"")</f>
        <v>2j</v>
      </c>
      <c r="AW148" s="185" t="str">
        <f>_xlfn.IFNA(VLOOKUP($AH148,Programma!$F$3:$U$1101,16,0),"")</f>
        <v>1j</v>
      </c>
      <c r="AX148" s="185" t="str">
        <f>_xlfn.IFNA(VLOOKUP($AH148,Programma!$F$3:$V$1101,17,0),"")</f>
        <v>_</v>
      </c>
      <c r="AY148" s="185" t="str">
        <f>_xlfn.IFNA(VLOOKUP($AH148,Programma!$F$3:$W$1101,18,0),"")</f>
        <v>_</v>
      </c>
      <c r="AZ148" s="185" t="str">
        <f>_xlfn.IFNA(VLOOKUP($AH148,Programma!$F$3:$X$1101,19,0),"")</f>
        <v>_</v>
      </c>
      <c r="BA148" s="185" t="str">
        <f>_xlfn.IFNA(VLOOKUP($AH148,Programma!$F$3:$Y$1101,20,0),"")</f>
        <v>_</v>
      </c>
      <c r="BB148" s="182"/>
      <c r="BC148" s="181" t="str">
        <f>IF(Ruimtestaat[[#This Row],[Frequentie weekend]]="","",_xlfn.CONCAT(Ruimtestaat[[#This Row],[Ruimte code]],"-",Ruimtestaat[[#This Row],[Frequentie weekend]]," ",Ruimtestaat[[#This Row],[Vloer code]]))</f>
        <v/>
      </c>
      <c r="BD148" s="185" t="str">
        <f>_xlfn.IFNA(VLOOKUP($BC148,Programma!$F$3:$G$1101,2,0),"")</f>
        <v/>
      </c>
      <c r="BE148" s="185" t="str">
        <f>_xlfn.IFNA(VLOOKUP($BC148,Programma!$F$3:$H$1101,3,0),"")</f>
        <v/>
      </c>
      <c r="BF148" s="185" t="str">
        <f>_xlfn.IFNA(VLOOKUP($BC148,Programma!$F$3:$I$1101,4,0),"")</f>
        <v/>
      </c>
      <c r="BG148" s="185" t="str">
        <f>_xlfn.IFNA(VLOOKUP($BC148,Programma!$F$3:$J$1101,5,0),"")</f>
        <v/>
      </c>
      <c r="BH148" s="185" t="str">
        <f>_xlfn.IFNA(VLOOKUP($BC148,Programma!$F$3:$K$1101,6,0),"")</f>
        <v/>
      </c>
      <c r="BI148" s="185" t="str">
        <f>_xlfn.IFNA(VLOOKUP($BC148,Programma!$F$3:$L$1101,7,0),"")</f>
        <v/>
      </c>
      <c r="BJ148" s="185" t="str">
        <f>_xlfn.IFNA(VLOOKUP($BC148,Programma!$F$3:$M$1101,8,0),"")</f>
        <v/>
      </c>
      <c r="BK148" s="185" t="str">
        <f>_xlfn.IFNA(VLOOKUP($BC148,Programma!$F$3:$N$1101,9,0),"")</f>
        <v/>
      </c>
      <c r="BL148" s="185" t="str">
        <f>_xlfn.IFNA(VLOOKUP($BC148,Programma!$F$3:$O$1101,10,0),"")</f>
        <v/>
      </c>
      <c r="BM148" s="185" t="str">
        <f>_xlfn.IFNA(VLOOKUP($BC148,Programma!$F$3:$P$1101,11,0),"")</f>
        <v/>
      </c>
      <c r="BN148" s="185" t="str">
        <f>_xlfn.IFNA(VLOOKUP($BC148,Programma!$F$3:$Q$1101,12,0),"")</f>
        <v/>
      </c>
      <c r="BO148" s="185" t="str">
        <f>_xlfn.IFNA(VLOOKUP($BC148,Programma!$F$3:$R$1101,13,0),"")</f>
        <v/>
      </c>
      <c r="BP148" s="185" t="str">
        <f>_xlfn.IFNA(VLOOKUP($BC148,Programma!$F$3:$S$1101,14,0),"")</f>
        <v/>
      </c>
      <c r="BQ148" s="185" t="str">
        <f>_xlfn.IFNA(VLOOKUP($BC148,Programma!$F$3:$T$1101,15,0),"")</f>
        <v/>
      </c>
      <c r="BR148" s="185" t="str">
        <f>_xlfn.IFNA(VLOOKUP($BC148,Programma!$F$3:$U$1101,16,0),"")</f>
        <v/>
      </c>
      <c r="BS148" s="185" t="str">
        <f>_xlfn.IFNA(VLOOKUP($BC148,Programma!$F$3:$V$1101,17,0),"")</f>
        <v/>
      </c>
      <c r="BT148" s="185" t="str">
        <f>_xlfn.IFNA(VLOOKUP($BC148,Programma!$F$3:$W$1101,18,0),"")</f>
        <v/>
      </c>
      <c r="BU148" s="185" t="str">
        <f>_xlfn.IFNA(VLOOKUP($BC148,Programma!$F$3:$X$1101,19,0),"")</f>
        <v/>
      </c>
      <c r="BV148" s="185" t="str">
        <f>_xlfn.IFNA(VLOOKUP($BC148,Programma!$F$3:$Y$1101,20,0),"")</f>
        <v/>
      </c>
      <c r="BW148" s="78"/>
      <c r="BX148" s="78"/>
      <c r="BY148" s="78"/>
      <c r="BZ148" s="78"/>
      <c r="CA148" s="78"/>
      <c r="CB148" s="78"/>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78"/>
      <c r="DB148" s="78"/>
      <c r="DC148" s="78"/>
      <c r="DD148" s="78"/>
      <c r="DE148" s="78"/>
      <c r="DF148" s="78"/>
      <c r="DG148" s="78"/>
      <c r="DH148" s="78"/>
      <c r="DI148" s="78"/>
      <c r="DJ148" s="78"/>
      <c r="DK148" s="78"/>
      <c r="DL148" s="78"/>
      <c r="DM148" s="78"/>
      <c r="DN148" s="78"/>
      <c r="DO148" s="78"/>
      <c r="DP148" s="78"/>
      <c r="DQ148" s="78"/>
      <c r="DR148" s="78"/>
      <c r="DS148" s="78"/>
      <c r="DT148" s="78"/>
      <c r="DU148" s="78"/>
      <c r="DV148" s="78"/>
      <c r="DW148" s="78"/>
      <c r="DX148" s="78"/>
      <c r="DY148" s="78"/>
      <c r="DZ148" s="78"/>
      <c r="EA148" s="78"/>
      <c r="EB148" s="78"/>
      <c r="EC148" s="78"/>
      <c r="ED148" s="78"/>
      <c r="EE148" s="78"/>
      <c r="EF148" s="78"/>
      <c r="EG148" s="78"/>
      <c r="EH148" s="78"/>
      <c r="EI148" s="78"/>
      <c r="EJ148" s="78"/>
      <c r="EK148" s="78"/>
      <c r="EL148" s="78"/>
      <c r="EM148" s="78"/>
      <c r="EN148" s="78"/>
      <c r="EO148" s="78"/>
      <c r="EP148" s="78"/>
      <c r="EQ148" s="78"/>
      <c r="ER148" s="78"/>
      <c r="ES148" s="78"/>
      <c r="ET148" s="78"/>
      <c r="EU148" s="78"/>
      <c r="EV148" s="78"/>
      <c r="EW148" s="78"/>
      <c r="EX148" s="78"/>
      <c r="EY148" s="78"/>
      <c r="EZ148" s="78"/>
      <c r="FA148" s="78"/>
      <c r="FB148" s="78"/>
      <c r="FC148" s="78"/>
      <c r="FD148" s="78"/>
      <c r="FE148" s="78"/>
      <c r="FF148" s="78"/>
      <c r="FG148" s="78"/>
      <c r="FH148" s="78"/>
      <c r="FI148" s="78"/>
      <c r="FJ148" s="78"/>
      <c r="FK148" s="78"/>
      <c r="FL148" s="78"/>
      <c r="FM148" s="78"/>
      <c r="FN148" s="78"/>
      <c r="FO148" s="78"/>
      <c r="FP148" s="78"/>
      <c r="FQ148" s="78"/>
      <c r="FR148" s="78"/>
      <c r="FS148" s="78"/>
      <c r="FT148" s="78"/>
      <c r="FU148" s="78"/>
      <c r="FV148" s="78"/>
      <c r="FW148" s="78"/>
      <c r="FX148" s="78"/>
      <c r="FY148" s="78"/>
      <c r="FZ148" s="78"/>
      <c r="GA148" s="78"/>
      <c r="GB148" s="78"/>
      <c r="GC148" s="78"/>
      <c r="GD148" s="78"/>
      <c r="GE148" s="78"/>
      <c r="GF148" s="78"/>
      <c r="GG148" s="78"/>
      <c r="GH148" s="78"/>
      <c r="GI148" s="78"/>
      <c r="GJ148" s="78"/>
      <c r="GK148" s="78"/>
      <c r="GL148" s="78"/>
      <c r="GM148" s="78"/>
      <c r="GN148" s="78"/>
      <c r="GO148" s="78"/>
      <c r="GP148" s="78"/>
      <c r="GQ148" s="78"/>
      <c r="GR148" s="78"/>
      <c r="GS148" s="78"/>
      <c r="GT148" s="78"/>
      <c r="GU148" s="78"/>
      <c r="GV148" s="78"/>
      <c r="GW148" s="78"/>
      <c r="GX148" s="78"/>
      <c r="GY148" s="78"/>
      <c r="GZ148" s="78"/>
      <c r="HA148" s="78"/>
      <c r="HB148" s="78"/>
      <c r="HC148" s="78"/>
      <c r="HD148" s="78"/>
      <c r="HE148" s="78"/>
      <c r="HF148" s="78"/>
      <c r="HG148" s="78"/>
      <c r="HH148" s="78"/>
      <c r="HI148" s="78"/>
      <c r="HJ148" s="78"/>
      <c r="HK148" s="78"/>
    </row>
    <row r="149" spans="1:219" ht="15" customHeight="1">
      <c r="A149" s="149">
        <v>5</v>
      </c>
      <c r="B149" s="176" t="str">
        <f>VLOOKUP(Ruimtestaat[[#This Row],[Code]],Locaties[[Code]:[Locatie]],2,FALSE)</f>
        <v>OBS Harry Bannink</v>
      </c>
      <c r="C149" s="176" t="str">
        <f>VLOOKUP(Ruimtestaat[[#This Row],[Code]],Locaties[[#All],[Code]:[Adres]],4,FALSE)</f>
        <v>Het Bijvank 111</v>
      </c>
      <c r="D149" s="176" t="str">
        <f>VLOOKUP(Ruimtestaat[[#This Row],[Code]],Locaties[[#All],[Code]:[Postcode]],5,FALSE)</f>
        <v>7544 DA</v>
      </c>
      <c r="E149" s="176" t="str">
        <f>VLOOKUP(Ruimtestaat[[#This Row],[Code]],Locaties[#All],6,FALSE)</f>
        <v>Enschede</v>
      </c>
      <c r="F149" s="149"/>
      <c r="G149" s="149" t="s">
        <v>1714</v>
      </c>
      <c r="H149" s="300" t="s">
        <v>1718</v>
      </c>
      <c r="I149" s="301" t="s">
        <v>1649</v>
      </c>
      <c r="J149" s="99">
        <v>2</v>
      </c>
      <c r="K149" s="183" t="str">
        <f>VLOOKUP(Ruimtestaat[[#This Row],[Ruimte code]],Ruimtegroepen[[#All],[Code]:[Ruimte omschrijving]],2,FALSE)</f>
        <v>Kantoren</v>
      </c>
      <c r="L149" s="149" t="s">
        <v>100</v>
      </c>
      <c r="M149" s="301" t="s">
        <v>1697</v>
      </c>
      <c r="N149" s="177">
        <v>4.7</v>
      </c>
      <c r="O149" s="177"/>
      <c r="P149" s="178" t="str">
        <f>VLOOKUP(Ruimtestaat[[#This Row],[Ruimte code]],Ruimtegroepen[],4,FALSE)</f>
        <v>Bu</v>
      </c>
      <c r="Q149" s="149">
        <v>40</v>
      </c>
      <c r="R149" s="149" t="s">
        <v>18</v>
      </c>
      <c r="S149" s="149">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49" s="149">
        <f>IF(S149&gt;0,VLOOKUP($J149,Ruimtegroepen[],3,FALSE)*VLOOKUP($L149,Vloersoorten[],3,FALSE)*VLOOKUP($R149,Frequenties[],3,FALSE)*VLOOKUP($A149,Locaties[],3,FALSE),0)</f>
        <v>0</v>
      </c>
      <c r="U149" s="149">
        <f>Ruimtestaat[[#This Row],[Uitvoeringen werkdagen]]*Ruimtestaat[[#This Row],[Oppervlak (netto)]]</f>
        <v>564</v>
      </c>
      <c r="V149" s="179">
        <f>IF(T149&gt;0,Ruimtestaat[[#This Row],[Prest. (m2 /jaar) werkdagen]]/Ruimtestaat[[#This Row],[Norm (m2/uur) werkdagen]],0)</f>
        <v>0</v>
      </c>
      <c r="W149" s="180">
        <f>Ruimtestaat[[#This Row],[uren / jaar werkdagen]]*Tariefsopbouw!$E$35</f>
        <v>0</v>
      </c>
      <c r="X149" s="149"/>
      <c r="Y149" s="149">
        <f>IF(Ruimtestaat[[#This Row],[Frequentie weekend]]&gt;0,VALUE(LEFT(X149,1))*Q149,0)</f>
        <v>0</v>
      </c>
      <c r="Z149" s="148">
        <f>IF($Y149&gt;0,VLOOKUP($J149,Ruimtegroepen[],3,FALSE)*VLOOKUP($L149,Vloersoorten[],3,FALSE)*VLOOKUP($X149,Frequenties[],3,FALSE)*VLOOKUP(Ruimtestaat[[#This Row],[Code]],Locaties[],3,FALSE),0)</f>
        <v>0</v>
      </c>
      <c r="AA149" s="148">
        <f>Ruimtestaat[[#This Row],[Uitvoeringen weekend]]*Ruimtestaat[[#This Row],[Oppervlak (netto)]]</f>
        <v>0</v>
      </c>
      <c r="AB149" s="148">
        <f>IF(Z149&gt;0,Ruimtestaat[[#This Row],[Prest. (m2 /jaar) weekend]]/Ruimtestaat[[#This Row],[Norm (m2/uur) weekend]],0)</f>
        <v>0</v>
      </c>
      <c r="AC149" s="180">
        <f>Ruimtestaat[[#This Row],[uren / jaar weekend]]*Tariefsopbouw!$D$40</f>
        <v>0</v>
      </c>
      <c r="AD149" s="179">
        <f>Ruimtestaat[[#This Row],[Prest. (m2 /jaar) weekend]]+Ruimtestaat[[#This Row],[Prest. (m2 /jaar) werkdagen]]</f>
        <v>564</v>
      </c>
      <c r="AE149" s="179">
        <f>Ruimtestaat[[#This Row],[uren / jaar weekend]]+Ruimtestaat[[#This Row],[uren / jaar werkdagen]]</f>
        <v>0</v>
      </c>
      <c r="AF149" s="174">
        <f>Ruimtestaat[[#This Row],[kosten / jaar weekend]]+Ruimtestaat[[#This Row],[kosten / jaar werkdagen]]</f>
        <v>0</v>
      </c>
      <c r="AG149" s="174"/>
      <c r="AH149" s="181" t="str">
        <f>IF(Ruimtestaat[[#This Row],[Frequentie werkdagen]]="","",_xlfn.CONCAT(Ruimtestaat[[#This Row],[Ruimte code]],"-",Ruimtestaat[[#This Row],[Frequentie werkdagen]]," ",Ruimtestaat[[#This Row],[Vloer code]]))</f>
        <v>2-3w L</v>
      </c>
      <c r="AI149" s="185" t="str">
        <f>_xlfn.IFNA(VLOOKUP($AH149,Programma!$F$3:$G$1101,2,0),"")</f>
        <v>_</v>
      </c>
      <c r="AJ149" s="185" t="str">
        <f>_xlfn.IFNA(VLOOKUP($AH149,Programma!$F$3:$H$1101,3,0),"")</f>
        <v>_</v>
      </c>
      <c r="AK149" s="185" t="str">
        <f>_xlfn.IFNA(VLOOKUP($AH149,Programma!$F$3:$I$1101,4,0),"")</f>
        <v>2w</v>
      </c>
      <c r="AL149" s="185" t="str">
        <f>_xlfn.IFNA(VLOOKUP($AH149,Programma!$F$3:$J$1101,5,0),"")</f>
        <v>1w</v>
      </c>
      <c r="AM149" s="185" t="str">
        <f>_xlfn.IFNA(VLOOKUP($AH149,Programma!$F$3:$K$1101,6,0),"")</f>
        <v>_</v>
      </c>
      <c r="AN149" s="185" t="str">
        <f>_xlfn.IFNA(VLOOKUP($AH149,Programma!$F$3:$L$1101,7,0),"")</f>
        <v>_</v>
      </c>
      <c r="AO149" s="185" t="str">
        <f>_xlfn.IFNA(VLOOKUP($AH149,Programma!$F$3:$M$1101,8,0),"")</f>
        <v>_</v>
      </c>
      <c r="AP149" s="185" t="str">
        <f>_xlfn.IFNA(VLOOKUP($AH149,Programma!$F$3:$N$1101,9,0),"")</f>
        <v>_</v>
      </c>
      <c r="AQ149" s="185" t="str">
        <f>_xlfn.IFNA(VLOOKUP($AH149,Programma!$F$3:$O$1101,10,0),"")</f>
        <v>3w</v>
      </c>
      <c r="AR149" s="185" t="str">
        <f>_xlfn.IFNA(VLOOKUP($AH149,Programma!$F$3:$P$1101,11,0),"")</f>
        <v>3w</v>
      </c>
      <c r="AS149" s="185" t="str">
        <f>_xlfn.IFNA(VLOOKUP($AH149,Programma!$F$3:$Q$1101,12,0),"")</f>
        <v>1w</v>
      </c>
      <c r="AT149" s="185" t="str">
        <f>_xlfn.IFNA(VLOOKUP($AH149,Programma!$F$3:$R$1101,13,0),"")</f>
        <v>1w</v>
      </c>
      <c r="AU149" s="185" t="str">
        <f>_xlfn.IFNA(VLOOKUP($AH149,Programma!$F$3:$S$1101,14,0),"")</f>
        <v>1m</v>
      </c>
      <c r="AV149" s="185" t="str">
        <f>_xlfn.IFNA(VLOOKUP($AH149,Programma!$F$3:$T$1101,15,0),"")</f>
        <v>2j</v>
      </c>
      <c r="AW149" s="185" t="str">
        <f>_xlfn.IFNA(VLOOKUP($AH149,Programma!$F$3:$U$1101,16,0),"")</f>
        <v>1j</v>
      </c>
      <c r="AX149" s="185" t="str">
        <f>_xlfn.IFNA(VLOOKUP($AH149,Programma!$F$3:$V$1101,17,0),"")</f>
        <v>_</v>
      </c>
      <c r="AY149" s="185" t="str">
        <f>_xlfn.IFNA(VLOOKUP($AH149,Programma!$F$3:$W$1101,18,0),"")</f>
        <v>_</v>
      </c>
      <c r="AZ149" s="185" t="str">
        <f>_xlfn.IFNA(VLOOKUP($AH149,Programma!$F$3:$X$1101,19,0),"")</f>
        <v>_</v>
      </c>
      <c r="BA149" s="185" t="str">
        <f>_xlfn.IFNA(VLOOKUP($AH149,Programma!$F$3:$Y$1101,20,0),"")</f>
        <v>_</v>
      </c>
      <c r="BB149" s="182"/>
      <c r="BC149" s="181" t="str">
        <f>IF(Ruimtestaat[[#This Row],[Frequentie weekend]]="","",_xlfn.CONCAT(Ruimtestaat[[#This Row],[Ruimte code]],"-",Ruimtestaat[[#This Row],[Frequentie weekend]]," ",Ruimtestaat[[#This Row],[Vloer code]]))</f>
        <v/>
      </c>
      <c r="BD149" s="185" t="str">
        <f>_xlfn.IFNA(VLOOKUP($BC149,Programma!$F$3:$G$1101,2,0),"")</f>
        <v/>
      </c>
      <c r="BE149" s="185" t="str">
        <f>_xlfn.IFNA(VLOOKUP($BC149,Programma!$F$3:$H$1101,3,0),"")</f>
        <v/>
      </c>
      <c r="BF149" s="185" t="str">
        <f>_xlfn.IFNA(VLOOKUP($BC149,Programma!$F$3:$I$1101,4,0),"")</f>
        <v/>
      </c>
      <c r="BG149" s="185" t="str">
        <f>_xlfn.IFNA(VLOOKUP($BC149,Programma!$F$3:$J$1101,5,0),"")</f>
        <v/>
      </c>
      <c r="BH149" s="185" t="str">
        <f>_xlfn.IFNA(VLOOKUP($BC149,Programma!$F$3:$K$1101,6,0),"")</f>
        <v/>
      </c>
      <c r="BI149" s="185" t="str">
        <f>_xlfn.IFNA(VLOOKUP($BC149,Programma!$F$3:$L$1101,7,0),"")</f>
        <v/>
      </c>
      <c r="BJ149" s="185" t="str">
        <f>_xlfn.IFNA(VLOOKUP($BC149,Programma!$F$3:$M$1101,8,0),"")</f>
        <v/>
      </c>
      <c r="BK149" s="185" t="str">
        <f>_xlfn.IFNA(VLOOKUP($BC149,Programma!$F$3:$N$1101,9,0),"")</f>
        <v/>
      </c>
      <c r="BL149" s="185" t="str">
        <f>_xlfn.IFNA(VLOOKUP($BC149,Programma!$F$3:$O$1101,10,0),"")</f>
        <v/>
      </c>
      <c r="BM149" s="185" t="str">
        <f>_xlfn.IFNA(VLOOKUP($BC149,Programma!$F$3:$P$1101,11,0),"")</f>
        <v/>
      </c>
      <c r="BN149" s="185" t="str">
        <f>_xlfn.IFNA(VLOOKUP($BC149,Programma!$F$3:$Q$1101,12,0),"")</f>
        <v/>
      </c>
      <c r="BO149" s="185" t="str">
        <f>_xlfn.IFNA(VLOOKUP($BC149,Programma!$F$3:$R$1101,13,0),"")</f>
        <v/>
      </c>
      <c r="BP149" s="185" t="str">
        <f>_xlfn.IFNA(VLOOKUP($BC149,Programma!$F$3:$S$1101,14,0),"")</f>
        <v/>
      </c>
      <c r="BQ149" s="185" t="str">
        <f>_xlfn.IFNA(VLOOKUP($BC149,Programma!$F$3:$T$1101,15,0),"")</f>
        <v/>
      </c>
      <c r="BR149" s="185" t="str">
        <f>_xlfn.IFNA(VLOOKUP($BC149,Programma!$F$3:$U$1101,16,0),"")</f>
        <v/>
      </c>
      <c r="BS149" s="185" t="str">
        <f>_xlfn.IFNA(VLOOKUP($BC149,Programma!$F$3:$V$1101,17,0),"")</f>
        <v/>
      </c>
      <c r="BT149" s="185" t="str">
        <f>_xlfn.IFNA(VLOOKUP($BC149,Programma!$F$3:$W$1101,18,0),"")</f>
        <v/>
      </c>
      <c r="BU149" s="185" t="str">
        <f>_xlfn.IFNA(VLOOKUP($BC149,Programma!$F$3:$X$1101,19,0),"")</f>
        <v/>
      </c>
      <c r="BV149" s="185" t="str">
        <f>_xlfn.IFNA(VLOOKUP($BC149,Programma!$F$3:$Y$1101,20,0),"")</f>
        <v/>
      </c>
      <c r="BW149" s="78"/>
      <c r="BX149" s="78"/>
      <c r="BY149" s="78"/>
      <c r="BZ149" s="78"/>
      <c r="CA149" s="78"/>
      <c r="CB149" s="78"/>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c r="DM149" s="78"/>
      <c r="DN149" s="78"/>
      <c r="DO149" s="78"/>
      <c r="DP149" s="78"/>
      <c r="DQ149" s="78"/>
      <c r="DR149" s="78"/>
      <c r="DS149" s="78"/>
      <c r="DT149" s="78"/>
      <c r="DU149" s="78"/>
      <c r="DV149" s="78"/>
      <c r="DW149" s="78"/>
      <c r="DX149" s="78"/>
      <c r="DY149" s="78"/>
      <c r="DZ149" s="78"/>
      <c r="EA149" s="78"/>
      <c r="EB149" s="78"/>
      <c r="EC149" s="78"/>
      <c r="ED149" s="78"/>
      <c r="EE149" s="78"/>
      <c r="EF149" s="78"/>
      <c r="EG149" s="78"/>
      <c r="EH149" s="78"/>
      <c r="EI149" s="78"/>
      <c r="EJ149" s="78"/>
      <c r="EK149" s="78"/>
      <c r="EL149" s="78"/>
      <c r="EM149" s="78"/>
      <c r="EN149" s="78"/>
      <c r="EO149" s="78"/>
      <c r="EP149" s="78"/>
      <c r="EQ149" s="78"/>
      <c r="ER149" s="78"/>
      <c r="ES149" s="78"/>
      <c r="ET149" s="78"/>
      <c r="EU149" s="78"/>
      <c r="EV149" s="78"/>
      <c r="EW149" s="78"/>
      <c r="EX149" s="78"/>
      <c r="EY149" s="78"/>
      <c r="EZ149" s="78"/>
      <c r="FA149" s="78"/>
      <c r="FB149" s="78"/>
      <c r="FC149" s="78"/>
      <c r="FD149" s="78"/>
      <c r="FE149" s="78"/>
      <c r="FF149" s="78"/>
      <c r="FG149" s="78"/>
      <c r="FH149" s="78"/>
      <c r="FI149" s="78"/>
      <c r="FJ149" s="78"/>
      <c r="FK149" s="78"/>
      <c r="FL149" s="78"/>
      <c r="FM149" s="78"/>
      <c r="FN149" s="78"/>
      <c r="FO149" s="78"/>
      <c r="FP149" s="78"/>
      <c r="FQ149" s="78"/>
      <c r="FR149" s="78"/>
      <c r="FS149" s="78"/>
      <c r="FT149" s="78"/>
      <c r="FU149" s="78"/>
      <c r="FV149" s="78"/>
      <c r="FW149" s="78"/>
      <c r="FX149" s="78"/>
      <c r="FY149" s="78"/>
      <c r="FZ149" s="78"/>
      <c r="GA149" s="78"/>
      <c r="GB149" s="78"/>
      <c r="GC149" s="78"/>
      <c r="GD149" s="78"/>
      <c r="GE149" s="78"/>
      <c r="GF149" s="78"/>
      <c r="GG149" s="78"/>
      <c r="GH149" s="78"/>
      <c r="GI149" s="78"/>
      <c r="GJ149" s="78"/>
      <c r="GK149" s="78"/>
      <c r="GL149" s="78"/>
      <c r="GM149" s="78"/>
      <c r="GN149" s="78"/>
      <c r="GO149" s="78"/>
      <c r="GP149" s="78"/>
      <c r="GQ149" s="78"/>
      <c r="GR149" s="78"/>
      <c r="GS149" s="78"/>
      <c r="GT149" s="78"/>
      <c r="GU149" s="78"/>
      <c r="GV149" s="78"/>
      <c r="GW149" s="78"/>
      <c r="GX149" s="78"/>
      <c r="GY149" s="78"/>
      <c r="GZ149" s="78"/>
      <c r="HA149" s="78"/>
      <c r="HB149" s="78"/>
      <c r="HC149" s="78"/>
      <c r="HD149" s="78"/>
      <c r="HE149" s="78"/>
      <c r="HF149" s="78"/>
      <c r="HG149" s="78"/>
      <c r="HH149" s="78"/>
      <c r="HI149" s="78"/>
      <c r="HJ149" s="78"/>
      <c r="HK149" s="78"/>
    </row>
    <row r="150" spans="1:219" ht="15" customHeight="1">
      <c r="A150" s="149">
        <v>5</v>
      </c>
      <c r="B150" s="176" t="str">
        <f>VLOOKUP(Ruimtestaat[[#This Row],[Code]],Locaties[[Code]:[Locatie]],2,FALSE)</f>
        <v>OBS Harry Bannink</v>
      </c>
      <c r="C150" s="176" t="str">
        <f>VLOOKUP(Ruimtestaat[[#This Row],[Code]],Locaties[[#All],[Code]:[Adres]],4,FALSE)</f>
        <v>Het Bijvank 111</v>
      </c>
      <c r="D150" s="176" t="str">
        <f>VLOOKUP(Ruimtestaat[[#This Row],[Code]],Locaties[[#All],[Code]:[Postcode]],5,FALSE)</f>
        <v>7544 DA</v>
      </c>
      <c r="E150" s="176" t="str">
        <f>VLOOKUP(Ruimtestaat[[#This Row],[Code]],Locaties[#All],6,FALSE)</f>
        <v>Enschede</v>
      </c>
      <c r="F150" s="149"/>
      <c r="G150" s="149" t="s">
        <v>1714</v>
      </c>
      <c r="H150" s="300" t="s">
        <v>1733</v>
      </c>
      <c r="I150" s="301" t="s">
        <v>1649</v>
      </c>
      <c r="J150" s="99">
        <v>2</v>
      </c>
      <c r="K150" s="183" t="str">
        <f>VLOOKUP(Ruimtestaat[[#This Row],[Ruimte code]],Ruimtegroepen[[#All],[Code]:[Ruimte omschrijving]],2,FALSE)</f>
        <v>Kantoren</v>
      </c>
      <c r="L150" s="149" t="s">
        <v>100</v>
      </c>
      <c r="M150" s="301" t="s">
        <v>1697</v>
      </c>
      <c r="N150" s="177">
        <v>9</v>
      </c>
      <c r="O150" s="177"/>
      <c r="P150" s="178" t="str">
        <f>VLOOKUP(Ruimtestaat[[#This Row],[Ruimte code]],Ruimtegroepen[],4,FALSE)</f>
        <v>Bu</v>
      </c>
      <c r="Q150" s="149">
        <v>40</v>
      </c>
      <c r="R150" s="149" t="s">
        <v>18</v>
      </c>
      <c r="S150" s="149">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50" s="149">
        <f>IF(S150&gt;0,VLOOKUP($J150,Ruimtegroepen[],3,FALSE)*VLOOKUP($L150,Vloersoorten[],3,FALSE)*VLOOKUP($R150,Frequenties[],3,FALSE)*VLOOKUP($A150,Locaties[],3,FALSE),0)</f>
        <v>0</v>
      </c>
      <c r="U150" s="149">
        <f>Ruimtestaat[[#This Row],[Uitvoeringen werkdagen]]*Ruimtestaat[[#This Row],[Oppervlak (netto)]]</f>
        <v>1080</v>
      </c>
      <c r="V150" s="179">
        <f>IF(T150&gt;0,Ruimtestaat[[#This Row],[Prest. (m2 /jaar) werkdagen]]/Ruimtestaat[[#This Row],[Norm (m2/uur) werkdagen]],0)</f>
        <v>0</v>
      </c>
      <c r="W150" s="180">
        <f>Ruimtestaat[[#This Row],[uren / jaar werkdagen]]*Tariefsopbouw!$E$35</f>
        <v>0</v>
      </c>
      <c r="X150" s="149"/>
      <c r="Y150" s="149">
        <f>IF(Ruimtestaat[[#This Row],[Frequentie weekend]]&gt;0,VALUE(LEFT(X150,1))*Q150,0)</f>
        <v>0</v>
      </c>
      <c r="Z150" s="148">
        <f>IF($Y150&gt;0,VLOOKUP($J150,Ruimtegroepen[],3,FALSE)*VLOOKUP($L150,Vloersoorten[],3,FALSE)*VLOOKUP($X150,Frequenties[],3,FALSE)*VLOOKUP(Ruimtestaat[[#This Row],[Code]],Locaties[],3,FALSE),0)</f>
        <v>0</v>
      </c>
      <c r="AA150" s="148">
        <f>Ruimtestaat[[#This Row],[Uitvoeringen weekend]]*Ruimtestaat[[#This Row],[Oppervlak (netto)]]</f>
        <v>0</v>
      </c>
      <c r="AB150" s="148">
        <f>IF(Z150&gt;0,Ruimtestaat[[#This Row],[Prest. (m2 /jaar) weekend]]/Ruimtestaat[[#This Row],[Norm (m2/uur) weekend]],0)</f>
        <v>0</v>
      </c>
      <c r="AC150" s="180">
        <f>Ruimtestaat[[#This Row],[uren / jaar weekend]]*Tariefsopbouw!$D$40</f>
        <v>0</v>
      </c>
      <c r="AD150" s="179">
        <f>Ruimtestaat[[#This Row],[Prest. (m2 /jaar) weekend]]+Ruimtestaat[[#This Row],[Prest. (m2 /jaar) werkdagen]]</f>
        <v>1080</v>
      </c>
      <c r="AE150" s="179">
        <f>Ruimtestaat[[#This Row],[uren / jaar weekend]]+Ruimtestaat[[#This Row],[uren / jaar werkdagen]]</f>
        <v>0</v>
      </c>
      <c r="AF150" s="174">
        <f>Ruimtestaat[[#This Row],[kosten / jaar weekend]]+Ruimtestaat[[#This Row],[kosten / jaar werkdagen]]</f>
        <v>0</v>
      </c>
      <c r="AG150" s="174"/>
      <c r="AH150" s="181" t="str">
        <f>IF(Ruimtestaat[[#This Row],[Frequentie werkdagen]]="","",_xlfn.CONCAT(Ruimtestaat[[#This Row],[Ruimte code]],"-",Ruimtestaat[[#This Row],[Frequentie werkdagen]]," ",Ruimtestaat[[#This Row],[Vloer code]]))</f>
        <v>2-3w L</v>
      </c>
      <c r="AI150" s="185" t="str">
        <f>_xlfn.IFNA(VLOOKUP($AH150,Programma!$F$3:$G$1101,2,0),"")</f>
        <v>_</v>
      </c>
      <c r="AJ150" s="185" t="str">
        <f>_xlfn.IFNA(VLOOKUP($AH150,Programma!$F$3:$H$1101,3,0),"")</f>
        <v>_</v>
      </c>
      <c r="AK150" s="185" t="str">
        <f>_xlfn.IFNA(VLOOKUP($AH150,Programma!$F$3:$I$1101,4,0),"")</f>
        <v>2w</v>
      </c>
      <c r="AL150" s="185" t="str">
        <f>_xlfn.IFNA(VLOOKUP($AH150,Programma!$F$3:$J$1101,5,0),"")</f>
        <v>1w</v>
      </c>
      <c r="AM150" s="185" t="str">
        <f>_xlfn.IFNA(VLOOKUP($AH150,Programma!$F$3:$K$1101,6,0),"")</f>
        <v>_</v>
      </c>
      <c r="AN150" s="185" t="str">
        <f>_xlfn.IFNA(VLOOKUP($AH150,Programma!$F$3:$L$1101,7,0),"")</f>
        <v>_</v>
      </c>
      <c r="AO150" s="185" t="str">
        <f>_xlfn.IFNA(VLOOKUP($AH150,Programma!$F$3:$M$1101,8,0),"")</f>
        <v>_</v>
      </c>
      <c r="AP150" s="185" t="str">
        <f>_xlfn.IFNA(VLOOKUP($AH150,Programma!$F$3:$N$1101,9,0),"")</f>
        <v>_</v>
      </c>
      <c r="AQ150" s="185" t="str">
        <f>_xlfn.IFNA(VLOOKUP($AH150,Programma!$F$3:$O$1101,10,0),"")</f>
        <v>3w</v>
      </c>
      <c r="AR150" s="185" t="str">
        <f>_xlfn.IFNA(VLOOKUP($AH150,Programma!$F$3:$P$1101,11,0),"")</f>
        <v>3w</v>
      </c>
      <c r="AS150" s="185" t="str">
        <f>_xlfn.IFNA(VLOOKUP($AH150,Programma!$F$3:$Q$1101,12,0),"")</f>
        <v>1w</v>
      </c>
      <c r="AT150" s="185" t="str">
        <f>_xlfn.IFNA(VLOOKUP($AH150,Programma!$F$3:$R$1101,13,0),"")</f>
        <v>1w</v>
      </c>
      <c r="AU150" s="185" t="str">
        <f>_xlfn.IFNA(VLOOKUP($AH150,Programma!$F$3:$S$1101,14,0),"")</f>
        <v>1m</v>
      </c>
      <c r="AV150" s="185" t="str">
        <f>_xlfn.IFNA(VLOOKUP($AH150,Programma!$F$3:$T$1101,15,0),"")</f>
        <v>2j</v>
      </c>
      <c r="AW150" s="185" t="str">
        <f>_xlfn.IFNA(VLOOKUP($AH150,Programma!$F$3:$U$1101,16,0),"")</f>
        <v>1j</v>
      </c>
      <c r="AX150" s="185" t="str">
        <f>_xlfn.IFNA(VLOOKUP($AH150,Programma!$F$3:$V$1101,17,0),"")</f>
        <v>_</v>
      </c>
      <c r="AY150" s="185" t="str">
        <f>_xlfn.IFNA(VLOOKUP($AH150,Programma!$F$3:$W$1101,18,0),"")</f>
        <v>_</v>
      </c>
      <c r="AZ150" s="185" t="str">
        <f>_xlfn.IFNA(VLOOKUP($AH150,Programma!$F$3:$X$1101,19,0),"")</f>
        <v>_</v>
      </c>
      <c r="BA150" s="185" t="str">
        <f>_xlfn.IFNA(VLOOKUP($AH150,Programma!$F$3:$Y$1101,20,0),"")</f>
        <v>_</v>
      </c>
      <c r="BB150" s="182"/>
      <c r="BC150" s="181" t="str">
        <f>IF(Ruimtestaat[[#This Row],[Frequentie weekend]]="","",_xlfn.CONCAT(Ruimtestaat[[#This Row],[Ruimte code]],"-",Ruimtestaat[[#This Row],[Frequentie weekend]]," ",Ruimtestaat[[#This Row],[Vloer code]]))</f>
        <v/>
      </c>
      <c r="BD150" s="185" t="str">
        <f>_xlfn.IFNA(VLOOKUP($BC150,Programma!$F$3:$G$1101,2,0),"")</f>
        <v/>
      </c>
      <c r="BE150" s="185" t="str">
        <f>_xlfn.IFNA(VLOOKUP($BC150,Programma!$F$3:$H$1101,3,0),"")</f>
        <v/>
      </c>
      <c r="BF150" s="185" t="str">
        <f>_xlfn.IFNA(VLOOKUP($BC150,Programma!$F$3:$I$1101,4,0),"")</f>
        <v/>
      </c>
      <c r="BG150" s="185" t="str">
        <f>_xlfn.IFNA(VLOOKUP($BC150,Programma!$F$3:$J$1101,5,0),"")</f>
        <v/>
      </c>
      <c r="BH150" s="185" t="str">
        <f>_xlfn.IFNA(VLOOKUP($BC150,Programma!$F$3:$K$1101,6,0),"")</f>
        <v/>
      </c>
      <c r="BI150" s="185" t="str">
        <f>_xlfn.IFNA(VLOOKUP($BC150,Programma!$F$3:$L$1101,7,0),"")</f>
        <v/>
      </c>
      <c r="BJ150" s="185" t="str">
        <f>_xlfn.IFNA(VLOOKUP($BC150,Programma!$F$3:$M$1101,8,0),"")</f>
        <v/>
      </c>
      <c r="BK150" s="185" t="str">
        <f>_xlfn.IFNA(VLOOKUP($BC150,Programma!$F$3:$N$1101,9,0),"")</f>
        <v/>
      </c>
      <c r="BL150" s="185" t="str">
        <f>_xlfn.IFNA(VLOOKUP($BC150,Programma!$F$3:$O$1101,10,0),"")</f>
        <v/>
      </c>
      <c r="BM150" s="185" t="str">
        <f>_xlfn.IFNA(VLOOKUP($BC150,Programma!$F$3:$P$1101,11,0),"")</f>
        <v/>
      </c>
      <c r="BN150" s="185" t="str">
        <f>_xlfn.IFNA(VLOOKUP($BC150,Programma!$F$3:$Q$1101,12,0),"")</f>
        <v/>
      </c>
      <c r="BO150" s="185" t="str">
        <f>_xlfn.IFNA(VLOOKUP($BC150,Programma!$F$3:$R$1101,13,0),"")</f>
        <v/>
      </c>
      <c r="BP150" s="185" t="str">
        <f>_xlfn.IFNA(VLOOKUP($BC150,Programma!$F$3:$S$1101,14,0),"")</f>
        <v/>
      </c>
      <c r="BQ150" s="185" t="str">
        <f>_xlfn.IFNA(VLOOKUP($BC150,Programma!$F$3:$T$1101,15,0),"")</f>
        <v/>
      </c>
      <c r="BR150" s="185" t="str">
        <f>_xlfn.IFNA(VLOOKUP($BC150,Programma!$F$3:$U$1101,16,0),"")</f>
        <v/>
      </c>
      <c r="BS150" s="185" t="str">
        <f>_xlfn.IFNA(VLOOKUP($BC150,Programma!$F$3:$V$1101,17,0),"")</f>
        <v/>
      </c>
      <c r="BT150" s="185" t="str">
        <f>_xlfn.IFNA(VLOOKUP($BC150,Programma!$F$3:$W$1101,18,0),"")</f>
        <v/>
      </c>
      <c r="BU150" s="185" t="str">
        <f>_xlfn.IFNA(VLOOKUP($BC150,Programma!$F$3:$X$1101,19,0),"")</f>
        <v/>
      </c>
      <c r="BV150" s="185" t="str">
        <f>_xlfn.IFNA(VLOOKUP($BC150,Programma!$F$3:$Y$1101,20,0),"")</f>
        <v/>
      </c>
      <c r="BW150" s="78"/>
      <c r="BX150" s="78"/>
      <c r="BY150" s="78"/>
      <c r="BZ150" s="78"/>
      <c r="CA150" s="78"/>
      <c r="CB150" s="78"/>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78"/>
      <c r="DB150" s="78"/>
      <c r="DC150" s="78"/>
      <c r="DD150" s="78"/>
      <c r="DE150" s="78"/>
      <c r="DF150" s="78"/>
      <c r="DG150" s="78"/>
      <c r="DH150" s="78"/>
      <c r="DI150" s="78"/>
      <c r="DJ150" s="78"/>
      <c r="DK150" s="78"/>
      <c r="DL150" s="78"/>
      <c r="DM150" s="78"/>
      <c r="DN150" s="78"/>
      <c r="DO150" s="78"/>
      <c r="DP150" s="78"/>
      <c r="DQ150" s="78"/>
      <c r="DR150" s="78"/>
      <c r="DS150" s="78"/>
      <c r="DT150" s="78"/>
      <c r="DU150" s="78"/>
      <c r="DV150" s="78"/>
      <c r="DW150" s="78"/>
      <c r="DX150" s="78"/>
      <c r="DY150" s="78"/>
      <c r="DZ150" s="78"/>
      <c r="EA150" s="78"/>
      <c r="EB150" s="78"/>
      <c r="EC150" s="78"/>
      <c r="ED150" s="78"/>
      <c r="EE150" s="78"/>
      <c r="EF150" s="78"/>
      <c r="EG150" s="78"/>
      <c r="EH150" s="78"/>
      <c r="EI150" s="78"/>
      <c r="EJ150" s="78"/>
      <c r="EK150" s="78"/>
      <c r="EL150" s="78"/>
      <c r="EM150" s="78"/>
      <c r="EN150" s="78"/>
      <c r="EO150" s="78"/>
      <c r="EP150" s="78"/>
      <c r="EQ150" s="78"/>
      <c r="ER150" s="78"/>
      <c r="ES150" s="78"/>
      <c r="ET150" s="78"/>
      <c r="EU150" s="78"/>
      <c r="EV150" s="78"/>
      <c r="EW150" s="78"/>
      <c r="EX150" s="78"/>
      <c r="EY150" s="78"/>
      <c r="EZ150" s="78"/>
      <c r="FA150" s="78"/>
      <c r="FB150" s="78"/>
      <c r="FC150" s="78"/>
      <c r="FD150" s="78"/>
      <c r="FE150" s="78"/>
      <c r="FF150" s="78"/>
      <c r="FG150" s="78"/>
      <c r="FH150" s="78"/>
      <c r="FI150" s="78"/>
      <c r="FJ150" s="78"/>
      <c r="FK150" s="78"/>
      <c r="FL150" s="78"/>
      <c r="FM150" s="78"/>
      <c r="FN150" s="78"/>
      <c r="FO150" s="78"/>
      <c r="FP150" s="78"/>
      <c r="FQ150" s="78"/>
      <c r="FR150" s="78"/>
      <c r="FS150" s="78"/>
      <c r="FT150" s="78"/>
      <c r="FU150" s="78"/>
      <c r="FV150" s="78"/>
      <c r="FW150" s="78"/>
      <c r="FX150" s="78"/>
      <c r="FY150" s="78"/>
      <c r="FZ150" s="78"/>
      <c r="GA150" s="78"/>
      <c r="GB150" s="78"/>
      <c r="GC150" s="78"/>
      <c r="GD150" s="78"/>
      <c r="GE150" s="78"/>
      <c r="GF150" s="78"/>
      <c r="GG150" s="78"/>
      <c r="GH150" s="78"/>
      <c r="GI150" s="78"/>
      <c r="GJ150" s="78"/>
      <c r="GK150" s="78"/>
      <c r="GL150" s="78"/>
      <c r="GM150" s="78"/>
      <c r="GN150" s="78"/>
      <c r="GO150" s="78"/>
      <c r="GP150" s="78"/>
      <c r="GQ150" s="78"/>
      <c r="GR150" s="78"/>
      <c r="GS150" s="78"/>
      <c r="GT150" s="78"/>
      <c r="GU150" s="78"/>
      <c r="GV150" s="78"/>
      <c r="GW150" s="78"/>
      <c r="GX150" s="78"/>
      <c r="GY150" s="78"/>
      <c r="GZ150" s="78"/>
      <c r="HA150" s="78"/>
      <c r="HB150" s="78"/>
      <c r="HC150" s="78"/>
      <c r="HD150" s="78"/>
      <c r="HE150" s="78"/>
      <c r="HF150" s="78"/>
      <c r="HG150" s="78"/>
      <c r="HH150" s="78"/>
      <c r="HI150" s="78"/>
      <c r="HJ150" s="78"/>
      <c r="HK150" s="78"/>
    </row>
    <row r="151" spans="1:219" ht="15" customHeight="1">
      <c r="A151" s="149">
        <v>5</v>
      </c>
      <c r="B151" s="176" t="str">
        <f>VLOOKUP(Ruimtestaat[[#This Row],[Code]],Locaties[[Code]:[Locatie]],2,FALSE)</f>
        <v>OBS Harry Bannink</v>
      </c>
      <c r="C151" s="176" t="str">
        <f>VLOOKUP(Ruimtestaat[[#This Row],[Code]],Locaties[[#All],[Code]:[Adres]],4,FALSE)</f>
        <v>Het Bijvank 111</v>
      </c>
      <c r="D151" s="176" t="str">
        <f>VLOOKUP(Ruimtestaat[[#This Row],[Code]],Locaties[[#All],[Code]:[Postcode]],5,FALSE)</f>
        <v>7544 DA</v>
      </c>
      <c r="E151" s="176" t="str">
        <f>VLOOKUP(Ruimtestaat[[#This Row],[Code]],Locaties[#All],6,FALSE)</f>
        <v>Enschede</v>
      </c>
      <c r="F151" s="149"/>
      <c r="G151" s="149" t="s">
        <v>1714</v>
      </c>
      <c r="H151" s="300" t="s">
        <v>1734</v>
      </c>
      <c r="I151" s="301" t="s">
        <v>1651</v>
      </c>
      <c r="J151" s="99">
        <v>16</v>
      </c>
      <c r="K151" s="183" t="str">
        <f>VLOOKUP(Ruimtestaat[[#This Row],[Ruimte code]],Ruimtegroepen[[#All],[Code]:[Ruimte omschrijving]],2,FALSE)</f>
        <v>Leslokalen</v>
      </c>
      <c r="L151" s="149" t="s">
        <v>100</v>
      </c>
      <c r="M151" s="301" t="s">
        <v>1697</v>
      </c>
      <c r="N151" s="177">
        <v>54.1</v>
      </c>
      <c r="O151" s="177"/>
      <c r="P151" s="178" t="str">
        <f>VLOOKUP(Ruimtestaat[[#This Row],[Ruimte code]],Ruimtegroepen[],4,FALSE)</f>
        <v>Le</v>
      </c>
      <c r="Q151" s="149">
        <v>40</v>
      </c>
      <c r="R151" s="149" t="s">
        <v>2</v>
      </c>
      <c r="S151" s="149">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1" s="149">
        <f>IF(S151&gt;0,VLOOKUP($J151,Ruimtegroepen[],3,FALSE)*VLOOKUP($L151,Vloersoorten[],3,FALSE)*VLOOKUP($R151,Frequenties[],3,FALSE)*VLOOKUP($A151,Locaties[],3,FALSE),0)</f>
        <v>0</v>
      </c>
      <c r="U151" s="149">
        <f>Ruimtestaat[[#This Row],[Uitvoeringen werkdagen]]*Ruimtestaat[[#This Row],[Oppervlak (netto)]]</f>
        <v>10820</v>
      </c>
      <c r="V151" s="179">
        <f>IF(T151&gt;0,Ruimtestaat[[#This Row],[Prest. (m2 /jaar) werkdagen]]/Ruimtestaat[[#This Row],[Norm (m2/uur) werkdagen]],0)</f>
        <v>0</v>
      </c>
      <c r="W151" s="180">
        <f>Ruimtestaat[[#This Row],[uren / jaar werkdagen]]*Tariefsopbouw!$E$35</f>
        <v>0</v>
      </c>
      <c r="X151" s="149"/>
      <c r="Y151" s="149">
        <f>IF(Ruimtestaat[[#This Row],[Frequentie weekend]]&gt;0,VALUE(LEFT(X151,1))*Q151,0)</f>
        <v>0</v>
      </c>
      <c r="Z151" s="148">
        <f>IF($Y151&gt;0,VLOOKUP($J151,Ruimtegroepen[],3,FALSE)*VLOOKUP($L151,Vloersoorten[],3,FALSE)*VLOOKUP($X151,Frequenties[],3,FALSE)*VLOOKUP(Ruimtestaat[[#This Row],[Code]],Locaties[],3,FALSE),0)</f>
        <v>0</v>
      </c>
      <c r="AA151" s="148">
        <f>Ruimtestaat[[#This Row],[Uitvoeringen weekend]]*Ruimtestaat[[#This Row],[Oppervlak (netto)]]</f>
        <v>0</v>
      </c>
      <c r="AB151" s="148">
        <f>IF(Z151&gt;0,Ruimtestaat[[#This Row],[Prest. (m2 /jaar) weekend]]/Ruimtestaat[[#This Row],[Norm (m2/uur) weekend]],0)</f>
        <v>0</v>
      </c>
      <c r="AC151" s="180">
        <f>Ruimtestaat[[#This Row],[uren / jaar weekend]]*Tariefsopbouw!$D$40</f>
        <v>0</v>
      </c>
      <c r="AD151" s="179">
        <f>Ruimtestaat[[#This Row],[Prest. (m2 /jaar) weekend]]+Ruimtestaat[[#This Row],[Prest. (m2 /jaar) werkdagen]]</f>
        <v>10820</v>
      </c>
      <c r="AE151" s="179">
        <f>Ruimtestaat[[#This Row],[uren / jaar weekend]]+Ruimtestaat[[#This Row],[uren / jaar werkdagen]]</f>
        <v>0</v>
      </c>
      <c r="AF151" s="174">
        <f>Ruimtestaat[[#This Row],[kosten / jaar weekend]]+Ruimtestaat[[#This Row],[kosten / jaar werkdagen]]</f>
        <v>0</v>
      </c>
      <c r="AG151" s="174"/>
      <c r="AH151" s="181" t="str">
        <f>IF(Ruimtestaat[[#This Row],[Frequentie werkdagen]]="","",_xlfn.CONCAT(Ruimtestaat[[#This Row],[Ruimte code]],"-",Ruimtestaat[[#This Row],[Frequentie werkdagen]]," ",Ruimtestaat[[#This Row],[Vloer code]]))</f>
        <v>16-5w L</v>
      </c>
      <c r="AI151" s="185" t="str">
        <f>_xlfn.IFNA(VLOOKUP($AH151,Programma!$F$3:$G$1101,2,0),"")</f>
        <v>_</v>
      </c>
      <c r="AJ151" s="185" t="str">
        <f>_xlfn.IFNA(VLOOKUP($AH151,Programma!$F$3:$H$1101,3,0),"")</f>
        <v>_</v>
      </c>
      <c r="AK151" s="185" t="str">
        <f>_xlfn.IFNA(VLOOKUP($AH151,Programma!$F$3:$I$1101,4,0),"")</f>
        <v>4w</v>
      </c>
      <c r="AL151" s="185" t="str">
        <f>_xlfn.IFNA(VLOOKUP($AH151,Programma!$F$3:$J$1101,5,0),"")</f>
        <v>1w</v>
      </c>
      <c r="AM151" s="185" t="str">
        <f>_xlfn.IFNA(VLOOKUP($AH151,Programma!$F$3:$K$1101,6,0),"")</f>
        <v>_</v>
      </c>
      <c r="AN151" s="185" t="str">
        <f>_xlfn.IFNA(VLOOKUP($AH151,Programma!$F$3:$L$1101,7,0),"")</f>
        <v>_</v>
      </c>
      <c r="AO151" s="185" t="str">
        <f>_xlfn.IFNA(VLOOKUP($AH151,Programma!$F$3:$M$1101,8,0),"")</f>
        <v>_</v>
      </c>
      <c r="AP151" s="185" t="str">
        <f>_xlfn.IFNA(VLOOKUP($AH151,Programma!$F$3:$N$1101,9,0),"")</f>
        <v>_</v>
      </c>
      <c r="AQ151" s="185" t="str">
        <f>_xlfn.IFNA(VLOOKUP($AH151,Programma!$F$3:$O$1101,10,0),"")</f>
        <v>5w</v>
      </c>
      <c r="AR151" s="185" t="str">
        <f>_xlfn.IFNA(VLOOKUP($AH151,Programma!$F$3:$P$1101,11,0),"")</f>
        <v>5w</v>
      </c>
      <c r="AS151" s="185" t="str">
        <f>_xlfn.IFNA(VLOOKUP($AH151,Programma!$F$3:$Q$1101,12,0),"")</f>
        <v>1w</v>
      </c>
      <c r="AT151" s="185" t="str">
        <f>_xlfn.IFNA(VLOOKUP($AH151,Programma!$F$3:$R$1101,13,0),"")</f>
        <v>1w</v>
      </c>
      <c r="AU151" s="185" t="str">
        <f>_xlfn.IFNA(VLOOKUP($AH151,Programma!$F$3:$S$1101,14,0),"")</f>
        <v>1m</v>
      </c>
      <c r="AV151" s="185" t="str">
        <f>_xlfn.IFNA(VLOOKUP($AH151,Programma!$F$3:$T$1101,15,0),"")</f>
        <v>2j</v>
      </c>
      <c r="AW151" s="185" t="str">
        <f>_xlfn.IFNA(VLOOKUP($AH151,Programma!$F$3:$U$1101,16,0),"")</f>
        <v>1j</v>
      </c>
      <c r="AX151" s="185" t="str">
        <f>_xlfn.IFNA(VLOOKUP($AH151,Programma!$F$3:$V$1101,17,0),"")</f>
        <v>_</v>
      </c>
      <c r="AY151" s="185" t="str">
        <f>_xlfn.IFNA(VLOOKUP($AH151,Programma!$F$3:$W$1101,18,0),"")</f>
        <v>_</v>
      </c>
      <c r="AZ151" s="185" t="str">
        <f>_xlfn.IFNA(VLOOKUP($AH151,Programma!$F$3:$X$1101,19,0),"")</f>
        <v>_</v>
      </c>
      <c r="BA151" s="185" t="str">
        <f>_xlfn.IFNA(VLOOKUP($AH151,Programma!$F$3:$Y$1101,20,0),"")</f>
        <v>_</v>
      </c>
      <c r="BB151" s="182"/>
      <c r="BC151" s="181" t="str">
        <f>IF(Ruimtestaat[[#This Row],[Frequentie weekend]]="","",_xlfn.CONCAT(Ruimtestaat[[#This Row],[Ruimte code]],"-",Ruimtestaat[[#This Row],[Frequentie weekend]]," ",Ruimtestaat[[#This Row],[Vloer code]]))</f>
        <v/>
      </c>
      <c r="BD151" s="185" t="str">
        <f>_xlfn.IFNA(VLOOKUP($BC151,Programma!$F$3:$G$1101,2,0),"")</f>
        <v/>
      </c>
      <c r="BE151" s="185" t="str">
        <f>_xlfn.IFNA(VLOOKUP($BC151,Programma!$F$3:$H$1101,3,0),"")</f>
        <v/>
      </c>
      <c r="BF151" s="185" t="str">
        <f>_xlfn.IFNA(VLOOKUP($BC151,Programma!$F$3:$I$1101,4,0),"")</f>
        <v/>
      </c>
      <c r="BG151" s="185" t="str">
        <f>_xlfn.IFNA(VLOOKUP($BC151,Programma!$F$3:$J$1101,5,0),"")</f>
        <v/>
      </c>
      <c r="BH151" s="185" t="str">
        <f>_xlfn.IFNA(VLOOKUP($BC151,Programma!$F$3:$K$1101,6,0),"")</f>
        <v/>
      </c>
      <c r="BI151" s="185" t="str">
        <f>_xlfn.IFNA(VLOOKUP($BC151,Programma!$F$3:$L$1101,7,0),"")</f>
        <v/>
      </c>
      <c r="BJ151" s="185" t="str">
        <f>_xlfn.IFNA(VLOOKUP($BC151,Programma!$F$3:$M$1101,8,0),"")</f>
        <v/>
      </c>
      <c r="BK151" s="185" t="str">
        <f>_xlfn.IFNA(VLOOKUP($BC151,Programma!$F$3:$N$1101,9,0),"")</f>
        <v/>
      </c>
      <c r="BL151" s="185" t="str">
        <f>_xlfn.IFNA(VLOOKUP($BC151,Programma!$F$3:$O$1101,10,0),"")</f>
        <v/>
      </c>
      <c r="BM151" s="185" t="str">
        <f>_xlfn.IFNA(VLOOKUP($BC151,Programma!$F$3:$P$1101,11,0),"")</f>
        <v/>
      </c>
      <c r="BN151" s="185" t="str">
        <f>_xlfn.IFNA(VLOOKUP($BC151,Programma!$F$3:$Q$1101,12,0),"")</f>
        <v/>
      </c>
      <c r="BO151" s="185" t="str">
        <f>_xlfn.IFNA(VLOOKUP($BC151,Programma!$F$3:$R$1101,13,0),"")</f>
        <v/>
      </c>
      <c r="BP151" s="185" t="str">
        <f>_xlfn.IFNA(VLOOKUP($BC151,Programma!$F$3:$S$1101,14,0),"")</f>
        <v/>
      </c>
      <c r="BQ151" s="185" t="str">
        <f>_xlfn.IFNA(VLOOKUP($BC151,Programma!$F$3:$T$1101,15,0),"")</f>
        <v/>
      </c>
      <c r="BR151" s="185" t="str">
        <f>_xlfn.IFNA(VLOOKUP($BC151,Programma!$F$3:$U$1101,16,0),"")</f>
        <v/>
      </c>
      <c r="BS151" s="185" t="str">
        <f>_xlfn.IFNA(VLOOKUP($BC151,Programma!$F$3:$V$1101,17,0),"")</f>
        <v/>
      </c>
      <c r="BT151" s="185" t="str">
        <f>_xlfn.IFNA(VLOOKUP($BC151,Programma!$F$3:$W$1101,18,0),"")</f>
        <v/>
      </c>
      <c r="BU151" s="185" t="str">
        <f>_xlfn.IFNA(VLOOKUP($BC151,Programma!$F$3:$X$1101,19,0),"")</f>
        <v/>
      </c>
      <c r="BV151" s="185" t="str">
        <f>_xlfn.IFNA(VLOOKUP($BC151,Programma!$F$3:$Y$1101,20,0),"")</f>
        <v/>
      </c>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c r="DV151" s="78"/>
      <c r="DW151" s="78"/>
      <c r="DX151" s="78"/>
      <c r="DY151" s="78"/>
      <c r="DZ151" s="78"/>
      <c r="EA151" s="78"/>
      <c r="EB151" s="78"/>
      <c r="EC151" s="78"/>
      <c r="ED151" s="78"/>
      <c r="EE151" s="78"/>
      <c r="EF151" s="78"/>
      <c r="EG151" s="78"/>
      <c r="EH151" s="78"/>
      <c r="EI151" s="78"/>
      <c r="EJ151" s="78"/>
      <c r="EK151" s="78"/>
      <c r="EL151" s="78"/>
      <c r="EM151" s="78"/>
      <c r="EN151" s="78"/>
      <c r="EO151" s="78"/>
      <c r="EP151" s="78"/>
      <c r="EQ151" s="78"/>
      <c r="ER151" s="78"/>
      <c r="ES151" s="78"/>
      <c r="ET151" s="78"/>
      <c r="EU151" s="78"/>
      <c r="EV151" s="78"/>
      <c r="EW151" s="78"/>
      <c r="EX151" s="78"/>
      <c r="EY151" s="78"/>
      <c r="EZ151" s="78"/>
      <c r="FA151" s="78"/>
      <c r="FB151" s="78"/>
      <c r="FC151" s="78"/>
      <c r="FD151" s="78"/>
      <c r="FE151" s="78"/>
      <c r="FF151" s="78"/>
      <c r="FG151" s="78"/>
      <c r="FH151" s="78"/>
      <c r="FI151" s="78"/>
      <c r="FJ151" s="78"/>
      <c r="FK151" s="78"/>
      <c r="FL151" s="78"/>
      <c r="FM151" s="78"/>
      <c r="FN151" s="78"/>
      <c r="FO151" s="78"/>
      <c r="FP151" s="78"/>
      <c r="FQ151" s="78"/>
      <c r="FR151" s="78"/>
      <c r="FS151" s="78"/>
      <c r="FT151" s="78"/>
      <c r="FU151" s="78"/>
      <c r="FV151" s="78"/>
      <c r="FW151" s="78"/>
      <c r="FX151" s="78"/>
      <c r="FY151" s="78"/>
      <c r="FZ151" s="78"/>
      <c r="GA151" s="78"/>
      <c r="GB151" s="78"/>
      <c r="GC151" s="78"/>
      <c r="GD151" s="78"/>
      <c r="GE151" s="78"/>
      <c r="GF151" s="78"/>
      <c r="GG151" s="78"/>
      <c r="GH151" s="78"/>
      <c r="GI151" s="78"/>
      <c r="GJ151" s="78"/>
      <c r="GK151" s="78"/>
      <c r="GL151" s="78"/>
      <c r="GM151" s="78"/>
      <c r="GN151" s="78"/>
      <c r="GO151" s="78"/>
      <c r="GP151" s="78"/>
      <c r="GQ151" s="78"/>
      <c r="GR151" s="78"/>
      <c r="GS151" s="78"/>
      <c r="GT151" s="78"/>
      <c r="GU151" s="78"/>
      <c r="GV151" s="78"/>
      <c r="GW151" s="78"/>
      <c r="GX151" s="78"/>
      <c r="GY151" s="78"/>
      <c r="GZ151" s="78"/>
      <c r="HA151" s="78"/>
      <c r="HB151" s="78"/>
      <c r="HC151" s="78"/>
      <c r="HD151" s="78"/>
      <c r="HE151" s="78"/>
      <c r="HF151" s="78"/>
      <c r="HG151" s="78"/>
      <c r="HH151" s="78"/>
      <c r="HI151" s="78"/>
      <c r="HJ151" s="78"/>
      <c r="HK151" s="78"/>
    </row>
    <row r="152" spans="1:219" ht="15" customHeight="1">
      <c r="A152" s="149">
        <v>5</v>
      </c>
      <c r="B152" s="176" t="str">
        <f>VLOOKUP(Ruimtestaat[[#This Row],[Code]],Locaties[[Code]:[Locatie]],2,FALSE)</f>
        <v>OBS Harry Bannink</v>
      </c>
      <c r="C152" s="176" t="str">
        <f>VLOOKUP(Ruimtestaat[[#This Row],[Code]],Locaties[[#All],[Code]:[Adres]],4,FALSE)</f>
        <v>Het Bijvank 111</v>
      </c>
      <c r="D152" s="176" t="str">
        <f>VLOOKUP(Ruimtestaat[[#This Row],[Code]],Locaties[[#All],[Code]:[Postcode]],5,FALSE)</f>
        <v>7544 DA</v>
      </c>
      <c r="E152" s="176" t="str">
        <f>VLOOKUP(Ruimtestaat[[#This Row],[Code]],Locaties[#All],6,FALSE)</f>
        <v>Enschede</v>
      </c>
      <c r="F152" s="149"/>
      <c r="G152" s="149" t="s">
        <v>1714</v>
      </c>
      <c r="H152" s="300" t="s">
        <v>1735</v>
      </c>
      <c r="I152" s="301" t="s">
        <v>1655</v>
      </c>
      <c r="J152" s="99">
        <v>5</v>
      </c>
      <c r="K152" s="183" t="str">
        <f>VLOOKUP(Ruimtestaat[[#This Row],[Ruimte code]],Ruimtegroepen[[#All],[Code]:[Ruimte omschrijving]],2,FALSE)</f>
        <v>Sanitair</v>
      </c>
      <c r="L152" s="149" t="s">
        <v>102</v>
      </c>
      <c r="M152" s="301" t="s">
        <v>120</v>
      </c>
      <c r="N152" s="177">
        <v>0.8</v>
      </c>
      <c r="O152" s="177"/>
      <c r="P152" s="178" t="str">
        <f>VLOOKUP(Ruimtestaat[[#This Row],[Ruimte code]],Ruimtegroepen[],4,FALSE)</f>
        <v>Sa</v>
      </c>
      <c r="Q152" s="149">
        <v>40</v>
      </c>
      <c r="R152" s="149" t="s">
        <v>2</v>
      </c>
      <c r="S152" s="149">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2" s="149">
        <f>IF(S152&gt;0,VLOOKUP($J152,Ruimtegroepen[],3,FALSE)*VLOOKUP($L152,Vloersoorten[],3,FALSE)*VLOOKUP($R152,Frequenties[],3,FALSE)*VLOOKUP($A152,Locaties[],3,FALSE),0)</f>
        <v>0</v>
      </c>
      <c r="U152" s="149">
        <f>Ruimtestaat[[#This Row],[Uitvoeringen werkdagen]]*Ruimtestaat[[#This Row],[Oppervlak (netto)]]</f>
        <v>160</v>
      </c>
      <c r="V152" s="179">
        <f>IF(T152&gt;0,Ruimtestaat[[#This Row],[Prest. (m2 /jaar) werkdagen]]/Ruimtestaat[[#This Row],[Norm (m2/uur) werkdagen]],0)</f>
        <v>0</v>
      </c>
      <c r="W152" s="180">
        <f>Ruimtestaat[[#This Row],[uren / jaar werkdagen]]*Tariefsopbouw!$E$35</f>
        <v>0</v>
      </c>
      <c r="X152" s="149"/>
      <c r="Y152" s="149">
        <f>IF(Ruimtestaat[[#This Row],[Frequentie weekend]]&gt;0,VALUE(LEFT(X152,1))*Q152,0)</f>
        <v>0</v>
      </c>
      <c r="Z152" s="148">
        <f>IF($Y152&gt;0,VLOOKUP($J152,Ruimtegroepen[],3,FALSE)*VLOOKUP($L152,Vloersoorten[],3,FALSE)*VLOOKUP($X152,Frequenties[],3,FALSE)*VLOOKUP(Ruimtestaat[[#This Row],[Code]],Locaties[],3,FALSE),0)</f>
        <v>0</v>
      </c>
      <c r="AA152" s="148">
        <f>Ruimtestaat[[#This Row],[Uitvoeringen weekend]]*Ruimtestaat[[#This Row],[Oppervlak (netto)]]</f>
        <v>0</v>
      </c>
      <c r="AB152" s="148">
        <f>IF(Z152&gt;0,Ruimtestaat[[#This Row],[Prest. (m2 /jaar) weekend]]/Ruimtestaat[[#This Row],[Norm (m2/uur) weekend]],0)</f>
        <v>0</v>
      </c>
      <c r="AC152" s="180">
        <f>Ruimtestaat[[#This Row],[uren / jaar weekend]]*Tariefsopbouw!$D$40</f>
        <v>0</v>
      </c>
      <c r="AD152" s="179">
        <f>Ruimtestaat[[#This Row],[Prest. (m2 /jaar) weekend]]+Ruimtestaat[[#This Row],[Prest. (m2 /jaar) werkdagen]]</f>
        <v>160</v>
      </c>
      <c r="AE152" s="179">
        <f>Ruimtestaat[[#This Row],[uren / jaar weekend]]+Ruimtestaat[[#This Row],[uren / jaar werkdagen]]</f>
        <v>0</v>
      </c>
      <c r="AF152" s="174">
        <f>Ruimtestaat[[#This Row],[kosten / jaar weekend]]+Ruimtestaat[[#This Row],[kosten / jaar werkdagen]]</f>
        <v>0</v>
      </c>
      <c r="AG152" s="174"/>
      <c r="AH152" s="181" t="str">
        <f>IF(Ruimtestaat[[#This Row],[Frequentie werkdagen]]="","",_xlfn.CONCAT(Ruimtestaat[[#This Row],[Ruimte code]],"-",Ruimtestaat[[#This Row],[Frequentie werkdagen]]," ",Ruimtestaat[[#This Row],[Vloer code]]))</f>
        <v>5-5w P</v>
      </c>
      <c r="AI152" s="185" t="str">
        <f>_xlfn.IFNA(VLOOKUP($AH152,Programma!$F$3:$G$1101,2,0),"")</f>
        <v>_</v>
      </c>
      <c r="AJ152" s="185" t="str">
        <f>_xlfn.IFNA(VLOOKUP($AH152,Programma!$F$3:$H$1101,3,0),"")</f>
        <v>_</v>
      </c>
      <c r="AK152" s="185" t="str">
        <f>_xlfn.IFNA(VLOOKUP($AH152,Programma!$F$3:$I$1101,4,0),"")</f>
        <v>_</v>
      </c>
      <c r="AL152" s="185" t="str">
        <f>_xlfn.IFNA(VLOOKUP($AH152,Programma!$F$3:$J$1101,5,0),"")</f>
        <v>4w</v>
      </c>
      <c r="AM152" s="185" t="str">
        <f>_xlfn.IFNA(VLOOKUP($AH152,Programma!$F$3:$K$1101,6,0),"")</f>
        <v>1w</v>
      </c>
      <c r="AN152" s="185" t="str">
        <f>_xlfn.IFNA(VLOOKUP($AH152,Programma!$F$3:$L$1101,7,0),"")</f>
        <v>_</v>
      </c>
      <c r="AO152" s="185" t="str">
        <f>_xlfn.IFNA(VLOOKUP($AH152,Programma!$F$3:$M$1101,8,0),"")</f>
        <v>_</v>
      </c>
      <c r="AP152" s="185" t="str">
        <f>_xlfn.IFNA(VLOOKUP($AH152,Programma!$F$3:$N$1101,9,0),"")</f>
        <v>_</v>
      </c>
      <c r="AQ152" s="185" t="str">
        <f>_xlfn.IFNA(VLOOKUP($AH152,Programma!$F$3:$O$1101,10,0),"")</f>
        <v>_</v>
      </c>
      <c r="AR152" s="185" t="str">
        <f>_xlfn.IFNA(VLOOKUP($AH152,Programma!$F$3:$P$1101,11,0),"")</f>
        <v>_</v>
      </c>
      <c r="AS152" s="185" t="str">
        <f>_xlfn.IFNA(VLOOKUP($AH152,Programma!$F$3:$Q$1101,12,0),"")</f>
        <v>_</v>
      </c>
      <c r="AT152" s="185" t="str">
        <f>_xlfn.IFNA(VLOOKUP($AH152,Programma!$F$3:$R$1101,13,0),"")</f>
        <v>_</v>
      </c>
      <c r="AU152" s="185" t="str">
        <f>_xlfn.IFNA(VLOOKUP($AH152,Programma!$F$3:$S$1101,14,0),"")</f>
        <v>_</v>
      </c>
      <c r="AV152" s="185" t="str">
        <f>_xlfn.IFNA(VLOOKUP($AH152,Programma!$F$3:$T$1101,15,0),"")</f>
        <v>_</v>
      </c>
      <c r="AW152" s="185" t="str">
        <f>_xlfn.IFNA(VLOOKUP($AH152,Programma!$F$3:$U$1101,16,0),"")</f>
        <v>_</v>
      </c>
      <c r="AX152" s="185" t="str">
        <f>_xlfn.IFNA(VLOOKUP($AH152,Programma!$F$3:$V$1101,17,0),"")</f>
        <v>_</v>
      </c>
      <c r="AY152" s="185" t="str">
        <f>_xlfn.IFNA(VLOOKUP($AH152,Programma!$F$3:$W$1101,18,0),"")</f>
        <v>4w</v>
      </c>
      <c r="AZ152" s="185" t="str">
        <f>_xlfn.IFNA(VLOOKUP($AH152,Programma!$F$3:$X$1101,19,0),"")</f>
        <v>1w</v>
      </c>
      <c r="BA152" s="185" t="str">
        <f>_xlfn.IFNA(VLOOKUP($AH152,Programma!$F$3:$Y$1101,20,0),"")</f>
        <v>_</v>
      </c>
      <c r="BB152" s="182"/>
      <c r="BC152" s="181" t="str">
        <f>IF(Ruimtestaat[[#This Row],[Frequentie weekend]]="","",_xlfn.CONCAT(Ruimtestaat[[#This Row],[Ruimte code]],"-",Ruimtestaat[[#This Row],[Frequentie weekend]]," ",Ruimtestaat[[#This Row],[Vloer code]]))</f>
        <v/>
      </c>
      <c r="BD152" s="185" t="str">
        <f>_xlfn.IFNA(VLOOKUP($BC152,Programma!$F$3:$G$1101,2,0),"")</f>
        <v/>
      </c>
      <c r="BE152" s="185" t="str">
        <f>_xlfn.IFNA(VLOOKUP($BC152,Programma!$F$3:$H$1101,3,0),"")</f>
        <v/>
      </c>
      <c r="BF152" s="185" t="str">
        <f>_xlfn.IFNA(VLOOKUP($BC152,Programma!$F$3:$I$1101,4,0),"")</f>
        <v/>
      </c>
      <c r="BG152" s="185" t="str">
        <f>_xlfn.IFNA(VLOOKUP($BC152,Programma!$F$3:$J$1101,5,0),"")</f>
        <v/>
      </c>
      <c r="BH152" s="185" t="str">
        <f>_xlfn.IFNA(VLOOKUP($BC152,Programma!$F$3:$K$1101,6,0),"")</f>
        <v/>
      </c>
      <c r="BI152" s="185" t="str">
        <f>_xlfn.IFNA(VLOOKUP($BC152,Programma!$F$3:$L$1101,7,0),"")</f>
        <v/>
      </c>
      <c r="BJ152" s="185" t="str">
        <f>_xlfn.IFNA(VLOOKUP($BC152,Programma!$F$3:$M$1101,8,0),"")</f>
        <v/>
      </c>
      <c r="BK152" s="185" t="str">
        <f>_xlfn.IFNA(VLOOKUP($BC152,Programma!$F$3:$N$1101,9,0),"")</f>
        <v/>
      </c>
      <c r="BL152" s="185" t="str">
        <f>_xlfn.IFNA(VLOOKUP($BC152,Programma!$F$3:$O$1101,10,0),"")</f>
        <v/>
      </c>
      <c r="BM152" s="185" t="str">
        <f>_xlfn.IFNA(VLOOKUP($BC152,Programma!$F$3:$P$1101,11,0),"")</f>
        <v/>
      </c>
      <c r="BN152" s="185" t="str">
        <f>_xlfn.IFNA(VLOOKUP($BC152,Programma!$F$3:$Q$1101,12,0),"")</f>
        <v/>
      </c>
      <c r="BO152" s="185" t="str">
        <f>_xlfn.IFNA(VLOOKUP($BC152,Programma!$F$3:$R$1101,13,0),"")</f>
        <v/>
      </c>
      <c r="BP152" s="185" t="str">
        <f>_xlfn.IFNA(VLOOKUP($BC152,Programma!$F$3:$S$1101,14,0),"")</f>
        <v/>
      </c>
      <c r="BQ152" s="185" t="str">
        <f>_xlfn.IFNA(VLOOKUP($BC152,Programma!$F$3:$T$1101,15,0),"")</f>
        <v/>
      </c>
      <c r="BR152" s="185" t="str">
        <f>_xlfn.IFNA(VLOOKUP($BC152,Programma!$F$3:$U$1101,16,0),"")</f>
        <v/>
      </c>
      <c r="BS152" s="185" t="str">
        <f>_xlfn.IFNA(VLOOKUP($BC152,Programma!$F$3:$V$1101,17,0),"")</f>
        <v/>
      </c>
      <c r="BT152" s="185" t="str">
        <f>_xlfn.IFNA(VLOOKUP($BC152,Programma!$F$3:$W$1101,18,0),"")</f>
        <v/>
      </c>
      <c r="BU152" s="185" t="str">
        <f>_xlfn.IFNA(VLOOKUP($BC152,Programma!$F$3:$X$1101,19,0),"")</f>
        <v/>
      </c>
      <c r="BV152" s="185" t="str">
        <f>_xlfn.IFNA(VLOOKUP($BC152,Programma!$F$3:$Y$1101,20,0),"")</f>
        <v/>
      </c>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c r="DV152" s="78"/>
      <c r="DW152" s="78"/>
      <c r="DX152" s="78"/>
      <c r="DY152" s="78"/>
      <c r="DZ152" s="78"/>
      <c r="EA152" s="78"/>
      <c r="EB152" s="78"/>
      <c r="EC152" s="78"/>
      <c r="ED152" s="78"/>
      <c r="EE152" s="78"/>
      <c r="EF152" s="78"/>
      <c r="EG152" s="78"/>
      <c r="EH152" s="78"/>
      <c r="EI152" s="78"/>
      <c r="EJ152" s="78"/>
      <c r="EK152" s="78"/>
      <c r="EL152" s="78"/>
      <c r="EM152" s="78"/>
      <c r="EN152" s="78"/>
      <c r="EO152" s="78"/>
      <c r="EP152" s="78"/>
      <c r="EQ152" s="78"/>
      <c r="ER152" s="78"/>
      <c r="ES152" s="78"/>
      <c r="ET152" s="78"/>
      <c r="EU152" s="78"/>
      <c r="EV152" s="78"/>
      <c r="EW152" s="78"/>
      <c r="EX152" s="78"/>
      <c r="EY152" s="78"/>
      <c r="EZ152" s="78"/>
      <c r="FA152" s="78"/>
      <c r="FB152" s="78"/>
      <c r="FC152" s="78"/>
      <c r="FD152" s="78"/>
      <c r="FE152" s="78"/>
      <c r="FF152" s="78"/>
      <c r="FG152" s="78"/>
      <c r="FH152" s="78"/>
      <c r="FI152" s="78"/>
      <c r="FJ152" s="78"/>
      <c r="FK152" s="78"/>
      <c r="FL152" s="78"/>
      <c r="FM152" s="78"/>
      <c r="FN152" s="78"/>
      <c r="FO152" s="78"/>
      <c r="FP152" s="78"/>
      <c r="FQ152" s="78"/>
      <c r="FR152" s="78"/>
      <c r="FS152" s="78"/>
      <c r="FT152" s="78"/>
      <c r="FU152" s="78"/>
      <c r="FV152" s="78"/>
      <c r="FW152" s="78"/>
      <c r="FX152" s="78"/>
      <c r="FY152" s="78"/>
      <c r="FZ152" s="78"/>
      <c r="GA152" s="78"/>
      <c r="GB152" s="78"/>
      <c r="GC152" s="78"/>
      <c r="GD152" s="78"/>
      <c r="GE152" s="78"/>
      <c r="GF152" s="78"/>
      <c r="GG152" s="78"/>
      <c r="GH152" s="78"/>
      <c r="GI152" s="78"/>
      <c r="GJ152" s="78"/>
      <c r="GK152" s="78"/>
      <c r="GL152" s="78"/>
      <c r="GM152" s="78"/>
      <c r="GN152" s="78"/>
      <c r="GO152" s="78"/>
      <c r="GP152" s="78"/>
      <c r="GQ152" s="78"/>
      <c r="GR152" s="78"/>
      <c r="GS152" s="78"/>
      <c r="GT152" s="78"/>
      <c r="GU152" s="78"/>
      <c r="GV152" s="78"/>
      <c r="GW152" s="78"/>
      <c r="GX152" s="78"/>
      <c r="GY152" s="78"/>
      <c r="GZ152" s="78"/>
      <c r="HA152" s="78"/>
      <c r="HB152" s="78"/>
      <c r="HC152" s="78"/>
      <c r="HD152" s="78"/>
      <c r="HE152" s="78"/>
      <c r="HF152" s="78"/>
      <c r="HG152" s="78"/>
      <c r="HH152" s="78"/>
      <c r="HI152" s="78"/>
      <c r="HJ152" s="78"/>
      <c r="HK152" s="78"/>
    </row>
    <row r="153" spans="1:219" ht="15" customHeight="1">
      <c r="A153" s="149">
        <v>5</v>
      </c>
      <c r="B153" s="176" t="str">
        <f>VLOOKUP(Ruimtestaat[[#This Row],[Code]],Locaties[[Code]:[Locatie]],2,FALSE)</f>
        <v>OBS Harry Bannink</v>
      </c>
      <c r="C153" s="176" t="str">
        <f>VLOOKUP(Ruimtestaat[[#This Row],[Code]],Locaties[[#All],[Code]:[Adres]],4,FALSE)</f>
        <v>Het Bijvank 111</v>
      </c>
      <c r="D153" s="176" t="str">
        <f>VLOOKUP(Ruimtestaat[[#This Row],[Code]],Locaties[[#All],[Code]:[Postcode]],5,FALSE)</f>
        <v>7544 DA</v>
      </c>
      <c r="E153" s="176" t="str">
        <f>VLOOKUP(Ruimtestaat[[#This Row],[Code]],Locaties[#All],6,FALSE)</f>
        <v>Enschede</v>
      </c>
      <c r="F153" s="149"/>
      <c r="G153" s="149" t="s">
        <v>1714</v>
      </c>
      <c r="H153" s="300" t="s">
        <v>1736</v>
      </c>
      <c r="I153" s="301" t="s">
        <v>1655</v>
      </c>
      <c r="J153" s="99">
        <v>5</v>
      </c>
      <c r="K153" s="183" t="str">
        <f>VLOOKUP(Ruimtestaat[[#This Row],[Ruimte code]],Ruimtegroepen[[#All],[Code]:[Ruimte omschrijving]],2,FALSE)</f>
        <v>Sanitair</v>
      </c>
      <c r="L153" s="149" t="s">
        <v>102</v>
      </c>
      <c r="M153" s="301" t="s">
        <v>120</v>
      </c>
      <c r="N153" s="177">
        <v>0.8</v>
      </c>
      <c r="O153" s="177"/>
      <c r="P153" s="178" t="str">
        <f>VLOOKUP(Ruimtestaat[[#This Row],[Ruimte code]],Ruimtegroepen[],4,FALSE)</f>
        <v>Sa</v>
      </c>
      <c r="Q153" s="149">
        <v>40</v>
      </c>
      <c r="R153" s="149" t="s">
        <v>2</v>
      </c>
      <c r="S153" s="149">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3" s="149">
        <f>IF(S153&gt;0,VLOOKUP($J153,Ruimtegroepen[],3,FALSE)*VLOOKUP($L153,Vloersoorten[],3,FALSE)*VLOOKUP($R153,Frequenties[],3,FALSE)*VLOOKUP($A153,Locaties[],3,FALSE),0)</f>
        <v>0</v>
      </c>
      <c r="U153" s="149">
        <f>Ruimtestaat[[#This Row],[Uitvoeringen werkdagen]]*Ruimtestaat[[#This Row],[Oppervlak (netto)]]</f>
        <v>160</v>
      </c>
      <c r="V153" s="179">
        <f>IF(T153&gt;0,Ruimtestaat[[#This Row],[Prest. (m2 /jaar) werkdagen]]/Ruimtestaat[[#This Row],[Norm (m2/uur) werkdagen]],0)</f>
        <v>0</v>
      </c>
      <c r="W153" s="180">
        <f>Ruimtestaat[[#This Row],[uren / jaar werkdagen]]*Tariefsopbouw!$E$35</f>
        <v>0</v>
      </c>
      <c r="X153" s="149"/>
      <c r="Y153" s="149">
        <f>IF(Ruimtestaat[[#This Row],[Frequentie weekend]]&gt;0,VALUE(LEFT(X153,1))*Q153,0)</f>
        <v>0</v>
      </c>
      <c r="Z153" s="148">
        <f>IF($Y153&gt;0,VLOOKUP($J153,Ruimtegroepen[],3,FALSE)*VLOOKUP($L153,Vloersoorten[],3,FALSE)*VLOOKUP($X153,Frequenties[],3,FALSE)*VLOOKUP(Ruimtestaat[[#This Row],[Code]],Locaties[],3,FALSE),0)</f>
        <v>0</v>
      </c>
      <c r="AA153" s="148">
        <f>Ruimtestaat[[#This Row],[Uitvoeringen weekend]]*Ruimtestaat[[#This Row],[Oppervlak (netto)]]</f>
        <v>0</v>
      </c>
      <c r="AB153" s="148">
        <f>IF(Z153&gt;0,Ruimtestaat[[#This Row],[Prest. (m2 /jaar) weekend]]/Ruimtestaat[[#This Row],[Norm (m2/uur) weekend]],0)</f>
        <v>0</v>
      </c>
      <c r="AC153" s="180">
        <f>Ruimtestaat[[#This Row],[uren / jaar weekend]]*Tariefsopbouw!$D$40</f>
        <v>0</v>
      </c>
      <c r="AD153" s="179">
        <f>Ruimtestaat[[#This Row],[Prest. (m2 /jaar) weekend]]+Ruimtestaat[[#This Row],[Prest. (m2 /jaar) werkdagen]]</f>
        <v>160</v>
      </c>
      <c r="AE153" s="179">
        <f>Ruimtestaat[[#This Row],[uren / jaar weekend]]+Ruimtestaat[[#This Row],[uren / jaar werkdagen]]</f>
        <v>0</v>
      </c>
      <c r="AF153" s="174">
        <f>Ruimtestaat[[#This Row],[kosten / jaar weekend]]+Ruimtestaat[[#This Row],[kosten / jaar werkdagen]]</f>
        <v>0</v>
      </c>
      <c r="AG153" s="174"/>
      <c r="AH153" s="181" t="str">
        <f>IF(Ruimtestaat[[#This Row],[Frequentie werkdagen]]="","",_xlfn.CONCAT(Ruimtestaat[[#This Row],[Ruimte code]],"-",Ruimtestaat[[#This Row],[Frequentie werkdagen]]," ",Ruimtestaat[[#This Row],[Vloer code]]))</f>
        <v>5-5w P</v>
      </c>
      <c r="AI153" s="185" t="str">
        <f>_xlfn.IFNA(VLOOKUP($AH153,Programma!$F$3:$G$1101,2,0),"")</f>
        <v>_</v>
      </c>
      <c r="AJ153" s="185" t="str">
        <f>_xlfn.IFNA(VLOOKUP($AH153,Programma!$F$3:$H$1101,3,0),"")</f>
        <v>_</v>
      </c>
      <c r="AK153" s="185" t="str">
        <f>_xlfn.IFNA(VLOOKUP($AH153,Programma!$F$3:$I$1101,4,0),"")</f>
        <v>_</v>
      </c>
      <c r="AL153" s="185" t="str">
        <f>_xlfn.IFNA(VLOOKUP($AH153,Programma!$F$3:$J$1101,5,0),"")</f>
        <v>4w</v>
      </c>
      <c r="AM153" s="185" t="str">
        <f>_xlfn.IFNA(VLOOKUP($AH153,Programma!$F$3:$K$1101,6,0),"")</f>
        <v>1w</v>
      </c>
      <c r="AN153" s="185" t="str">
        <f>_xlfn.IFNA(VLOOKUP($AH153,Programma!$F$3:$L$1101,7,0),"")</f>
        <v>_</v>
      </c>
      <c r="AO153" s="185" t="str">
        <f>_xlfn.IFNA(VLOOKUP($AH153,Programma!$F$3:$M$1101,8,0),"")</f>
        <v>_</v>
      </c>
      <c r="AP153" s="185" t="str">
        <f>_xlfn.IFNA(VLOOKUP($AH153,Programma!$F$3:$N$1101,9,0),"")</f>
        <v>_</v>
      </c>
      <c r="AQ153" s="185" t="str">
        <f>_xlfn.IFNA(VLOOKUP($AH153,Programma!$F$3:$O$1101,10,0),"")</f>
        <v>_</v>
      </c>
      <c r="AR153" s="185" t="str">
        <f>_xlfn.IFNA(VLOOKUP($AH153,Programma!$F$3:$P$1101,11,0),"")</f>
        <v>_</v>
      </c>
      <c r="AS153" s="185" t="str">
        <f>_xlfn.IFNA(VLOOKUP($AH153,Programma!$F$3:$Q$1101,12,0),"")</f>
        <v>_</v>
      </c>
      <c r="AT153" s="185" t="str">
        <f>_xlfn.IFNA(VLOOKUP($AH153,Programma!$F$3:$R$1101,13,0),"")</f>
        <v>_</v>
      </c>
      <c r="AU153" s="185" t="str">
        <f>_xlfn.IFNA(VLOOKUP($AH153,Programma!$F$3:$S$1101,14,0),"")</f>
        <v>_</v>
      </c>
      <c r="AV153" s="185" t="str">
        <f>_xlfn.IFNA(VLOOKUP($AH153,Programma!$F$3:$T$1101,15,0),"")</f>
        <v>_</v>
      </c>
      <c r="AW153" s="185" t="str">
        <f>_xlfn.IFNA(VLOOKUP($AH153,Programma!$F$3:$U$1101,16,0),"")</f>
        <v>_</v>
      </c>
      <c r="AX153" s="185" t="str">
        <f>_xlfn.IFNA(VLOOKUP($AH153,Programma!$F$3:$V$1101,17,0),"")</f>
        <v>_</v>
      </c>
      <c r="AY153" s="185" t="str">
        <f>_xlfn.IFNA(VLOOKUP($AH153,Programma!$F$3:$W$1101,18,0),"")</f>
        <v>4w</v>
      </c>
      <c r="AZ153" s="185" t="str">
        <f>_xlfn.IFNA(VLOOKUP($AH153,Programma!$F$3:$X$1101,19,0),"")</f>
        <v>1w</v>
      </c>
      <c r="BA153" s="185" t="str">
        <f>_xlfn.IFNA(VLOOKUP($AH153,Programma!$F$3:$Y$1101,20,0),"")</f>
        <v>_</v>
      </c>
      <c r="BB153" s="182"/>
      <c r="BC153" s="181" t="str">
        <f>IF(Ruimtestaat[[#This Row],[Frequentie weekend]]="","",_xlfn.CONCAT(Ruimtestaat[[#This Row],[Ruimte code]],"-",Ruimtestaat[[#This Row],[Frequentie weekend]]," ",Ruimtestaat[[#This Row],[Vloer code]]))</f>
        <v/>
      </c>
      <c r="BD153" s="185" t="str">
        <f>_xlfn.IFNA(VLOOKUP($BC153,Programma!$F$3:$G$1101,2,0),"")</f>
        <v/>
      </c>
      <c r="BE153" s="185" t="str">
        <f>_xlfn.IFNA(VLOOKUP($BC153,Programma!$F$3:$H$1101,3,0),"")</f>
        <v/>
      </c>
      <c r="BF153" s="185" t="str">
        <f>_xlfn.IFNA(VLOOKUP($BC153,Programma!$F$3:$I$1101,4,0),"")</f>
        <v/>
      </c>
      <c r="BG153" s="185" t="str">
        <f>_xlfn.IFNA(VLOOKUP($BC153,Programma!$F$3:$J$1101,5,0),"")</f>
        <v/>
      </c>
      <c r="BH153" s="185" t="str">
        <f>_xlfn.IFNA(VLOOKUP($BC153,Programma!$F$3:$K$1101,6,0),"")</f>
        <v/>
      </c>
      <c r="BI153" s="185" t="str">
        <f>_xlfn.IFNA(VLOOKUP($BC153,Programma!$F$3:$L$1101,7,0),"")</f>
        <v/>
      </c>
      <c r="BJ153" s="185" t="str">
        <f>_xlfn.IFNA(VLOOKUP($BC153,Programma!$F$3:$M$1101,8,0),"")</f>
        <v/>
      </c>
      <c r="BK153" s="185" t="str">
        <f>_xlfn.IFNA(VLOOKUP($BC153,Programma!$F$3:$N$1101,9,0),"")</f>
        <v/>
      </c>
      <c r="BL153" s="185" t="str">
        <f>_xlfn.IFNA(VLOOKUP($BC153,Programma!$F$3:$O$1101,10,0),"")</f>
        <v/>
      </c>
      <c r="BM153" s="185" t="str">
        <f>_xlfn.IFNA(VLOOKUP($BC153,Programma!$F$3:$P$1101,11,0),"")</f>
        <v/>
      </c>
      <c r="BN153" s="185" t="str">
        <f>_xlfn.IFNA(VLOOKUP($BC153,Programma!$F$3:$Q$1101,12,0),"")</f>
        <v/>
      </c>
      <c r="BO153" s="185" t="str">
        <f>_xlfn.IFNA(VLOOKUP($BC153,Programma!$F$3:$R$1101,13,0),"")</f>
        <v/>
      </c>
      <c r="BP153" s="185" t="str">
        <f>_xlfn.IFNA(VLOOKUP($BC153,Programma!$F$3:$S$1101,14,0),"")</f>
        <v/>
      </c>
      <c r="BQ153" s="185" t="str">
        <f>_xlfn.IFNA(VLOOKUP($BC153,Programma!$F$3:$T$1101,15,0),"")</f>
        <v/>
      </c>
      <c r="BR153" s="185" t="str">
        <f>_xlfn.IFNA(VLOOKUP($BC153,Programma!$F$3:$U$1101,16,0),"")</f>
        <v/>
      </c>
      <c r="BS153" s="185" t="str">
        <f>_xlfn.IFNA(VLOOKUP($BC153,Programma!$F$3:$V$1101,17,0),"")</f>
        <v/>
      </c>
      <c r="BT153" s="185" t="str">
        <f>_xlfn.IFNA(VLOOKUP($BC153,Programma!$F$3:$W$1101,18,0),"")</f>
        <v/>
      </c>
      <c r="BU153" s="185" t="str">
        <f>_xlfn.IFNA(VLOOKUP($BC153,Programma!$F$3:$X$1101,19,0),"")</f>
        <v/>
      </c>
      <c r="BV153" s="185" t="str">
        <f>_xlfn.IFNA(VLOOKUP($BC153,Programma!$F$3:$Y$1101,20,0),"")</f>
        <v/>
      </c>
      <c r="BW153" s="78"/>
      <c r="BX153" s="78"/>
      <c r="BY153" s="78"/>
      <c r="BZ153" s="78"/>
      <c r="CA153" s="78"/>
      <c r="CB153" s="78"/>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78"/>
      <c r="DB153" s="78"/>
      <c r="DC153" s="78"/>
      <c r="DD153" s="78"/>
      <c r="DE153" s="78"/>
      <c r="DF153" s="78"/>
      <c r="DG153" s="78"/>
      <c r="DH153" s="78"/>
      <c r="DI153" s="78"/>
      <c r="DJ153" s="78"/>
      <c r="DK153" s="78"/>
      <c r="DL153" s="78"/>
      <c r="DM153" s="78"/>
      <c r="DN153" s="78"/>
      <c r="DO153" s="78"/>
      <c r="DP153" s="78"/>
      <c r="DQ153" s="78"/>
      <c r="DR153" s="78"/>
      <c r="DS153" s="78"/>
      <c r="DT153" s="78"/>
      <c r="DU153" s="78"/>
      <c r="DV153" s="78"/>
      <c r="DW153" s="78"/>
      <c r="DX153" s="78"/>
      <c r="DY153" s="78"/>
      <c r="DZ153" s="78"/>
      <c r="EA153" s="78"/>
      <c r="EB153" s="78"/>
      <c r="EC153" s="78"/>
      <c r="ED153" s="78"/>
      <c r="EE153" s="78"/>
      <c r="EF153" s="78"/>
      <c r="EG153" s="78"/>
      <c r="EH153" s="78"/>
      <c r="EI153" s="78"/>
      <c r="EJ153" s="78"/>
      <c r="EK153" s="78"/>
      <c r="EL153" s="78"/>
      <c r="EM153" s="78"/>
      <c r="EN153" s="78"/>
      <c r="EO153" s="78"/>
      <c r="EP153" s="78"/>
      <c r="EQ153" s="78"/>
      <c r="ER153" s="78"/>
      <c r="ES153" s="78"/>
      <c r="ET153" s="78"/>
      <c r="EU153" s="78"/>
      <c r="EV153" s="78"/>
      <c r="EW153" s="78"/>
      <c r="EX153" s="78"/>
      <c r="EY153" s="78"/>
      <c r="EZ153" s="78"/>
      <c r="FA153" s="78"/>
      <c r="FB153" s="78"/>
      <c r="FC153" s="78"/>
      <c r="FD153" s="78"/>
      <c r="FE153" s="78"/>
      <c r="FF153" s="78"/>
      <c r="FG153" s="78"/>
      <c r="FH153" s="78"/>
      <c r="FI153" s="78"/>
      <c r="FJ153" s="78"/>
      <c r="FK153" s="78"/>
      <c r="FL153" s="78"/>
      <c r="FM153" s="78"/>
      <c r="FN153" s="78"/>
      <c r="FO153" s="78"/>
      <c r="FP153" s="78"/>
      <c r="FQ153" s="78"/>
      <c r="FR153" s="78"/>
      <c r="FS153" s="78"/>
      <c r="FT153" s="78"/>
      <c r="FU153" s="78"/>
      <c r="FV153" s="78"/>
      <c r="FW153" s="78"/>
      <c r="FX153" s="78"/>
      <c r="FY153" s="78"/>
      <c r="FZ153" s="78"/>
      <c r="GA153" s="78"/>
      <c r="GB153" s="78"/>
      <c r="GC153" s="78"/>
      <c r="GD153" s="78"/>
      <c r="GE153" s="78"/>
      <c r="GF153" s="78"/>
      <c r="GG153" s="78"/>
      <c r="GH153" s="78"/>
      <c r="GI153" s="78"/>
      <c r="GJ153" s="78"/>
      <c r="GK153" s="78"/>
      <c r="GL153" s="78"/>
      <c r="GM153" s="78"/>
      <c r="GN153" s="78"/>
      <c r="GO153" s="78"/>
      <c r="GP153" s="78"/>
      <c r="GQ153" s="78"/>
      <c r="GR153" s="78"/>
      <c r="GS153" s="78"/>
      <c r="GT153" s="78"/>
      <c r="GU153" s="78"/>
      <c r="GV153" s="78"/>
      <c r="GW153" s="78"/>
      <c r="GX153" s="78"/>
      <c r="GY153" s="78"/>
      <c r="GZ153" s="78"/>
      <c r="HA153" s="78"/>
      <c r="HB153" s="78"/>
      <c r="HC153" s="78"/>
      <c r="HD153" s="78"/>
      <c r="HE153" s="78"/>
      <c r="HF153" s="78"/>
      <c r="HG153" s="78"/>
      <c r="HH153" s="78"/>
      <c r="HI153" s="78"/>
      <c r="HJ153" s="78"/>
      <c r="HK153" s="78"/>
    </row>
    <row r="154" spans="1:219" ht="15" customHeight="1">
      <c r="A154" s="149">
        <v>5</v>
      </c>
      <c r="B154" s="176" t="str">
        <f>VLOOKUP(Ruimtestaat[[#This Row],[Code]],Locaties[[Code]:[Locatie]],2,FALSE)</f>
        <v>OBS Harry Bannink</v>
      </c>
      <c r="C154" s="176" t="str">
        <f>VLOOKUP(Ruimtestaat[[#This Row],[Code]],Locaties[[#All],[Code]:[Adres]],4,FALSE)</f>
        <v>Het Bijvank 111</v>
      </c>
      <c r="D154" s="176" t="str">
        <f>VLOOKUP(Ruimtestaat[[#This Row],[Code]],Locaties[[#All],[Code]:[Postcode]],5,FALSE)</f>
        <v>7544 DA</v>
      </c>
      <c r="E154" s="176" t="str">
        <f>VLOOKUP(Ruimtestaat[[#This Row],[Code]],Locaties[#All],6,FALSE)</f>
        <v>Enschede</v>
      </c>
      <c r="F154" s="149"/>
      <c r="G154" s="149" t="s">
        <v>1714</v>
      </c>
      <c r="H154" s="300" t="s">
        <v>1737</v>
      </c>
      <c r="I154" s="301" t="s">
        <v>1651</v>
      </c>
      <c r="J154" s="99">
        <v>16</v>
      </c>
      <c r="K154" s="183" t="str">
        <f>VLOOKUP(Ruimtestaat[[#This Row],[Ruimte code]],Ruimtegroepen[[#All],[Code]:[Ruimte omschrijving]],2,FALSE)</f>
        <v>Leslokalen</v>
      </c>
      <c r="L154" s="149" t="s">
        <v>100</v>
      </c>
      <c r="M154" s="301" t="s">
        <v>1697</v>
      </c>
      <c r="N154" s="177">
        <v>54.1</v>
      </c>
      <c r="O154" s="177"/>
      <c r="P154" s="178" t="str">
        <f>VLOOKUP(Ruimtestaat[[#This Row],[Ruimte code]],Ruimtegroepen[],4,FALSE)</f>
        <v>Le</v>
      </c>
      <c r="Q154" s="149">
        <v>40</v>
      </c>
      <c r="R154" s="149" t="s">
        <v>2</v>
      </c>
      <c r="S154" s="149">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4" s="149">
        <f>IF(S154&gt;0,VLOOKUP($J154,Ruimtegroepen[],3,FALSE)*VLOOKUP($L154,Vloersoorten[],3,FALSE)*VLOOKUP($R154,Frequenties[],3,FALSE)*VLOOKUP($A154,Locaties[],3,FALSE),0)</f>
        <v>0</v>
      </c>
      <c r="U154" s="149">
        <f>Ruimtestaat[[#This Row],[Uitvoeringen werkdagen]]*Ruimtestaat[[#This Row],[Oppervlak (netto)]]</f>
        <v>10820</v>
      </c>
      <c r="V154" s="179">
        <f>IF(T154&gt;0,Ruimtestaat[[#This Row],[Prest. (m2 /jaar) werkdagen]]/Ruimtestaat[[#This Row],[Norm (m2/uur) werkdagen]],0)</f>
        <v>0</v>
      </c>
      <c r="W154" s="180">
        <f>Ruimtestaat[[#This Row],[uren / jaar werkdagen]]*Tariefsopbouw!$E$35</f>
        <v>0</v>
      </c>
      <c r="X154" s="149"/>
      <c r="Y154" s="149">
        <f>IF(Ruimtestaat[[#This Row],[Frequentie weekend]]&gt;0,VALUE(LEFT(X154,1))*Q154,0)</f>
        <v>0</v>
      </c>
      <c r="Z154" s="148">
        <f>IF($Y154&gt;0,VLOOKUP($J154,Ruimtegroepen[],3,FALSE)*VLOOKUP($L154,Vloersoorten[],3,FALSE)*VLOOKUP($X154,Frequenties[],3,FALSE)*VLOOKUP(Ruimtestaat[[#This Row],[Code]],Locaties[],3,FALSE),0)</f>
        <v>0</v>
      </c>
      <c r="AA154" s="148">
        <f>Ruimtestaat[[#This Row],[Uitvoeringen weekend]]*Ruimtestaat[[#This Row],[Oppervlak (netto)]]</f>
        <v>0</v>
      </c>
      <c r="AB154" s="148">
        <f>IF(Z154&gt;0,Ruimtestaat[[#This Row],[Prest. (m2 /jaar) weekend]]/Ruimtestaat[[#This Row],[Norm (m2/uur) weekend]],0)</f>
        <v>0</v>
      </c>
      <c r="AC154" s="180">
        <f>Ruimtestaat[[#This Row],[uren / jaar weekend]]*Tariefsopbouw!$D$40</f>
        <v>0</v>
      </c>
      <c r="AD154" s="179">
        <f>Ruimtestaat[[#This Row],[Prest. (m2 /jaar) weekend]]+Ruimtestaat[[#This Row],[Prest. (m2 /jaar) werkdagen]]</f>
        <v>10820</v>
      </c>
      <c r="AE154" s="179">
        <f>Ruimtestaat[[#This Row],[uren / jaar weekend]]+Ruimtestaat[[#This Row],[uren / jaar werkdagen]]</f>
        <v>0</v>
      </c>
      <c r="AF154" s="174">
        <f>Ruimtestaat[[#This Row],[kosten / jaar weekend]]+Ruimtestaat[[#This Row],[kosten / jaar werkdagen]]</f>
        <v>0</v>
      </c>
      <c r="AG154" s="174"/>
      <c r="AH154" s="181" t="str">
        <f>IF(Ruimtestaat[[#This Row],[Frequentie werkdagen]]="","",_xlfn.CONCAT(Ruimtestaat[[#This Row],[Ruimte code]],"-",Ruimtestaat[[#This Row],[Frequentie werkdagen]]," ",Ruimtestaat[[#This Row],[Vloer code]]))</f>
        <v>16-5w L</v>
      </c>
      <c r="AI154" s="185" t="str">
        <f>_xlfn.IFNA(VLOOKUP($AH154,Programma!$F$3:$G$1101,2,0),"")</f>
        <v>_</v>
      </c>
      <c r="AJ154" s="185" t="str">
        <f>_xlfn.IFNA(VLOOKUP($AH154,Programma!$F$3:$H$1101,3,0),"")</f>
        <v>_</v>
      </c>
      <c r="AK154" s="185" t="str">
        <f>_xlfn.IFNA(VLOOKUP($AH154,Programma!$F$3:$I$1101,4,0),"")</f>
        <v>4w</v>
      </c>
      <c r="AL154" s="185" t="str">
        <f>_xlfn.IFNA(VLOOKUP($AH154,Programma!$F$3:$J$1101,5,0),"")</f>
        <v>1w</v>
      </c>
      <c r="AM154" s="185" t="str">
        <f>_xlfn.IFNA(VLOOKUP($AH154,Programma!$F$3:$K$1101,6,0),"")</f>
        <v>_</v>
      </c>
      <c r="AN154" s="185" t="str">
        <f>_xlfn.IFNA(VLOOKUP($AH154,Programma!$F$3:$L$1101,7,0),"")</f>
        <v>_</v>
      </c>
      <c r="AO154" s="185" t="str">
        <f>_xlfn.IFNA(VLOOKUP($AH154,Programma!$F$3:$M$1101,8,0),"")</f>
        <v>_</v>
      </c>
      <c r="AP154" s="185" t="str">
        <f>_xlfn.IFNA(VLOOKUP($AH154,Programma!$F$3:$N$1101,9,0),"")</f>
        <v>_</v>
      </c>
      <c r="AQ154" s="185" t="str">
        <f>_xlfn.IFNA(VLOOKUP($AH154,Programma!$F$3:$O$1101,10,0),"")</f>
        <v>5w</v>
      </c>
      <c r="AR154" s="185" t="str">
        <f>_xlfn.IFNA(VLOOKUP($AH154,Programma!$F$3:$P$1101,11,0),"")</f>
        <v>5w</v>
      </c>
      <c r="AS154" s="185" t="str">
        <f>_xlfn.IFNA(VLOOKUP($AH154,Programma!$F$3:$Q$1101,12,0),"")</f>
        <v>1w</v>
      </c>
      <c r="AT154" s="185" t="str">
        <f>_xlfn.IFNA(VLOOKUP($AH154,Programma!$F$3:$R$1101,13,0),"")</f>
        <v>1w</v>
      </c>
      <c r="AU154" s="185" t="str">
        <f>_xlfn.IFNA(VLOOKUP($AH154,Programma!$F$3:$S$1101,14,0),"")</f>
        <v>1m</v>
      </c>
      <c r="AV154" s="185" t="str">
        <f>_xlfn.IFNA(VLOOKUP($AH154,Programma!$F$3:$T$1101,15,0),"")</f>
        <v>2j</v>
      </c>
      <c r="AW154" s="185" t="str">
        <f>_xlfn.IFNA(VLOOKUP($AH154,Programma!$F$3:$U$1101,16,0),"")</f>
        <v>1j</v>
      </c>
      <c r="AX154" s="185" t="str">
        <f>_xlfn.IFNA(VLOOKUP($AH154,Programma!$F$3:$V$1101,17,0),"")</f>
        <v>_</v>
      </c>
      <c r="AY154" s="185" t="str">
        <f>_xlfn.IFNA(VLOOKUP($AH154,Programma!$F$3:$W$1101,18,0),"")</f>
        <v>_</v>
      </c>
      <c r="AZ154" s="185" t="str">
        <f>_xlfn.IFNA(VLOOKUP($AH154,Programma!$F$3:$X$1101,19,0),"")</f>
        <v>_</v>
      </c>
      <c r="BA154" s="185" t="str">
        <f>_xlfn.IFNA(VLOOKUP($AH154,Programma!$F$3:$Y$1101,20,0),"")</f>
        <v>_</v>
      </c>
      <c r="BB154" s="182"/>
      <c r="BC154" s="181" t="str">
        <f>IF(Ruimtestaat[[#This Row],[Frequentie weekend]]="","",_xlfn.CONCAT(Ruimtestaat[[#This Row],[Ruimte code]],"-",Ruimtestaat[[#This Row],[Frequentie weekend]]," ",Ruimtestaat[[#This Row],[Vloer code]]))</f>
        <v/>
      </c>
      <c r="BD154" s="185" t="str">
        <f>_xlfn.IFNA(VLOOKUP($BC154,Programma!$F$3:$G$1101,2,0),"")</f>
        <v/>
      </c>
      <c r="BE154" s="185" t="str">
        <f>_xlfn.IFNA(VLOOKUP($BC154,Programma!$F$3:$H$1101,3,0),"")</f>
        <v/>
      </c>
      <c r="BF154" s="185" t="str">
        <f>_xlfn.IFNA(VLOOKUP($BC154,Programma!$F$3:$I$1101,4,0),"")</f>
        <v/>
      </c>
      <c r="BG154" s="185" t="str">
        <f>_xlfn.IFNA(VLOOKUP($BC154,Programma!$F$3:$J$1101,5,0),"")</f>
        <v/>
      </c>
      <c r="BH154" s="185" t="str">
        <f>_xlfn.IFNA(VLOOKUP($BC154,Programma!$F$3:$K$1101,6,0),"")</f>
        <v/>
      </c>
      <c r="BI154" s="185" t="str">
        <f>_xlfn.IFNA(VLOOKUP($BC154,Programma!$F$3:$L$1101,7,0),"")</f>
        <v/>
      </c>
      <c r="BJ154" s="185" t="str">
        <f>_xlfn.IFNA(VLOOKUP($BC154,Programma!$F$3:$M$1101,8,0),"")</f>
        <v/>
      </c>
      <c r="BK154" s="185" t="str">
        <f>_xlfn.IFNA(VLOOKUP($BC154,Programma!$F$3:$N$1101,9,0),"")</f>
        <v/>
      </c>
      <c r="BL154" s="185" t="str">
        <f>_xlfn.IFNA(VLOOKUP($BC154,Programma!$F$3:$O$1101,10,0),"")</f>
        <v/>
      </c>
      <c r="BM154" s="185" t="str">
        <f>_xlfn.IFNA(VLOOKUP($BC154,Programma!$F$3:$P$1101,11,0),"")</f>
        <v/>
      </c>
      <c r="BN154" s="185" t="str">
        <f>_xlfn.IFNA(VLOOKUP($BC154,Programma!$F$3:$Q$1101,12,0),"")</f>
        <v/>
      </c>
      <c r="BO154" s="185" t="str">
        <f>_xlfn.IFNA(VLOOKUP($BC154,Programma!$F$3:$R$1101,13,0),"")</f>
        <v/>
      </c>
      <c r="BP154" s="185" t="str">
        <f>_xlfn.IFNA(VLOOKUP($BC154,Programma!$F$3:$S$1101,14,0),"")</f>
        <v/>
      </c>
      <c r="BQ154" s="185" t="str">
        <f>_xlfn.IFNA(VLOOKUP($BC154,Programma!$F$3:$T$1101,15,0),"")</f>
        <v/>
      </c>
      <c r="BR154" s="185" t="str">
        <f>_xlfn.IFNA(VLOOKUP($BC154,Programma!$F$3:$U$1101,16,0),"")</f>
        <v/>
      </c>
      <c r="BS154" s="185" t="str">
        <f>_xlfn.IFNA(VLOOKUP($BC154,Programma!$F$3:$V$1101,17,0),"")</f>
        <v/>
      </c>
      <c r="BT154" s="185" t="str">
        <f>_xlfn.IFNA(VLOOKUP($BC154,Programma!$F$3:$W$1101,18,0),"")</f>
        <v/>
      </c>
      <c r="BU154" s="185" t="str">
        <f>_xlfn.IFNA(VLOOKUP($BC154,Programma!$F$3:$X$1101,19,0),"")</f>
        <v/>
      </c>
      <c r="BV154" s="185" t="str">
        <f>_xlfn.IFNA(VLOOKUP($BC154,Programma!$F$3:$Y$1101,20,0),"")</f>
        <v/>
      </c>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c r="DV154" s="78"/>
      <c r="DW154" s="78"/>
      <c r="DX154" s="78"/>
      <c r="DY154" s="78"/>
      <c r="DZ154" s="78"/>
      <c r="EA154" s="78"/>
      <c r="EB154" s="78"/>
      <c r="EC154" s="78"/>
      <c r="ED154" s="78"/>
      <c r="EE154" s="78"/>
      <c r="EF154" s="78"/>
      <c r="EG154" s="78"/>
      <c r="EH154" s="78"/>
      <c r="EI154" s="78"/>
      <c r="EJ154" s="78"/>
      <c r="EK154" s="78"/>
      <c r="EL154" s="78"/>
      <c r="EM154" s="78"/>
      <c r="EN154" s="78"/>
      <c r="EO154" s="78"/>
      <c r="EP154" s="78"/>
      <c r="EQ154" s="78"/>
      <c r="ER154" s="78"/>
      <c r="ES154" s="78"/>
      <c r="ET154" s="78"/>
      <c r="EU154" s="78"/>
      <c r="EV154" s="78"/>
      <c r="EW154" s="78"/>
      <c r="EX154" s="78"/>
      <c r="EY154" s="78"/>
      <c r="EZ154" s="78"/>
      <c r="FA154" s="78"/>
      <c r="FB154" s="78"/>
      <c r="FC154" s="78"/>
      <c r="FD154" s="78"/>
      <c r="FE154" s="78"/>
      <c r="FF154" s="78"/>
      <c r="FG154" s="78"/>
      <c r="FH154" s="78"/>
      <c r="FI154" s="78"/>
      <c r="FJ154" s="78"/>
      <c r="FK154" s="78"/>
      <c r="FL154" s="78"/>
      <c r="FM154" s="78"/>
      <c r="FN154" s="78"/>
      <c r="FO154" s="78"/>
      <c r="FP154" s="78"/>
      <c r="FQ154" s="78"/>
      <c r="FR154" s="78"/>
      <c r="FS154" s="78"/>
      <c r="FT154" s="78"/>
      <c r="FU154" s="78"/>
      <c r="FV154" s="78"/>
      <c r="FW154" s="78"/>
      <c r="FX154" s="78"/>
      <c r="FY154" s="78"/>
      <c r="FZ154" s="78"/>
      <c r="GA154" s="78"/>
      <c r="GB154" s="78"/>
      <c r="GC154" s="78"/>
      <c r="GD154" s="78"/>
      <c r="GE154" s="78"/>
      <c r="GF154" s="78"/>
      <c r="GG154" s="78"/>
      <c r="GH154" s="78"/>
      <c r="GI154" s="78"/>
      <c r="GJ154" s="78"/>
      <c r="GK154" s="78"/>
      <c r="GL154" s="78"/>
      <c r="GM154" s="78"/>
      <c r="GN154" s="78"/>
      <c r="GO154" s="78"/>
      <c r="GP154" s="78"/>
      <c r="GQ154" s="78"/>
      <c r="GR154" s="78"/>
      <c r="GS154" s="78"/>
      <c r="GT154" s="78"/>
      <c r="GU154" s="78"/>
      <c r="GV154" s="78"/>
      <c r="GW154" s="78"/>
      <c r="GX154" s="78"/>
      <c r="GY154" s="78"/>
      <c r="GZ154" s="78"/>
      <c r="HA154" s="78"/>
      <c r="HB154" s="78"/>
      <c r="HC154" s="78"/>
      <c r="HD154" s="78"/>
      <c r="HE154" s="78"/>
      <c r="HF154" s="78"/>
      <c r="HG154" s="78"/>
      <c r="HH154" s="78"/>
      <c r="HI154" s="78"/>
      <c r="HJ154" s="78"/>
      <c r="HK154" s="78"/>
    </row>
    <row r="155" spans="1:219" ht="15" customHeight="1">
      <c r="A155" s="149">
        <v>5</v>
      </c>
      <c r="B155" s="176" t="str">
        <f>VLOOKUP(Ruimtestaat[[#This Row],[Code]],Locaties[[Code]:[Locatie]],2,FALSE)</f>
        <v>OBS Harry Bannink</v>
      </c>
      <c r="C155" s="176" t="str">
        <f>VLOOKUP(Ruimtestaat[[#This Row],[Code]],Locaties[[#All],[Code]:[Adres]],4,FALSE)</f>
        <v>Het Bijvank 111</v>
      </c>
      <c r="D155" s="176" t="str">
        <f>VLOOKUP(Ruimtestaat[[#This Row],[Code]],Locaties[[#All],[Code]:[Postcode]],5,FALSE)</f>
        <v>7544 DA</v>
      </c>
      <c r="E155" s="176" t="str">
        <f>VLOOKUP(Ruimtestaat[[#This Row],[Code]],Locaties[#All],6,FALSE)</f>
        <v>Enschede</v>
      </c>
      <c r="F155" s="149"/>
      <c r="G155" s="149" t="s">
        <v>1714</v>
      </c>
      <c r="H155" s="300" t="s">
        <v>1738</v>
      </c>
      <c r="I155" s="301" t="s">
        <v>1655</v>
      </c>
      <c r="J155" s="149">
        <v>5</v>
      </c>
      <c r="K155" s="183" t="str">
        <f>VLOOKUP(Ruimtestaat[[#This Row],[Ruimte code]],Ruimtegroepen[[#All],[Code]:[Ruimte omschrijving]],2,FALSE)</f>
        <v>Sanitair</v>
      </c>
      <c r="L155" s="149" t="s">
        <v>102</v>
      </c>
      <c r="M155" s="301" t="s">
        <v>120</v>
      </c>
      <c r="N155" s="177">
        <v>0.8</v>
      </c>
      <c r="O155" s="177"/>
      <c r="P155" s="178" t="str">
        <f>VLOOKUP(Ruimtestaat[[#This Row],[Ruimte code]],Ruimtegroepen[],4,FALSE)</f>
        <v>Sa</v>
      </c>
      <c r="Q155" s="149">
        <v>40</v>
      </c>
      <c r="R155" s="149" t="s">
        <v>2</v>
      </c>
      <c r="S155" s="149">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5" s="149">
        <f>IF(S155&gt;0,VLOOKUP($J155,Ruimtegroepen[],3,FALSE)*VLOOKUP($L155,Vloersoorten[],3,FALSE)*VLOOKUP($R155,Frequenties[],3,FALSE)*VLOOKUP($A155,Locaties[],3,FALSE),0)</f>
        <v>0</v>
      </c>
      <c r="U155" s="149">
        <f>Ruimtestaat[[#This Row],[Uitvoeringen werkdagen]]*Ruimtestaat[[#This Row],[Oppervlak (netto)]]</f>
        <v>160</v>
      </c>
      <c r="V155" s="179">
        <f>IF(T155&gt;0,Ruimtestaat[[#This Row],[Prest. (m2 /jaar) werkdagen]]/Ruimtestaat[[#This Row],[Norm (m2/uur) werkdagen]],0)</f>
        <v>0</v>
      </c>
      <c r="W155" s="180">
        <f>Ruimtestaat[[#This Row],[uren / jaar werkdagen]]*Tariefsopbouw!$E$35</f>
        <v>0</v>
      </c>
      <c r="X155" s="149"/>
      <c r="Y155" s="149">
        <f>IF(Ruimtestaat[[#This Row],[Frequentie weekend]]&gt;0,VALUE(LEFT(X155,1))*Q155,0)</f>
        <v>0</v>
      </c>
      <c r="Z155" s="148">
        <f>IF($Y155&gt;0,VLOOKUP($J155,Ruimtegroepen[],3,FALSE)*VLOOKUP($L155,Vloersoorten[],3,FALSE)*VLOOKUP($X155,Frequenties[],3,FALSE)*VLOOKUP(Ruimtestaat[[#This Row],[Code]],Locaties[],3,FALSE),0)</f>
        <v>0</v>
      </c>
      <c r="AA155" s="148">
        <f>Ruimtestaat[[#This Row],[Uitvoeringen weekend]]*Ruimtestaat[[#This Row],[Oppervlak (netto)]]</f>
        <v>0</v>
      </c>
      <c r="AB155" s="148">
        <f>IF(Z155&gt;0,Ruimtestaat[[#This Row],[Prest. (m2 /jaar) weekend]]/Ruimtestaat[[#This Row],[Norm (m2/uur) weekend]],0)</f>
        <v>0</v>
      </c>
      <c r="AC155" s="180">
        <f>Ruimtestaat[[#This Row],[uren / jaar weekend]]*Tariefsopbouw!$D$40</f>
        <v>0</v>
      </c>
      <c r="AD155" s="179">
        <f>Ruimtestaat[[#This Row],[Prest. (m2 /jaar) weekend]]+Ruimtestaat[[#This Row],[Prest. (m2 /jaar) werkdagen]]</f>
        <v>160</v>
      </c>
      <c r="AE155" s="179">
        <f>Ruimtestaat[[#This Row],[uren / jaar weekend]]+Ruimtestaat[[#This Row],[uren / jaar werkdagen]]</f>
        <v>0</v>
      </c>
      <c r="AF155" s="174">
        <f>Ruimtestaat[[#This Row],[kosten / jaar weekend]]+Ruimtestaat[[#This Row],[kosten / jaar werkdagen]]</f>
        <v>0</v>
      </c>
      <c r="AG155" s="174"/>
      <c r="AH155" s="181" t="str">
        <f>IF(Ruimtestaat[[#This Row],[Frequentie werkdagen]]="","",_xlfn.CONCAT(Ruimtestaat[[#This Row],[Ruimte code]],"-",Ruimtestaat[[#This Row],[Frequentie werkdagen]]," ",Ruimtestaat[[#This Row],[Vloer code]]))</f>
        <v>5-5w P</v>
      </c>
      <c r="AI155" s="185" t="str">
        <f>_xlfn.IFNA(VLOOKUP($AH155,Programma!$F$3:$G$1101,2,0),"")</f>
        <v>_</v>
      </c>
      <c r="AJ155" s="185" t="str">
        <f>_xlfn.IFNA(VLOOKUP($AH155,Programma!$F$3:$H$1101,3,0),"")</f>
        <v>_</v>
      </c>
      <c r="AK155" s="185" t="str">
        <f>_xlfn.IFNA(VLOOKUP($AH155,Programma!$F$3:$I$1101,4,0),"")</f>
        <v>_</v>
      </c>
      <c r="AL155" s="185" t="str">
        <f>_xlfn.IFNA(VLOOKUP($AH155,Programma!$F$3:$J$1101,5,0),"")</f>
        <v>4w</v>
      </c>
      <c r="AM155" s="185" t="str">
        <f>_xlfn.IFNA(VLOOKUP($AH155,Programma!$F$3:$K$1101,6,0),"")</f>
        <v>1w</v>
      </c>
      <c r="AN155" s="185" t="str">
        <f>_xlfn.IFNA(VLOOKUP($AH155,Programma!$F$3:$L$1101,7,0),"")</f>
        <v>_</v>
      </c>
      <c r="AO155" s="185" t="str">
        <f>_xlfn.IFNA(VLOOKUP($AH155,Programma!$F$3:$M$1101,8,0),"")</f>
        <v>_</v>
      </c>
      <c r="AP155" s="185" t="str">
        <f>_xlfn.IFNA(VLOOKUP($AH155,Programma!$F$3:$N$1101,9,0),"")</f>
        <v>_</v>
      </c>
      <c r="AQ155" s="185" t="str">
        <f>_xlfn.IFNA(VLOOKUP($AH155,Programma!$F$3:$O$1101,10,0),"")</f>
        <v>_</v>
      </c>
      <c r="AR155" s="185" t="str">
        <f>_xlfn.IFNA(VLOOKUP($AH155,Programma!$F$3:$P$1101,11,0),"")</f>
        <v>_</v>
      </c>
      <c r="AS155" s="185" t="str">
        <f>_xlfn.IFNA(VLOOKUP($AH155,Programma!$F$3:$Q$1101,12,0),"")</f>
        <v>_</v>
      </c>
      <c r="AT155" s="185" t="str">
        <f>_xlfn.IFNA(VLOOKUP($AH155,Programma!$F$3:$R$1101,13,0),"")</f>
        <v>_</v>
      </c>
      <c r="AU155" s="185" t="str">
        <f>_xlfn.IFNA(VLOOKUP($AH155,Programma!$F$3:$S$1101,14,0),"")</f>
        <v>_</v>
      </c>
      <c r="AV155" s="185" t="str">
        <f>_xlfn.IFNA(VLOOKUP($AH155,Programma!$F$3:$T$1101,15,0),"")</f>
        <v>_</v>
      </c>
      <c r="AW155" s="185" t="str">
        <f>_xlfn.IFNA(VLOOKUP($AH155,Programma!$F$3:$U$1101,16,0),"")</f>
        <v>_</v>
      </c>
      <c r="AX155" s="185" t="str">
        <f>_xlfn.IFNA(VLOOKUP($AH155,Programma!$F$3:$V$1101,17,0),"")</f>
        <v>_</v>
      </c>
      <c r="AY155" s="185" t="str">
        <f>_xlfn.IFNA(VLOOKUP($AH155,Programma!$F$3:$W$1101,18,0),"")</f>
        <v>4w</v>
      </c>
      <c r="AZ155" s="185" t="str">
        <f>_xlfn.IFNA(VLOOKUP($AH155,Programma!$F$3:$X$1101,19,0),"")</f>
        <v>1w</v>
      </c>
      <c r="BA155" s="185" t="str">
        <f>_xlfn.IFNA(VLOOKUP($AH155,Programma!$F$3:$Y$1101,20,0),"")</f>
        <v>_</v>
      </c>
      <c r="BB155" s="182"/>
      <c r="BC155" s="181" t="str">
        <f>IF(Ruimtestaat[[#This Row],[Frequentie weekend]]="","",_xlfn.CONCAT(Ruimtestaat[[#This Row],[Ruimte code]],"-",Ruimtestaat[[#This Row],[Frequentie weekend]]," ",Ruimtestaat[[#This Row],[Vloer code]]))</f>
        <v/>
      </c>
      <c r="BD155" s="185" t="str">
        <f>_xlfn.IFNA(VLOOKUP($BC155,Programma!$F$3:$G$1101,2,0),"")</f>
        <v/>
      </c>
      <c r="BE155" s="185" t="str">
        <f>_xlfn.IFNA(VLOOKUP($BC155,Programma!$F$3:$H$1101,3,0),"")</f>
        <v/>
      </c>
      <c r="BF155" s="185" t="str">
        <f>_xlfn.IFNA(VLOOKUP($BC155,Programma!$F$3:$I$1101,4,0),"")</f>
        <v/>
      </c>
      <c r="BG155" s="185" t="str">
        <f>_xlfn.IFNA(VLOOKUP($BC155,Programma!$F$3:$J$1101,5,0),"")</f>
        <v/>
      </c>
      <c r="BH155" s="185" t="str">
        <f>_xlfn.IFNA(VLOOKUP($BC155,Programma!$F$3:$K$1101,6,0),"")</f>
        <v/>
      </c>
      <c r="BI155" s="185" t="str">
        <f>_xlfn.IFNA(VLOOKUP($BC155,Programma!$F$3:$L$1101,7,0),"")</f>
        <v/>
      </c>
      <c r="BJ155" s="185" t="str">
        <f>_xlfn.IFNA(VLOOKUP($BC155,Programma!$F$3:$M$1101,8,0),"")</f>
        <v/>
      </c>
      <c r="BK155" s="185" t="str">
        <f>_xlfn.IFNA(VLOOKUP($BC155,Programma!$F$3:$N$1101,9,0),"")</f>
        <v/>
      </c>
      <c r="BL155" s="185" t="str">
        <f>_xlfn.IFNA(VLOOKUP($BC155,Programma!$F$3:$O$1101,10,0),"")</f>
        <v/>
      </c>
      <c r="BM155" s="185" t="str">
        <f>_xlfn.IFNA(VLOOKUP($BC155,Programma!$F$3:$P$1101,11,0),"")</f>
        <v/>
      </c>
      <c r="BN155" s="185" t="str">
        <f>_xlfn.IFNA(VLOOKUP($BC155,Programma!$F$3:$Q$1101,12,0),"")</f>
        <v/>
      </c>
      <c r="BO155" s="185" t="str">
        <f>_xlfn.IFNA(VLOOKUP($BC155,Programma!$F$3:$R$1101,13,0),"")</f>
        <v/>
      </c>
      <c r="BP155" s="185" t="str">
        <f>_xlfn.IFNA(VLOOKUP($BC155,Programma!$F$3:$S$1101,14,0),"")</f>
        <v/>
      </c>
      <c r="BQ155" s="185" t="str">
        <f>_xlfn.IFNA(VLOOKUP($BC155,Programma!$F$3:$T$1101,15,0),"")</f>
        <v/>
      </c>
      <c r="BR155" s="185" t="str">
        <f>_xlfn.IFNA(VLOOKUP($BC155,Programma!$F$3:$U$1101,16,0),"")</f>
        <v/>
      </c>
      <c r="BS155" s="185" t="str">
        <f>_xlfn.IFNA(VLOOKUP($BC155,Programma!$F$3:$V$1101,17,0),"")</f>
        <v/>
      </c>
      <c r="BT155" s="185" t="str">
        <f>_xlfn.IFNA(VLOOKUP($BC155,Programma!$F$3:$W$1101,18,0),"")</f>
        <v/>
      </c>
      <c r="BU155" s="185" t="str">
        <f>_xlfn.IFNA(VLOOKUP($BC155,Programma!$F$3:$X$1101,19,0),"")</f>
        <v/>
      </c>
      <c r="BV155" s="185" t="str">
        <f>_xlfn.IFNA(VLOOKUP($BC155,Programma!$F$3:$Y$1101,20,0),"")</f>
        <v/>
      </c>
      <c r="BW155" s="78"/>
      <c r="BX155" s="78"/>
      <c r="BY155" s="78"/>
      <c r="BZ155" s="78"/>
      <c r="CA155" s="78"/>
      <c r="CB155" s="78"/>
      <c r="CC155" s="78"/>
      <c r="CD155" s="78"/>
      <c r="CE155" s="78"/>
      <c r="CF155" s="78"/>
      <c r="CG155" s="78"/>
      <c r="CH155" s="78"/>
      <c r="CI155" s="78"/>
      <c r="CJ155" s="78"/>
      <c r="CK155" s="78"/>
      <c r="CL155" s="78"/>
      <c r="CM155" s="78"/>
      <c r="CN155" s="78"/>
      <c r="CO155" s="78"/>
      <c r="CP155" s="78"/>
      <c r="CQ155" s="78"/>
      <c r="CR155" s="78"/>
      <c r="CS155" s="78"/>
      <c r="CT155" s="78"/>
      <c r="CU155" s="78"/>
      <c r="CV155" s="78"/>
      <c r="CW155" s="78"/>
      <c r="CX155" s="78"/>
      <c r="CY155" s="78"/>
      <c r="CZ155" s="78"/>
      <c r="DA155" s="78"/>
      <c r="DB155" s="78"/>
      <c r="DC155" s="78"/>
      <c r="DD155" s="78"/>
      <c r="DE155" s="78"/>
      <c r="DF155" s="78"/>
      <c r="DG155" s="78"/>
      <c r="DH155" s="78"/>
      <c r="DI155" s="78"/>
      <c r="DJ155" s="78"/>
      <c r="DK155" s="78"/>
      <c r="DL155" s="78"/>
      <c r="DM155" s="78"/>
      <c r="DN155" s="78"/>
      <c r="DO155" s="78"/>
      <c r="DP155" s="78"/>
      <c r="DQ155" s="78"/>
      <c r="DR155" s="78"/>
      <c r="DS155" s="78"/>
      <c r="DT155" s="78"/>
      <c r="DU155" s="78"/>
      <c r="DV155" s="78"/>
      <c r="DW155" s="78"/>
      <c r="DX155" s="78"/>
      <c r="DY155" s="78"/>
      <c r="DZ155" s="78"/>
      <c r="EA155" s="78"/>
      <c r="EB155" s="78"/>
      <c r="EC155" s="78"/>
      <c r="ED155" s="78"/>
      <c r="EE155" s="78"/>
      <c r="EF155" s="78"/>
      <c r="EG155" s="78"/>
      <c r="EH155" s="78"/>
      <c r="EI155" s="78"/>
      <c r="EJ155" s="78"/>
      <c r="EK155" s="78"/>
      <c r="EL155" s="78"/>
      <c r="EM155" s="78"/>
      <c r="EN155" s="78"/>
      <c r="EO155" s="78"/>
      <c r="EP155" s="78"/>
      <c r="EQ155" s="78"/>
      <c r="ER155" s="78"/>
      <c r="ES155" s="78"/>
      <c r="ET155" s="78"/>
      <c r="EU155" s="78"/>
      <c r="EV155" s="78"/>
      <c r="EW155" s="78"/>
      <c r="EX155" s="78"/>
      <c r="EY155" s="78"/>
      <c r="EZ155" s="78"/>
      <c r="FA155" s="78"/>
      <c r="FB155" s="78"/>
      <c r="FC155" s="78"/>
      <c r="FD155" s="78"/>
      <c r="FE155" s="78"/>
      <c r="FF155" s="78"/>
      <c r="FG155" s="78"/>
      <c r="FH155" s="78"/>
      <c r="FI155" s="78"/>
      <c r="FJ155" s="78"/>
      <c r="FK155" s="78"/>
      <c r="FL155" s="78"/>
      <c r="FM155" s="78"/>
      <c r="FN155" s="78"/>
      <c r="FO155" s="78"/>
      <c r="FP155" s="78"/>
      <c r="FQ155" s="78"/>
      <c r="FR155" s="78"/>
      <c r="FS155" s="78"/>
      <c r="FT155" s="78"/>
      <c r="FU155" s="78"/>
      <c r="FV155" s="78"/>
      <c r="FW155" s="78"/>
      <c r="FX155" s="78"/>
      <c r="FY155" s="78"/>
      <c r="FZ155" s="78"/>
      <c r="GA155" s="78"/>
      <c r="GB155" s="78"/>
      <c r="GC155" s="78"/>
      <c r="GD155" s="78"/>
      <c r="GE155" s="78"/>
      <c r="GF155" s="78"/>
      <c r="GG155" s="78"/>
      <c r="GH155" s="78"/>
      <c r="GI155" s="78"/>
      <c r="GJ155" s="78"/>
      <c r="GK155" s="78"/>
      <c r="GL155" s="78"/>
      <c r="GM155" s="78"/>
      <c r="GN155" s="78"/>
      <c r="GO155" s="78"/>
      <c r="GP155" s="78"/>
      <c r="GQ155" s="78"/>
      <c r="GR155" s="78"/>
      <c r="GS155" s="78"/>
      <c r="GT155" s="78"/>
      <c r="GU155" s="78"/>
      <c r="GV155" s="78"/>
      <c r="GW155" s="78"/>
      <c r="GX155" s="78"/>
      <c r="GY155" s="78"/>
      <c r="GZ155" s="78"/>
      <c r="HA155" s="78"/>
      <c r="HB155" s="78"/>
      <c r="HC155" s="78"/>
      <c r="HD155" s="78"/>
      <c r="HE155" s="78"/>
      <c r="HF155" s="78"/>
      <c r="HG155" s="78"/>
      <c r="HH155" s="78"/>
      <c r="HI155" s="78"/>
      <c r="HJ155" s="78"/>
      <c r="HK155" s="78"/>
    </row>
    <row r="156" spans="1:219" ht="15" customHeight="1">
      <c r="A156" s="149">
        <v>5</v>
      </c>
      <c r="B156" s="176" t="str">
        <f>VLOOKUP(Ruimtestaat[[#This Row],[Code]],Locaties[[Code]:[Locatie]],2,FALSE)</f>
        <v>OBS Harry Bannink</v>
      </c>
      <c r="C156" s="176" t="str">
        <f>VLOOKUP(Ruimtestaat[[#This Row],[Code]],Locaties[[#All],[Code]:[Adres]],4,FALSE)</f>
        <v>Het Bijvank 111</v>
      </c>
      <c r="D156" s="176" t="str">
        <f>VLOOKUP(Ruimtestaat[[#This Row],[Code]],Locaties[[#All],[Code]:[Postcode]],5,FALSE)</f>
        <v>7544 DA</v>
      </c>
      <c r="E156" s="176" t="str">
        <f>VLOOKUP(Ruimtestaat[[#This Row],[Code]],Locaties[#All],6,FALSE)</f>
        <v>Enschede</v>
      </c>
      <c r="F156" s="149"/>
      <c r="G156" s="149" t="s">
        <v>1714</v>
      </c>
      <c r="H156" s="300" t="s">
        <v>1739</v>
      </c>
      <c r="I156" s="301" t="s">
        <v>1655</v>
      </c>
      <c r="J156" s="99">
        <v>5</v>
      </c>
      <c r="K156" s="183" t="str">
        <f>VLOOKUP(Ruimtestaat[[#This Row],[Ruimte code]],Ruimtegroepen[[#All],[Code]:[Ruimte omschrijving]],2,FALSE)</f>
        <v>Sanitair</v>
      </c>
      <c r="L156" s="149" t="s">
        <v>102</v>
      </c>
      <c r="M156" s="301" t="s">
        <v>120</v>
      </c>
      <c r="N156" s="177">
        <v>0.8</v>
      </c>
      <c r="O156" s="177"/>
      <c r="P156" s="178" t="str">
        <f>VLOOKUP(Ruimtestaat[[#This Row],[Ruimte code]],Ruimtegroepen[],4,FALSE)</f>
        <v>Sa</v>
      </c>
      <c r="Q156" s="149">
        <v>40</v>
      </c>
      <c r="R156" s="149" t="s">
        <v>2</v>
      </c>
      <c r="S156" s="149">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6" s="149">
        <f>IF(S156&gt;0,VLOOKUP($J156,Ruimtegroepen[],3,FALSE)*VLOOKUP($L156,Vloersoorten[],3,FALSE)*VLOOKUP($R156,Frequenties[],3,FALSE)*VLOOKUP($A156,Locaties[],3,FALSE),0)</f>
        <v>0</v>
      </c>
      <c r="U156" s="149">
        <f>Ruimtestaat[[#This Row],[Uitvoeringen werkdagen]]*Ruimtestaat[[#This Row],[Oppervlak (netto)]]</f>
        <v>160</v>
      </c>
      <c r="V156" s="179">
        <f>IF(T156&gt;0,Ruimtestaat[[#This Row],[Prest. (m2 /jaar) werkdagen]]/Ruimtestaat[[#This Row],[Norm (m2/uur) werkdagen]],0)</f>
        <v>0</v>
      </c>
      <c r="W156" s="180">
        <f>Ruimtestaat[[#This Row],[uren / jaar werkdagen]]*Tariefsopbouw!$E$35</f>
        <v>0</v>
      </c>
      <c r="X156" s="149"/>
      <c r="Y156" s="149">
        <f>IF(Ruimtestaat[[#This Row],[Frequentie weekend]]&gt;0,VALUE(LEFT(X156,1))*Q156,0)</f>
        <v>0</v>
      </c>
      <c r="Z156" s="148">
        <f>IF($Y156&gt;0,VLOOKUP($J156,Ruimtegroepen[],3,FALSE)*VLOOKUP($L156,Vloersoorten[],3,FALSE)*VLOOKUP($X156,Frequenties[],3,FALSE)*VLOOKUP(Ruimtestaat[[#This Row],[Code]],Locaties[],3,FALSE),0)</f>
        <v>0</v>
      </c>
      <c r="AA156" s="148">
        <f>Ruimtestaat[[#This Row],[Uitvoeringen weekend]]*Ruimtestaat[[#This Row],[Oppervlak (netto)]]</f>
        <v>0</v>
      </c>
      <c r="AB156" s="148">
        <f>IF(Z156&gt;0,Ruimtestaat[[#This Row],[Prest. (m2 /jaar) weekend]]/Ruimtestaat[[#This Row],[Norm (m2/uur) weekend]],0)</f>
        <v>0</v>
      </c>
      <c r="AC156" s="180">
        <f>Ruimtestaat[[#This Row],[uren / jaar weekend]]*Tariefsopbouw!$D$40</f>
        <v>0</v>
      </c>
      <c r="AD156" s="179">
        <f>Ruimtestaat[[#This Row],[Prest. (m2 /jaar) weekend]]+Ruimtestaat[[#This Row],[Prest. (m2 /jaar) werkdagen]]</f>
        <v>160</v>
      </c>
      <c r="AE156" s="179">
        <f>Ruimtestaat[[#This Row],[uren / jaar weekend]]+Ruimtestaat[[#This Row],[uren / jaar werkdagen]]</f>
        <v>0</v>
      </c>
      <c r="AF156" s="174">
        <f>Ruimtestaat[[#This Row],[kosten / jaar weekend]]+Ruimtestaat[[#This Row],[kosten / jaar werkdagen]]</f>
        <v>0</v>
      </c>
      <c r="AG156" s="174"/>
      <c r="AH156" s="181" t="str">
        <f>IF(Ruimtestaat[[#This Row],[Frequentie werkdagen]]="","",_xlfn.CONCAT(Ruimtestaat[[#This Row],[Ruimte code]],"-",Ruimtestaat[[#This Row],[Frequentie werkdagen]]," ",Ruimtestaat[[#This Row],[Vloer code]]))</f>
        <v>5-5w P</v>
      </c>
      <c r="AI156" s="185" t="str">
        <f>_xlfn.IFNA(VLOOKUP($AH156,Programma!$F$3:$G$1101,2,0),"")</f>
        <v>_</v>
      </c>
      <c r="AJ156" s="185" t="str">
        <f>_xlfn.IFNA(VLOOKUP($AH156,Programma!$F$3:$H$1101,3,0),"")</f>
        <v>_</v>
      </c>
      <c r="AK156" s="185" t="str">
        <f>_xlfn.IFNA(VLOOKUP($AH156,Programma!$F$3:$I$1101,4,0),"")</f>
        <v>_</v>
      </c>
      <c r="AL156" s="185" t="str">
        <f>_xlfn.IFNA(VLOOKUP($AH156,Programma!$F$3:$J$1101,5,0),"")</f>
        <v>4w</v>
      </c>
      <c r="AM156" s="185" t="str">
        <f>_xlfn.IFNA(VLOOKUP($AH156,Programma!$F$3:$K$1101,6,0),"")</f>
        <v>1w</v>
      </c>
      <c r="AN156" s="185" t="str">
        <f>_xlfn.IFNA(VLOOKUP($AH156,Programma!$F$3:$L$1101,7,0),"")</f>
        <v>_</v>
      </c>
      <c r="AO156" s="185" t="str">
        <f>_xlfn.IFNA(VLOOKUP($AH156,Programma!$F$3:$M$1101,8,0),"")</f>
        <v>_</v>
      </c>
      <c r="AP156" s="185" t="str">
        <f>_xlfn.IFNA(VLOOKUP($AH156,Programma!$F$3:$N$1101,9,0),"")</f>
        <v>_</v>
      </c>
      <c r="AQ156" s="185" t="str">
        <f>_xlfn.IFNA(VLOOKUP($AH156,Programma!$F$3:$O$1101,10,0),"")</f>
        <v>_</v>
      </c>
      <c r="AR156" s="185" t="str">
        <f>_xlfn.IFNA(VLOOKUP($AH156,Programma!$F$3:$P$1101,11,0),"")</f>
        <v>_</v>
      </c>
      <c r="AS156" s="185" t="str">
        <f>_xlfn.IFNA(VLOOKUP($AH156,Programma!$F$3:$Q$1101,12,0),"")</f>
        <v>_</v>
      </c>
      <c r="AT156" s="185" t="str">
        <f>_xlfn.IFNA(VLOOKUP($AH156,Programma!$F$3:$R$1101,13,0),"")</f>
        <v>_</v>
      </c>
      <c r="AU156" s="185" t="str">
        <f>_xlfn.IFNA(VLOOKUP($AH156,Programma!$F$3:$S$1101,14,0),"")</f>
        <v>_</v>
      </c>
      <c r="AV156" s="185" t="str">
        <f>_xlfn.IFNA(VLOOKUP($AH156,Programma!$F$3:$T$1101,15,0),"")</f>
        <v>_</v>
      </c>
      <c r="AW156" s="185" t="str">
        <f>_xlfn.IFNA(VLOOKUP($AH156,Programma!$F$3:$U$1101,16,0),"")</f>
        <v>_</v>
      </c>
      <c r="AX156" s="185" t="str">
        <f>_xlfn.IFNA(VLOOKUP($AH156,Programma!$F$3:$V$1101,17,0),"")</f>
        <v>_</v>
      </c>
      <c r="AY156" s="185" t="str">
        <f>_xlfn.IFNA(VLOOKUP($AH156,Programma!$F$3:$W$1101,18,0),"")</f>
        <v>4w</v>
      </c>
      <c r="AZ156" s="185" t="str">
        <f>_xlfn.IFNA(VLOOKUP($AH156,Programma!$F$3:$X$1101,19,0),"")</f>
        <v>1w</v>
      </c>
      <c r="BA156" s="185" t="str">
        <f>_xlfn.IFNA(VLOOKUP($AH156,Programma!$F$3:$Y$1101,20,0),"")</f>
        <v>_</v>
      </c>
      <c r="BB156" s="182"/>
      <c r="BC156" s="181" t="str">
        <f>IF(Ruimtestaat[[#This Row],[Frequentie weekend]]="","",_xlfn.CONCAT(Ruimtestaat[[#This Row],[Ruimte code]],"-",Ruimtestaat[[#This Row],[Frequentie weekend]]," ",Ruimtestaat[[#This Row],[Vloer code]]))</f>
        <v/>
      </c>
      <c r="BD156" s="185" t="str">
        <f>_xlfn.IFNA(VLOOKUP($BC156,Programma!$F$3:$G$1101,2,0),"")</f>
        <v/>
      </c>
      <c r="BE156" s="185" t="str">
        <f>_xlfn.IFNA(VLOOKUP($BC156,Programma!$F$3:$H$1101,3,0),"")</f>
        <v/>
      </c>
      <c r="BF156" s="185" t="str">
        <f>_xlfn.IFNA(VLOOKUP($BC156,Programma!$F$3:$I$1101,4,0),"")</f>
        <v/>
      </c>
      <c r="BG156" s="185" t="str">
        <f>_xlfn.IFNA(VLOOKUP($BC156,Programma!$F$3:$J$1101,5,0),"")</f>
        <v/>
      </c>
      <c r="BH156" s="185" t="str">
        <f>_xlfn.IFNA(VLOOKUP($BC156,Programma!$F$3:$K$1101,6,0),"")</f>
        <v/>
      </c>
      <c r="BI156" s="185" t="str">
        <f>_xlfn.IFNA(VLOOKUP($BC156,Programma!$F$3:$L$1101,7,0),"")</f>
        <v/>
      </c>
      <c r="BJ156" s="185" t="str">
        <f>_xlfn.IFNA(VLOOKUP($BC156,Programma!$F$3:$M$1101,8,0),"")</f>
        <v/>
      </c>
      <c r="BK156" s="185" t="str">
        <f>_xlfn.IFNA(VLOOKUP($BC156,Programma!$F$3:$N$1101,9,0),"")</f>
        <v/>
      </c>
      <c r="BL156" s="185" t="str">
        <f>_xlfn.IFNA(VLOOKUP($BC156,Programma!$F$3:$O$1101,10,0),"")</f>
        <v/>
      </c>
      <c r="BM156" s="185" t="str">
        <f>_xlfn.IFNA(VLOOKUP($BC156,Programma!$F$3:$P$1101,11,0),"")</f>
        <v/>
      </c>
      <c r="BN156" s="185" t="str">
        <f>_xlfn.IFNA(VLOOKUP($BC156,Programma!$F$3:$Q$1101,12,0),"")</f>
        <v/>
      </c>
      <c r="BO156" s="185" t="str">
        <f>_xlfn.IFNA(VLOOKUP($BC156,Programma!$F$3:$R$1101,13,0),"")</f>
        <v/>
      </c>
      <c r="BP156" s="185" t="str">
        <f>_xlfn.IFNA(VLOOKUP($BC156,Programma!$F$3:$S$1101,14,0),"")</f>
        <v/>
      </c>
      <c r="BQ156" s="185" t="str">
        <f>_xlfn.IFNA(VLOOKUP($BC156,Programma!$F$3:$T$1101,15,0),"")</f>
        <v/>
      </c>
      <c r="BR156" s="185" t="str">
        <f>_xlfn.IFNA(VLOOKUP($BC156,Programma!$F$3:$U$1101,16,0),"")</f>
        <v/>
      </c>
      <c r="BS156" s="185" t="str">
        <f>_xlfn.IFNA(VLOOKUP($BC156,Programma!$F$3:$V$1101,17,0),"")</f>
        <v/>
      </c>
      <c r="BT156" s="185" t="str">
        <f>_xlfn.IFNA(VLOOKUP($BC156,Programma!$F$3:$W$1101,18,0),"")</f>
        <v/>
      </c>
      <c r="BU156" s="185" t="str">
        <f>_xlfn.IFNA(VLOOKUP($BC156,Programma!$F$3:$X$1101,19,0),"")</f>
        <v/>
      </c>
      <c r="BV156" s="185" t="str">
        <f>_xlfn.IFNA(VLOOKUP($BC156,Programma!$F$3:$Y$1101,20,0),"")</f>
        <v/>
      </c>
      <c r="BW156" s="78"/>
      <c r="BX156" s="78"/>
      <c r="BY156" s="78"/>
      <c r="BZ156" s="78"/>
      <c r="CA156" s="78"/>
      <c r="CB156" s="78"/>
      <c r="CC156" s="78"/>
      <c r="CD156" s="78"/>
      <c r="CE156" s="78"/>
      <c r="CF156" s="78"/>
      <c r="CG156" s="78"/>
      <c r="CH156" s="78"/>
      <c r="CI156" s="78"/>
      <c r="CJ156" s="78"/>
      <c r="CK156" s="78"/>
      <c r="CL156" s="78"/>
      <c r="CM156" s="78"/>
      <c r="CN156" s="78"/>
      <c r="CO156" s="78"/>
      <c r="CP156" s="78"/>
      <c r="CQ156" s="78"/>
      <c r="CR156" s="78"/>
      <c r="CS156" s="78"/>
      <c r="CT156" s="78"/>
      <c r="CU156" s="78"/>
      <c r="CV156" s="78"/>
      <c r="CW156" s="78"/>
      <c r="CX156" s="78"/>
      <c r="CY156" s="78"/>
      <c r="CZ156" s="78"/>
      <c r="DA156" s="78"/>
      <c r="DB156" s="78"/>
      <c r="DC156" s="78"/>
      <c r="DD156" s="78"/>
      <c r="DE156" s="78"/>
      <c r="DF156" s="78"/>
      <c r="DG156" s="78"/>
      <c r="DH156" s="78"/>
      <c r="DI156" s="78"/>
      <c r="DJ156" s="78"/>
      <c r="DK156" s="78"/>
      <c r="DL156" s="78"/>
      <c r="DM156" s="78"/>
      <c r="DN156" s="78"/>
      <c r="DO156" s="78"/>
      <c r="DP156" s="78"/>
      <c r="DQ156" s="78"/>
      <c r="DR156" s="78"/>
      <c r="DS156" s="78"/>
      <c r="DT156" s="78"/>
      <c r="DU156" s="78"/>
      <c r="DV156" s="78"/>
      <c r="DW156" s="78"/>
      <c r="DX156" s="78"/>
      <c r="DY156" s="78"/>
      <c r="DZ156" s="78"/>
      <c r="EA156" s="78"/>
      <c r="EB156" s="78"/>
      <c r="EC156" s="78"/>
      <c r="ED156" s="78"/>
      <c r="EE156" s="78"/>
      <c r="EF156" s="78"/>
      <c r="EG156" s="78"/>
      <c r="EH156" s="78"/>
      <c r="EI156" s="78"/>
      <c r="EJ156" s="78"/>
      <c r="EK156" s="78"/>
      <c r="EL156" s="78"/>
      <c r="EM156" s="78"/>
      <c r="EN156" s="78"/>
      <c r="EO156" s="78"/>
      <c r="EP156" s="78"/>
      <c r="EQ156" s="78"/>
      <c r="ER156" s="78"/>
      <c r="ES156" s="78"/>
      <c r="ET156" s="78"/>
      <c r="EU156" s="78"/>
      <c r="EV156" s="78"/>
      <c r="EW156" s="78"/>
      <c r="EX156" s="78"/>
      <c r="EY156" s="78"/>
      <c r="EZ156" s="78"/>
      <c r="FA156" s="78"/>
      <c r="FB156" s="78"/>
      <c r="FC156" s="78"/>
      <c r="FD156" s="78"/>
      <c r="FE156" s="78"/>
      <c r="FF156" s="78"/>
      <c r="FG156" s="78"/>
      <c r="FH156" s="78"/>
      <c r="FI156" s="78"/>
      <c r="FJ156" s="78"/>
      <c r="FK156" s="78"/>
      <c r="FL156" s="78"/>
      <c r="FM156" s="78"/>
      <c r="FN156" s="78"/>
      <c r="FO156" s="78"/>
      <c r="FP156" s="78"/>
      <c r="FQ156" s="78"/>
      <c r="FR156" s="78"/>
      <c r="FS156" s="78"/>
      <c r="FT156" s="78"/>
      <c r="FU156" s="78"/>
      <c r="FV156" s="78"/>
      <c r="FW156" s="78"/>
      <c r="FX156" s="78"/>
      <c r="FY156" s="78"/>
      <c r="FZ156" s="78"/>
      <c r="GA156" s="78"/>
      <c r="GB156" s="78"/>
      <c r="GC156" s="78"/>
      <c r="GD156" s="78"/>
      <c r="GE156" s="78"/>
      <c r="GF156" s="78"/>
      <c r="GG156" s="78"/>
      <c r="GH156" s="78"/>
      <c r="GI156" s="78"/>
      <c r="GJ156" s="78"/>
      <c r="GK156" s="78"/>
      <c r="GL156" s="78"/>
      <c r="GM156" s="78"/>
      <c r="GN156" s="78"/>
      <c r="GO156" s="78"/>
      <c r="GP156" s="78"/>
      <c r="GQ156" s="78"/>
      <c r="GR156" s="78"/>
      <c r="GS156" s="78"/>
      <c r="GT156" s="78"/>
      <c r="GU156" s="78"/>
      <c r="GV156" s="78"/>
      <c r="GW156" s="78"/>
      <c r="GX156" s="78"/>
      <c r="GY156" s="78"/>
      <c r="GZ156" s="78"/>
      <c r="HA156" s="78"/>
      <c r="HB156" s="78"/>
      <c r="HC156" s="78"/>
      <c r="HD156" s="78"/>
      <c r="HE156" s="78"/>
      <c r="HF156" s="78"/>
      <c r="HG156" s="78"/>
      <c r="HH156" s="78"/>
      <c r="HI156" s="78"/>
      <c r="HJ156" s="78"/>
      <c r="HK156" s="78"/>
    </row>
    <row r="157" spans="1:219" ht="15" customHeight="1">
      <c r="A157" s="149">
        <v>5</v>
      </c>
      <c r="B157" s="176" t="str">
        <f>VLOOKUP(Ruimtestaat[[#This Row],[Code]],Locaties[[Code]:[Locatie]],2,FALSE)</f>
        <v>OBS Harry Bannink</v>
      </c>
      <c r="C157" s="176" t="str">
        <f>VLOOKUP(Ruimtestaat[[#This Row],[Code]],Locaties[[#All],[Code]:[Adres]],4,FALSE)</f>
        <v>Het Bijvank 111</v>
      </c>
      <c r="D157" s="176" t="str">
        <f>VLOOKUP(Ruimtestaat[[#This Row],[Code]],Locaties[[#All],[Code]:[Postcode]],5,FALSE)</f>
        <v>7544 DA</v>
      </c>
      <c r="E157" s="176" t="str">
        <f>VLOOKUP(Ruimtestaat[[#This Row],[Code]],Locaties[#All],6,FALSE)</f>
        <v>Enschede</v>
      </c>
      <c r="F157" s="149"/>
      <c r="G157" s="149" t="s">
        <v>1714</v>
      </c>
      <c r="H157" s="300" t="s">
        <v>1740</v>
      </c>
      <c r="I157" s="301" t="s">
        <v>1683</v>
      </c>
      <c r="J157" s="99">
        <v>20</v>
      </c>
      <c r="K157" s="183" t="str">
        <f>VLOOKUP(Ruimtestaat[[#This Row],[Ruimte code]],Ruimtegroepen[[#All],[Code]:[Ruimte omschrijving]],2,FALSE)</f>
        <v>Niet in Onderhoud</v>
      </c>
      <c r="L157" s="149"/>
      <c r="M157" s="301"/>
      <c r="N157" s="177"/>
      <c r="O157" s="177">
        <v>0</v>
      </c>
      <c r="P157" s="178">
        <f>VLOOKUP(Ruimtestaat[[#This Row],[Ruimte code]],Ruimtegroepen[],4,FALSE)</f>
        <v>0</v>
      </c>
      <c r="Q157" s="149"/>
      <c r="R157" s="149"/>
      <c r="S157" s="149">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7" s="149">
        <f>IF(S157&gt;0,VLOOKUP($J157,Ruimtegroepen[],3,FALSE)*VLOOKUP($L157,Vloersoorten[],3,FALSE)*VLOOKUP($R157,Frequenties[],3,FALSE)*VLOOKUP($A157,Locaties[],3,FALSE),0)</f>
        <v>0</v>
      </c>
      <c r="U157" s="149">
        <f>Ruimtestaat[[#This Row],[Uitvoeringen werkdagen]]*Ruimtestaat[[#This Row],[Oppervlak (netto)]]</f>
        <v>0</v>
      </c>
      <c r="V157" s="179">
        <f>IF(T157&gt;0,Ruimtestaat[[#This Row],[Prest. (m2 /jaar) werkdagen]]/Ruimtestaat[[#This Row],[Norm (m2/uur) werkdagen]],0)</f>
        <v>0</v>
      </c>
      <c r="W157" s="180">
        <f>Ruimtestaat[[#This Row],[uren / jaar werkdagen]]*Tariefsopbouw!$E$35</f>
        <v>0</v>
      </c>
      <c r="X157" s="149"/>
      <c r="Y157" s="149">
        <f>IF(Ruimtestaat[[#This Row],[Frequentie weekend]]&gt;0,VALUE(LEFT(X157,1))*Q157,0)</f>
        <v>0</v>
      </c>
      <c r="Z157" s="148">
        <f>IF($Y157&gt;0,VLOOKUP($J157,Ruimtegroepen[],3,FALSE)*VLOOKUP($L157,Vloersoorten[],3,FALSE)*VLOOKUP($X157,Frequenties[],3,FALSE)*VLOOKUP(Ruimtestaat[[#This Row],[Code]],Locaties[],3,FALSE),0)</f>
        <v>0</v>
      </c>
      <c r="AA157" s="148">
        <f>Ruimtestaat[[#This Row],[Uitvoeringen weekend]]*Ruimtestaat[[#This Row],[Oppervlak (netto)]]</f>
        <v>0</v>
      </c>
      <c r="AB157" s="148">
        <f>IF(Z157&gt;0,Ruimtestaat[[#This Row],[Prest. (m2 /jaar) weekend]]/Ruimtestaat[[#This Row],[Norm (m2/uur) weekend]],0)</f>
        <v>0</v>
      </c>
      <c r="AC157" s="180">
        <f>Ruimtestaat[[#This Row],[uren / jaar weekend]]*Tariefsopbouw!$D$40</f>
        <v>0</v>
      </c>
      <c r="AD157" s="179">
        <f>Ruimtestaat[[#This Row],[Prest. (m2 /jaar) weekend]]+Ruimtestaat[[#This Row],[Prest. (m2 /jaar) werkdagen]]</f>
        <v>0</v>
      </c>
      <c r="AE157" s="179">
        <f>Ruimtestaat[[#This Row],[uren / jaar weekend]]+Ruimtestaat[[#This Row],[uren / jaar werkdagen]]</f>
        <v>0</v>
      </c>
      <c r="AF157" s="174">
        <f>Ruimtestaat[[#This Row],[kosten / jaar weekend]]+Ruimtestaat[[#This Row],[kosten / jaar werkdagen]]</f>
        <v>0</v>
      </c>
      <c r="AG157" s="174"/>
      <c r="AH157" s="181" t="str">
        <f>IF(Ruimtestaat[[#This Row],[Frequentie werkdagen]]="","",_xlfn.CONCAT(Ruimtestaat[[#This Row],[Ruimte code]],"-",Ruimtestaat[[#This Row],[Frequentie werkdagen]]," ",Ruimtestaat[[#This Row],[Vloer code]]))</f>
        <v/>
      </c>
      <c r="AI157" s="185" t="str">
        <f>_xlfn.IFNA(VLOOKUP($AH157,Programma!$F$3:$G$1101,2,0),"")</f>
        <v/>
      </c>
      <c r="AJ157" s="185" t="str">
        <f>_xlfn.IFNA(VLOOKUP($AH157,Programma!$F$3:$H$1101,3,0),"")</f>
        <v/>
      </c>
      <c r="AK157" s="185" t="str">
        <f>_xlfn.IFNA(VLOOKUP($AH157,Programma!$F$3:$I$1101,4,0),"")</f>
        <v/>
      </c>
      <c r="AL157" s="185" t="str">
        <f>_xlfn.IFNA(VLOOKUP($AH157,Programma!$F$3:$J$1101,5,0),"")</f>
        <v/>
      </c>
      <c r="AM157" s="185" t="str">
        <f>_xlfn.IFNA(VLOOKUP($AH157,Programma!$F$3:$K$1101,6,0),"")</f>
        <v/>
      </c>
      <c r="AN157" s="185" t="str">
        <f>_xlfn.IFNA(VLOOKUP($AH157,Programma!$F$3:$L$1101,7,0),"")</f>
        <v/>
      </c>
      <c r="AO157" s="185" t="str">
        <f>_xlfn.IFNA(VLOOKUP($AH157,Programma!$F$3:$M$1101,8,0),"")</f>
        <v/>
      </c>
      <c r="AP157" s="185" t="str">
        <f>_xlfn.IFNA(VLOOKUP($AH157,Programma!$F$3:$N$1101,9,0),"")</f>
        <v/>
      </c>
      <c r="AQ157" s="185" t="str">
        <f>_xlfn.IFNA(VLOOKUP($AH157,Programma!$F$3:$O$1101,10,0),"")</f>
        <v/>
      </c>
      <c r="AR157" s="185" t="str">
        <f>_xlfn.IFNA(VLOOKUP($AH157,Programma!$F$3:$P$1101,11,0),"")</f>
        <v/>
      </c>
      <c r="AS157" s="185" t="str">
        <f>_xlfn.IFNA(VLOOKUP($AH157,Programma!$F$3:$Q$1101,12,0),"")</f>
        <v/>
      </c>
      <c r="AT157" s="185" t="str">
        <f>_xlfn.IFNA(VLOOKUP($AH157,Programma!$F$3:$R$1101,13,0),"")</f>
        <v/>
      </c>
      <c r="AU157" s="185" t="str">
        <f>_xlfn.IFNA(VLOOKUP($AH157,Programma!$F$3:$S$1101,14,0),"")</f>
        <v/>
      </c>
      <c r="AV157" s="185" t="str">
        <f>_xlfn.IFNA(VLOOKUP($AH157,Programma!$F$3:$T$1101,15,0),"")</f>
        <v/>
      </c>
      <c r="AW157" s="185" t="str">
        <f>_xlfn.IFNA(VLOOKUP($AH157,Programma!$F$3:$U$1101,16,0),"")</f>
        <v/>
      </c>
      <c r="AX157" s="185" t="str">
        <f>_xlfn.IFNA(VLOOKUP($AH157,Programma!$F$3:$V$1101,17,0),"")</f>
        <v/>
      </c>
      <c r="AY157" s="185" t="str">
        <f>_xlfn.IFNA(VLOOKUP($AH157,Programma!$F$3:$W$1101,18,0),"")</f>
        <v/>
      </c>
      <c r="AZ157" s="185" t="str">
        <f>_xlfn.IFNA(VLOOKUP($AH157,Programma!$F$3:$X$1101,19,0),"")</f>
        <v/>
      </c>
      <c r="BA157" s="185" t="str">
        <f>_xlfn.IFNA(VLOOKUP($AH157,Programma!$F$3:$Y$1101,20,0),"")</f>
        <v/>
      </c>
      <c r="BB157" s="182"/>
      <c r="BC157" s="181" t="str">
        <f>IF(Ruimtestaat[[#This Row],[Frequentie weekend]]="","",_xlfn.CONCAT(Ruimtestaat[[#This Row],[Ruimte code]],"-",Ruimtestaat[[#This Row],[Frequentie weekend]]," ",Ruimtestaat[[#This Row],[Vloer code]]))</f>
        <v/>
      </c>
      <c r="BD157" s="185" t="str">
        <f>_xlfn.IFNA(VLOOKUP($BC157,Programma!$F$3:$G$1101,2,0),"")</f>
        <v/>
      </c>
      <c r="BE157" s="185" t="str">
        <f>_xlfn.IFNA(VLOOKUP($BC157,Programma!$F$3:$H$1101,3,0),"")</f>
        <v/>
      </c>
      <c r="BF157" s="185" t="str">
        <f>_xlfn.IFNA(VLOOKUP($BC157,Programma!$F$3:$I$1101,4,0),"")</f>
        <v/>
      </c>
      <c r="BG157" s="185" t="str">
        <f>_xlfn.IFNA(VLOOKUP($BC157,Programma!$F$3:$J$1101,5,0),"")</f>
        <v/>
      </c>
      <c r="BH157" s="185" t="str">
        <f>_xlfn.IFNA(VLOOKUP($BC157,Programma!$F$3:$K$1101,6,0),"")</f>
        <v/>
      </c>
      <c r="BI157" s="185" t="str">
        <f>_xlfn.IFNA(VLOOKUP($BC157,Programma!$F$3:$L$1101,7,0),"")</f>
        <v/>
      </c>
      <c r="BJ157" s="185" t="str">
        <f>_xlfn.IFNA(VLOOKUP($BC157,Programma!$F$3:$M$1101,8,0),"")</f>
        <v/>
      </c>
      <c r="BK157" s="185" t="str">
        <f>_xlfn.IFNA(VLOOKUP($BC157,Programma!$F$3:$N$1101,9,0),"")</f>
        <v/>
      </c>
      <c r="BL157" s="185" t="str">
        <f>_xlfn.IFNA(VLOOKUP($BC157,Programma!$F$3:$O$1101,10,0),"")</f>
        <v/>
      </c>
      <c r="BM157" s="185" t="str">
        <f>_xlfn.IFNA(VLOOKUP($BC157,Programma!$F$3:$P$1101,11,0),"")</f>
        <v/>
      </c>
      <c r="BN157" s="185" t="str">
        <f>_xlfn.IFNA(VLOOKUP($BC157,Programma!$F$3:$Q$1101,12,0),"")</f>
        <v/>
      </c>
      <c r="BO157" s="185" t="str">
        <f>_xlfn.IFNA(VLOOKUP($BC157,Programma!$F$3:$R$1101,13,0),"")</f>
        <v/>
      </c>
      <c r="BP157" s="185" t="str">
        <f>_xlfn.IFNA(VLOOKUP($BC157,Programma!$F$3:$S$1101,14,0),"")</f>
        <v/>
      </c>
      <c r="BQ157" s="185" t="str">
        <f>_xlfn.IFNA(VLOOKUP($BC157,Programma!$F$3:$T$1101,15,0),"")</f>
        <v/>
      </c>
      <c r="BR157" s="185" t="str">
        <f>_xlfn.IFNA(VLOOKUP($BC157,Programma!$F$3:$U$1101,16,0),"")</f>
        <v/>
      </c>
      <c r="BS157" s="185" t="str">
        <f>_xlfn.IFNA(VLOOKUP($BC157,Programma!$F$3:$V$1101,17,0),"")</f>
        <v/>
      </c>
      <c r="BT157" s="185" t="str">
        <f>_xlfn.IFNA(VLOOKUP($BC157,Programma!$F$3:$W$1101,18,0),"")</f>
        <v/>
      </c>
      <c r="BU157" s="185" t="str">
        <f>_xlfn.IFNA(VLOOKUP($BC157,Programma!$F$3:$X$1101,19,0),"")</f>
        <v/>
      </c>
      <c r="BV157" s="185" t="str">
        <f>_xlfn.IFNA(VLOOKUP($BC157,Programma!$F$3:$Y$1101,20,0),"")</f>
        <v/>
      </c>
      <c r="BW157" s="78"/>
      <c r="BX157" s="78"/>
      <c r="BY157" s="78"/>
      <c r="BZ157" s="78"/>
      <c r="CA157" s="78"/>
      <c r="CB157" s="78"/>
      <c r="CC157" s="78"/>
      <c r="CD157" s="78"/>
      <c r="CE157" s="78"/>
      <c r="CF157" s="78"/>
      <c r="CG157" s="78"/>
      <c r="CH157" s="78"/>
      <c r="CI157" s="78"/>
      <c r="CJ157" s="78"/>
      <c r="CK157" s="78"/>
      <c r="CL157" s="78"/>
      <c r="CM157" s="78"/>
      <c r="CN157" s="78"/>
      <c r="CO157" s="78"/>
      <c r="CP157" s="78"/>
      <c r="CQ157" s="78"/>
      <c r="CR157" s="78"/>
      <c r="CS157" s="78"/>
      <c r="CT157" s="78"/>
      <c r="CU157" s="78"/>
      <c r="CV157" s="78"/>
      <c r="CW157" s="78"/>
      <c r="CX157" s="78"/>
      <c r="CY157" s="78"/>
      <c r="CZ157" s="78"/>
      <c r="DA157" s="78"/>
      <c r="DB157" s="78"/>
      <c r="DC157" s="78"/>
      <c r="DD157" s="78"/>
      <c r="DE157" s="78"/>
      <c r="DF157" s="78"/>
      <c r="DG157" s="78"/>
      <c r="DH157" s="78"/>
      <c r="DI157" s="78"/>
      <c r="DJ157" s="78"/>
      <c r="DK157" s="78"/>
      <c r="DL157" s="78"/>
      <c r="DM157" s="78"/>
      <c r="DN157" s="78"/>
      <c r="DO157" s="78"/>
      <c r="DP157" s="78"/>
      <c r="DQ157" s="78"/>
      <c r="DR157" s="78"/>
      <c r="DS157" s="78"/>
      <c r="DT157" s="78"/>
      <c r="DU157" s="78"/>
      <c r="DV157" s="78"/>
      <c r="DW157" s="78"/>
      <c r="DX157" s="78"/>
      <c r="DY157" s="78"/>
      <c r="DZ157" s="78"/>
      <c r="EA157" s="78"/>
      <c r="EB157" s="78"/>
      <c r="EC157" s="78"/>
      <c r="ED157" s="78"/>
      <c r="EE157" s="78"/>
      <c r="EF157" s="78"/>
      <c r="EG157" s="78"/>
      <c r="EH157" s="78"/>
      <c r="EI157" s="78"/>
      <c r="EJ157" s="78"/>
      <c r="EK157" s="78"/>
      <c r="EL157" s="78"/>
      <c r="EM157" s="78"/>
      <c r="EN157" s="78"/>
      <c r="EO157" s="78"/>
      <c r="EP157" s="78"/>
      <c r="EQ157" s="78"/>
      <c r="ER157" s="78"/>
      <c r="ES157" s="78"/>
      <c r="ET157" s="78"/>
      <c r="EU157" s="78"/>
      <c r="EV157" s="78"/>
      <c r="EW157" s="78"/>
      <c r="EX157" s="78"/>
      <c r="EY157" s="78"/>
      <c r="EZ157" s="78"/>
      <c r="FA157" s="78"/>
      <c r="FB157" s="78"/>
      <c r="FC157" s="78"/>
      <c r="FD157" s="78"/>
      <c r="FE157" s="78"/>
      <c r="FF157" s="78"/>
      <c r="FG157" s="78"/>
      <c r="FH157" s="78"/>
      <c r="FI157" s="78"/>
      <c r="FJ157" s="78"/>
      <c r="FK157" s="78"/>
      <c r="FL157" s="78"/>
      <c r="FM157" s="78"/>
      <c r="FN157" s="78"/>
      <c r="FO157" s="78"/>
      <c r="FP157" s="78"/>
      <c r="FQ157" s="78"/>
      <c r="FR157" s="78"/>
      <c r="FS157" s="78"/>
      <c r="FT157" s="78"/>
      <c r="FU157" s="78"/>
      <c r="FV157" s="78"/>
      <c r="FW157" s="78"/>
      <c r="FX157" s="78"/>
      <c r="FY157" s="78"/>
      <c r="FZ157" s="78"/>
      <c r="GA157" s="78"/>
      <c r="GB157" s="78"/>
      <c r="GC157" s="78"/>
      <c r="GD157" s="78"/>
      <c r="GE157" s="78"/>
      <c r="GF157" s="78"/>
      <c r="GG157" s="78"/>
      <c r="GH157" s="78"/>
      <c r="GI157" s="78"/>
      <c r="GJ157" s="78"/>
      <c r="GK157" s="78"/>
      <c r="GL157" s="78"/>
      <c r="GM157" s="78"/>
      <c r="GN157" s="78"/>
      <c r="GO157" s="78"/>
      <c r="GP157" s="78"/>
      <c r="GQ157" s="78"/>
      <c r="GR157" s="78"/>
      <c r="GS157" s="78"/>
      <c r="GT157" s="78"/>
      <c r="GU157" s="78"/>
      <c r="GV157" s="78"/>
      <c r="GW157" s="78"/>
      <c r="GX157" s="78"/>
      <c r="GY157" s="78"/>
      <c r="GZ157" s="78"/>
      <c r="HA157" s="78"/>
      <c r="HB157" s="78"/>
      <c r="HC157" s="78"/>
      <c r="HD157" s="78"/>
      <c r="HE157" s="78"/>
      <c r="HF157" s="78"/>
      <c r="HG157" s="78"/>
      <c r="HH157" s="78"/>
      <c r="HI157" s="78"/>
      <c r="HJ157" s="78"/>
      <c r="HK157" s="78"/>
    </row>
    <row r="158" spans="1:219" ht="15" customHeight="1">
      <c r="A158" s="149">
        <v>5</v>
      </c>
      <c r="B158" s="176" t="str">
        <f>VLOOKUP(Ruimtestaat[[#This Row],[Code]],Locaties[[Code]:[Locatie]],2,FALSE)</f>
        <v>OBS Harry Bannink</v>
      </c>
      <c r="C158" s="176" t="str">
        <f>VLOOKUP(Ruimtestaat[[#This Row],[Code]],Locaties[[#All],[Code]:[Adres]],4,FALSE)</f>
        <v>Het Bijvank 111</v>
      </c>
      <c r="D158" s="176" t="str">
        <f>VLOOKUP(Ruimtestaat[[#This Row],[Code]],Locaties[[#All],[Code]:[Postcode]],5,FALSE)</f>
        <v>7544 DA</v>
      </c>
      <c r="E158" s="176" t="str">
        <f>VLOOKUP(Ruimtestaat[[#This Row],[Code]],Locaties[#All],6,FALSE)</f>
        <v>Enschede</v>
      </c>
      <c r="F158" s="149"/>
      <c r="G158" s="149" t="s">
        <v>1714</v>
      </c>
      <c r="H158" s="300" t="s">
        <v>1741</v>
      </c>
      <c r="I158" s="301" t="s">
        <v>1655</v>
      </c>
      <c r="J158" s="99">
        <v>5</v>
      </c>
      <c r="K158" s="183" t="str">
        <f>VLOOKUP(Ruimtestaat[[#This Row],[Ruimte code]],Ruimtegroepen[[#All],[Code]:[Ruimte omschrijving]],2,FALSE)</f>
        <v>Sanitair</v>
      </c>
      <c r="L158" s="149" t="s">
        <v>102</v>
      </c>
      <c r="M158" s="301" t="s">
        <v>120</v>
      </c>
      <c r="N158" s="177">
        <v>2</v>
      </c>
      <c r="O158" s="177"/>
      <c r="P158" s="178" t="str">
        <f>VLOOKUP(Ruimtestaat[[#This Row],[Ruimte code]],Ruimtegroepen[],4,FALSE)</f>
        <v>Sa</v>
      </c>
      <c r="Q158" s="149">
        <v>40</v>
      </c>
      <c r="R158" s="149" t="s">
        <v>2</v>
      </c>
      <c r="S158" s="149">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8" s="149">
        <f>IF(S158&gt;0,VLOOKUP($J158,Ruimtegroepen[],3,FALSE)*VLOOKUP($L158,Vloersoorten[],3,FALSE)*VLOOKUP($R158,Frequenties[],3,FALSE)*VLOOKUP($A158,Locaties[],3,FALSE),0)</f>
        <v>0</v>
      </c>
      <c r="U158" s="149">
        <f>Ruimtestaat[[#This Row],[Uitvoeringen werkdagen]]*Ruimtestaat[[#This Row],[Oppervlak (netto)]]</f>
        <v>400</v>
      </c>
      <c r="V158" s="179">
        <f>IF(T158&gt;0,Ruimtestaat[[#This Row],[Prest. (m2 /jaar) werkdagen]]/Ruimtestaat[[#This Row],[Norm (m2/uur) werkdagen]],0)</f>
        <v>0</v>
      </c>
      <c r="W158" s="180">
        <f>Ruimtestaat[[#This Row],[uren / jaar werkdagen]]*Tariefsopbouw!$E$35</f>
        <v>0</v>
      </c>
      <c r="X158" s="149"/>
      <c r="Y158" s="149">
        <f>IF(Ruimtestaat[[#This Row],[Frequentie weekend]]&gt;0,VALUE(LEFT(X158,1))*Q158,0)</f>
        <v>0</v>
      </c>
      <c r="Z158" s="148">
        <f>IF($Y158&gt;0,VLOOKUP($J158,Ruimtegroepen[],3,FALSE)*VLOOKUP($L158,Vloersoorten[],3,FALSE)*VLOOKUP($X158,Frequenties[],3,FALSE)*VLOOKUP(Ruimtestaat[[#This Row],[Code]],Locaties[],3,FALSE),0)</f>
        <v>0</v>
      </c>
      <c r="AA158" s="148">
        <f>Ruimtestaat[[#This Row],[Uitvoeringen weekend]]*Ruimtestaat[[#This Row],[Oppervlak (netto)]]</f>
        <v>0</v>
      </c>
      <c r="AB158" s="148">
        <f>IF(Z158&gt;0,Ruimtestaat[[#This Row],[Prest. (m2 /jaar) weekend]]/Ruimtestaat[[#This Row],[Norm (m2/uur) weekend]],0)</f>
        <v>0</v>
      </c>
      <c r="AC158" s="180">
        <f>Ruimtestaat[[#This Row],[uren / jaar weekend]]*Tariefsopbouw!$D$40</f>
        <v>0</v>
      </c>
      <c r="AD158" s="179">
        <f>Ruimtestaat[[#This Row],[Prest. (m2 /jaar) weekend]]+Ruimtestaat[[#This Row],[Prest. (m2 /jaar) werkdagen]]</f>
        <v>400</v>
      </c>
      <c r="AE158" s="179">
        <f>Ruimtestaat[[#This Row],[uren / jaar weekend]]+Ruimtestaat[[#This Row],[uren / jaar werkdagen]]</f>
        <v>0</v>
      </c>
      <c r="AF158" s="174">
        <f>Ruimtestaat[[#This Row],[kosten / jaar weekend]]+Ruimtestaat[[#This Row],[kosten / jaar werkdagen]]</f>
        <v>0</v>
      </c>
      <c r="AG158" s="174"/>
      <c r="AH158" s="181" t="str">
        <f>IF(Ruimtestaat[[#This Row],[Frequentie werkdagen]]="","",_xlfn.CONCAT(Ruimtestaat[[#This Row],[Ruimte code]],"-",Ruimtestaat[[#This Row],[Frequentie werkdagen]]," ",Ruimtestaat[[#This Row],[Vloer code]]))</f>
        <v>5-5w P</v>
      </c>
      <c r="AI158" s="185" t="str">
        <f>_xlfn.IFNA(VLOOKUP($AH158,Programma!$F$3:$G$1101,2,0),"")</f>
        <v>_</v>
      </c>
      <c r="AJ158" s="185" t="str">
        <f>_xlfn.IFNA(VLOOKUP($AH158,Programma!$F$3:$H$1101,3,0),"")</f>
        <v>_</v>
      </c>
      <c r="AK158" s="185" t="str">
        <f>_xlfn.IFNA(VLOOKUP($AH158,Programma!$F$3:$I$1101,4,0),"")</f>
        <v>_</v>
      </c>
      <c r="AL158" s="185" t="str">
        <f>_xlfn.IFNA(VLOOKUP($AH158,Programma!$F$3:$J$1101,5,0),"")</f>
        <v>4w</v>
      </c>
      <c r="AM158" s="185" t="str">
        <f>_xlfn.IFNA(VLOOKUP($AH158,Programma!$F$3:$K$1101,6,0),"")</f>
        <v>1w</v>
      </c>
      <c r="AN158" s="185" t="str">
        <f>_xlfn.IFNA(VLOOKUP($AH158,Programma!$F$3:$L$1101,7,0),"")</f>
        <v>_</v>
      </c>
      <c r="AO158" s="185" t="str">
        <f>_xlfn.IFNA(VLOOKUP($AH158,Programma!$F$3:$M$1101,8,0),"")</f>
        <v>_</v>
      </c>
      <c r="AP158" s="185" t="str">
        <f>_xlfn.IFNA(VLOOKUP($AH158,Programma!$F$3:$N$1101,9,0),"")</f>
        <v>_</v>
      </c>
      <c r="AQ158" s="185" t="str">
        <f>_xlfn.IFNA(VLOOKUP($AH158,Programma!$F$3:$O$1101,10,0),"")</f>
        <v>_</v>
      </c>
      <c r="AR158" s="185" t="str">
        <f>_xlfn.IFNA(VLOOKUP($AH158,Programma!$F$3:$P$1101,11,0),"")</f>
        <v>_</v>
      </c>
      <c r="AS158" s="185" t="str">
        <f>_xlfn.IFNA(VLOOKUP($AH158,Programma!$F$3:$Q$1101,12,0),"")</f>
        <v>_</v>
      </c>
      <c r="AT158" s="185" t="str">
        <f>_xlfn.IFNA(VLOOKUP($AH158,Programma!$F$3:$R$1101,13,0),"")</f>
        <v>_</v>
      </c>
      <c r="AU158" s="185" t="str">
        <f>_xlfn.IFNA(VLOOKUP($AH158,Programma!$F$3:$S$1101,14,0),"")</f>
        <v>_</v>
      </c>
      <c r="AV158" s="185" t="str">
        <f>_xlfn.IFNA(VLOOKUP($AH158,Programma!$F$3:$T$1101,15,0),"")</f>
        <v>_</v>
      </c>
      <c r="AW158" s="185" t="str">
        <f>_xlfn.IFNA(VLOOKUP($AH158,Programma!$F$3:$U$1101,16,0),"")</f>
        <v>_</v>
      </c>
      <c r="AX158" s="185" t="str">
        <f>_xlfn.IFNA(VLOOKUP($AH158,Programma!$F$3:$V$1101,17,0),"")</f>
        <v>_</v>
      </c>
      <c r="AY158" s="185" t="str">
        <f>_xlfn.IFNA(VLOOKUP($AH158,Programma!$F$3:$W$1101,18,0),"")</f>
        <v>4w</v>
      </c>
      <c r="AZ158" s="185" t="str">
        <f>_xlfn.IFNA(VLOOKUP($AH158,Programma!$F$3:$X$1101,19,0),"")</f>
        <v>1w</v>
      </c>
      <c r="BA158" s="185" t="str">
        <f>_xlfn.IFNA(VLOOKUP($AH158,Programma!$F$3:$Y$1101,20,0),"")</f>
        <v>_</v>
      </c>
      <c r="BB158" s="182"/>
      <c r="BC158" s="181" t="str">
        <f>IF(Ruimtestaat[[#This Row],[Frequentie weekend]]="","",_xlfn.CONCAT(Ruimtestaat[[#This Row],[Ruimte code]],"-",Ruimtestaat[[#This Row],[Frequentie weekend]]," ",Ruimtestaat[[#This Row],[Vloer code]]))</f>
        <v/>
      </c>
      <c r="BD158" s="185" t="str">
        <f>_xlfn.IFNA(VLOOKUP($BC158,Programma!$F$3:$G$1101,2,0),"")</f>
        <v/>
      </c>
      <c r="BE158" s="185" t="str">
        <f>_xlfn.IFNA(VLOOKUP($BC158,Programma!$F$3:$H$1101,3,0),"")</f>
        <v/>
      </c>
      <c r="BF158" s="185" t="str">
        <f>_xlfn.IFNA(VLOOKUP($BC158,Programma!$F$3:$I$1101,4,0),"")</f>
        <v/>
      </c>
      <c r="BG158" s="185" t="str">
        <f>_xlfn.IFNA(VLOOKUP($BC158,Programma!$F$3:$J$1101,5,0),"")</f>
        <v/>
      </c>
      <c r="BH158" s="185" t="str">
        <f>_xlfn.IFNA(VLOOKUP($BC158,Programma!$F$3:$K$1101,6,0),"")</f>
        <v/>
      </c>
      <c r="BI158" s="185" t="str">
        <f>_xlfn.IFNA(VLOOKUP($BC158,Programma!$F$3:$L$1101,7,0),"")</f>
        <v/>
      </c>
      <c r="BJ158" s="185" t="str">
        <f>_xlfn.IFNA(VLOOKUP($BC158,Programma!$F$3:$M$1101,8,0),"")</f>
        <v/>
      </c>
      <c r="BK158" s="185" t="str">
        <f>_xlfn.IFNA(VLOOKUP($BC158,Programma!$F$3:$N$1101,9,0),"")</f>
        <v/>
      </c>
      <c r="BL158" s="185" t="str">
        <f>_xlfn.IFNA(VLOOKUP($BC158,Programma!$F$3:$O$1101,10,0),"")</f>
        <v/>
      </c>
      <c r="BM158" s="185" t="str">
        <f>_xlfn.IFNA(VLOOKUP($BC158,Programma!$F$3:$P$1101,11,0),"")</f>
        <v/>
      </c>
      <c r="BN158" s="185" t="str">
        <f>_xlfn.IFNA(VLOOKUP($BC158,Programma!$F$3:$Q$1101,12,0),"")</f>
        <v/>
      </c>
      <c r="BO158" s="185" t="str">
        <f>_xlfn.IFNA(VLOOKUP($BC158,Programma!$F$3:$R$1101,13,0),"")</f>
        <v/>
      </c>
      <c r="BP158" s="185" t="str">
        <f>_xlfn.IFNA(VLOOKUP($BC158,Programma!$F$3:$S$1101,14,0),"")</f>
        <v/>
      </c>
      <c r="BQ158" s="185" t="str">
        <f>_xlfn.IFNA(VLOOKUP($BC158,Programma!$F$3:$T$1101,15,0),"")</f>
        <v/>
      </c>
      <c r="BR158" s="185" t="str">
        <f>_xlfn.IFNA(VLOOKUP($BC158,Programma!$F$3:$U$1101,16,0),"")</f>
        <v/>
      </c>
      <c r="BS158" s="185" t="str">
        <f>_xlfn.IFNA(VLOOKUP($BC158,Programma!$F$3:$V$1101,17,0),"")</f>
        <v/>
      </c>
      <c r="BT158" s="185" t="str">
        <f>_xlfn.IFNA(VLOOKUP($BC158,Programma!$F$3:$W$1101,18,0),"")</f>
        <v/>
      </c>
      <c r="BU158" s="185" t="str">
        <f>_xlfn.IFNA(VLOOKUP($BC158,Programma!$F$3:$X$1101,19,0),"")</f>
        <v/>
      </c>
      <c r="BV158" s="185" t="str">
        <f>_xlfn.IFNA(VLOOKUP($BC158,Programma!$F$3:$Y$1101,20,0),"")</f>
        <v/>
      </c>
      <c r="BW158" s="78"/>
      <c r="BX158" s="78"/>
      <c r="BY158" s="78"/>
      <c r="BZ158" s="78"/>
      <c r="CA158" s="78"/>
      <c r="CB158" s="78"/>
      <c r="CC158" s="78"/>
      <c r="CD158" s="78"/>
      <c r="CE158" s="78"/>
      <c r="CF158" s="78"/>
      <c r="CG158" s="78"/>
      <c r="CH158" s="78"/>
      <c r="CI158" s="78"/>
      <c r="CJ158" s="78"/>
      <c r="CK158" s="78"/>
      <c r="CL158" s="78"/>
      <c r="CM158" s="78"/>
      <c r="CN158" s="78"/>
      <c r="CO158" s="78"/>
      <c r="CP158" s="78"/>
      <c r="CQ158" s="78"/>
      <c r="CR158" s="78"/>
      <c r="CS158" s="78"/>
      <c r="CT158" s="78"/>
      <c r="CU158" s="78"/>
      <c r="CV158" s="78"/>
      <c r="CW158" s="78"/>
      <c r="CX158" s="78"/>
      <c r="CY158" s="78"/>
      <c r="CZ158" s="78"/>
      <c r="DA158" s="78"/>
      <c r="DB158" s="78"/>
      <c r="DC158" s="78"/>
      <c r="DD158" s="78"/>
      <c r="DE158" s="78"/>
      <c r="DF158" s="78"/>
      <c r="DG158" s="78"/>
      <c r="DH158" s="78"/>
      <c r="DI158" s="78"/>
      <c r="DJ158" s="78"/>
      <c r="DK158" s="78"/>
      <c r="DL158" s="78"/>
      <c r="DM158" s="78"/>
      <c r="DN158" s="78"/>
      <c r="DO158" s="78"/>
      <c r="DP158" s="78"/>
      <c r="DQ158" s="78"/>
      <c r="DR158" s="78"/>
      <c r="DS158" s="78"/>
      <c r="DT158" s="78"/>
      <c r="DU158" s="78"/>
      <c r="DV158" s="78"/>
      <c r="DW158" s="78"/>
      <c r="DX158" s="78"/>
      <c r="DY158" s="78"/>
      <c r="DZ158" s="78"/>
      <c r="EA158" s="78"/>
      <c r="EB158" s="78"/>
      <c r="EC158" s="78"/>
      <c r="ED158" s="78"/>
      <c r="EE158" s="78"/>
      <c r="EF158" s="78"/>
      <c r="EG158" s="78"/>
      <c r="EH158" s="78"/>
      <c r="EI158" s="78"/>
      <c r="EJ158" s="78"/>
      <c r="EK158" s="78"/>
      <c r="EL158" s="78"/>
      <c r="EM158" s="78"/>
      <c r="EN158" s="78"/>
      <c r="EO158" s="78"/>
      <c r="EP158" s="78"/>
      <c r="EQ158" s="78"/>
      <c r="ER158" s="78"/>
      <c r="ES158" s="78"/>
      <c r="ET158" s="78"/>
      <c r="EU158" s="78"/>
      <c r="EV158" s="78"/>
      <c r="EW158" s="78"/>
      <c r="EX158" s="78"/>
      <c r="EY158" s="78"/>
      <c r="EZ158" s="78"/>
      <c r="FA158" s="78"/>
      <c r="FB158" s="78"/>
      <c r="FC158" s="78"/>
      <c r="FD158" s="78"/>
      <c r="FE158" s="78"/>
      <c r="FF158" s="78"/>
      <c r="FG158" s="78"/>
      <c r="FH158" s="78"/>
      <c r="FI158" s="78"/>
      <c r="FJ158" s="78"/>
      <c r="FK158" s="78"/>
      <c r="FL158" s="78"/>
      <c r="FM158" s="78"/>
      <c r="FN158" s="78"/>
      <c r="FO158" s="78"/>
      <c r="FP158" s="78"/>
      <c r="FQ158" s="78"/>
      <c r="FR158" s="78"/>
      <c r="FS158" s="78"/>
      <c r="FT158" s="78"/>
      <c r="FU158" s="78"/>
      <c r="FV158" s="78"/>
      <c r="FW158" s="78"/>
      <c r="FX158" s="78"/>
      <c r="FY158" s="78"/>
      <c r="FZ158" s="78"/>
      <c r="GA158" s="78"/>
      <c r="GB158" s="78"/>
      <c r="GC158" s="78"/>
      <c r="GD158" s="78"/>
      <c r="GE158" s="78"/>
      <c r="GF158" s="78"/>
      <c r="GG158" s="78"/>
      <c r="GH158" s="78"/>
      <c r="GI158" s="78"/>
      <c r="GJ158" s="78"/>
      <c r="GK158" s="78"/>
      <c r="GL158" s="78"/>
      <c r="GM158" s="78"/>
      <c r="GN158" s="78"/>
      <c r="GO158" s="78"/>
      <c r="GP158" s="78"/>
      <c r="GQ158" s="78"/>
      <c r="GR158" s="78"/>
      <c r="GS158" s="78"/>
      <c r="GT158" s="78"/>
      <c r="GU158" s="78"/>
      <c r="GV158" s="78"/>
      <c r="GW158" s="78"/>
      <c r="GX158" s="78"/>
      <c r="GY158" s="78"/>
      <c r="GZ158" s="78"/>
      <c r="HA158" s="78"/>
      <c r="HB158" s="78"/>
      <c r="HC158" s="78"/>
      <c r="HD158" s="78"/>
      <c r="HE158" s="78"/>
      <c r="HF158" s="78"/>
      <c r="HG158" s="78"/>
      <c r="HH158" s="78"/>
      <c r="HI158" s="78"/>
      <c r="HJ158" s="78"/>
      <c r="HK158" s="78"/>
    </row>
    <row r="159" spans="1:219" ht="15" customHeight="1">
      <c r="A159" s="149">
        <v>5</v>
      </c>
      <c r="B159" s="176" t="str">
        <f>VLOOKUP(Ruimtestaat[[#This Row],[Code]],Locaties[[Code]:[Locatie]],2,FALSE)</f>
        <v>OBS Harry Bannink</v>
      </c>
      <c r="C159" s="176" t="str">
        <f>VLOOKUP(Ruimtestaat[[#This Row],[Code]],Locaties[[#All],[Code]:[Adres]],4,FALSE)</f>
        <v>Het Bijvank 111</v>
      </c>
      <c r="D159" s="176" t="str">
        <f>VLOOKUP(Ruimtestaat[[#This Row],[Code]],Locaties[[#All],[Code]:[Postcode]],5,FALSE)</f>
        <v>7544 DA</v>
      </c>
      <c r="E159" s="176" t="str">
        <f>VLOOKUP(Ruimtestaat[[#This Row],[Code]],Locaties[#All],6,FALSE)</f>
        <v>Enschede</v>
      </c>
      <c r="F159" s="149"/>
      <c r="G159" s="149" t="s">
        <v>1714</v>
      </c>
      <c r="H159" s="184" t="s">
        <v>1744</v>
      </c>
      <c r="I159" s="183" t="s">
        <v>1683</v>
      </c>
      <c r="J159" s="99">
        <v>20</v>
      </c>
      <c r="K159" s="183" t="str">
        <f>VLOOKUP(Ruimtestaat[[#This Row],[Ruimte code]],Ruimtegroepen[[#All],[Code]:[Ruimte omschrijving]],2,FALSE)</f>
        <v>Niet in Onderhoud</v>
      </c>
      <c r="L159" s="149"/>
      <c r="M159" s="301"/>
      <c r="N159" s="177"/>
      <c r="O159" s="177">
        <v>0</v>
      </c>
      <c r="P159" s="178">
        <f>VLOOKUP(Ruimtestaat[[#This Row],[Ruimte code]],Ruimtegroepen[],4,FALSE)</f>
        <v>0</v>
      </c>
      <c r="Q159" s="149"/>
      <c r="R159" s="149"/>
      <c r="S159" s="149">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9" s="149">
        <f>IF(S159&gt;0,VLOOKUP($J159,Ruimtegroepen[],3,FALSE)*VLOOKUP($L159,Vloersoorten[],3,FALSE)*VLOOKUP($R159,Frequenties[],3,FALSE)*VLOOKUP($A159,Locaties[],3,FALSE),0)</f>
        <v>0</v>
      </c>
      <c r="U159" s="149">
        <f>Ruimtestaat[[#This Row],[Uitvoeringen werkdagen]]*Ruimtestaat[[#This Row],[Oppervlak (netto)]]</f>
        <v>0</v>
      </c>
      <c r="V159" s="179">
        <f>IF(T159&gt;0,Ruimtestaat[[#This Row],[Prest. (m2 /jaar) werkdagen]]/Ruimtestaat[[#This Row],[Norm (m2/uur) werkdagen]],0)</f>
        <v>0</v>
      </c>
      <c r="W159" s="180">
        <f>Ruimtestaat[[#This Row],[uren / jaar werkdagen]]*Tariefsopbouw!$E$35</f>
        <v>0</v>
      </c>
      <c r="X159" s="149"/>
      <c r="Y159" s="149">
        <f>IF(Ruimtestaat[[#This Row],[Frequentie weekend]]&gt;0,VALUE(LEFT(X159,1))*Q159,0)</f>
        <v>0</v>
      </c>
      <c r="Z159" s="148">
        <f>IF($Y159&gt;0,VLOOKUP($J159,Ruimtegroepen[],3,FALSE)*VLOOKUP($L159,Vloersoorten[],3,FALSE)*VLOOKUP($X159,Frequenties[],3,FALSE)*VLOOKUP(Ruimtestaat[[#This Row],[Code]],Locaties[],3,FALSE),0)</f>
        <v>0</v>
      </c>
      <c r="AA159" s="148">
        <f>Ruimtestaat[[#This Row],[Uitvoeringen weekend]]*Ruimtestaat[[#This Row],[Oppervlak (netto)]]</f>
        <v>0</v>
      </c>
      <c r="AB159" s="148">
        <f>IF(Z159&gt;0,Ruimtestaat[[#This Row],[Prest. (m2 /jaar) weekend]]/Ruimtestaat[[#This Row],[Norm (m2/uur) weekend]],0)</f>
        <v>0</v>
      </c>
      <c r="AC159" s="180">
        <f>Ruimtestaat[[#This Row],[uren / jaar weekend]]*Tariefsopbouw!$D$40</f>
        <v>0</v>
      </c>
      <c r="AD159" s="179">
        <f>Ruimtestaat[[#This Row],[Prest. (m2 /jaar) weekend]]+Ruimtestaat[[#This Row],[Prest. (m2 /jaar) werkdagen]]</f>
        <v>0</v>
      </c>
      <c r="AE159" s="179">
        <f>Ruimtestaat[[#This Row],[uren / jaar weekend]]+Ruimtestaat[[#This Row],[uren / jaar werkdagen]]</f>
        <v>0</v>
      </c>
      <c r="AF159" s="174">
        <f>Ruimtestaat[[#This Row],[kosten / jaar weekend]]+Ruimtestaat[[#This Row],[kosten / jaar werkdagen]]</f>
        <v>0</v>
      </c>
      <c r="AG159" s="174"/>
      <c r="AH159" s="181" t="str">
        <f>IF(Ruimtestaat[[#This Row],[Frequentie werkdagen]]="","",_xlfn.CONCAT(Ruimtestaat[[#This Row],[Ruimte code]],"-",Ruimtestaat[[#This Row],[Frequentie werkdagen]]," ",Ruimtestaat[[#This Row],[Vloer code]]))</f>
        <v/>
      </c>
      <c r="AI159" s="185" t="str">
        <f>_xlfn.IFNA(VLOOKUP($AH159,Programma!$F$3:$G$1101,2,0),"")</f>
        <v/>
      </c>
      <c r="AJ159" s="185" t="str">
        <f>_xlfn.IFNA(VLOOKUP($AH159,Programma!$F$3:$H$1101,3,0),"")</f>
        <v/>
      </c>
      <c r="AK159" s="185" t="str">
        <f>_xlfn.IFNA(VLOOKUP($AH159,Programma!$F$3:$I$1101,4,0),"")</f>
        <v/>
      </c>
      <c r="AL159" s="185" t="str">
        <f>_xlfn.IFNA(VLOOKUP($AH159,Programma!$F$3:$J$1101,5,0),"")</f>
        <v/>
      </c>
      <c r="AM159" s="185" t="str">
        <f>_xlfn.IFNA(VLOOKUP($AH159,Programma!$F$3:$K$1101,6,0),"")</f>
        <v/>
      </c>
      <c r="AN159" s="185" t="str">
        <f>_xlfn.IFNA(VLOOKUP($AH159,Programma!$F$3:$L$1101,7,0),"")</f>
        <v/>
      </c>
      <c r="AO159" s="185" t="str">
        <f>_xlfn.IFNA(VLOOKUP($AH159,Programma!$F$3:$M$1101,8,0),"")</f>
        <v/>
      </c>
      <c r="AP159" s="185" t="str">
        <f>_xlfn.IFNA(VLOOKUP($AH159,Programma!$F$3:$N$1101,9,0),"")</f>
        <v/>
      </c>
      <c r="AQ159" s="185" t="str">
        <f>_xlfn.IFNA(VLOOKUP($AH159,Programma!$F$3:$O$1101,10,0),"")</f>
        <v/>
      </c>
      <c r="AR159" s="185" t="str">
        <f>_xlfn.IFNA(VLOOKUP($AH159,Programma!$F$3:$P$1101,11,0),"")</f>
        <v/>
      </c>
      <c r="AS159" s="185" t="str">
        <f>_xlfn.IFNA(VLOOKUP($AH159,Programma!$F$3:$Q$1101,12,0),"")</f>
        <v/>
      </c>
      <c r="AT159" s="185" t="str">
        <f>_xlfn.IFNA(VLOOKUP($AH159,Programma!$F$3:$R$1101,13,0),"")</f>
        <v/>
      </c>
      <c r="AU159" s="185" t="str">
        <f>_xlfn.IFNA(VLOOKUP($AH159,Programma!$F$3:$S$1101,14,0),"")</f>
        <v/>
      </c>
      <c r="AV159" s="185" t="str">
        <f>_xlfn.IFNA(VLOOKUP($AH159,Programma!$F$3:$T$1101,15,0),"")</f>
        <v/>
      </c>
      <c r="AW159" s="185" t="str">
        <f>_xlfn.IFNA(VLOOKUP($AH159,Programma!$F$3:$U$1101,16,0),"")</f>
        <v/>
      </c>
      <c r="AX159" s="185" t="str">
        <f>_xlfn.IFNA(VLOOKUP($AH159,Programma!$F$3:$V$1101,17,0),"")</f>
        <v/>
      </c>
      <c r="AY159" s="185" t="str">
        <f>_xlfn.IFNA(VLOOKUP($AH159,Programma!$F$3:$W$1101,18,0),"")</f>
        <v/>
      </c>
      <c r="AZ159" s="185" t="str">
        <f>_xlfn.IFNA(VLOOKUP($AH159,Programma!$F$3:$X$1101,19,0),"")</f>
        <v/>
      </c>
      <c r="BA159" s="185" t="str">
        <f>_xlfn.IFNA(VLOOKUP($AH159,Programma!$F$3:$Y$1101,20,0),"")</f>
        <v/>
      </c>
      <c r="BB159" s="182"/>
      <c r="BC159" s="181" t="str">
        <f>IF(Ruimtestaat[[#This Row],[Frequentie weekend]]="","",_xlfn.CONCAT(Ruimtestaat[[#This Row],[Ruimte code]],"-",Ruimtestaat[[#This Row],[Frequentie weekend]]," ",Ruimtestaat[[#This Row],[Vloer code]]))</f>
        <v/>
      </c>
      <c r="BD159" s="185" t="str">
        <f>_xlfn.IFNA(VLOOKUP($BC159,Programma!$F$3:$G$1101,2,0),"")</f>
        <v/>
      </c>
      <c r="BE159" s="185" t="str">
        <f>_xlfn.IFNA(VLOOKUP($BC159,Programma!$F$3:$H$1101,3,0),"")</f>
        <v/>
      </c>
      <c r="BF159" s="185" t="str">
        <f>_xlfn.IFNA(VLOOKUP($BC159,Programma!$F$3:$I$1101,4,0),"")</f>
        <v/>
      </c>
      <c r="BG159" s="185" t="str">
        <f>_xlfn.IFNA(VLOOKUP($BC159,Programma!$F$3:$J$1101,5,0),"")</f>
        <v/>
      </c>
      <c r="BH159" s="185" t="str">
        <f>_xlfn.IFNA(VLOOKUP($BC159,Programma!$F$3:$K$1101,6,0),"")</f>
        <v/>
      </c>
      <c r="BI159" s="185" t="str">
        <f>_xlfn.IFNA(VLOOKUP($BC159,Programma!$F$3:$L$1101,7,0),"")</f>
        <v/>
      </c>
      <c r="BJ159" s="185" t="str">
        <f>_xlfn.IFNA(VLOOKUP($BC159,Programma!$F$3:$M$1101,8,0),"")</f>
        <v/>
      </c>
      <c r="BK159" s="185" t="str">
        <f>_xlfn.IFNA(VLOOKUP($BC159,Programma!$F$3:$N$1101,9,0),"")</f>
        <v/>
      </c>
      <c r="BL159" s="185" t="str">
        <f>_xlfn.IFNA(VLOOKUP($BC159,Programma!$F$3:$O$1101,10,0),"")</f>
        <v/>
      </c>
      <c r="BM159" s="185" t="str">
        <f>_xlfn.IFNA(VLOOKUP($BC159,Programma!$F$3:$P$1101,11,0),"")</f>
        <v/>
      </c>
      <c r="BN159" s="185" t="str">
        <f>_xlfn.IFNA(VLOOKUP($BC159,Programma!$F$3:$Q$1101,12,0),"")</f>
        <v/>
      </c>
      <c r="BO159" s="185" t="str">
        <f>_xlfn.IFNA(VLOOKUP($BC159,Programma!$F$3:$R$1101,13,0),"")</f>
        <v/>
      </c>
      <c r="BP159" s="185" t="str">
        <f>_xlfn.IFNA(VLOOKUP($BC159,Programma!$F$3:$S$1101,14,0),"")</f>
        <v/>
      </c>
      <c r="BQ159" s="185" t="str">
        <f>_xlfn.IFNA(VLOOKUP($BC159,Programma!$F$3:$T$1101,15,0),"")</f>
        <v/>
      </c>
      <c r="BR159" s="185" t="str">
        <f>_xlfn.IFNA(VLOOKUP($BC159,Programma!$F$3:$U$1101,16,0),"")</f>
        <v/>
      </c>
      <c r="BS159" s="185" t="str">
        <f>_xlfn.IFNA(VLOOKUP($BC159,Programma!$F$3:$V$1101,17,0),"")</f>
        <v/>
      </c>
      <c r="BT159" s="185" t="str">
        <f>_xlfn.IFNA(VLOOKUP($BC159,Programma!$F$3:$W$1101,18,0),"")</f>
        <v/>
      </c>
      <c r="BU159" s="185" t="str">
        <f>_xlfn.IFNA(VLOOKUP($BC159,Programma!$F$3:$X$1101,19,0),"")</f>
        <v/>
      </c>
      <c r="BV159" s="185" t="str">
        <f>_xlfn.IFNA(VLOOKUP($BC159,Programma!$F$3:$Y$1101,20,0),"")</f>
        <v/>
      </c>
      <c r="BW159" s="78"/>
      <c r="BX159" s="78"/>
      <c r="BY159" s="78"/>
      <c r="BZ159" s="78"/>
      <c r="CA159" s="78"/>
      <c r="CB159" s="78"/>
      <c r="CC159" s="78"/>
      <c r="CD159" s="78"/>
      <c r="CE159" s="78"/>
      <c r="CF159" s="78"/>
      <c r="CG159" s="78"/>
      <c r="CH159" s="78"/>
      <c r="CI159" s="78"/>
      <c r="CJ159" s="78"/>
      <c r="CK159" s="78"/>
      <c r="CL159" s="78"/>
      <c r="CM159" s="78"/>
      <c r="CN159" s="78"/>
      <c r="CO159" s="78"/>
      <c r="CP159" s="78"/>
      <c r="CQ159" s="78"/>
      <c r="CR159" s="78"/>
      <c r="CS159" s="78"/>
      <c r="CT159" s="78"/>
      <c r="CU159" s="78"/>
      <c r="CV159" s="78"/>
      <c r="CW159" s="78"/>
      <c r="CX159" s="78"/>
      <c r="CY159" s="78"/>
      <c r="CZ159" s="78"/>
      <c r="DA159" s="78"/>
      <c r="DB159" s="78"/>
      <c r="DC159" s="78"/>
      <c r="DD159" s="78"/>
      <c r="DE159" s="78"/>
      <c r="DF159" s="78"/>
      <c r="DG159" s="78"/>
      <c r="DH159" s="78"/>
      <c r="DI159" s="78"/>
      <c r="DJ159" s="78"/>
      <c r="DK159" s="78"/>
      <c r="DL159" s="78"/>
      <c r="DM159" s="78"/>
      <c r="DN159" s="78"/>
      <c r="DO159" s="78"/>
      <c r="DP159" s="78"/>
      <c r="DQ159" s="78"/>
      <c r="DR159" s="78"/>
      <c r="DS159" s="78"/>
      <c r="DT159" s="78"/>
      <c r="DU159" s="78"/>
      <c r="DV159" s="78"/>
      <c r="DW159" s="78"/>
      <c r="DX159" s="78"/>
      <c r="DY159" s="78"/>
      <c r="DZ159" s="78"/>
      <c r="EA159" s="78"/>
      <c r="EB159" s="78"/>
      <c r="EC159" s="78"/>
      <c r="ED159" s="78"/>
      <c r="EE159" s="78"/>
      <c r="EF159" s="78"/>
      <c r="EG159" s="78"/>
      <c r="EH159" s="78"/>
      <c r="EI159" s="78"/>
      <c r="EJ159" s="78"/>
      <c r="EK159" s="78"/>
      <c r="EL159" s="78"/>
      <c r="EM159" s="78"/>
      <c r="EN159" s="78"/>
      <c r="EO159" s="78"/>
      <c r="EP159" s="78"/>
      <c r="EQ159" s="78"/>
      <c r="ER159" s="78"/>
      <c r="ES159" s="78"/>
      <c r="ET159" s="78"/>
      <c r="EU159" s="78"/>
      <c r="EV159" s="78"/>
      <c r="EW159" s="78"/>
      <c r="EX159" s="78"/>
      <c r="EY159" s="78"/>
      <c r="EZ159" s="78"/>
      <c r="FA159" s="78"/>
      <c r="FB159" s="78"/>
      <c r="FC159" s="78"/>
      <c r="FD159" s="78"/>
      <c r="FE159" s="78"/>
      <c r="FF159" s="78"/>
      <c r="FG159" s="78"/>
      <c r="FH159" s="78"/>
      <c r="FI159" s="78"/>
      <c r="FJ159" s="78"/>
      <c r="FK159" s="78"/>
      <c r="FL159" s="78"/>
      <c r="FM159" s="78"/>
      <c r="FN159" s="78"/>
      <c r="FO159" s="78"/>
      <c r="FP159" s="78"/>
      <c r="FQ159" s="78"/>
      <c r="FR159" s="78"/>
      <c r="FS159" s="78"/>
      <c r="FT159" s="78"/>
      <c r="FU159" s="78"/>
      <c r="FV159" s="78"/>
      <c r="FW159" s="78"/>
      <c r="FX159" s="78"/>
      <c r="FY159" s="78"/>
      <c r="FZ159" s="78"/>
      <c r="GA159" s="78"/>
      <c r="GB159" s="78"/>
      <c r="GC159" s="78"/>
      <c r="GD159" s="78"/>
      <c r="GE159" s="78"/>
      <c r="GF159" s="78"/>
      <c r="GG159" s="78"/>
      <c r="GH159" s="78"/>
      <c r="GI159" s="78"/>
      <c r="GJ159" s="78"/>
      <c r="GK159" s="78"/>
      <c r="GL159" s="78"/>
      <c r="GM159" s="78"/>
      <c r="GN159" s="78"/>
      <c r="GO159" s="78"/>
      <c r="GP159" s="78"/>
      <c r="GQ159" s="78"/>
      <c r="GR159" s="78"/>
      <c r="GS159" s="78"/>
      <c r="GT159" s="78"/>
      <c r="GU159" s="78"/>
      <c r="GV159" s="78"/>
      <c r="GW159" s="78"/>
      <c r="GX159" s="78"/>
      <c r="GY159" s="78"/>
      <c r="GZ159" s="78"/>
      <c r="HA159" s="78"/>
      <c r="HB159" s="78"/>
      <c r="HC159" s="78"/>
      <c r="HD159" s="78"/>
      <c r="HE159" s="78"/>
      <c r="HF159" s="78"/>
      <c r="HG159" s="78"/>
      <c r="HH159" s="78"/>
      <c r="HI159" s="78"/>
      <c r="HJ159" s="78"/>
      <c r="HK159" s="78"/>
    </row>
    <row r="160" spans="1:219" ht="15" customHeight="1">
      <c r="A160" s="149">
        <v>5</v>
      </c>
      <c r="B160" s="176" t="str">
        <f>VLOOKUP(Ruimtestaat[[#This Row],[Code]],Locaties[[Code]:[Locatie]],2,FALSE)</f>
        <v>OBS Harry Bannink</v>
      </c>
      <c r="C160" s="176" t="str">
        <f>VLOOKUP(Ruimtestaat[[#This Row],[Code]],Locaties[[#All],[Code]:[Adres]],4,FALSE)</f>
        <v>Het Bijvank 111</v>
      </c>
      <c r="D160" s="176" t="str">
        <f>VLOOKUP(Ruimtestaat[[#This Row],[Code]],Locaties[[#All],[Code]:[Postcode]],5,FALSE)</f>
        <v>7544 DA</v>
      </c>
      <c r="E160" s="176" t="str">
        <f>VLOOKUP(Ruimtestaat[[#This Row],[Code]],Locaties[#All],6,FALSE)</f>
        <v>Enschede</v>
      </c>
      <c r="F160" s="149"/>
      <c r="G160" s="149" t="s">
        <v>1714</v>
      </c>
      <c r="H160" s="99" t="s">
        <v>1745</v>
      </c>
      <c r="I160" s="183" t="s">
        <v>1651</v>
      </c>
      <c r="J160" s="99">
        <v>16</v>
      </c>
      <c r="K160" s="183" t="str">
        <f>VLOOKUP(Ruimtestaat[[#This Row],[Ruimte code]],Ruimtegroepen[[#All],[Code]:[Ruimte omschrijving]],2,FALSE)</f>
        <v>Leslokalen</v>
      </c>
      <c r="L160" s="149" t="s">
        <v>100</v>
      </c>
      <c r="M160" s="301" t="s">
        <v>1697</v>
      </c>
      <c r="N160" s="177">
        <v>54.1</v>
      </c>
      <c r="O160" s="177"/>
      <c r="P160" s="178" t="str">
        <f>VLOOKUP(Ruimtestaat[[#This Row],[Ruimte code]],Ruimtegroepen[],4,FALSE)</f>
        <v>Le</v>
      </c>
      <c r="Q160" s="149">
        <v>40</v>
      </c>
      <c r="R160" s="149" t="s">
        <v>2</v>
      </c>
      <c r="S160" s="149">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0" s="149">
        <f>IF(S160&gt;0,VLOOKUP($J160,Ruimtegroepen[],3,FALSE)*VLOOKUP($L160,Vloersoorten[],3,FALSE)*VLOOKUP($R160,Frequenties[],3,FALSE)*VLOOKUP($A160,Locaties[],3,FALSE),0)</f>
        <v>0</v>
      </c>
      <c r="U160" s="149">
        <f>Ruimtestaat[[#This Row],[Uitvoeringen werkdagen]]*Ruimtestaat[[#This Row],[Oppervlak (netto)]]</f>
        <v>10820</v>
      </c>
      <c r="V160" s="179">
        <f>IF(T160&gt;0,Ruimtestaat[[#This Row],[Prest. (m2 /jaar) werkdagen]]/Ruimtestaat[[#This Row],[Norm (m2/uur) werkdagen]],0)</f>
        <v>0</v>
      </c>
      <c r="W160" s="180">
        <f>Ruimtestaat[[#This Row],[uren / jaar werkdagen]]*Tariefsopbouw!$E$35</f>
        <v>0</v>
      </c>
      <c r="X160" s="149"/>
      <c r="Y160" s="149">
        <f>IF(Ruimtestaat[[#This Row],[Frequentie weekend]]&gt;0,VALUE(LEFT(X160,1))*Q160,0)</f>
        <v>0</v>
      </c>
      <c r="Z160" s="148">
        <f>IF($Y160&gt;0,VLOOKUP($J160,Ruimtegroepen[],3,FALSE)*VLOOKUP($L160,Vloersoorten[],3,FALSE)*VLOOKUP($X160,Frequenties[],3,FALSE)*VLOOKUP(Ruimtestaat[[#This Row],[Code]],Locaties[],3,FALSE),0)</f>
        <v>0</v>
      </c>
      <c r="AA160" s="148">
        <f>Ruimtestaat[[#This Row],[Uitvoeringen weekend]]*Ruimtestaat[[#This Row],[Oppervlak (netto)]]</f>
        <v>0</v>
      </c>
      <c r="AB160" s="148">
        <f>IF(Z160&gt;0,Ruimtestaat[[#This Row],[Prest. (m2 /jaar) weekend]]/Ruimtestaat[[#This Row],[Norm (m2/uur) weekend]],0)</f>
        <v>0</v>
      </c>
      <c r="AC160" s="180">
        <f>Ruimtestaat[[#This Row],[uren / jaar weekend]]*Tariefsopbouw!$D$40</f>
        <v>0</v>
      </c>
      <c r="AD160" s="179">
        <f>Ruimtestaat[[#This Row],[Prest. (m2 /jaar) weekend]]+Ruimtestaat[[#This Row],[Prest. (m2 /jaar) werkdagen]]</f>
        <v>10820</v>
      </c>
      <c r="AE160" s="179">
        <f>Ruimtestaat[[#This Row],[uren / jaar weekend]]+Ruimtestaat[[#This Row],[uren / jaar werkdagen]]</f>
        <v>0</v>
      </c>
      <c r="AF160" s="174">
        <f>Ruimtestaat[[#This Row],[kosten / jaar weekend]]+Ruimtestaat[[#This Row],[kosten / jaar werkdagen]]</f>
        <v>0</v>
      </c>
      <c r="AG160" s="174"/>
      <c r="AH160" s="181" t="str">
        <f>IF(Ruimtestaat[[#This Row],[Frequentie werkdagen]]="","",_xlfn.CONCAT(Ruimtestaat[[#This Row],[Ruimte code]],"-",Ruimtestaat[[#This Row],[Frequentie werkdagen]]," ",Ruimtestaat[[#This Row],[Vloer code]]))</f>
        <v>16-5w L</v>
      </c>
      <c r="AI160" s="185" t="str">
        <f>_xlfn.IFNA(VLOOKUP($AH160,Programma!$F$3:$G$1101,2,0),"")</f>
        <v>_</v>
      </c>
      <c r="AJ160" s="185" t="str">
        <f>_xlfn.IFNA(VLOOKUP($AH160,Programma!$F$3:$H$1101,3,0),"")</f>
        <v>_</v>
      </c>
      <c r="AK160" s="185" t="str">
        <f>_xlfn.IFNA(VLOOKUP($AH160,Programma!$F$3:$I$1101,4,0),"")</f>
        <v>4w</v>
      </c>
      <c r="AL160" s="185" t="str">
        <f>_xlfn.IFNA(VLOOKUP($AH160,Programma!$F$3:$J$1101,5,0),"")</f>
        <v>1w</v>
      </c>
      <c r="AM160" s="185" t="str">
        <f>_xlfn.IFNA(VLOOKUP($AH160,Programma!$F$3:$K$1101,6,0),"")</f>
        <v>_</v>
      </c>
      <c r="AN160" s="185" t="str">
        <f>_xlfn.IFNA(VLOOKUP($AH160,Programma!$F$3:$L$1101,7,0),"")</f>
        <v>_</v>
      </c>
      <c r="AO160" s="185" t="str">
        <f>_xlfn.IFNA(VLOOKUP($AH160,Programma!$F$3:$M$1101,8,0),"")</f>
        <v>_</v>
      </c>
      <c r="AP160" s="185" t="str">
        <f>_xlfn.IFNA(VLOOKUP($AH160,Programma!$F$3:$N$1101,9,0),"")</f>
        <v>_</v>
      </c>
      <c r="AQ160" s="185" t="str">
        <f>_xlfn.IFNA(VLOOKUP($AH160,Programma!$F$3:$O$1101,10,0),"")</f>
        <v>5w</v>
      </c>
      <c r="AR160" s="185" t="str">
        <f>_xlfn.IFNA(VLOOKUP($AH160,Programma!$F$3:$P$1101,11,0),"")</f>
        <v>5w</v>
      </c>
      <c r="AS160" s="185" t="str">
        <f>_xlfn.IFNA(VLOOKUP($AH160,Programma!$F$3:$Q$1101,12,0),"")</f>
        <v>1w</v>
      </c>
      <c r="AT160" s="185" t="str">
        <f>_xlfn.IFNA(VLOOKUP($AH160,Programma!$F$3:$R$1101,13,0),"")</f>
        <v>1w</v>
      </c>
      <c r="AU160" s="185" t="str">
        <f>_xlfn.IFNA(VLOOKUP($AH160,Programma!$F$3:$S$1101,14,0),"")</f>
        <v>1m</v>
      </c>
      <c r="AV160" s="185" t="str">
        <f>_xlfn.IFNA(VLOOKUP($AH160,Programma!$F$3:$T$1101,15,0),"")</f>
        <v>2j</v>
      </c>
      <c r="AW160" s="185" t="str">
        <f>_xlfn.IFNA(VLOOKUP($AH160,Programma!$F$3:$U$1101,16,0),"")</f>
        <v>1j</v>
      </c>
      <c r="AX160" s="185" t="str">
        <f>_xlfn.IFNA(VLOOKUP($AH160,Programma!$F$3:$V$1101,17,0),"")</f>
        <v>_</v>
      </c>
      <c r="AY160" s="185" t="str">
        <f>_xlfn.IFNA(VLOOKUP($AH160,Programma!$F$3:$W$1101,18,0),"")</f>
        <v>_</v>
      </c>
      <c r="AZ160" s="185" t="str">
        <f>_xlfn.IFNA(VLOOKUP($AH160,Programma!$F$3:$X$1101,19,0),"")</f>
        <v>_</v>
      </c>
      <c r="BA160" s="185" t="str">
        <f>_xlfn.IFNA(VLOOKUP($AH160,Programma!$F$3:$Y$1101,20,0),"")</f>
        <v>_</v>
      </c>
      <c r="BB160" s="182"/>
      <c r="BC160" s="181" t="str">
        <f>IF(Ruimtestaat[[#This Row],[Frequentie weekend]]="","",_xlfn.CONCAT(Ruimtestaat[[#This Row],[Ruimte code]],"-",Ruimtestaat[[#This Row],[Frequentie weekend]]," ",Ruimtestaat[[#This Row],[Vloer code]]))</f>
        <v/>
      </c>
      <c r="BD160" s="185" t="str">
        <f>_xlfn.IFNA(VLOOKUP($BC160,Programma!$F$3:$G$1101,2,0),"")</f>
        <v/>
      </c>
      <c r="BE160" s="185" t="str">
        <f>_xlfn.IFNA(VLOOKUP($BC160,Programma!$F$3:$H$1101,3,0),"")</f>
        <v/>
      </c>
      <c r="BF160" s="185" t="str">
        <f>_xlfn.IFNA(VLOOKUP($BC160,Programma!$F$3:$I$1101,4,0),"")</f>
        <v/>
      </c>
      <c r="BG160" s="185" t="str">
        <f>_xlfn.IFNA(VLOOKUP($BC160,Programma!$F$3:$J$1101,5,0),"")</f>
        <v/>
      </c>
      <c r="BH160" s="185" t="str">
        <f>_xlfn.IFNA(VLOOKUP($BC160,Programma!$F$3:$K$1101,6,0),"")</f>
        <v/>
      </c>
      <c r="BI160" s="185" t="str">
        <f>_xlfn.IFNA(VLOOKUP($BC160,Programma!$F$3:$L$1101,7,0),"")</f>
        <v/>
      </c>
      <c r="BJ160" s="185" t="str">
        <f>_xlfn.IFNA(VLOOKUP($BC160,Programma!$F$3:$M$1101,8,0),"")</f>
        <v/>
      </c>
      <c r="BK160" s="185" t="str">
        <f>_xlfn.IFNA(VLOOKUP($BC160,Programma!$F$3:$N$1101,9,0),"")</f>
        <v/>
      </c>
      <c r="BL160" s="185" t="str">
        <f>_xlfn.IFNA(VLOOKUP($BC160,Programma!$F$3:$O$1101,10,0),"")</f>
        <v/>
      </c>
      <c r="BM160" s="185" t="str">
        <f>_xlfn.IFNA(VLOOKUP($BC160,Programma!$F$3:$P$1101,11,0),"")</f>
        <v/>
      </c>
      <c r="BN160" s="185" t="str">
        <f>_xlfn.IFNA(VLOOKUP($BC160,Programma!$F$3:$Q$1101,12,0),"")</f>
        <v/>
      </c>
      <c r="BO160" s="185" t="str">
        <f>_xlfn.IFNA(VLOOKUP($BC160,Programma!$F$3:$R$1101,13,0),"")</f>
        <v/>
      </c>
      <c r="BP160" s="185" t="str">
        <f>_xlfn.IFNA(VLOOKUP($BC160,Programma!$F$3:$S$1101,14,0),"")</f>
        <v/>
      </c>
      <c r="BQ160" s="185" t="str">
        <f>_xlfn.IFNA(VLOOKUP($BC160,Programma!$F$3:$T$1101,15,0),"")</f>
        <v/>
      </c>
      <c r="BR160" s="185" t="str">
        <f>_xlfn.IFNA(VLOOKUP($BC160,Programma!$F$3:$U$1101,16,0),"")</f>
        <v/>
      </c>
      <c r="BS160" s="185" t="str">
        <f>_xlfn.IFNA(VLOOKUP($BC160,Programma!$F$3:$V$1101,17,0),"")</f>
        <v/>
      </c>
      <c r="BT160" s="185" t="str">
        <f>_xlfn.IFNA(VLOOKUP($BC160,Programma!$F$3:$W$1101,18,0),"")</f>
        <v/>
      </c>
      <c r="BU160" s="185" t="str">
        <f>_xlfn.IFNA(VLOOKUP($BC160,Programma!$F$3:$X$1101,19,0),"")</f>
        <v/>
      </c>
      <c r="BV160" s="185" t="str">
        <f>_xlfn.IFNA(VLOOKUP($BC160,Programma!$F$3:$Y$1101,20,0),"")</f>
        <v/>
      </c>
      <c r="BW160" s="78"/>
      <c r="BX160" s="78"/>
      <c r="BY160" s="78"/>
      <c r="BZ160" s="78"/>
      <c r="CA160" s="78"/>
      <c r="CB160" s="78"/>
      <c r="CC160" s="78"/>
      <c r="CD160" s="78"/>
      <c r="CE160" s="78"/>
      <c r="CF160" s="78"/>
      <c r="CG160" s="78"/>
      <c r="CH160" s="78"/>
      <c r="CI160" s="78"/>
      <c r="CJ160" s="78"/>
      <c r="CK160" s="78"/>
      <c r="CL160" s="78"/>
      <c r="CM160" s="78"/>
      <c r="CN160" s="78"/>
      <c r="CO160" s="78"/>
      <c r="CP160" s="78"/>
      <c r="CQ160" s="78"/>
      <c r="CR160" s="78"/>
      <c r="CS160" s="78"/>
      <c r="CT160" s="78"/>
      <c r="CU160" s="78"/>
      <c r="CV160" s="78"/>
      <c r="CW160" s="78"/>
      <c r="CX160" s="78"/>
      <c r="CY160" s="78"/>
      <c r="CZ160" s="78"/>
      <c r="DA160" s="78"/>
      <c r="DB160" s="78"/>
      <c r="DC160" s="78"/>
      <c r="DD160" s="78"/>
      <c r="DE160" s="78"/>
      <c r="DF160" s="78"/>
      <c r="DG160" s="78"/>
      <c r="DH160" s="78"/>
      <c r="DI160" s="78"/>
      <c r="DJ160" s="78"/>
      <c r="DK160" s="78"/>
      <c r="DL160" s="78"/>
      <c r="DM160" s="78"/>
      <c r="DN160" s="78"/>
      <c r="DO160" s="78"/>
      <c r="DP160" s="78"/>
      <c r="DQ160" s="78"/>
      <c r="DR160" s="78"/>
      <c r="DS160" s="78"/>
      <c r="DT160" s="78"/>
      <c r="DU160" s="78"/>
      <c r="DV160" s="78"/>
      <c r="DW160" s="78"/>
      <c r="DX160" s="78"/>
      <c r="DY160" s="78"/>
      <c r="DZ160" s="78"/>
      <c r="EA160" s="78"/>
      <c r="EB160" s="78"/>
      <c r="EC160" s="78"/>
      <c r="ED160" s="78"/>
      <c r="EE160" s="78"/>
      <c r="EF160" s="78"/>
      <c r="EG160" s="78"/>
      <c r="EH160" s="78"/>
      <c r="EI160" s="78"/>
      <c r="EJ160" s="78"/>
      <c r="EK160" s="78"/>
      <c r="EL160" s="78"/>
      <c r="EM160" s="78"/>
      <c r="EN160" s="78"/>
      <c r="EO160" s="78"/>
      <c r="EP160" s="78"/>
      <c r="EQ160" s="78"/>
      <c r="ER160" s="78"/>
      <c r="ES160" s="78"/>
      <c r="ET160" s="78"/>
      <c r="EU160" s="78"/>
      <c r="EV160" s="78"/>
      <c r="EW160" s="78"/>
      <c r="EX160" s="78"/>
      <c r="EY160" s="78"/>
      <c r="EZ160" s="78"/>
      <c r="FA160" s="78"/>
      <c r="FB160" s="78"/>
      <c r="FC160" s="78"/>
      <c r="FD160" s="78"/>
      <c r="FE160" s="78"/>
      <c r="FF160" s="78"/>
      <c r="FG160" s="78"/>
      <c r="FH160" s="78"/>
      <c r="FI160" s="78"/>
      <c r="FJ160" s="78"/>
      <c r="FK160" s="78"/>
      <c r="FL160" s="78"/>
      <c r="FM160" s="78"/>
      <c r="FN160" s="78"/>
      <c r="FO160" s="78"/>
      <c r="FP160" s="78"/>
      <c r="FQ160" s="78"/>
      <c r="FR160" s="78"/>
      <c r="FS160" s="78"/>
      <c r="FT160" s="78"/>
      <c r="FU160" s="78"/>
      <c r="FV160" s="78"/>
      <c r="FW160" s="78"/>
      <c r="FX160" s="78"/>
      <c r="FY160" s="78"/>
      <c r="FZ160" s="78"/>
      <c r="GA160" s="78"/>
      <c r="GB160" s="78"/>
      <c r="GC160" s="78"/>
      <c r="GD160" s="78"/>
      <c r="GE160" s="78"/>
      <c r="GF160" s="78"/>
      <c r="GG160" s="78"/>
      <c r="GH160" s="78"/>
      <c r="GI160" s="78"/>
      <c r="GJ160" s="78"/>
      <c r="GK160" s="78"/>
      <c r="GL160" s="78"/>
      <c r="GM160" s="78"/>
      <c r="GN160" s="78"/>
      <c r="GO160" s="78"/>
      <c r="GP160" s="78"/>
      <c r="GQ160" s="78"/>
      <c r="GR160" s="78"/>
      <c r="GS160" s="78"/>
      <c r="GT160" s="78"/>
      <c r="GU160" s="78"/>
      <c r="GV160" s="78"/>
      <c r="GW160" s="78"/>
      <c r="GX160" s="78"/>
      <c r="GY160" s="78"/>
      <c r="GZ160" s="78"/>
      <c r="HA160" s="78"/>
      <c r="HB160" s="78"/>
      <c r="HC160" s="78"/>
      <c r="HD160" s="78"/>
      <c r="HE160" s="78"/>
      <c r="HF160" s="78"/>
      <c r="HG160" s="78"/>
      <c r="HH160" s="78"/>
      <c r="HI160" s="78"/>
      <c r="HJ160" s="78"/>
      <c r="HK160" s="78"/>
    </row>
    <row r="161" spans="1:219" ht="15" customHeight="1">
      <c r="A161" s="149">
        <v>5</v>
      </c>
      <c r="B161" s="176" t="str">
        <f>VLOOKUP(Ruimtestaat[[#This Row],[Code]],Locaties[[Code]:[Locatie]],2,FALSE)</f>
        <v>OBS Harry Bannink</v>
      </c>
      <c r="C161" s="176" t="str">
        <f>VLOOKUP(Ruimtestaat[[#This Row],[Code]],Locaties[[#All],[Code]:[Adres]],4,FALSE)</f>
        <v>Het Bijvank 111</v>
      </c>
      <c r="D161" s="176" t="str">
        <f>VLOOKUP(Ruimtestaat[[#This Row],[Code]],Locaties[[#All],[Code]:[Postcode]],5,FALSE)</f>
        <v>7544 DA</v>
      </c>
      <c r="E161" s="176" t="str">
        <f>VLOOKUP(Ruimtestaat[[#This Row],[Code]],Locaties[#All],6,FALSE)</f>
        <v>Enschede</v>
      </c>
      <c r="F161" s="149"/>
      <c r="G161" s="149" t="s">
        <v>1714</v>
      </c>
      <c r="H161" s="99" t="s">
        <v>1746</v>
      </c>
      <c r="I161" s="183" t="s">
        <v>1683</v>
      </c>
      <c r="J161" s="99">
        <v>20</v>
      </c>
      <c r="K161" s="183" t="str">
        <f>VLOOKUP(Ruimtestaat[[#This Row],[Ruimte code]],Ruimtegroepen[[#All],[Code]:[Ruimte omschrijving]],2,FALSE)</f>
        <v>Niet in Onderhoud</v>
      </c>
      <c r="L161" s="149"/>
      <c r="M161" s="301"/>
      <c r="N161" s="177"/>
      <c r="O161" s="177">
        <v>0</v>
      </c>
      <c r="P161" s="178">
        <f>VLOOKUP(Ruimtestaat[[#This Row],[Ruimte code]],Ruimtegroepen[],4,FALSE)</f>
        <v>0</v>
      </c>
      <c r="Q161" s="149"/>
      <c r="R161" s="149"/>
      <c r="S161" s="149">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1" s="149">
        <f>IF(S161&gt;0,VLOOKUP($J161,Ruimtegroepen[],3,FALSE)*VLOOKUP($L161,Vloersoorten[],3,FALSE)*VLOOKUP($R161,Frequenties[],3,FALSE)*VLOOKUP($A161,Locaties[],3,FALSE),0)</f>
        <v>0</v>
      </c>
      <c r="U161" s="149">
        <f>Ruimtestaat[[#This Row],[Uitvoeringen werkdagen]]*Ruimtestaat[[#This Row],[Oppervlak (netto)]]</f>
        <v>0</v>
      </c>
      <c r="V161" s="179">
        <f>IF(T161&gt;0,Ruimtestaat[[#This Row],[Prest. (m2 /jaar) werkdagen]]/Ruimtestaat[[#This Row],[Norm (m2/uur) werkdagen]],0)</f>
        <v>0</v>
      </c>
      <c r="W161" s="180">
        <f>Ruimtestaat[[#This Row],[uren / jaar werkdagen]]*Tariefsopbouw!$E$35</f>
        <v>0</v>
      </c>
      <c r="X161" s="149"/>
      <c r="Y161" s="149">
        <f>IF(Ruimtestaat[[#This Row],[Frequentie weekend]]&gt;0,VALUE(LEFT(X161,1))*Q161,0)</f>
        <v>0</v>
      </c>
      <c r="Z161" s="148">
        <f>IF($Y161&gt;0,VLOOKUP($J161,Ruimtegroepen[],3,FALSE)*VLOOKUP($L161,Vloersoorten[],3,FALSE)*VLOOKUP($X161,Frequenties[],3,FALSE)*VLOOKUP(Ruimtestaat[[#This Row],[Code]],Locaties[],3,FALSE),0)</f>
        <v>0</v>
      </c>
      <c r="AA161" s="148">
        <f>Ruimtestaat[[#This Row],[Uitvoeringen weekend]]*Ruimtestaat[[#This Row],[Oppervlak (netto)]]</f>
        <v>0</v>
      </c>
      <c r="AB161" s="148">
        <f>IF(Z161&gt;0,Ruimtestaat[[#This Row],[Prest. (m2 /jaar) weekend]]/Ruimtestaat[[#This Row],[Norm (m2/uur) weekend]],0)</f>
        <v>0</v>
      </c>
      <c r="AC161" s="180">
        <f>Ruimtestaat[[#This Row],[uren / jaar weekend]]*Tariefsopbouw!$D$40</f>
        <v>0</v>
      </c>
      <c r="AD161" s="179">
        <f>Ruimtestaat[[#This Row],[Prest. (m2 /jaar) weekend]]+Ruimtestaat[[#This Row],[Prest. (m2 /jaar) werkdagen]]</f>
        <v>0</v>
      </c>
      <c r="AE161" s="179">
        <f>Ruimtestaat[[#This Row],[uren / jaar weekend]]+Ruimtestaat[[#This Row],[uren / jaar werkdagen]]</f>
        <v>0</v>
      </c>
      <c r="AF161" s="174">
        <f>Ruimtestaat[[#This Row],[kosten / jaar weekend]]+Ruimtestaat[[#This Row],[kosten / jaar werkdagen]]</f>
        <v>0</v>
      </c>
      <c r="AG161" s="174"/>
      <c r="AH161" s="181" t="str">
        <f>IF(Ruimtestaat[[#This Row],[Frequentie werkdagen]]="","",_xlfn.CONCAT(Ruimtestaat[[#This Row],[Ruimte code]],"-",Ruimtestaat[[#This Row],[Frequentie werkdagen]]," ",Ruimtestaat[[#This Row],[Vloer code]]))</f>
        <v/>
      </c>
      <c r="AI161" s="185" t="str">
        <f>_xlfn.IFNA(VLOOKUP($AH161,Programma!$F$3:$G$1101,2,0),"")</f>
        <v/>
      </c>
      <c r="AJ161" s="185" t="str">
        <f>_xlfn.IFNA(VLOOKUP($AH161,Programma!$F$3:$H$1101,3,0),"")</f>
        <v/>
      </c>
      <c r="AK161" s="185" t="str">
        <f>_xlfn.IFNA(VLOOKUP($AH161,Programma!$F$3:$I$1101,4,0),"")</f>
        <v/>
      </c>
      <c r="AL161" s="185" t="str">
        <f>_xlfn.IFNA(VLOOKUP($AH161,Programma!$F$3:$J$1101,5,0),"")</f>
        <v/>
      </c>
      <c r="AM161" s="185" t="str">
        <f>_xlfn.IFNA(VLOOKUP($AH161,Programma!$F$3:$K$1101,6,0),"")</f>
        <v/>
      </c>
      <c r="AN161" s="185" t="str">
        <f>_xlfn.IFNA(VLOOKUP($AH161,Programma!$F$3:$L$1101,7,0),"")</f>
        <v/>
      </c>
      <c r="AO161" s="185" t="str">
        <f>_xlfn.IFNA(VLOOKUP($AH161,Programma!$F$3:$M$1101,8,0),"")</f>
        <v/>
      </c>
      <c r="AP161" s="185" t="str">
        <f>_xlfn.IFNA(VLOOKUP($AH161,Programma!$F$3:$N$1101,9,0),"")</f>
        <v/>
      </c>
      <c r="AQ161" s="185" t="str">
        <f>_xlfn.IFNA(VLOOKUP($AH161,Programma!$F$3:$O$1101,10,0),"")</f>
        <v/>
      </c>
      <c r="AR161" s="185" t="str">
        <f>_xlfn.IFNA(VLOOKUP($AH161,Programma!$F$3:$P$1101,11,0),"")</f>
        <v/>
      </c>
      <c r="AS161" s="185" t="str">
        <f>_xlfn.IFNA(VLOOKUP($AH161,Programma!$F$3:$Q$1101,12,0),"")</f>
        <v/>
      </c>
      <c r="AT161" s="185" t="str">
        <f>_xlfn.IFNA(VLOOKUP($AH161,Programma!$F$3:$R$1101,13,0),"")</f>
        <v/>
      </c>
      <c r="AU161" s="185" t="str">
        <f>_xlfn.IFNA(VLOOKUP($AH161,Programma!$F$3:$S$1101,14,0),"")</f>
        <v/>
      </c>
      <c r="AV161" s="185" t="str">
        <f>_xlfn.IFNA(VLOOKUP($AH161,Programma!$F$3:$T$1101,15,0),"")</f>
        <v/>
      </c>
      <c r="AW161" s="185" t="str">
        <f>_xlfn.IFNA(VLOOKUP($AH161,Programma!$F$3:$U$1101,16,0),"")</f>
        <v/>
      </c>
      <c r="AX161" s="185" t="str">
        <f>_xlfn.IFNA(VLOOKUP($AH161,Programma!$F$3:$V$1101,17,0),"")</f>
        <v/>
      </c>
      <c r="AY161" s="185" t="str">
        <f>_xlfn.IFNA(VLOOKUP($AH161,Programma!$F$3:$W$1101,18,0),"")</f>
        <v/>
      </c>
      <c r="AZ161" s="185" t="str">
        <f>_xlfn.IFNA(VLOOKUP($AH161,Programma!$F$3:$X$1101,19,0),"")</f>
        <v/>
      </c>
      <c r="BA161" s="185" t="str">
        <f>_xlfn.IFNA(VLOOKUP($AH161,Programma!$F$3:$Y$1101,20,0),"")</f>
        <v/>
      </c>
      <c r="BB161" s="182"/>
      <c r="BC161" s="181" t="str">
        <f>IF(Ruimtestaat[[#This Row],[Frequentie weekend]]="","",_xlfn.CONCAT(Ruimtestaat[[#This Row],[Ruimte code]],"-",Ruimtestaat[[#This Row],[Frequentie weekend]]," ",Ruimtestaat[[#This Row],[Vloer code]]))</f>
        <v/>
      </c>
      <c r="BD161" s="185" t="str">
        <f>_xlfn.IFNA(VLOOKUP($BC161,Programma!$F$3:$G$1101,2,0),"")</f>
        <v/>
      </c>
      <c r="BE161" s="185" t="str">
        <f>_xlfn.IFNA(VLOOKUP($BC161,Programma!$F$3:$H$1101,3,0),"")</f>
        <v/>
      </c>
      <c r="BF161" s="185" t="str">
        <f>_xlfn.IFNA(VLOOKUP($BC161,Programma!$F$3:$I$1101,4,0),"")</f>
        <v/>
      </c>
      <c r="BG161" s="185" t="str">
        <f>_xlfn.IFNA(VLOOKUP($BC161,Programma!$F$3:$J$1101,5,0),"")</f>
        <v/>
      </c>
      <c r="BH161" s="185" t="str">
        <f>_xlfn.IFNA(VLOOKUP($BC161,Programma!$F$3:$K$1101,6,0),"")</f>
        <v/>
      </c>
      <c r="BI161" s="185" t="str">
        <f>_xlfn.IFNA(VLOOKUP($BC161,Programma!$F$3:$L$1101,7,0),"")</f>
        <v/>
      </c>
      <c r="BJ161" s="185" t="str">
        <f>_xlfn.IFNA(VLOOKUP($BC161,Programma!$F$3:$M$1101,8,0),"")</f>
        <v/>
      </c>
      <c r="BK161" s="185" t="str">
        <f>_xlfn.IFNA(VLOOKUP($BC161,Programma!$F$3:$N$1101,9,0),"")</f>
        <v/>
      </c>
      <c r="BL161" s="185" t="str">
        <f>_xlfn.IFNA(VLOOKUP($BC161,Programma!$F$3:$O$1101,10,0),"")</f>
        <v/>
      </c>
      <c r="BM161" s="185" t="str">
        <f>_xlfn.IFNA(VLOOKUP($BC161,Programma!$F$3:$P$1101,11,0),"")</f>
        <v/>
      </c>
      <c r="BN161" s="185" t="str">
        <f>_xlfn.IFNA(VLOOKUP($BC161,Programma!$F$3:$Q$1101,12,0),"")</f>
        <v/>
      </c>
      <c r="BO161" s="185" t="str">
        <f>_xlfn.IFNA(VLOOKUP($BC161,Programma!$F$3:$R$1101,13,0),"")</f>
        <v/>
      </c>
      <c r="BP161" s="185" t="str">
        <f>_xlfn.IFNA(VLOOKUP($BC161,Programma!$F$3:$S$1101,14,0),"")</f>
        <v/>
      </c>
      <c r="BQ161" s="185" t="str">
        <f>_xlfn.IFNA(VLOOKUP($BC161,Programma!$F$3:$T$1101,15,0),"")</f>
        <v/>
      </c>
      <c r="BR161" s="185" t="str">
        <f>_xlfn.IFNA(VLOOKUP($BC161,Programma!$F$3:$U$1101,16,0),"")</f>
        <v/>
      </c>
      <c r="BS161" s="185" t="str">
        <f>_xlfn.IFNA(VLOOKUP($BC161,Programma!$F$3:$V$1101,17,0),"")</f>
        <v/>
      </c>
      <c r="BT161" s="185" t="str">
        <f>_xlfn.IFNA(VLOOKUP($BC161,Programma!$F$3:$W$1101,18,0),"")</f>
        <v/>
      </c>
      <c r="BU161" s="185" t="str">
        <f>_xlfn.IFNA(VLOOKUP($BC161,Programma!$F$3:$X$1101,19,0),"")</f>
        <v/>
      </c>
      <c r="BV161" s="185" t="str">
        <f>_xlfn.IFNA(VLOOKUP($BC161,Programma!$F$3:$Y$1101,20,0),"")</f>
        <v/>
      </c>
      <c r="BW161" s="78"/>
      <c r="BX161" s="78"/>
      <c r="BY161" s="78"/>
      <c r="BZ161" s="78"/>
      <c r="CA161" s="78"/>
      <c r="CB161" s="78"/>
      <c r="CC161" s="78"/>
      <c r="CD161" s="78"/>
      <c r="CE161" s="78"/>
      <c r="CF161" s="78"/>
      <c r="CG161" s="78"/>
      <c r="CH161" s="78"/>
      <c r="CI161" s="78"/>
      <c r="CJ161" s="78"/>
      <c r="CK161" s="78"/>
      <c r="CL161" s="78"/>
      <c r="CM161" s="78"/>
      <c r="CN161" s="78"/>
      <c r="CO161" s="78"/>
      <c r="CP161" s="78"/>
      <c r="CQ161" s="78"/>
      <c r="CR161" s="78"/>
      <c r="CS161" s="78"/>
      <c r="CT161" s="78"/>
      <c r="CU161" s="78"/>
      <c r="CV161" s="78"/>
      <c r="CW161" s="78"/>
      <c r="CX161" s="78"/>
      <c r="CY161" s="78"/>
      <c r="CZ161" s="78"/>
      <c r="DA161" s="78"/>
      <c r="DB161" s="78"/>
      <c r="DC161" s="78"/>
      <c r="DD161" s="78"/>
      <c r="DE161" s="78"/>
      <c r="DF161" s="78"/>
      <c r="DG161" s="78"/>
      <c r="DH161" s="78"/>
      <c r="DI161" s="78"/>
      <c r="DJ161" s="78"/>
      <c r="DK161" s="78"/>
      <c r="DL161" s="78"/>
      <c r="DM161" s="78"/>
      <c r="DN161" s="78"/>
      <c r="DO161" s="78"/>
      <c r="DP161" s="78"/>
      <c r="DQ161" s="78"/>
      <c r="DR161" s="78"/>
      <c r="DS161" s="78"/>
      <c r="DT161" s="78"/>
      <c r="DU161" s="78"/>
      <c r="DV161" s="78"/>
      <c r="DW161" s="78"/>
      <c r="DX161" s="78"/>
      <c r="DY161" s="78"/>
      <c r="DZ161" s="78"/>
      <c r="EA161" s="78"/>
      <c r="EB161" s="78"/>
      <c r="EC161" s="78"/>
      <c r="ED161" s="78"/>
      <c r="EE161" s="78"/>
      <c r="EF161" s="78"/>
      <c r="EG161" s="78"/>
      <c r="EH161" s="78"/>
      <c r="EI161" s="78"/>
      <c r="EJ161" s="78"/>
      <c r="EK161" s="78"/>
      <c r="EL161" s="78"/>
      <c r="EM161" s="78"/>
      <c r="EN161" s="78"/>
      <c r="EO161" s="78"/>
      <c r="EP161" s="78"/>
      <c r="EQ161" s="78"/>
      <c r="ER161" s="78"/>
      <c r="ES161" s="78"/>
      <c r="ET161" s="78"/>
      <c r="EU161" s="78"/>
      <c r="EV161" s="78"/>
      <c r="EW161" s="78"/>
      <c r="EX161" s="78"/>
      <c r="EY161" s="78"/>
      <c r="EZ161" s="78"/>
      <c r="FA161" s="78"/>
      <c r="FB161" s="78"/>
      <c r="FC161" s="78"/>
      <c r="FD161" s="78"/>
      <c r="FE161" s="78"/>
      <c r="FF161" s="78"/>
      <c r="FG161" s="78"/>
      <c r="FH161" s="78"/>
      <c r="FI161" s="78"/>
      <c r="FJ161" s="78"/>
      <c r="FK161" s="78"/>
      <c r="FL161" s="78"/>
      <c r="FM161" s="78"/>
      <c r="FN161" s="78"/>
      <c r="FO161" s="78"/>
      <c r="FP161" s="78"/>
      <c r="FQ161" s="78"/>
      <c r="FR161" s="78"/>
      <c r="FS161" s="78"/>
      <c r="FT161" s="78"/>
      <c r="FU161" s="78"/>
      <c r="FV161" s="78"/>
      <c r="FW161" s="78"/>
      <c r="FX161" s="78"/>
      <c r="FY161" s="78"/>
      <c r="FZ161" s="78"/>
      <c r="GA161" s="78"/>
      <c r="GB161" s="78"/>
      <c r="GC161" s="78"/>
      <c r="GD161" s="78"/>
      <c r="GE161" s="78"/>
      <c r="GF161" s="78"/>
      <c r="GG161" s="78"/>
      <c r="GH161" s="78"/>
      <c r="GI161" s="78"/>
      <c r="GJ161" s="78"/>
      <c r="GK161" s="78"/>
      <c r="GL161" s="78"/>
      <c r="GM161" s="78"/>
      <c r="GN161" s="78"/>
      <c r="GO161" s="78"/>
      <c r="GP161" s="78"/>
      <c r="GQ161" s="78"/>
      <c r="GR161" s="78"/>
      <c r="GS161" s="78"/>
      <c r="GT161" s="78"/>
      <c r="GU161" s="78"/>
      <c r="GV161" s="78"/>
      <c r="GW161" s="78"/>
      <c r="GX161" s="78"/>
      <c r="GY161" s="78"/>
      <c r="GZ161" s="78"/>
      <c r="HA161" s="78"/>
      <c r="HB161" s="78"/>
      <c r="HC161" s="78"/>
      <c r="HD161" s="78"/>
      <c r="HE161" s="78"/>
      <c r="HF161" s="78"/>
      <c r="HG161" s="78"/>
      <c r="HH161" s="78"/>
      <c r="HI161" s="78"/>
      <c r="HJ161" s="78"/>
      <c r="HK161" s="78"/>
    </row>
    <row r="162" spans="1:219" ht="15" customHeight="1">
      <c r="A162" s="149">
        <v>5</v>
      </c>
      <c r="B162" s="176" t="str">
        <f>VLOOKUP(Ruimtestaat[[#This Row],[Code]],Locaties[[Code]:[Locatie]],2,FALSE)</f>
        <v>OBS Harry Bannink</v>
      </c>
      <c r="C162" s="176" t="str">
        <f>VLOOKUP(Ruimtestaat[[#This Row],[Code]],Locaties[[#All],[Code]:[Adres]],4,FALSE)</f>
        <v>Het Bijvank 111</v>
      </c>
      <c r="D162" s="176" t="str">
        <f>VLOOKUP(Ruimtestaat[[#This Row],[Code]],Locaties[[#All],[Code]:[Postcode]],5,FALSE)</f>
        <v>7544 DA</v>
      </c>
      <c r="E162" s="176" t="str">
        <f>VLOOKUP(Ruimtestaat[[#This Row],[Code]],Locaties[#All],6,FALSE)</f>
        <v>Enschede</v>
      </c>
      <c r="F162" s="149"/>
      <c r="G162" s="149" t="s">
        <v>1714</v>
      </c>
      <c r="H162" s="99" t="s">
        <v>1747</v>
      </c>
      <c r="I162" s="183" t="s">
        <v>1649</v>
      </c>
      <c r="J162" s="99">
        <v>2</v>
      </c>
      <c r="K162" s="183" t="str">
        <f>VLOOKUP(Ruimtestaat[[#This Row],[Ruimte code]],Ruimtegroepen[[#All],[Code]:[Ruimte omschrijving]],2,FALSE)</f>
        <v>Kantoren</v>
      </c>
      <c r="L162" s="149" t="s">
        <v>100</v>
      </c>
      <c r="M162" s="301" t="s">
        <v>1697</v>
      </c>
      <c r="N162" s="177">
        <v>11.9</v>
      </c>
      <c r="O162" s="177"/>
      <c r="P162" s="178" t="str">
        <f>VLOOKUP(Ruimtestaat[[#This Row],[Ruimte code]],Ruimtegroepen[],4,FALSE)</f>
        <v>Bu</v>
      </c>
      <c r="Q162" s="149">
        <v>40</v>
      </c>
      <c r="R162" s="149" t="s">
        <v>18</v>
      </c>
      <c r="S162" s="149">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62" s="149">
        <f>IF(S162&gt;0,VLOOKUP($J162,Ruimtegroepen[],3,FALSE)*VLOOKUP($L162,Vloersoorten[],3,FALSE)*VLOOKUP($R162,Frequenties[],3,FALSE)*VLOOKUP($A162,Locaties[],3,FALSE),0)</f>
        <v>0</v>
      </c>
      <c r="U162" s="149">
        <f>Ruimtestaat[[#This Row],[Uitvoeringen werkdagen]]*Ruimtestaat[[#This Row],[Oppervlak (netto)]]</f>
        <v>1428</v>
      </c>
      <c r="V162" s="179">
        <f>IF(T162&gt;0,Ruimtestaat[[#This Row],[Prest. (m2 /jaar) werkdagen]]/Ruimtestaat[[#This Row],[Norm (m2/uur) werkdagen]],0)</f>
        <v>0</v>
      </c>
      <c r="W162" s="180">
        <f>Ruimtestaat[[#This Row],[uren / jaar werkdagen]]*Tariefsopbouw!$E$35</f>
        <v>0</v>
      </c>
      <c r="X162" s="149"/>
      <c r="Y162" s="149">
        <f>IF(Ruimtestaat[[#This Row],[Frequentie weekend]]&gt;0,VALUE(LEFT(X162,1))*Q162,0)</f>
        <v>0</v>
      </c>
      <c r="Z162" s="148">
        <f>IF($Y162&gt;0,VLOOKUP($J162,Ruimtegroepen[],3,FALSE)*VLOOKUP($L162,Vloersoorten[],3,FALSE)*VLOOKUP($X162,Frequenties[],3,FALSE)*VLOOKUP(Ruimtestaat[[#This Row],[Code]],Locaties[],3,FALSE),0)</f>
        <v>0</v>
      </c>
      <c r="AA162" s="148">
        <f>Ruimtestaat[[#This Row],[Uitvoeringen weekend]]*Ruimtestaat[[#This Row],[Oppervlak (netto)]]</f>
        <v>0</v>
      </c>
      <c r="AB162" s="148">
        <f>IF(Z162&gt;0,Ruimtestaat[[#This Row],[Prest. (m2 /jaar) weekend]]/Ruimtestaat[[#This Row],[Norm (m2/uur) weekend]],0)</f>
        <v>0</v>
      </c>
      <c r="AC162" s="180">
        <f>Ruimtestaat[[#This Row],[uren / jaar weekend]]*Tariefsopbouw!$D$40</f>
        <v>0</v>
      </c>
      <c r="AD162" s="179">
        <f>Ruimtestaat[[#This Row],[Prest. (m2 /jaar) weekend]]+Ruimtestaat[[#This Row],[Prest. (m2 /jaar) werkdagen]]</f>
        <v>1428</v>
      </c>
      <c r="AE162" s="179">
        <f>Ruimtestaat[[#This Row],[uren / jaar weekend]]+Ruimtestaat[[#This Row],[uren / jaar werkdagen]]</f>
        <v>0</v>
      </c>
      <c r="AF162" s="174">
        <f>Ruimtestaat[[#This Row],[kosten / jaar weekend]]+Ruimtestaat[[#This Row],[kosten / jaar werkdagen]]</f>
        <v>0</v>
      </c>
      <c r="AG162" s="174"/>
      <c r="AH162" s="181" t="str">
        <f>IF(Ruimtestaat[[#This Row],[Frequentie werkdagen]]="","",_xlfn.CONCAT(Ruimtestaat[[#This Row],[Ruimte code]],"-",Ruimtestaat[[#This Row],[Frequentie werkdagen]]," ",Ruimtestaat[[#This Row],[Vloer code]]))</f>
        <v>2-3w L</v>
      </c>
      <c r="AI162" s="185" t="str">
        <f>_xlfn.IFNA(VLOOKUP($AH162,Programma!$F$3:$G$1101,2,0),"")</f>
        <v>_</v>
      </c>
      <c r="AJ162" s="185" t="str">
        <f>_xlfn.IFNA(VLOOKUP($AH162,Programma!$F$3:$H$1101,3,0),"")</f>
        <v>_</v>
      </c>
      <c r="AK162" s="185" t="str">
        <f>_xlfn.IFNA(VLOOKUP($AH162,Programma!$F$3:$I$1101,4,0),"")</f>
        <v>2w</v>
      </c>
      <c r="AL162" s="185" t="str">
        <f>_xlfn.IFNA(VLOOKUP($AH162,Programma!$F$3:$J$1101,5,0),"")</f>
        <v>1w</v>
      </c>
      <c r="AM162" s="185" t="str">
        <f>_xlfn.IFNA(VLOOKUP($AH162,Programma!$F$3:$K$1101,6,0),"")</f>
        <v>_</v>
      </c>
      <c r="AN162" s="185" t="str">
        <f>_xlfn.IFNA(VLOOKUP($AH162,Programma!$F$3:$L$1101,7,0),"")</f>
        <v>_</v>
      </c>
      <c r="AO162" s="185" t="str">
        <f>_xlfn.IFNA(VLOOKUP($AH162,Programma!$F$3:$M$1101,8,0),"")</f>
        <v>_</v>
      </c>
      <c r="AP162" s="185" t="str">
        <f>_xlfn.IFNA(VLOOKUP($AH162,Programma!$F$3:$N$1101,9,0),"")</f>
        <v>_</v>
      </c>
      <c r="AQ162" s="185" t="str">
        <f>_xlfn.IFNA(VLOOKUP($AH162,Programma!$F$3:$O$1101,10,0),"")</f>
        <v>3w</v>
      </c>
      <c r="AR162" s="185" t="str">
        <f>_xlfn.IFNA(VLOOKUP($AH162,Programma!$F$3:$P$1101,11,0),"")</f>
        <v>3w</v>
      </c>
      <c r="AS162" s="185" t="str">
        <f>_xlfn.IFNA(VLOOKUP($AH162,Programma!$F$3:$Q$1101,12,0),"")</f>
        <v>1w</v>
      </c>
      <c r="AT162" s="185" t="str">
        <f>_xlfn.IFNA(VLOOKUP($AH162,Programma!$F$3:$R$1101,13,0),"")</f>
        <v>1w</v>
      </c>
      <c r="AU162" s="185" t="str">
        <f>_xlfn.IFNA(VLOOKUP($AH162,Programma!$F$3:$S$1101,14,0),"")</f>
        <v>1m</v>
      </c>
      <c r="AV162" s="185" t="str">
        <f>_xlfn.IFNA(VLOOKUP($AH162,Programma!$F$3:$T$1101,15,0),"")</f>
        <v>2j</v>
      </c>
      <c r="AW162" s="185" t="str">
        <f>_xlfn.IFNA(VLOOKUP($AH162,Programma!$F$3:$U$1101,16,0),"")</f>
        <v>1j</v>
      </c>
      <c r="AX162" s="185" t="str">
        <f>_xlfn.IFNA(VLOOKUP($AH162,Programma!$F$3:$V$1101,17,0),"")</f>
        <v>_</v>
      </c>
      <c r="AY162" s="185" t="str">
        <f>_xlfn.IFNA(VLOOKUP($AH162,Programma!$F$3:$W$1101,18,0),"")</f>
        <v>_</v>
      </c>
      <c r="AZ162" s="185" t="str">
        <f>_xlfn.IFNA(VLOOKUP($AH162,Programma!$F$3:$X$1101,19,0),"")</f>
        <v>_</v>
      </c>
      <c r="BA162" s="185" t="str">
        <f>_xlfn.IFNA(VLOOKUP($AH162,Programma!$F$3:$Y$1101,20,0),"")</f>
        <v>_</v>
      </c>
      <c r="BB162" s="182"/>
      <c r="BC162" s="181" t="str">
        <f>IF(Ruimtestaat[[#This Row],[Frequentie weekend]]="","",_xlfn.CONCAT(Ruimtestaat[[#This Row],[Ruimte code]],"-",Ruimtestaat[[#This Row],[Frequentie weekend]]," ",Ruimtestaat[[#This Row],[Vloer code]]))</f>
        <v/>
      </c>
      <c r="BD162" s="185" t="str">
        <f>_xlfn.IFNA(VLOOKUP($BC162,Programma!$F$3:$G$1101,2,0),"")</f>
        <v/>
      </c>
      <c r="BE162" s="185" t="str">
        <f>_xlfn.IFNA(VLOOKUP($BC162,Programma!$F$3:$H$1101,3,0),"")</f>
        <v/>
      </c>
      <c r="BF162" s="185" t="str">
        <f>_xlfn.IFNA(VLOOKUP($BC162,Programma!$F$3:$I$1101,4,0),"")</f>
        <v/>
      </c>
      <c r="BG162" s="185" t="str">
        <f>_xlfn.IFNA(VLOOKUP($BC162,Programma!$F$3:$J$1101,5,0),"")</f>
        <v/>
      </c>
      <c r="BH162" s="185" t="str">
        <f>_xlfn.IFNA(VLOOKUP($BC162,Programma!$F$3:$K$1101,6,0),"")</f>
        <v/>
      </c>
      <c r="BI162" s="185" t="str">
        <f>_xlfn.IFNA(VLOOKUP($BC162,Programma!$F$3:$L$1101,7,0),"")</f>
        <v/>
      </c>
      <c r="BJ162" s="185" t="str">
        <f>_xlfn.IFNA(VLOOKUP($BC162,Programma!$F$3:$M$1101,8,0),"")</f>
        <v/>
      </c>
      <c r="BK162" s="185" t="str">
        <f>_xlfn.IFNA(VLOOKUP($BC162,Programma!$F$3:$N$1101,9,0),"")</f>
        <v/>
      </c>
      <c r="BL162" s="185" t="str">
        <f>_xlfn.IFNA(VLOOKUP($BC162,Programma!$F$3:$O$1101,10,0),"")</f>
        <v/>
      </c>
      <c r="BM162" s="185" t="str">
        <f>_xlfn.IFNA(VLOOKUP($BC162,Programma!$F$3:$P$1101,11,0),"")</f>
        <v/>
      </c>
      <c r="BN162" s="185" t="str">
        <f>_xlfn.IFNA(VLOOKUP($BC162,Programma!$F$3:$Q$1101,12,0),"")</f>
        <v/>
      </c>
      <c r="BO162" s="185" t="str">
        <f>_xlfn.IFNA(VLOOKUP($BC162,Programma!$F$3:$R$1101,13,0),"")</f>
        <v/>
      </c>
      <c r="BP162" s="185" t="str">
        <f>_xlfn.IFNA(VLOOKUP($BC162,Programma!$F$3:$S$1101,14,0),"")</f>
        <v/>
      </c>
      <c r="BQ162" s="185" t="str">
        <f>_xlfn.IFNA(VLOOKUP($BC162,Programma!$F$3:$T$1101,15,0),"")</f>
        <v/>
      </c>
      <c r="BR162" s="185" t="str">
        <f>_xlfn.IFNA(VLOOKUP($BC162,Programma!$F$3:$U$1101,16,0),"")</f>
        <v/>
      </c>
      <c r="BS162" s="185" t="str">
        <f>_xlfn.IFNA(VLOOKUP($BC162,Programma!$F$3:$V$1101,17,0),"")</f>
        <v/>
      </c>
      <c r="BT162" s="185" t="str">
        <f>_xlfn.IFNA(VLOOKUP($BC162,Programma!$F$3:$W$1101,18,0),"")</f>
        <v/>
      </c>
      <c r="BU162" s="185" t="str">
        <f>_xlfn.IFNA(VLOOKUP($BC162,Programma!$F$3:$X$1101,19,0),"")</f>
        <v/>
      </c>
      <c r="BV162" s="185" t="str">
        <f>_xlfn.IFNA(VLOOKUP($BC162,Programma!$F$3:$Y$1101,20,0),"")</f>
        <v/>
      </c>
      <c r="BW162" s="78"/>
      <c r="BX162" s="78"/>
      <c r="BY162" s="78"/>
      <c r="BZ162" s="78"/>
      <c r="CA162" s="78"/>
      <c r="CB162" s="78"/>
      <c r="CC162" s="78"/>
      <c r="CD162" s="78"/>
      <c r="CE162" s="78"/>
      <c r="CF162" s="78"/>
      <c r="CG162" s="78"/>
      <c r="CH162" s="78"/>
      <c r="CI162" s="78"/>
      <c r="CJ162" s="78"/>
      <c r="CK162" s="78"/>
      <c r="CL162" s="78"/>
      <c r="CM162" s="78"/>
      <c r="CN162" s="78"/>
      <c r="CO162" s="78"/>
      <c r="CP162" s="78"/>
      <c r="CQ162" s="78"/>
      <c r="CR162" s="78"/>
      <c r="CS162" s="78"/>
      <c r="CT162" s="78"/>
      <c r="CU162" s="78"/>
      <c r="CV162" s="78"/>
      <c r="CW162" s="78"/>
      <c r="CX162" s="78"/>
      <c r="CY162" s="78"/>
      <c r="CZ162" s="78"/>
      <c r="DA162" s="78"/>
      <c r="DB162" s="78"/>
      <c r="DC162" s="78"/>
      <c r="DD162" s="78"/>
      <c r="DE162" s="78"/>
      <c r="DF162" s="78"/>
      <c r="DG162" s="78"/>
      <c r="DH162" s="78"/>
      <c r="DI162" s="78"/>
      <c r="DJ162" s="78"/>
      <c r="DK162" s="78"/>
      <c r="DL162" s="78"/>
      <c r="DM162" s="78"/>
      <c r="DN162" s="78"/>
      <c r="DO162" s="78"/>
      <c r="DP162" s="78"/>
      <c r="DQ162" s="78"/>
      <c r="DR162" s="78"/>
      <c r="DS162" s="78"/>
      <c r="DT162" s="78"/>
      <c r="DU162" s="78"/>
      <c r="DV162" s="78"/>
      <c r="DW162" s="78"/>
      <c r="DX162" s="78"/>
      <c r="DY162" s="78"/>
      <c r="DZ162" s="78"/>
      <c r="EA162" s="78"/>
      <c r="EB162" s="78"/>
      <c r="EC162" s="78"/>
      <c r="ED162" s="78"/>
      <c r="EE162" s="78"/>
      <c r="EF162" s="78"/>
      <c r="EG162" s="78"/>
      <c r="EH162" s="78"/>
      <c r="EI162" s="78"/>
      <c r="EJ162" s="78"/>
      <c r="EK162" s="78"/>
      <c r="EL162" s="78"/>
      <c r="EM162" s="78"/>
      <c r="EN162" s="78"/>
      <c r="EO162" s="78"/>
      <c r="EP162" s="78"/>
      <c r="EQ162" s="78"/>
      <c r="ER162" s="78"/>
      <c r="ES162" s="78"/>
      <c r="ET162" s="78"/>
      <c r="EU162" s="78"/>
      <c r="EV162" s="78"/>
      <c r="EW162" s="78"/>
      <c r="EX162" s="78"/>
      <c r="EY162" s="78"/>
      <c r="EZ162" s="78"/>
      <c r="FA162" s="78"/>
      <c r="FB162" s="78"/>
      <c r="FC162" s="78"/>
      <c r="FD162" s="78"/>
      <c r="FE162" s="78"/>
      <c r="FF162" s="78"/>
      <c r="FG162" s="78"/>
      <c r="FH162" s="78"/>
      <c r="FI162" s="78"/>
      <c r="FJ162" s="78"/>
      <c r="FK162" s="78"/>
      <c r="FL162" s="78"/>
      <c r="FM162" s="78"/>
      <c r="FN162" s="78"/>
      <c r="FO162" s="78"/>
      <c r="FP162" s="78"/>
      <c r="FQ162" s="78"/>
      <c r="FR162" s="78"/>
      <c r="FS162" s="78"/>
      <c r="FT162" s="78"/>
      <c r="FU162" s="78"/>
      <c r="FV162" s="78"/>
      <c r="FW162" s="78"/>
      <c r="FX162" s="78"/>
      <c r="FY162" s="78"/>
      <c r="FZ162" s="78"/>
      <c r="GA162" s="78"/>
      <c r="GB162" s="78"/>
      <c r="GC162" s="78"/>
      <c r="GD162" s="78"/>
      <c r="GE162" s="78"/>
      <c r="GF162" s="78"/>
      <c r="GG162" s="78"/>
      <c r="GH162" s="78"/>
      <c r="GI162" s="78"/>
      <c r="GJ162" s="78"/>
      <c r="GK162" s="78"/>
      <c r="GL162" s="78"/>
      <c r="GM162" s="78"/>
      <c r="GN162" s="78"/>
      <c r="GO162" s="78"/>
      <c r="GP162" s="78"/>
      <c r="GQ162" s="78"/>
      <c r="GR162" s="78"/>
      <c r="GS162" s="78"/>
      <c r="GT162" s="78"/>
      <c r="GU162" s="78"/>
      <c r="GV162" s="78"/>
      <c r="GW162" s="78"/>
      <c r="GX162" s="78"/>
      <c r="GY162" s="78"/>
      <c r="GZ162" s="78"/>
      <c r="HA162" s="78"/>
      <c r="HB162" s="78"/>
      <c r="HC162" s="78"/>
      <c r="HD162" s="78"/>
      <c r="HE162" s="78"/>
      <c r="HF162" s="78"/>
      <c r="HG162" s="78"/>
      <c r="HH162" s="78"/>
      <c r="HI162" s="78"/>
      <c r="HJ162" s="78"/>
      <c r="HK162" s="78"/>
    </row>
    <row r="163" spans="1:219" ht="15" customHeight="1">
      <c r="A163" s="149">
        <v>5</v>
      </c>
      <c r="B163" s="176" t="str">
        <f>VLOOKUP(Ruimtestaat[[#This Row],[Code]],Locaties[[Code]:[Locatie]],2,FALSE)</f>
        <v>OBS Harry Bannink</v>
      </c>
      <c r="C163" s="176" t="str">
        <f>VLOOKUP(Ruimtestaat[[#This Row],[Code]],Locaties[[#All],[Code]:[Adres]],4,FALSE)</f>
        <v>Het Bijvank 111</v>
      </c>
      <c r="D163" s="176" t="str">
        <f>VLOOKUP(Ruimtestaat[[#This Row],[Code]],Locaties[[#All],[Code]:[Postcode]],5,FALSE)</f>
        <v>7544 DA</v>
      </c>
      <c r="E163" s="176" t="str">
        <f>VLOOKUP(Ruimtestaat[[#This Row],[Code]],Locaties[#All],6,FALSE)</f>
        <v>Enschede</v>
      </c>
      <c r="F163" s="149"/>
      <c r="G163" s="149" t="s">
        <v>1714</v>
      </c>
      <c r="H163" s="99" t="s">
        <v>1748</v>
      </c>
      <c r="I163" s="183" t="s">
        <v>1649</v>
      </c>
      <c r="J163" s="99">
        <v>2</v>
      </c>
      <c r="K163" s="183" t="str">
        <f>VLOOKUP(Ruimtestaat[[#This Row],[Ruimte code]],Ruimtegroepen[[#All],[Code]:[Ruimte omschrijving]],2,FALSE)</f>
        <v>Kantoren</v>
      </c>
      <c r="L163" s="149" t="s">
        <v>100</v>
      </c>
      <c r="M163" s="301" t="s">
        <v>1697</v>
      </c>
      <c r="N163" s="177">
        <v>11.6</v>
      </c>
      <c r="O163" s="177"/>
      <c r="P163" s="178" t="str">
        <f>VLOOKUP(Ruimtestaat[[#This Row],[Ruimte code]],Ruimtegroepen[],4,FALSE)</f>
        <v>Bu</v>
      </c>
      <c r="Q163" s="149">
        <v>40</v>
      </c>
      <c r="R163" s="149" t="s">
        <v>18</v>
      </c>
      <c r="S163" s="149">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63" s="149">
        <f>IF(S163&gt;0,VLOOKUP($J163,Ruimtegroepen[],3,FALSE)*VLOOKUP($L163,Vloersoorten[],3,FALSE)*VLOOKUP($R163,Frequenties[],3,FALSE)*VLOOKUP($A163,Locaties[],3,FALSE),0)</f>
        <v>0</v>
      </c>
      <c r="U163" s="149">
        <f>Ruimtestaat[[#This Row],[Uitvoeringen werkdagen]]*Ruimtestaat[[#This Row],[Oppervlak (netto)]]</f>
        <v>1392</v>
      </c>
      <c r="V163" s="179">
        <f>IF(T163&gt;0,Ruimtestaat[[#This Row],[Prest. (m2 /jaar) werkdagen]]/Ruimtestaat[[#This Row],[Norm (m2/uur) werkdagen]],0)</f>
        <v>0</v>
      </c>
      <c r="W163" s="180">
        <f>Ruimtestaat[[#This Row],[uren / jaar werkdagen]]*Tariefsopbouw!$E$35</f>
        <v>0</v>
      </c>
      <c r="X163" s="149"/>
      <c r="Y163" s="149">
        <f>IF(Ruimtestaat[[#This Row],[Frequentie weekend]]&gt;0,VALUE(LEFT(X163,1))*Q163,0)</f>
        <v>0</v>
      </c>
      <c r="Z163" s="148">
        <f>IF($Y163&gt;0,VLOOKUP($J163,Ruimtegroepen[],3,FALSE)*VLOOKUP($L163,Vloersoorten[],3,FALSE)*VLOOKUP($X163,Frequenties[],3,FALSE)*VLOOKUP(Ruimtestaat[[#This Row],[Code]],Locaties[],3,FALSE),0)</f>
        <v>0</v>
      </c>
      <c r="AA163" s="148">
        <f>Ruimtestaat[[#This Row],[Uitvoeringen weekend]]*Ruimtestaat[[#This Row],[Oppervlak (netto)]]</f>
        <v>0</v>
      </c>
      <c r="AB163" s="148">
        <f>IF(Z163&gt;0,Ruimtestaat[[#This Row],[Prest. (m2 /jaar) weekend]]/Ruimtestaat[[#This Row],[Norm (m2/uur) weekend]],0)</f>
        <v>0</v>
      </c>
      <c r="AC163" s="180">
        <f>Ruimtestaat[[#This Row],[uren / jaar weekend]]*Tariefsopbouw!$D$40</f>
        <v>0</v>
      </c>
      <c r="AD163" s="179">
        <f>Ruimtestaat[[#This Row],[Prest. (m2 /jaar) weekend]]+Ruimtestaat[[#This Row],[Prest. (m2 /jaar) werkdagen]]</f>
        <v>1392</v>
      </c>
      <c r="AE163" s="179">
        <f>Ruimtestaat[[#This Row],[uren / jaar weekend]]+Ruimtestaat[[#This Row],[uren / jaar werkdagen]]</f>
        <v>0</v>
      </c>
      <c r="AF163" s="174">
        <f>Ruimtestaat[[#This Row],[kosten / jaar weekend]]+Ruimtestaat[[#This Row],[kosten / jaar werkdagen]]</f>
        <v>0</v>
      </c>
      <c r="AG163" s="174"/>
      <c r="AH163" s="181" t="str">
        <f>IF(Ruimtestaat[[#This Row],[Frequentie werkdagen]]="","",_xlfn.CONCAT(Ruimtestaat[[#This Row],[Ruimte code]],"-",Ruimtestaat[[#This Row],[Frequentie werkdagen]]," ",Ruimtestaat[[#This Row],[Vloer code]]))</f>
        <v>2-3w L</v>
      </c>
      <c r="AI163" s="185" t="str">
        <f>_xlfn.IFNA(VLOOKUP($AH163,Programma!$F$3:$G$1101,2,0),"")</f>
        <v>_</v>
      </c>
      <c r="AJ163" s="185" t="str">
        <f>_xlfn.IFNA(VLOOKUP($AH163,Programma!$F$3:$H$1101,3,0),"")</f>
        <v>_</v>
      </c>
      <c r="AK163" s="185" t="str">
        <f>_xlfn.IFNA(VLOOKUP($AH163,Programma!$F$3:$I$1101,4,0),"")</f>
        <v>2w</v>
      </c>
      <c r="AL163" s="185" t="str">
        <f>_xlfn.IFNA(VLOOKUP($AH163,Programma!$F$3:$J$1101,5,0),"")</f>
        <v>1w</v>
      </c>
      <c r="AM163" s="185" t="str">
        <f>_xlfn.IFNA(VLOOKUP($AH163,Programma!$F$3:$K$1101,6,0),"")</f>
        <v>_</v>
      </c>
      <c r="AN163" s="185" t="str">
        <f>_xlfn.IFNA(VLOOKUP($AH163,Programma!$F$3:$L$1101,7,0),"")</f>
        <v>_</v>
      </c>
      <c r="AO163" s="185" t="str">
        <f>_xlfn.IFNA(VLOOKUP($AH163,Programma!$F$3:$M$1101,8,0),"")</f>
        <v>_</v>
      </c>
      <c r="AP163" s="185" t="str">
        <f>_xlfn.IFNA(VLOOKUP($AH163,Programma!$F$3:$N$1101,9,0),"")</f>
        <v>_</v>
      </c>
      <c r="AQ163" s="185" t="str">
        <f>_xlfn.IFNA(VLOOKUP($AH163,Programma!$F$3:$O$1101,10,0),"")</f>
        <v>3w</v>
      </c>
      <c r="AR163" s="185" t="str">
        <f>_xlfn.IFNA(VLOOKUP($AH163,Programma!$F$3:$P$1101,11,0),"")</f>
        <v>3w</v>
      </c>
      <c r="AS163" s="185" t="str">
        <f>_xlfn.IFNA(VLOOKUP($AH163,Programma!$F$3:$Q$1101,12,0),"")</f>
        <v>1w</v>
      </c>
      <c r="AT163" s="185" t="str">
        <f>_xlfn.IFNA(VLOOKUP($AH163,Programma!$F$3:$R$1101,13,0),"")</f>
        <v>1w</v>
      </c>
      <c r="AU163" s="185" t="str">
        <f>_xlfn.IFNA(VLOOKUP($AH163,Programma!$F$3:$S$1101,14,0),"")</f>
        <v>1m</v>
      </c>
      <c r="AV163" s="185" t="str">
        <f>_xlfn.IFNA(VLOOKUP($AH163,Programma!$F$3:$T$1101,15,0),"")</f>
        <v>2j</v>
      </c>
      <c r="AW163" s="185" t="str">
        <f>_xlfn.IFNA(VLOOKUP($AH163,Programma!$F$3:$U$1101,16,0),"")</f>
        <v>1j</v>
      </c>
      <c r="AX163" s="185" t="str">
        <f>_xlfn.IFNA(VLOOKUP($AH163,Programma!$F$3:$V$1101,17,0),"")</f>
        <v>_</v>
      </c>
      <c r="AY163" s="185" t="str">
        <f>_xlfn.IFNA(VLOOKUP($AH163,Programma!$F$3:$W$1101,18,0),"")</f>
        <v>_</v>
      </c>
      <c r="AZ163" s="185" t="str">
        <f>_xlfn.IFNA(VLOOKUP($AH163,Programma!$F$3:$X$1101,19,0),"")</f>
        <v>_</v>
      </c>
      <c r="BA163" s="185" t="str">
        <f>_xlfn.IFNA(VLOOKUP($AH163,Programma!$F$3:$Y$1101,20,0),"")</f>
        <v>_</v>
      </c>
      <c r="BB163" s="182"/>
      <c r="BC163" s="181" t="str">
        <f>IF(Ruimtestaat[[#This Row],[Frequentie weekend]]="","",_xlfn.CONCAT(Ruimtestaat[[#This Row],[Ruimte code]],"-",Ruimtestaat[[#This Row],[Frequentie weekend]]," ",Ruimtestaat[[#This Row],[Vloer code]]))</f>
        <v/>
      </c>
      <c r="BD163" s="185" t="str">
        <f>_xlfn.IFNA(VLOOKUP($BC163,Programma!$F$3:$G$1101,2,0),"")</f>
        <v/>
      </c>
      <c r="BE163" s="185" t="str">
        <f>_xlfn.IFNA(VLOOKUP($BC163,Programma!$F$3:$H$1101,3,0),"")</f>
        <v/>
      </c>
      <c r="BF163" s="185" t="str">
        <f>_xlfn.IFNA(VLOOKUP($BC163,Programma!$F$3:$I$1101,4,0),"")</f>
        <v/>
      </c>
      <c r="BG163" s="185" t="str">
        <f>_xlfn.IFNA(VLOOKUP($BC163,Programma!$F$3:$J$1101,5,0),"")</f>
        <v/>
      </c>
      <c r="BH163" s="185" t="str">
        <f>_xlfn.IFNA(VLOOKUP($BC163,Programma!$F$3:$K$1101,6,0),"")</f>
        <v/>
      </c>
      <c r="BI163" s="185" t="str">
        <f>_xlfn.IFNA(VLOOKUP($BC163,Programma!$F$3:$L$1101,7,0),"")</f>
        <v/>
      </c>
      <c r="BJ163" s="185" t="str">
        <f>_xlfn.IFNA(VLOOKUP($BC163,Programma!$F$3:$M$1101,8,0),"")</f>
        <v/>
      </c>
      <c r="BK163" s="185" t="str">
        <f>_xlfn.IFNA(VLOOKUP($BC163,Programma!$F$3:$N$1101,9,0),"")</f>
        <v/>
      </c>
      <c r="BL163" s="185" t="str">
        <f>_xlfn.IFNA(VLOOKUP($BC163,Programma!$F$3:$O$1101,10,0),"")</f>
        <v/>
      </c>
      <c r="BM163" s="185" t="str">
        <f>_xlfn.IFNA(VLOOKUP($BC163,Programma!$F$3:$P$1101,11,0),"")</f>
        <v/>
      </c>
      <c r="BN163" s="185" t="str">
        <f>_xlfn.IFNA(VLOOKUP($BC163,Programma!$F$3:$Q$1101,12,0),"")</f>
        <v/>
      </c>
      <c r="BO163" s="185" t="str">
        <f>_xlfn.IFNA(VLOOKUP($BC163,Programma!$F$3:$R$1101,13,0),"")</f>
        <v/>
      </c>
      <c r="BP163" s="185" t="str">
        <f>_xlfn.IFNA(VLOOKUP($BC163,Programma!$F$3:$S$1101,14,0),"")</f>
        <v/>
      </c>
      <c r="BQ163" s="185" t="str">
        <f>_xlfn.IFNA(VLOOKUP($BC163,Programma!$F$3:$T$1101,15,0),"")</f>
        <v/>
      </c>
      <c r="BR163" s="185" t="str">
        <f>_xlfn.IFNA(VLOOKUP($BC163,Programma!$F$3:$U$1101,16,0),"")</f>
        <v/>
      </c>
      <c r="BS163" s="185" t="str">
        <f>_xlfn.IFNA(VLOOKUP($BC163,Programma!$F$3:$V$1101,17,0),"")</f>
        <v/>
      </c>
      <c r="BT163" s="185" t="str">
        <f>_xlfn.IFNA(VLOOKUP($BC163,Programma!$F$3:$W$1101,18,0),"")</f>
        <v/>
      </c>
      <c r="BU163" s="185" t="str">
        <f>_xlfn.IFNA(VLOOKUP($BC163,Programma!$F$3:$X$1101,19,0),"")</f>
        <v/>
      </c>
      <c r="BV163" s="185" t="str">
        <f>_xlfn.IFNA(VLOOKUP($BC163,Programma!$F$3:$Y$1101,20,0),"")</f>
        <v/>
      </c>
      <c r="BW163" s="78"/>
      <c r="BX163" s="78"/>
      <c r="BY163" s="78"/>
      <c r="BZ163" s="78"/>
      <c r="CA163" s="78"/>
      <c r="CB163" s="78"/>
      <c r="CC163" s="78"/>
      <c r="CD163" s="78"/>
      <c r="CE163" s="78"/>
      <c r="CF163" s="78"/>
      <c r="CG163" s="78"/>
      <c r="CH163" s="78"/>
      <c r="CI163" s="78"/>
      <c r="CJ163" s="78"/>
      <c r="CK163" s="78"/>
      <c r="CL163" s="78"/>
      <c r="CM163" s="78"/>
      <c r="CN163" s="78"/>
      <c r="CO163" s="78"/>
      <c r="CP163" s="78"/>
      <c r="CQ163" s="78"/>
      <c r="CR163" s="78"/>
      <c r="CS163" s="78"/>
      <c r="CT163" s="78"/>
      <c r="CU163" s="78"/>
      <c r="CV163" s="78"/>
      <c r="CW163" s="78"/>
      <c r="CX163" s="78"/>
      <c r="CY163" s="78"/>
      <c r="CZ163" s="78"/>
      <c r="DA163" s="78"/>
      <c r="DB163" s="78"/>
      <c r="DC163" s="78"/>
      <c r="DD163" s="78"/>
      <c r="DE163" s="78"/>
      <c r="DF163" s="78"/>
      <c r="DG163" s="78"/>
      <c r="DH163" s="78"/>
      <c r="DI163" s="78"/>
      <c r="DJ163" s="78"/>
      <c r="DK163" s="78"/>
      <c r="DL163" s="78"/>
      <c r="DM163" s="78"/>
      <c r="DN163" s="78"/>
      <c r="DO163" s="78"/>
      <c r="DP163" s="78"/>
      <c r="DQ163" s="78"/>
      <c r="DR163" s="78"/>
      <c r="DS163" s="78"/>
      <c r="DT163" s="78"/>
      <c r="DU163" s="78"/>
      <c r="DV163" s="78"/>
      <c r="DW163" s="78"/>
      <c r="DX163" s="78"/>
      <c r="DY163" s="78"/>
      <c r="DZ163" s="78"/>
      <c r="EA163" s="78"/>
      <c r="EB163" s="78"/>
      <c r="EC163" s="78"/>
      <c r="ED163" s="78"/>
      <c r="EE163" s="78"/>
      <c r="EF163" s="78"/>
      <c r="EG163" s="78"/>
      <c r="EH163" s="78"/>
      <c r="EI163" s="78"/>
      <c r="EJ163" s="78"/>
      <c r="EK163" s="78"/>
      <c r="EL163" s="78"/>
      <c r="EM163" s="78"/>
      <c r="EN163" s="78"/>
      <c r="EO163" s="78"/>
      <c r="EP163" s="78"/>
      <c r="EQ163" s="78"/>
      <c r="ER163" s="78"/>
      <c r="ES163" s="78"/>
      <c r="ET163" s="78"/>
      <c r="EU163" s="78"/>
      <c r="EV163" s="78"/>
      <c r="EW163" s="78"/>
      <c r="EX163" s="78"/>
      <c r="EY163" s="78"/>
      <c r="EZ163" s="78"/>
      <c r="FA163" s="78"/>
      <c r="FB163" s="78"/>
      <c r="FC163" s="78"/>
      <c r="FD163" s="78"/>
      <c r="FE163" s="78"/>
      <c r="FF163" s="78"/>
      <c r="FG163" s="78"/>
      <c r="FH163" s="78"/>
      <c r="FI163" s="78"/>
      <c r="FJ163" s="78"/>
      <c r="FK163" s="78"/>
      <c r="FL163" s="78"/>
      <c r="FM163" s="78"/>
      <c r="FN163" s="78"/>
      <c r="FO163" s="78"/>
      <c r="FP163" s="78"/>
      <c r="FQ163" s="78"/>
      <c r="FR163" s="78"/>
      <c r="FS163" s="78"/>
      <c r="FT163" s="78"/>
      <c r="FU163" s="78"/>
      <c r="FV163" s="78"/>
      <c r="FW163" s="78"/>
      <c r="FX163" s="78"/>
      <c r="FY163" s="78"/>
      <c r="FZ163" s="78"/>
      <c r="GA163" s="78"/>
      <c r="GB163" s="78"/>
      <c r="GC163" s="78"/>
      <c r="GD163" s="78"/>
      <c r="GE163" s="78"/>
      <c r="GF163" s="78"/>
      <c r="GG163" s="78"/>
      <c r="GH163" s="78"/>
      <c r="GI163" s="78"/>
      <c r="GJ163" s="78"/>
      <c r="GK163" s="78"/>
      <c r="GL163" s="78"/>
      <c r="GM163" s="78"/>
      <c r="GN163" s="78"/>
      <c r="GO163" s="78"/>
      <c r="GP163" s="78"/>
      <c r="GQ163" s="78"/>
      <c r="GR163" s="78"/>
      <c r="GS163" s="78"/>
      <c r="GT163" s="78"/>
      <c r="GU163" s="78"/>
      <c r="GV163" s="78"/>
      <c r="GW163" s="78"/>
      <c r="GX163" s="78"/>
      <c r="GY163" s="78"/>
      <c r="GZ163" s="78"/>
      <c r="HA163" s="78"/>
      <c r="HB163" s="78"/>
      <c r="HC163" s="78"/>
      <c r="HD163" s="78"/>
      <c r="HE163" s="78"/>
      <c r="HF163" s="78"/>
      <c r="HG163" s="78"/>
      <c r="HH163" s="78"/>
      <c r="HI163" s="78"/>
      <c r="HJ163" s="78"/>
      <c r="HK163" s="78"/>
    </row>
    <row r="164" spans="1:219" ht="15" customHeight="1">
      <c r="A164" s="149">
        <v>5</v>
      </c>
      <c r="B164" s="176" t="str">
        <f>VLOOKUP(Ruimtestaat[[#This Row],[Code]],Locaties[[Code]:[Locatie]],2,FALSE)</f>
        <v>OBS Harry Bannink</v>
      </c>
      <c r="C164" s="176" t="str">
        <f>VLOOKUP(Ruimtestaat[[#This Row],[Code]],Locaties[[#All],[Code]:[Adres]],4,FALSE)</f>
        <v>Het Bijvank 111</v>
      </c>
      <c r="D164" s="176" t="str">
        <f>VLOOKUP(Ruimtestaat[[#This Row],[Code]],Locaties[[#All],[Code]:[Postcode]],5,FALSE)</f>
        <v>7544 DA</v>
      </c>
      <c r="E164" s="176" t="str">
        <f>VLOOKUP(Ruimtestaat[[#This Row],[Code]],Locaties[#All],6,FALSE)</f>
        <v>Enschede</v>
      </c>
      <c r="F164" s="149"/>
      <c r="G164" s="149" t="s">
        <v>1714</v>
      </c>
      <c r="H164" s="99" t="s">
        <v>1749</v>
      </c>
      <c r="I164" s="183" t="s">
        <v>1655</v>
      </c>
      <c r="J164" s="99">
        <v>5</v>
      </c>
      <c r="K164" s="183" t="str">
        <f>VLOOKUP(Ruimtestaat[[#This Row],[Ruimte code]],Ruimtegroepen[[#All],[Code]:[Ruimte omschrijving]],2,FALSE)</f>
        <v>Sanitair</v>
      </c>
      <c r="L164" s="149" t="s">
        <v>102</v>
      </c>
      <c r="M164" s="301" t="s">
        <v>120</v>
      </c>
      <c r="N164" s="177">
        <v>0.8</v>
      </c>
      <c r="O164" s="177"/>
      <c r="P164" s="178" t="str">
        <f>VLOOKUP(Ruimtestaat[[#This Row],[Ruimte code]],Ruimtegroepen[],4,FALSE)</f>
        <v>Sa</v>
      </c>
      <c r="Q164" s="149">
        <v>40</v>
      </c>
      <c r="R164" s="149" t="s">
        <v>2</v>
      </c>
      <c r="S164" s="149">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4" s="149">
        <f>IF(S164&gt;0,VLOOKUP($J164,Ruimtegroepen[],3,FALSE)*VLOOKUP($L164,Vloersoorten[],3,FALSE)*VLOOKUP($R164,Frequenties[],3,FALSE)*VLOOKUP($A164,Locaties[],3,FALSE),0)</f>
        <v>0</v>
      </c>
      <c r="U164" s="149">
        <f>Ruimtestaat[[#This Row],[Uitvoeringen werkdagen]]*Ruimtestaat[[#This Row],[Oppervlak (netto)]]</f>
        <v>160</v>
      </c>
      <c r="V164" s="179">
        <f>IF(T164&gt;0,Ruimtestaat[[#This Row],[Prest. (m2 /jaar) werkdagen]]/Ruimtestaat[[#This Row],[Norm (m2/uur) werkdagen]],0)</f>
        <v>0</v>
      </c>
      <c r="W164" s="180">
        <f>Ruimtestaat[[#This Row],[uren / jaar werkdagen]]*Tariefsopbouw!$E$35</f>
        <v>0</v>
      </c>
      <c r="X164" s="149"/>
      <c r="Y164" s="149">
        <f>IF(Ruimtestaat[[#This Row],[Frequentie weekend]]&gt;0,VALUE(LEFT(X164,1))*Q164,0)</f>
        <v>0</v>
      </c>
      <c r="Z164" s="148">
        <f>IF($Y164&gt;0,VLOOKUP($J164,Ruimtegroepen[],3,FALSE)*VLOOKUP($L164,Vloersoorten[],3,FALSE)*VLOOKUP($X164,Frequenties[],3,FALSE)*VLOOKUP(Ruimtestaat[[#This Row],[Code]],Locaties[],3,FALSE),0)</f>
        <v>0</v>
      </c>
      <c r="AA164" s="148">
        <f>Ruimtestaat[[#This Row],[Uitvoeringen weekend]]*Ruimtestaat[[#This Row],[Oppervlak (netto)]]</f>
        <v>0</v>
      </c>
      <c r="AB164" s="148">
        <f>IF(Z164&gt;0,Ruimtestaat[[#This Row],[Prest. (m2 /jaar) weekend]]/Ruimtestaat[[#This Row],[Norm (m2/uur) weekend]],0)</f>
        <v>0</v>
      </c>
      <c r="AC164" s="180">
        <f>Ruimtestaat[[#This Row],[uren / jaar weekend]]*Tariefsopbouw!$D$40</f>
        <v>0</v>
      </c>
      <c r="AD164" s="179">
        <f>Ruimtestaat[[#This Row],[Prest. (m2 /jaar) weekend]]+Ruimtestaat[[#This Row],[Prest. (m2 /jaar) werkdagen]]</f>
        <v>160</v>
      </c>
      <c r="AE164" s="179">
        <f>Ruimtestaat[[#This Row],[uren / jaar weekend]]+Ruimtestaat[[#This Row],[uren / jaar werkdagen]]</f>
        <v>0</v>
      </c>
      <c r="AF164" s="174">
        <f>Ruimtestaat[[#This Row],[kosten / jaar weekend]]+Ruimtestaat[[#This Row],[kosten / jaar werkdagen]]</f>
        <v>0</v>
      </c>
      <c r="AG164" s="174"/>
      <c r="AH164" s="181" t="str">
        <f>IF(Ruimtestaat[[#This Row],[Frequentie werkdagen]]="","",_xlfn.CONCAT(Ruimtestaat[[#This Row],[Ruimte code]],"-",Ruimtestaat[[#This Row],[Frequentie werkdagen]]," ",Ruimtestaat[[#This Row],[Vloer code]]))</f>
        <v>5-5w P</v>
      </c>
      <c r="AI164" s="185" t="str">
        <f>_xlfn.IFNA(VLOOKUP($AH164,Programma!$F$3:$G$1101,2,0),"")</f>
        <v>_</v>
      </c>
      <c r="AJ164" s="185" t="str">
        <f>_xlfn.IFNA(VLOOKUP($AH164,Programma!$F$3:$H$1101,3,0),"")</f>
        <v>_</v>
      </c>
      <c r="AK164" s="185" t="str">
        <f>_xlfn.IFNA(VLOOKUP($AH164,Programma!$F$3:$I$1101,4,0),"")</f>
        <v>_</v>
      </c>
      <c r="AL164" s="185" t="str">
        <f>_xlfn.IFNA(VLOOKUP($AH164,Programma!$F$3:$J$1101,5,0),"")</f>
        <v>4w</v>
      </c>
      <c r="AM164" s="185" t="str">
        <f>_xlfn.IFNA(VLOOKUP($AH164,Programma!$F$3:$K$1101,6,0),"")</f>
        <v>1w</v>
      </c>
      <c r="AN164" s="185" t="str">
        <f>_xlfn.IFNA(VLOOKUP($AH164,Programma!$F$3:$L$1101,7,0),"")</f>
        <v>_</v>
      </c>
      <c r="AO164" s="185" t="str">
        <f>_xlfn.IFNA(VLOOKUP($AH164,Programma!$F$3:$M$1101,8,0),"")</f>
        <v>_</v>
      </c>
      <c r="AP164" s="185" t="str">
        <f>_xlfn.IFNA(VLOOKUP($AH164,Programma!$F$3:$N$1101,9,0),"")</f>
        <v>_</v>
      </c>
      <c r="AQ164" s="185" t="str">
        <f>_xlfn.IFNA(VLOOKUP($AH164,Programma!$F$3:$O$1101,10,0),"")</f>
        <v>_</v>
      </c>
      <c r="AR164" s="185" t="str">
        <f>_xlfn.IFNA(VLOOKUP($AH164,Programma!$F$3:$P$1101,11,0),"")</f>
        <v>_</v>
      </c>
      <c r="AS164" s="185" t="str">
        <f>_xlfn.IFNA(VLOOKUP($AH164,Programma!$F$3:$Q$1101,12,0),"")</f>
        <v>_</v>
      </c>
      <c r="AT164" s="185" t="str">
        <f>_xlfn.IFNA(VLOOKUP($AH164,Programma!$F$3:$R$1101,13,0),"")</f>
        <v>_</v>
      </c>
      <c r="AU164" s="185" t="str">
        <f>_xlfn.IFNA(VLOOKUP($AH164,Programma!$F$3:$S$1101,14,0),"")</f>
        <v>_</v>
      </c>
      <c r="AV164" s="185" t="str">
        <f>_xlfn.IFNA(VLOOKUP($AH164,Programma!$F$3:$T$1101,15,0),"")</f>
        <v>_</v>
      </c>
      <c r="AW164" s="185" t="str">
        <f>_xlfn.IFNA(VLOOKUP($AH164,Programma!$F$3:$U$1101,16,0),"")</f>
        <v>_</v>
      </c>
      <c r="AX164" s="185" t="str">
        <f>_xlfn.IFNA(VLOOKUP($AH164,Programma!$F$3:$V$1101,17,0),"")</f>
        <v>_</v>
      </c>
      <c r="AY164" s="185" t="str">
        <f>_xlfn.IFNA(VLOOKUP($AH164,Programma!$F$3:$W$1101,18,0),"")</f>
        <v>4w</v>
      </c>
      <c r="AZ164" s="185" t="str">
        <f>_xlfn.IFNA(VLOOKUP($AH164,Programma!$F$3:$X$1101,19,0),"")</f>
        <v>1w</v>
      </c>
      <c r="BA164" s="185" t="str">
        <f>_xlfn.IFNA(VLOOKUP($AH164,Programma!$F$3:$Y$1101,20,0),"")</f>
        <v>_</v>
      </c>
      <c r="BB164" s="182"/>
      <c r="BC164" s="181" t="str">
        <f>IF(Ruimtestaat[[#This Row],[Frequentie weekend]]="","",_xlfn.CONCAT(Ruimtestaat[[#This Row],[Ruimte code]],"-",Ruimtestaat[[#This Row],[Frequentie weekend]]," ",Ruimtestaat[[#This Row],[Vloer code]]))</f>
        <v/>
      </c>
      <c r="BD164" s="185" t="str">
        <f>_xlfn.IFNA(VLOOKUP($BC164,Programma!$F$3:$G$1101,2,0),"")</f>
        <v/>
      </c>
      <c r="BE164" s="185" t="str">
        <f>_xlfn.IFNA(VLOOKUP($BC164,Programma!$F$3:$H$1101,3,0),"")</f>
        <v/>
      </c>
      <c r="BF164" s="185" t="str">
        <f>_xlfn.IFNA(VLOOKUP($BC164,Programma!$F$3:$I$1101,4,0),"")</f>
        <v/>
      </c>
      <c r="BG164" s="185" t="str">
        <f>_xlfn.IFNA(VLOOKUP($BC164,Programma!$F$3:$J$1101,5,0),"")</f>
        <v/>
      </c>
      <c r="BH164" s="185" t="str">
        <f>_xlfn.IFNA(VLOOKUP($BC164,Programma!$F$3:$K$1101,6,0),"")</f>
        <v/>
      </c>
      <c r="BI164" s="185" t="str">
        <f>_xlfn.IFNA(VLOOKUP($BC164,Programma!$F$3:$L$1101,7,0),"")</f>
        <v/>
      </c>
      <c r="BJ164" s="185" t="str">
        <f>_xlfn.IFNA(VLOOKUP($BC164,Programma!$F$3:$M$1101,8,0),"")</f>
        <v/>
      </c>
      <c r="BK164" s="185" t="str">
        <f>_xlfn.IFNA(VLOOKUP($BC164,Programma!$F$3:$N$1101,9,0),"")</f>
        <v/>
      </c>
      <c r="BL164" s="185" t="str">
        <f>_xlfn.IFNA(VLOOKUP($BC164,Programma!$F$3:$O$1101,10,0),"")</f>
        <v/>
      </c>
      <c r="BM164" s="185" t="str">
        <f>_xlfn.IFNA(VLOOKUP($BC164,Programma!$F$3:$P$1101,11,0),"")</f>
        <v/>
      </c>
      <c r="BN164" s="185" t="str">
        <f>_xlfn.IFNA(VLOOKUP($BC164,Programma!$F$3:$Q$1101,12,0),"")</f>
        <v/>
      </c>
      <c r="BO164" s="185" t="str">
        <f>_xlfn.IFNA(VLOOKUP($BC164,Programma!$F$3:$R$1101,13,0),"")</f>
        <v/>
      </c>
      <c r="BP164" s="185" t="str">
        <f>_xlfn.IFNA(VLOOKUP($BC164,Programma!$F$3:$S$1101,14,0),"")</f>
        <v/>
      </c>
      <c r="BQ164" s="185" t="str">
        <f>_xlfn.IFNA(VLOOKUP($BC164,Programma!$F$3:$T$1101,15,0),"")</f>
        <v/>
      </c>
      <c r="BR164" s="185" t="str">
        <f>_xlfn.IFNA(VLOOKUP($BC164,Programma!$F$3:$U$1101,16,0),"")</f>
        <v/>
      </c>
      <c r="BS164" s="185" t="str">
        <f>_xlfn.IFNA(VLOOKUP($BC164,Programma!$F$3:$V$1101,17,0),"")</f>
        <v/>
      </c>
      <c r="BT164" s="185" t="str">
        <f>_xlfn.IFNA(VLOOKUP($BC164,Programma!$F$3:$W$1101,18,0),"")</f>
        <v/>
      </c>
      <c r="BU164" s="185" t="str">
        <f>_xlfn.IFNA(VLOOKUP($BC164,Programma!$F$3:$X$1101,19,0),"")</f>
        <v/>
      </c>
      <c r="BV164" s="185" t="str">
        <f>_xlfn.IFNA(VLOOKUP($BC164,Programma!$F$3:$Y$1101,20,0),"")</f>
        <v/>
      </c>
      <c r="BW164" s="78"/>
      <c r="BX164" s="78"/>
      <c r="BY164" s="78"/>
      <c r="BZ164" s="78"/>
      <c r="CA164" s="78"/>
      <c r="CB164" s="78"/>
      <c r="CC164" s="78"/>
      <c r="CD164" s="78"/>
      <c r="CE164" s="78"/>
      <c r="CF164" s="78"/>
      <c r="CG164" s="78"/>
      <c r="CH164" s="78"/>
      <c r="CI164" s="78"/>
      <c r="CJ164" s="78"/>
      <c r="CK164" s="78"/>
      <c r="CL164" s="78"/>
      <c r="CM164" s="78"/>
      <c r="CN164" s="78"/>
      <c r="CO164" s="78"/>
      <c r="CP164" s="78"/>
      <c r="CQ164" s="78"/>
      <c r="CR164" s="78"/>
      <c r="CS164" s="78"/>
      <c r="CT164" s="78"/>
      <c r="CU164" s="78"/>
      <c r="CV164" s="78"/>
      <c r="CW164" s="78"/>
      <c r="CX164" s="78"/>
      <c r="CY164" s="78"/>
      <c r="CZ164" s="78"/>
      <c r="DA164" s="78"/>
      <c r="DB164" s="78"/>
      <c r="DC164" s="78"/>
      <c r="DD164" s="78"/>
      <c r="DE164" s="78"/>
      <c r="DF164" s="78"/>
      <c r="DG164" s="78"/>
      <c r="DH164" s="78"/>
      <c r="DI164" s="78"/>
      <c r="DJ164" s="78"/>
      <c r="DK164" s="78"/>
      <c r="DL164" s="78"/>
      <c r="DM164" s="78"/>
      <c r="DN164" s="78"/>
      <c r="DO164" s="78"/>
      <c r="DP164" s="78"/>
      <c r="DQ164" s="78"/>
      <c r="DR164" s="78"/>
      <c r="DS164" s="78"/>
      <c r="DT164" s="78"/>
      <c r="DU164" s="78"/>
      <c r="DV164" s="78"/>
      <c r="DW164" s="78"/>
      <c r="DX164" s="78"/>
      <c r="DY164" s="78"/>
      <c r="DZ164" s="78"/>
      <c r="EA164" s="78"/>
      <c r="EB164" s="78"/>
      <c r="EC164" s="78"/>
      <c r="ED164" s="78"/>
      <c r="EE164" s="78"/>
      <c r="EF164" s="78"/>
      <c r="EG164" s="78"/>
      <c r="EH164" s="78"/>
      <c r="EI164" s="78"/>
      <c r="EJ164" s="78"/>
      <c r="EK164" s="78"/>
      <c r="EL164" s="78"/>
      <c r="EM164" s="78"/>
      <c r="EN164" s="78"/>
      <c r="EO164" s="78"/>
      <c r="EP164" s="78"/>
      <c r="EQ164" s="78"/>
      <c r="ER164" s="78"/>
      <c r="ES164" s="78"/>
      <c r="ET164" s="78"/>
      <c r="EU164" s="78"/>
      <c r="EV164" s="78"/>
      <c r="EW164" s="78"/>
      <c r="EX164" s="78"/>
      <c r="EY164" s="78"/>
      <c r="EZ164" s="78"/>
      <c r="FA164" s="78"/>
      <c r="FB164" s="78"/>
      <c r="FC164" s="78"/>
      <c r="FD164" s="78"/>
      <c r="FE164" s="78"/>
      <c r="FF164" s="78"/>
      <c r="FG164" s="78"/>
      <c r="FH164" s="78"/>
      <c r="FI164" s="78"/>
      <c r="FJ164" s="78"/>
      <c r="FK164" s="78"/>
      <c r="FL164" s="78"/>
      <c r="FM164" s="78"/>
      <c r="FN164" s="78"/>
      <c r="FO164" s="78"/>
      <c r="FP164" s="78"/>
      <c r="FQ164" s="78"/>
      <c r="FR164" s="78"/>
      <c r="FS164" s="78"/>
      <c r="FT164" s="78"/>
      <c r="FU164" s="78"/>
      <c r="FV164" s="78"/>
      <c r="FW164" s="78"/>
      <c r="FX164" s="78"/>
      <c r="FY164" s="78"/>
      <c r="FZ164" s="78"/>
      <c r="GA164" s="78"/>
      <c r="GB164" s="78"/>
      <c r="GC164" s="78"/>
      <c r="GD164" s="78"/>
      <c r="GE164" s="78"/>
      <c r="GF164" s="78"/>
      <c r="GG164" s="78"/>
      <c r="GH164" s="78"/>
      <c r="GI164" s="78"/>
      <c r="GJ164" s="78"/>
      <c r="GK164" s="78"/>
      <c r="GL164" s="78"/>
      <c r="GM164" s="78"/>
      <c r="GN164" s="78"/>
      <c r="GO164" s="78"/>
      <c r="GP164" s="78"/>
      <c r="GQ164" s="78"/>
      <c r="GR164" s="78"/>
      <c r="GS164" s="78"/>
      <c r="GT164" s="78"/>
      <c r="GU164" s="78"/>
      <c r="GV164" s="78"/>
      <c r="GW164" s="78"/>
      <c r="GX164" s="78"/>
      <c r="GY164" s="78"/>
      <c r="GZ164" s="78"/>
      <c r="HA164" s="78"/>
      <c r="HB164" s="78"/>
      <c r="HC164" s="78"/>
      <c r="HD164" s="78"/>
      <c r="HE164" s="78"/>
      <c r="HF164" s="78"/>
      <c r="HG164" s="78"/>
      <c r="HH164" s="78"/>
      <c r="HI164" s="78"/>
      <c r="HJ164" s="78"/>
      <c r="HK164" s="78"/>
    </row>
    <row r="165" spans="1:219" ht="15" customHeight="1">
      <c r="A165" s="149">
        <v>5</v>
      </c>
      <c r="B165" s="176" t="str">
        <f>VLOOKUP(Ruimtestaat[[#This Row],[Code]],Locaties[[Code]:[Locatie]],2,FALSE)</f>
        <v>OBS Harry Bannink</v>
      </c>
      <c r="C165" s="176" t="str">
        <f>VLOOKUP(Ruimtestaat[[#This Row],[Code]],Locaties[[#All],[Code]:[Adres]],4,FALSE)</f>
        <v>Het Bijvank 111</v>
      </c>
      <c r="D165" s="176" t="str">
        <f>VLOOKUP(Ruimtestaat[[#This Row],[Code]],Locaties[[#All],[Code]:[Postcode]],5,FALSE)</f>
        <v>7544 DA</v>
      </c>
      <c r="E165" s="176" t="str">
        <f>VLOOKUP(Ruimtestaat[[#This Row],[Code]],Locaties[#All],6,FALSE)</f>
        <v>Enschede</v>
      </c>
      <c r="F165" s="149"/>
      <c r="G165" s="149" t="s">
        <v>1714</v>
      </c>
      <c r="H165" s="99" t="s">
        <v>1750</v>
      </c>
      <c r="I165" s="183" t="s">
        <v>1655</v>
      </c>
      <c r="J165" s="99">
        <v>5</v>
      </c>
      <c r="K165" s="183" t="str">
        <f>VLOOKUP(Ruimtestaat[[#This Row],[Ruimte code]],Ruimtegroepen[[#All],[Code]:[Ruimte omschrijving]],2,FALSE)</f>
        <v>Sanitair</v>
      </c>
      <c r="L165" s="149" t="s">
        <v>102</v>
      </c>
      <c r="M165" s="301" t="s">
        <v>120</v>
      </c>
      <c r="N165" s="177">
        <v>0.8</v>
      </c>
      <c r="O165" s="177"/>
      <c r="P165" s="178" t="str">
        <f>VLOOKUP(Ruimtestaat[[#This Row],[Ruimte code]],Ruimtegroepen[],4,FALSE)</f>
        <v>Sa</v>
      </c>
      <c r="Q165" s="149">
        <v>40</v>
      </c>
      <c r="R165" s="149" t="s">
        <v>2</v>
      </c>
      <c r="S165" s="149">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5" s="149">
        <f>IF(S165&gt;0,VLOOKUP($J165,Ruimtegroepen[],3,FALSE)*VLOOKUP($L165,Vloersoorten[],3,FALSE)*VLOOKUP($R165,Frequenties[],3,FALSE)*VLOOKUP($A165,Locaties[],3,FALSE),0)</f>
        <v>0</v>
      </c>
      <c r="U165" s="149">
        <f>Ruimtestaat[[#This Row],[Uitvoeringen werkdagen]]*Ruimtestaat[[#This Row],[Oppervlak (netto)]]</f>
        <v>160</v>
      </c>
      <c r="V165" s="179">
        <f>IF(T165&gt;0,Ruimtestaat[[#This Row],[Prest. (m2 /jaar) werkdagen]]/Ruimtestaat[[#This Row],[Norm (m2/uur) werkdagen]],0)</f>
        <v>0</v>
      </c>
      <c r="W165" s="180">
        <f>Ruimtestaat[[#This Row],[uren / jaar werkdagen]]*Tariefsopbouw!$E$35</f>
        <v>0</v>
      </c>
      <c r="X165" s="149"/>
      <c r="Y165" s="149">
        <f>IF(Ruimtestaat[[#This Row],[Frequentie weekend]]&gt;0,VALUE(LEFT(X165,1))*Q165,0)</f>
        <v>0</v>
      </c>
      <c r="Z165" s="148">
        <f>IF($Y165&gt;0,VLOOKUP($J165,Ruimtegroepen[],3,FALSE)*VLOOKUP($L165,Vloersoorten[],3,FALSE)*VLOOKUP($X165,Frequenties[],3,FALSE)*VLOOKUP(Ruimtestaat[[#This Row],[Code]],Locaties[],3,FALSE),0)</f>
        <v>0</v>
      </c>
      <c r="AA165" s="148">
        <f>Ruimtestaat[[#This Row],[Uitvoeringen weekend]]*Ruimtestaat[[#This Row],[Oppervlak (netto)]]</f>
        <v>0</v>
      </c>
      <c r="AB165" s="148">
        <f>IF(Z165&gt;0,Ruimtestaat[[#This Row],[Prest. (m2 /jaar) weekend]]/Ruimtestaat[[#This Row],[Norm (m2/uur) weekend]],0)</f>
        <v>0</v>
      </c>
      <c r="AC165" s="180">
        <f>Ruimtestaat[[#This Row],[uren / jaar weekend]]*Tariefsopbouw!$D$40</f>
        <v>0</v>
      </c>
      <c r="AD165" s="179">
        <f>Ruimtestaat[[#This Row],[Prest. (m2 /jaar) weekend]]+Ruimtestaat[[#This Row],[Prest. (m2 /jaar) werkdagen]]</f>
        <v>160</v>
      </c>
      <c r="AE165" s="179">
        <f>Ruimtestaat[[#This Row],[uren / jaar weekend]]+Ruimtestaat[[#This Row],[uren / jaar werkdagen]]</f>
        <v>0</v>
      </c>
      <c r="AF165" s="174">
        <f>Ruimtestaat[[#This Row],[kosten / jaar weekend]]+Ruimtestaat[[#This Row],[kosten / jaar werkdagen]]</f>
        <v>0</v>
      </c>
      <c r="AG165" s="174"/>
      <c r="AH165" s="181" t="str">
        <f>IF(Ruimtestaat[[#This Row],[Frequentie werkdagen]]="","",_xlfn.CONCAT(Ruimtestaat[[#This Row],[Ruimte code]],"-",Ruimtestaat[[#This Row],[Frequentie werkdagen]]," ",Ruimtestaat[[#This Row],[Vloer code]]))</f>
        <v>5-5w P</v>
      </c>
      <c r="AI165" s="185" t="str">
        <f>_xlfn.IFNA(VLOOKUP($AH165,Programma!$F$3:$G$1101,2,0),"")</f>
        <v>_</v>
      </c>
      <c r="AJ165" s="185" t="str">
        <f>_xlfn.IFNA(VLOOKUP($AH165,Programma!$F$3:$H$1101,3,0),"")</f>
        <v>_</v>
      </c>
      <c r="AK165" s="185" t="str">
        <f>_xlfn.IFNA(VLOOKUP($AH165,Programma!$F$3:$I$1101,4,0),"")</f>
        <v>_</v>
      </c>
      <c r="AL165" s="185" t="str">
        <f>_xlfn.IFNA(VLOOKUP($AH165,Programma!$F$3:$J$1101,5,0),"")</f>
        <v>4w</v>
      </c>
      <c r="AM165" s="185" t="str">
        <f>_xlfn.IFNA(VLOOKUP($AH165,Programma!$F$3:$K$1101,6,0),"")</f>
        <v>1w</v>
      </c>
      <c r="AN165" s="185" t="str">
        <f>_xlfn.IFNA(VLOOKUP($AH165,Programma!$F$3:$L$1101,7,0),"")</f>
        <v>_</v>
      </c>
      <c r="AO165" s="185" t="str">
        <f>_xlfn.IFNA(VLOOKUP($AH165,Programma!$F$3:$M$1101,8,0),"")</f>
        <v>_</v>
      </c>
      <c r="AP165" s="185" t="str">
        <f>_xlfn.IFNA(VLOOKUP($AH165,Programma!$F$3:$N$1101,9,0),"")</f>
        <v>_</v>
      </c>
      <c r="AQ165" s="185" t="str">
        <f>_xlfn.IFNA(VLOOKUP($AH165,Programma!$F$3:$O$1101,10,0),"")</f>
        <v>_</v>
      </c>
      <c r="AR165" s="185" t="str">
        <f>_xlfn.IFNA(VLOOKUP($AH165,Programma!$F$3:$P$1101,11,0),"")</f>
        <v>_</v>
      </c>
      <c r="AS165" s="185" t="str">
        <f>_xlfn.IFNA(VLOOKUP($AH165,Programma!$F$3:$Q$1101,12,0),"")</f>
        <v>_</v>
      </c>
      <c r="AT165" s="185" t="str">
        <f>_xlfn.IFNA(VLOOKUP($AH165,Programma!$F$3:$R$1101,13,0),"")</f>
        <v>_</v>
      </c>
      <c r="AU165" s="185" t="str">
        <f>_xlfn.IFNA(VLOOKUP($AH165,Programma!$F$3:$S$1101,14,0),"")</f>
        <v>_</v>
      </c>
      <c r="AV165" s="185" t="str">
        <f>_xlfn.IFNA(VLOOKUP($AH165,Programma!$F$3:$T$1101,15,0),"")</f>
        <v>_</v>
      </c>
      <c r="AW165" s="185" t="str">
        <f>_xlfn.IFNA(VLOOKUP($AH165,Programma!$F$3:$U$1101,16,0),"")</f>
        <v>_</v>
      </c>
      <c r="AX165" s="185" t="str">
        <f>_xlfn.IFNA(VLOOKUP($AH165,Programma!$F$3:$V$1101,17,0),"")</f>
        <v>_</v>
      </c>
      <c r="AY165" s="185" t="str">
        <f>_xlfn.IFNA(VLOOKUP($AH165,Programma!$F$3:$W$1101,18,0),"")</f>
        <v>4w</v>
      </c>
      <c r="AZ165" s="185" t="str">
        <f>_xlfn.IFNA(VLOOKUP($AH165,Programma!$F$3:$X$1101,19,0),"")</f>
        <v>1w</v>
      </c>
      <c r="BA165" s="185" t="str">
        <f>_xlfn.IFNA(VLOOKUP($AH165,Programma!$F$3:$Y$1101,20,0),"")</f>
        <v>_</v>
      </c>
      <c r="BB165" s="182"/>
      <c r="BC165" s="181" t="str">
        <f>IF(Ruimtestaat[[#This Row],[Frequentie weekend]]="","",_xlfn.CONCAT(Ruimtestaat[[#This Row],[Ruimte code]],"-",Ruimtestaat[[#This Row],[Frequentie weekend]]," ",Ruimtestaat[[#This Row],[Vloer code]]))</f>
        <v/>
      </c>
      <c r="BD165" s="185" t="str">
        <f>_xlfn.IFNA(VLOOKUP($BC165,Programma!$F$3:$G$1101,2,0),"")</f>
        <v/>
      </c>
      <c r="BE165" s="185" t="str">
        <f>_xlfn.IFNA(VLOOKUP($BC165,Programma!$F$3:$H$1101,3,0),"")</f>
        <v/>
      </c>
      <c r="BF165" s="185" t="str">
        <f>_xlfn.IFNA(VLOOKUP($BC165,Programma!$F$3:$I$1101,4,0),"")</f>
        <v/>
      </c>
      <c r="BG165" s="185" t="str">
        <f>_xlfn.IFNA(VLOOKUP($BC165,Programma!$F$3:$J$1101,5,0),"")</f>
        <v/>
      </c>
      <c r="BH165" s="185" t="str">
        <f>_xlfn.IFNA(VLOOKUP($BC165,Programma!$F$3:$K$1101,6,0),"")</f>
        <v/>
      </c>
      <c r="BI165" s="185" t="str">
        <f>_xlfn.IFNA(VLOOKUP($BC165,Programma!$F$3:$L$1101,7,0),"")</f>
        <v/>
      </c>
      <c r="BJ165" s="185" t="str">
        <f>_xlfn.IFNA(VLOOKUP($BC165,Programma!$F$3:$M$1101,8,0),"")</f>
        <v/>
      </c>
      <c r="BK165" s="185" t="str">
        <f>_xlfn.IFNA(VLOOKUP($BC165,Programma!$F$3:$N$1101,9,0),"")</f>
        <v/>
      </c>
      <c r="BL165" s="185" t="str">
        <f>_xlfn.IFNA(VLOOKUP($BC165,Programma!$F$3:$O$1101,10,0),"")</f>
        <v/>
      </c>
      <c r="BM165" s="185" t="str">
        <f>_xlfn.IFNA(VLOOKUP($BC165,Programma!$F$3:$P$1101,11,0),"")</f>
        <v/>
      </c>
      <c r="BN165" s="185" t="str">
        <f>_xlfn.IFNA(VLOOKUP($BC165,Programma!$F$3:$Q$1101,12,0),"")</f>
        <v/>
      </c>
      <c r="BO165" s="185" t="str">
        <f>_xlfn.IFNA(VLOOKUP($BC165,Programma!$F$3:$R$1101,13,0),"")</f>
        <v/>
      </c>
      <c r="BP165" s="185" t="str">
        <f>_xlfn.IFNA(VLOOKUP($BC165,Programma!$F$3:$S$1101,14,0),"")</f>
        <v/>
      </c>
      <c r="BQ165" s="185" t="str">
        <f>_xlfn.IFNA(VLOOKUP($BC165,Programma!$F$3:$T$1101,15,0),"")</f>
        <v/>
      </c>
      <c r="BR165" s="185" t="str">
        <f>_xlfn.IFNA(VLOOKUP($BC165,Programma!$F$3:$U$1101,16,0),"")</f>
        <v/>
      </c>
      <c r="BS165" s="185" t="str">
        <f>_xlfn.IFNA(VLOOKUP($BC165,Programma!$F$3:$V$1101,17,0),"")</f>
        <v/>
      </c>
      <c r="BT165" s="185" t="str">
        <f>_xlfn.IFNA(VLOOKUP($BC165,Programma!$F$3:$W$1101,18,0),"")</f>
        <v/>
      </c>
      <c r="BU165" s="185" t="str">
        <f>_xlfn.IFNA(VLOOKUP($BC165,Programma!$F$3:$X$1101,19,0),"")</f>
        <v/>
      </c>
      <c r="BV165" s="185" t="str">
        <f>_xlfn.IFNA(VLOOKUP($BC165,Programma!$F$3:$Y$1101,20,0),"")</f>
        <v/>
      </c>
      <c r="BW165" s="78"/>
      <c r="BX165" s="78"/>
      <c r="BY165" s="78"/>
      <c r="BZ165" s="78"/>
      <c r="CA165" s="78"/>
      <c r="CB165" s="78"/>
      <c r="CC165" s="78"/>
      <c r="CD165" s="78"/>
      <c r="CE165" s="78"/>
      <c r="CF165" s="78"/>
      <c r="CG165" s="78"/>
      <c r="CH165" s="78"/>
      <c r="CI165" s="78"/>
      <c r="CJ165" s="78"/>
      <c r="CK165" s="78"/>
      <c r="CL165" s="78"/>
      <c r="CM165" s="78"/>
      <c r="CN165" s="78"/>
      <c r="CO165" s="78"/>
      <c r="CP165" s="78"/>
      <c r="CQ165" s="78"/>
      <c r="CR165" s="78"/>
      <c r="CS165" s="78"/>
      <c r="CT165" s="78"/>
      <c r="CU165" s="78"/>
      <c r="CV165" s="78"/>
      <c r="CW165" s="78"/>
      <c r="CX165" s="78"/>
      <c r="CY165" s="78"/>
      <c r="CZ165" s="78"/>
      <c r="DA165" s="78"/>
      <c r="DB165" s="78"/>
      <c r="DC165" s="78"/>
      <c r="DD165" s="78"/>
      <c r="DE165" s="78"/>
      <c r="DF165" s="78"/>
      <c r="DG165" s="78"/>
      <c r="DH165" s="78"/>
      <c r="DI165" s="78"/>
      <c r="DJ165" s="78"/>
      <c r="DK165" s="78"/>
      <c r="DL165" s="78"/>
      <c r="DM165" s="78"/>
      <c r="DN165" s="78"/>
      <c r="DO165" s="78"/>
      <c r="DP165" s="78"/>
      <c r="DQ165" s="78"/>
      <c r="DR165" s="78"/>
      <c r="DS165" s="78"/>
      <c r="DT165" s="78"/>
      <c r="DU165" s="78"/>
      <c r="DV165" s="78"/>
      <c r="DW165" s="78"/>
      <c r="DX165" s="78"/>
      <c r="DY165" s="78"/>
      <c r="DZ165" s="78"/>
      <c r="EA165" s="78"/>
      <c r="EB165" s="78"/>
      <c r="EC165" s="78"/>
      <c r="ED165" s="78"/>
      <c r="EE165" s="78"/>
      <c r="EF165" s="78"/>
      <c r="EG165" s="78"/>
      <c r="EH165" s="78"/>
      <c r="EI165" s="78"/>
      <c r="EJ165" s="78"/>
      <c r="EK165" s="78"/>
      <c r="EL165" s="78"/>
      <c r="EM165" s="78"/>
      <c r="EN165" s="78"/>
      <c r="EO165" s="78"/>
      <c r="EP165" s="78"/>
      <c r="EQ165" s="78"/>
      <c r="ER165" s="78"/>
      <c r="ES165" s="78"/>
      <c r="ET165" s="78"/>
      <c r="EU165" s="78"/>
      <c r="EV165" s="78"/>
      <c r="EW165" s="78"/>
      <c r="EX165" s="78"/>
      <c r="EY165" s="78"/>
      <c r="EZ165" s="78"/>
      <c r="FA165" s="78"/>
      <c r="FB165" s="78"/>
      <c r="FC165" s="78"/>
      <c r="FD165" s="78"/>
      <c r="FE165" s="78"/>
      <c r="FF165" s="78"/>
      <c r="FG165" s="78"/>
      <c r="FH165" s="78"/>
      <c r="FI165" s="78"/>
      <c r="FJ165" s="78"/>
      <c r="FK165" s="78"/>
      <c r="FL165" s="78"/>
      <c r="FM165" s="78"/>
      <c r="FN165" s="78"/>
      <c r="FO165" s="78"/>
      <c r="FP165" s="78"/>
      <c r="FQ165" s="78"/>
      <c r="FR165" s="78"/>
      <c r="FS165" s="78"/>
      <c r="FT165" s="78"/>
      <c r="FU165" s="78"/>
      <c r="FV165" s="78"/>
      <c r="FW165" s="78"/>
      <c r="FX165" s="78"/>
      <c r="FY165" s="78"/>
      <c r="FZ165" s="78"/>
      <c r="GA165" s="78"/>
      <c r="GB165" s="78"/>
      <c r="GC165" s="78"/>
      <c r="GD165" s="78"/>
      <c r="GE165" s="78"/>
      <c r="GF165" s="78"/>
      <c r="GG165" s="78"/>
      <c r="GH165" s="78"/>
      <c r="GI165" s="78"/>
      <c r="GJ165" s="78"/>
      <c r="GK165" s="78"/>
      <c r="GL165" s="78"/>
      <c r="GM165" s="78"/>
      <c r="GN165" s="78"/>
      <c r="GO165" s="78"/>
      <c r="GP165" s="78"/>
      <c r="GQ165" s="78"/>
      <c r="GR165" s="78"/>
      <c r="GS165" s="78"/>
      <c r="GT165" s="78"/>
      <c r="GU165" s="78"/>
      <c r="GV165" s="78"/>
      <c r="GW165" s="78"/>
      <c r="GX165" s="78"/>
      <c r="GY165" s="78"/>
      <c r="GZ165" s="78"/>
      <c r="HA165" s="78"/>
      <c r="HB165" s="78"/>
      <c r="HC165" s="78"/>
      <c r="HD165" s="78"/>
      <c r="HE165" s="78"/>
      <c r="HF165" s="78"/>
      <c r="HG165" s="78"/>
      <c r="HH165" s="78"/>
      <c r="HI165" s="78"/>
      <c r="HJ165" s="78"/>
      <c r="HK165" s="78"/>
    </row>
    <row r="166" spans="1:219" ht="15" customHeight="1">
      <c r="A166" s="149">
        <v>5</v>
      </c>
      <c r="B166" s="176" t="str">
        <f>VLOOKUP(Ruimtestaat[[#This Row],[Code]],Locaties[[Code]:[Locatie]],2,FALSE)</f>
        <v>OBS Harry Bannink</v>
      </c>
      <c r="C166" s="176" t="str">
        <f>VLOOKUP(Ruimtestaat[[#This Row],[Code]],Locaties[[#All],[Code]:[Adres]],4,FALSE)</f>
        <v>Het Bijvank 111</v>
      </c>
      <c r="D166" s="176" t="str">
        <f>VLOOKUP(Ruimtestaat[[#This Row],[Code]],Locaties[[#All],[Code]:[Postcode]],5,FALSE)</f>
        <v>7544 DA</v>
      </c>
      <c r="E166" s="176" t="str">
        <f>VLOOKUP(Ruimtestaat[[#This Row],[Code]],Locaties[#All],6,FALSE)</f>
        <v>Enschede</v>
      </c>
      <c r="F166" s="149"/>
      <c r="G166" s="149" t="s">
        <v>1714</v>
      </c>
      <c r="H166" s="99" t="s">
        <v>1751</v>
      </c>
      <c r="I166" s="183" t="s">
        <v>1651</v>
      </c>
      <c r="J166" s="99">
        <v>16</v>
      </c>
      <c r="K166" s="183" t="str">
        <f>VLOOKUP(Ruimtestaat[[#This Row],[Ruimte code]],Ruimtegroepen[[#All],[Code]:[Ruimte omschrijving]],2,FALSE)</f>
        <v>Leslokalen</v>
      </c>
      <c r="L166" s="149" t="s">
        <v>100</v>
      </c>
      <c r="M166" s="301" t="s">
        <v>1697</v>
      </c>
      <c r="N166" s="177">
        <v>54.1</v>
      </c>
      <c r="O166" s="177"/>
      <c r="P166" s="178" t="str">
        <f>VLOOKUP(Ruimtestaat[[#This Row],[Ruimte code]],Ruimtegroepen[],4,FALSE)</f>
        <v>Le</v>
      </c>
      <c r="Q166" s="149">
        <v>40</v>
      </c>
      <c r="R166" s="149" t="s">
        <v>2</v>
      </c>
      <c r="S166" s="149">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6" s="149">
        <f>IF(S166&gt;0,VLOOKUP($J166,Ruimtegroepen[],3,FALSE)*VLOOKUP($L166,Vloersoorten[],3,FALSE)*VLOOKUP($R166,Frequenties[],3,FALSE)*VLOOKUP($A166,Locaties[],3,FALSE),0)</f>
        <v>0</v>
      </c>
      <c r="U166" s="149">
        <f>Ruimtestaat[[#This Row],[Uitvoeringen werkdagen]]*Ruimtestaat[[#This Row],[Oppervlak (netto)]]</f>
        <v>10820</v>
      </c>
      <c r="V166" s="179">
        <f>IF(T166&gt;0,Ruimtestaat[[#This Row],[Prest. (m2 /jaar) werkdagen]]/Ruimtestaat[[#This Row],[Norm (m2/uur) werkdagen]],0)</f>
        <v>0</v>
      </c>
      <c r="W166" s="180">
        <f>Ruimtestaat[[#This Row],[uren / jaar werkdagen]]*Tariefsopbouw!$E$35</f>
        <v>0</v>
      </c>
      <c r="X166" s="149"/>
      <c r="Y166" s="149">
        <f>IF(Ruimtestaat[[#This Row],[Frequentie weekend]]&gt;0,VALUE(LEFT(X166,1))*Q166,0)</f>
        <v>0</v>
      </c>
      <c r="Z166" s="148">
        <f>IF($Y166&gt;0,VLOOKUP($J166,Ruimtegroepen[],3,FALSE)*VLOOKUP($L166,Vloersoorten[],3,FALSE)*VLOOKUP($X166,Frequenties[],3,FALSE)*VLOOKUP(Ruimtestaat[[#This Row],[Code]],Locaties[],3,FALSE),0)</f>
        <v>0</v>
      </c>
      <c r="AA166" s="148">
        <f>Ruimtestaat[[#This Row],[Uitvoeringen weekend]]*Ruimtestaat[[#This Row],[Oppervlak (netto)]]</f>
        <v>0</v>
      </c>
      <c r="AB166" s="148">
        <f>IF(Z166&gt;0,Ruimtestaat[[#This Row],[Prest. (m2 /jaar) weekend]]/Ruimtestaat[[#This Row],[Norm (m2/uur) weekend]],0)</f>
        <v>0</v>
      </c>
      <c r="AC166" s="180">
        <f>Ruimtestaat[[#This Row],[uren / jaar weekend]]*Tariefsopbouw!$D$40</f>
        <v>0</v>
      </c>
      <c r="AD166" s="179">
        <f>Ruimtestaat[[#This Row],[Prest. (m2 /jaar) weekend]]+Ruimtestaat[[#This Row],[Prest. (m2 /jaar) werkdagen]]</f>
        <v>10820</v>
      </c>
      <c r="AE166" s="179">
        <f>Ruimtestaat[[#This Row],[uren / jaar weekend]]+Ruimtestaat[[#This Row],[uren / jaar werkdagen]]</f>
        <v>0</v>
      </c>
      <c r="AF166" s="174">
        <f>Ruimtestaat[[#This Row],[kosten / jaar weekend]]+Ruimtestaat[[#This Row],[kosten / jaar werkdagen]]</f>
        <v>0</v>
      </c>
      <c r="AG166" s="174"/>
      <c r="AH166" s="181" t="str">
        <f>IF(Ruimtestaat[[#This Row],[Frequentie werkdagen]]="","",_xlfn.CONCAT(Ruimtestaat[[#This Row],[Ruimte code]],"-",Ruimtestaat[[#This Row],[Frequentie werkdagen]]," ",Ruimtestaat[[#This Row],[Vloer code]]))</f>
        <v>16-5w L</v>
      </c>
      <c r="AI166" s="185" t="str">
        <f>_xlfn.IFNA(VLOOKUP($AH166,Programma!$F$3:$G$1101,2,0),"")</f>
        <v>_</v>
      </c>
      <c r="AJ166" s="185" t="str">
        <f>_xlfn.IFNA(VLOOKUP($AH166,Programma!$F$3:$H$1101,3,0),"")</f>
        <v>_</v>
      </c>
      <c r="AK166" s="185" t="str">
        <f>_xlfn.IFNA(VLOOKUP($AH166,Programma!$F$3:$I$1101,4,0),"")</f>
        <v>4w</v>
      </c>
      <c r="AL166" s="185" t="str">
        <f>_xlfn.IFNA(VLOOKUP($AH166,Programma!$F$3:$J$1101,5,0),"")</f>
        <v>1w</v>
      </c>
      <c r="AM166" s="185" t="str">
        <f>_xlfn.IFNA(VLOOKUP($AH166,Programma!$F$3:$K$1101,6,0),"")</f>
        <v>_</v>
      </c>
      <c r="AN166" s="185" t="str">
        <f>_xlfn.IFNA(VLOOKUP($AH166,Programma!$F$3:$L$1101,7,0),"")</f>
        <v>_</v>
      </c>
      <c r="AO166" s="185" t="str">
        <f>_xlfn.IFNA(VLOOKUP($AH166,Programma!$F$3:$M$1101,8,0),"")</f>
        <v>_</v>
      </c>
      <c r="AP166" s="185" t="str">
        <f>_xlfn.IFNA(VLOOKUP($AH166,Programma!$F$3:$N$1101,9,0),"")</f>
        <v>_</v>
      </c>
      <c r="AQ166" s="185" t="str">
        <f>_xlfn.IFNA(VLOOKUP($AH166,Programma!$F$3:$O$1101,10,0),"")</f>
        <v>5w</v>
      </c>
      <c r="AR166" s="185" t="str">
        <f>_xlfn.IFNA(VLOOKUP($AH166,Programma!$F$3:$P$1101,11,0),"")</f>
        <v>5w</v>
      </c>
      <c r="AS166" s="185" t="str">
        <f>_xlfn.IFNA(VLOOKUP($AH166,Programma!$F$3:$Q$1101,12,0),"")</f>
        <v>1w</v>
      </c>
      <c r="AT166" s="185" t="str">
        <f>_xlfn.IFNA(VLOOKUP($AH166,Programma!$F$3:$R$1101,13,0),"")</f>
        <v>1w</v>
      </c>
      <c r="AU166" s="185" t="str">
        <f>_xlfn.IFNA(VLOOKUP($AH166,Programma!$F$3:$S$1101,14,0),"")</f>
        <v>1m</v>
      </c>
      <c r="AV166" s="185" t="str">
        <f>_xlfn.IFNA(VLOOKUP($AH166,Programma!$F$3:$T$1101,15,0),"")</f>
        <v>2j</v>
      </c>
      <c r="AW166" s="185" t="str">
        <f>_xlfn.IFNA(VLOOKUP($AH166,Programma!$F$3:$U$1101,16,0),"")</f>
        <v>1j</v>
      </c>
      <c r="AX166" s="185" t="str">
        <f>_xlfn.IFNA(VLOOKUP($AH166,Programma!$F$3:$V$1101,17,0),"")</f>
        <v>_</v>
      </c>
      <c r="AY166" s="185" t="str">
        <f>_xlfn.IFNA(VLOOKUP($AH166,Programma!$F$3:$W$1101,18,0),"")</f>
        <v>_</v>
      </c>
      <c r="AZ166" s="185" t="str">
        <f>_xlfn.IFNA(VLOOKUP($AH166,Programma!$F$3:$X$1101,19,0),"")</f>
        <v>_</v>
      </c>
      <c r="BA166" s="185" t="str">
        <f>_xlfn.IFNA(VLOOKUP($AH166,Programma!$F$3:$Y$1101,20,0),"")</f>
        <v>_</v>
      </c>
      <c r="BB166" s="182"/>
      <c r="BC166" s="181" t="str">
        <f>IF(Ruimtestaat[[#This Row],[Frequentie weekend]]="","",_xlfn.CONCAT(Ruimtestaat[[#This Row],[Ruimte code]],"-",Ruimtestaat[[#This Row],[Frequentie weekend]]," ",Ruimtestaat[[#This Row],[Vloer code]]))</f>
        <v/>
      </c>
      <c r="BD166" s="185" t="str">
        <f>_xlfn.IFNA(VLOOKUP($BC166,Programma!$F$3:$G$1101,2,0),"")</f>
        <v/>
      </c>
      <c r="BE166" s="185" t="str">
        <f>_xlfn.IFNA(VLOOKUP($BC166,Programma!$F$3:$H$1101,3,0),"")</f>
        <v/>
      </c>
      <c r="BF166" s="185" t="str">
        <f>_xlfn.IFNA(VLOOKUP($BC166,Programma!$F$3:$I$1101,4,0),"")</f>
        <v/>
      </c>
      <c r="BG166" s="185" t="str">
        <f>_xlfn.IFNA(VLOOKUP($BC166,Programma!$F$3:$J$1101,5,0),"")</f>
        <v/>
      </c>
      <c r="BH166" s="185" t="str">
        <f>_xlfn.IFNA(VLOOKUP($BC166,Programma!$F$3:$K$1101,6,0),"")</f>
        <v/>
      </c>
      <c r="BI166" s="185" t="str">
        <f>_xlfn.IFNA(VLOOKUP($BC166,Programma!$F$3:$L$1101,7,0),"")</f>
        <v/>
      </c>
      <c r="BJ166" s="185" t="str">
        <f>_xlfn.IFNA(VLOOKUP($BC166,Programma!$F$3:$M$1101,8,0),"")</f>
        <v/>
      </c>
      <c r="BK166" s="185" t="str">
        <f>_xlfn.IFNA(VLOOKUP($BC166,Programma!$F$3:$N$1101,9,0),"")</f>
        <v/>
      </c>
      <c r="BL166" s="185" t="str">
        <f>_xlfn.IFNA(VLOOKUP($BC166,Programma!$F$3:$O$1101,10,0),"")</f>
        <v/>
      </c>
      <c r="BM166" s="185" t="str">
        <f>_xlfn.IFNA(VLOOKUP($BC166,Programma!$F$3:$P$1101,11,0),"")</f>
        <v/>
      </c>
      <c r="BN166" s="185" t="str">
        <f>_xlfn.IFNA(VLOOKUP($BC166,Programma!$F$3:$Q$1101,12,0),"")</f>
        <v/>
      </c>
      <c r="BO166" s="185" t="str">
        <f>_xlfn.IFNA(VLOOKUP($BC166,Programma!$F$3:$R$1101,13,0),"")</f>
        <v/>
      </c>
      <c r="BP166" s="185" t="str">
        <f>_xlfn.IFNA(VLOOKUP($BC166,Programma!$F$3:$S$1101,14,0),"")</f>
        <v/>
      </c>
      <c r="BQ166" s="185" t="str">
        <f>_xlfn.IFNA(VLOOKUP($BC166,Programma!$F$3:$T$1101,15,0),"")</f>
        <v/>
      </c>
      <c r="BR166" s="185" t="str">
        <f>_xlfn.IFNA(VLOOKUP($BC166,Programma!$F$3:$U$1101,16,0),"")</f>
        <v/>
      </c>
      <c r="BS166" s="185" t="str">
        <f>_xlfn.IFNA(VLOOKUP($BC166,Programma!$F$3:$V$1101,17,0),"")</f>
        <v/>
      </c>
      <c r="BT166" s="185" t="str">
        <f>_xlfn.IFNA(VLOOKUP($BC166,Programma!$F$3:$W$1101,18,0),"")</f>
        <v/>
      </c>
      <c r="BU166" s="185" t="str">
        <f>_xlfn.IFNA(VLOOKUP($BC166,Programma!$F$3:$X$1101,19,0),"")</f>
        <v/>
      </c>
      <c r="BV166" s="185" t="str">
        <f>_xlfn.IFNA(VLOOKUP($BC166,Programma!$F$3:$Y$1101,20,0),"")</f>
        <v/>
      </c>
      <c r="BW166" s="78"/>
      <c r="BX166" s="78"/>
      <c r="BY166" s="78"/>
      <c r="BZ166" s="78"/>
      <c r="CA166" s="78"/>
      <c r="CB166" s="78"/>
      <c r="CC166" s="78"/>
      <c r="CD166" s="78"/>
      <c r="CE166" s="78"/>
      <c r="CF166" s="78"/>
      <c r="CG166" s="78"/>
      <c r="CH166" s="78"/>
      <c r="CI166" s="78"/>
      <c r="CJ166" s="78"/>
      <c r="CK166" s="78"/>
      <c r="CL166" s="78"/>
      <c r="CM166" s="78"/>
      <c r="CN166" s="78"/>
      <c r="CO166" s="78"/>
      <c r="CP166" s="78"/>
      <c r="CQ166" s="78"/>
      <c r="CR166" s="78"/>
      <c r="CS166" s="78"/>
      <c r="CT166" s="78"/>
      <c r="CU166" s="78"/>
      <c r="CV166" s="78"/>
      <c r="CW166" s="78"/>
      <c r="CX166" s="78"/>
      <c r="CY166" s="78"/>
      <c r="CZ166" s="78"/>
      <c r="DA166" s="78"/>
      <c r="DB166" s="78"/>
      <c r="DC166" s="78"/>
      <c r="DD166" s="78"/>
      <c r="DE166" s="78"/>
      <c r="DF166" s="78"/>
      <c r="DG166" s="78"/>
      <c r="DH166" s="78"/>
      <c r="DI166" s="78"/>
      <c r="DJ166" s="78"/>
      <c r="DK166" s="78"/>
      <c r="DL166" s="78"/>
      <c r="DM166" s="78"/>
      <c r="DN166" s="78"/>
      <c r="DO166" s="78"/>
      <c r="DP166" s="78"/>
      <c r="DQ166" s="78"/>
      <c r="DR166" s="78"/>
      <c r="DS166" s="78"/>
      <c r="DT166" s="78"/>
      <c r="DU166" s="78"/>
      <c r="DV166" s="78"/>
      <c r="DW166" s="78"/>
      <c r="DX166" s="78"/>
      <c r="DY166" s="78"/>
      <c r="DZ166" s="78"/>
      <c r="EA166" s="78"/>
      <c r="EB166" s="78"/>
      <c r="EC166" s="78"/>
      <c r="ED166" s="78"/>
      <c r="EE166" s="78"/>
      <c r="EF166" s="78"/>
      <c r="EG166" s="78"/>
      <c r="EH166" s="78"/>
      <c r="EI166" s="78"/>
      <c r="EJ166" s="78"/>
      <c r="EK166" s="78"/>
      <c r="EL166" s="78"/>
      <c r="EM166" s="78"/>
      <c r="EN166" s="78"/>
      <c r="EO166" s="78"/>
      <c r="EP166" s="78"/>
      <c r="EQ166" s="78"/>
      <c r="ER166" s="78"/>
      <c r="ES166" s="78"/>
      <c r="ET166" s="78"/>
      <c r="EU166" s="78"/>
      <c r="EV166" s="78"/>
      <c r="EW166" s="78"/>
      <c r="EX166" s="78"/>
      <c r="EY166" s="78"/>
      <c r="EZ166" s="78"/>
      <c r="FA166" s="78"/>
      <c r="FB166" s="78"/>
      <c r="FC166" s="78"/>
      <c r="FD166" s="78"/>
      <c r="FE166" s="78"/>
      <c r="FF166" s="78"/>
      <c r="FG166" s="78"/>
      <c r="FH166" s="78"/>
      <c r="FI166" s="78"/>
      <c r="FJ166" s="78"/>
      <c r="FK166" s="78"/>
      <c r="FL166" s="78"/>
      <c r="FM166" s="78"/>
      <c r="FN166" s="78"/>
      <c r="FO166" s="78"/>
      <c r="FP166" s="78"/>
      <c r="FQ166" s="78"/>
      <c r="FR166" s="78"/>
      <c r="FS166" s="78"/>
      <c r="FT166" s="78"/>
      <c r="FU166" s="78"/>
      <c r="FV166" s="78"/>
      <c r="FW166" s="78"/>
      <c r="FX166" s="78"/>
      <c r="FY166" s="78"/>
      <c r="FZ166" s="78"/>
      <c r="GA166" s="78"/>
      <c r="GB166" s="78"/>
      <c r="GC166" s="78"/>
      <c r="GD166" s="78"/>
      <c r="GE166" s="78"/>
      <c r="GF166" s="78"/>
      <c r="GG166" s="78"/>
      <c r="GH166" s="78"/>
      <c r="GI166" s="78"/>
      <c r="GJ166" s="78"/>
      <c r="GK166" s="78"/>
      <c r="GL166" s="78"/>
      <c r="GM166" s="78"/>
      <c r="GN166" s="78"/>
      <c r="GO166" s="78"/>
      <c r="GP166" s="78"/>
      <c r="GQ166" s="78"/>
      <c r="GR166" s="78"/>
      <c r="GS166" s="78"/>
      <c r="GT166" s="78"/>
      <c r="GU166" s="78"/>
      <c r="GV166" s="78"/>
      <c r="GW166" s="78"/>
      <c r="GX166" s="78"/>
      <c r="GY166" s="78"/>
      <c r="GZ166" s="78"/>
      <c r="HA166" s="78"/>
      <c r="HB166" s="78"/>
      <c r="HC166" s="78"/>
      <c r="HD166" s="78"/>
      <c r="HE166" s="78"/>
      <c r="HF166" s="78"/>
      <c r="HG166" s="78"/>
      <c r="HH166" s="78"/>
      <c r="HI166" s="78"/>
      <c r="HJ166" s="78"/>
      <c r="HK166" s="78"/>
    </row>
    <row r="167" spans="1:219" ht="15" customHeight="1">
      <c r="A167" s="149">
        <v>5</v>
      </c>
      <c r="B167" s="176" t="str">
        <f>VLOOKUP(Ruimtestaat[[#This Row],[Code]],Locaties[[Code]:[Locatie]],2,FALSE)</f>
        <v>OBS Harry Bannink</v>
      </c>
      <c r="C167" s="176" t="str">
        <f>VLOOKUP(Ruimtestaat[[#This Row],[Code]],Locaties[[#All],[Code]:[Adres]],4,FALSE)</f>
        <v>Het Bijvank 111</v>
      </c>
      <c r="D167" s="176" t="str">
        <f>VLOOKUP(Ruimtestaat[[#This Row],[Code]],Locaties[[#All],[Code]:[Postcode]],5,FALSE)</f>
        <v>7544 DA</v>
      </c>
      <c r="E167" s="176" t="str">
        <f>VLOOKUP(Ruimtestaat[[#This Row],[Code]],Locaties[#All],6,FALSE)</f>
        <v>Enschede</v>
      </c>
      <c r="F167" s="149"/>
      <c r="G167" s="149" t="s">
        <v>1714</v>
      </c>
      <c r="H167" s="99" t="s">
        <v>1752</v>
      </c>
      <c r="I167" s="183" t="s">
        <v>1649</v>
      </c>
      <c r="J167" s="99">
        <v>2</v>
      </c>
      <c r="K167" s="183" t="str">
        <f>VLOOKUP(Ruimtestaat[[#This Row],[Ruimte code]],Ruimtegroepen[[#All],[Code]:[Ruimte omschrijving]],2,FALSE)</f>
        <v>Kantoren</v>
      </c>
      <c r="L167" s="149" t="s">
        <v>100</v>
      </c>
      <c r="M167" s="301" t="s">
        <v>1697</v>
      </c>
      <c r="N167" s="177">
        <v>9.1999999999999993</v>
      </c>
      <c r="O167" s="177"/>
      <c r="P167" s="178" t="str">
        <f>VLOOKUP(Ruimtestaat[[#This Row],[Ruimte code]],Ruimtegroepen[],4,FALSE)</f>
        <v>Bu</v>
      </c>
      <c r="Q167" s="149">
        <v>40</v>
      </c>
      <c r="R167" s="149" t="s">
        <v>18</v>
      </c>
      <c r="S167" s="149">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67" s="149">
        <f>IF(S167&gt;0,VLOOKUP($J167,Ruimtegroepen[],3,FALSE)*VLOOKUP($L167,Vloersoorten[],3,FALSE)*VLOOKUP($R167,Frequenties[],3,FALSE)*VLOOKUP($A167,Locaties[],3,FALSE),0)</f>
        <v>0</v>
      </c>
      <c r="U167" s="149">
        <f>Ruimtestaat[[#This Row],[Uitvoeringen werkdagen]]*Ruimtestaat[[#This Row],[Oppervlak (netto)]]</f>
        <v>1104</v>
      </c>
      <c r="V167" s="179">
        <f>IF(T167&gt;0,Ruimtestaat[[#This Row],[Prest. (m2 /jaar) werkdagen]]/Ruimtestaat[[#This Row],[Norm (m2/uur) werkdagen]],0)</f>
        <v>0</v>
      </c>
      <c r="W167" s="180">
        <f>Ruimtestaat[[#This Row],[uren / jaar werkdagen]]*Tariefsopbouw!$E$35</f>
        <v>0</v>
      </c>
      <c r="X167" s="149"/>
      <c r="Y167" s="149">
        <f>IF(Ruimtestaat[[#This Row],[Frequentie weekend]]&gt;0,VALUE(LEFT(X167,1))*Q167,0)</f>
        <v>0</v>
      </c>
      <c r="Z167" s="148">
        <f>IF($Y167&gt;0,VLOOKUP($J167,Ruimtegroepen[],3,FALSE)*VLOOKUP($L167,Vloersoorten[],3,FALSE)*VLOOKUP($X167,Frequenties[],3,FALSE)*VLOOKUP(Ruimtestaat[[#This Row],[Code]],Locaties[],3,FALSE),0)</f>
        <v>0</v>
      </c>
      <c r="AA167" s="148">
        <f>Ruimtestaat[[#This Row],[Uitvoeringen weekend]]*Ruimtestaat[[#This Row],[Oppervlak (netto)]]</f>
        <v>0</v>
      </c>
      <c r="AB167" s="148">
        <f>IF(Z167&gt;0,Ruimtestaat[[#This Row],[Prest. (m2 /jaar) weekend]]/Ruimtestaat[[#This Row],[Norm (m2/uur) weekend]],0)</f>
        <v>0</v>
      </c>
      <c r="AC167" s="180">
        <f>Ruimtestaat[[#This Row],[uren / jaar weekend]]*Tariefsopbouw!$D$40</f>
        <v>0</v>
      </c>
      <c r="AD167" s="179">
        <f>Ruimtestaat[[#This Row],[Prest. (m2 /jaar) weekend]]+Ruimtestaat[[#This Row],[Prest. (m2 /jaar) werkdagen]]</f>
        <v>1104</v>
      </c>
      <c r="AE167" s="179">
        <f>Ruimtestaat[[#This Row],[uren / jaar weekend]]+Ruimtestaat[[#This Row],[uren / jaar werkdagen]]</f>
        <v>0</v>
      </c>
      <c r="AF167" s="174">
        <f>Ruimtestaat[[#This Row],[kosten / jaar weekend]]+Ruimtestaat[[#This Row],[kosten / jaar werkdagen]]</f>
        <v>0</v>
      </c>
      <c r="AG167" s="174"/>
      <c r="AH167" s="181" t="str">
        <f>IF(Ruimtestaat[[#This Row],[Frequentie werkdagen]]="","",_xlfn.CONCAT(Ruimtestaat[[#This Row],[Ruimte code]],"-",Ruimtestaat[[#This Row],[Frequentie werkdagen]]," ",Ruimtestaat[[#This Row],[Vloer code]]))</f>
        <v>2-3w L</v>
      </c>
      <c r="AI167" s="185" t="str">
        <f>_xlfn.IFNA(VLOOKUP($AH167,Programma!$F$3:$G$1101,2,0),"")</f>
        <v>_</v>
      </c>
      <c r="AJ167" s="185" t="str">
        <f>_xlfn.IFNA(VLOOKUP($AH167,Programma!$F$3:$H$1101,3,0),"")</f>
        <v>_</v>
      </c>
      <c r="AK167" s="185" t="str">
        <f>_xlfn.IFNA(VLOOKUP($AH167,Programma!$F$3:$I$1101,4,0),"")</f>
        <v>2w</v>
      </c>
      <c r="AL167" s="185" t="str">
        <f>_xlfn.IFNA(VLOOKUP($AH167,Programma!$F$3:$J$1101,5,0),"")</f>
        <v>1w</v>
      </c>
      <c r="AM167" s="185" t="str">
        <f>_xlfn.IFNA(VLOOKUP($AH167,Programma!$F$3:$K$1101,6,0),"")</f>
        <v>_</v>
      </c>
      <c r="AN167" s="185" t="str">
        <f>_xlfn.IFNA(VLOOKUP($AH167,Programma!$F$3:$L$1101,7,0),"")</f>
        <v>_</v>
      </c>
      <c r="AO167" s="185" t="str">
        <f>_xlfn.IFNA(VLOOKUP($AH167,Programma!$F$3:$M$1101,8,0),"")</f>
        <v>_</v>
      </c>
      <c r="AP167" s="185" t="str">
        <f>_xlfn.IFNA(VLOOKUP($AH167,Programma!$F$3:$N$1101,9,0),"")</f>
        <v>_</v>
      </c>
      <c r="AQ167" s="185" t="str">
        <f>_xlfn.IFNA(VLOOKUP($AH167,Programma!$F$3:$O$1101,10,0),"")</f>
        <v>3w</v>
      </c>
      <c r="AR167" s="185" t="str">
        <f>_xlfn.IFNA(VLOOKUP($AH167,Programma!$F$3:$P$1101,11,0),"")</f>
        <v>3w</v>
      </c>
      <c r="AS167" s="185" t="str">
        <f>_xlfn.IFNA(VLOOKUP($AH167,Programma!$F$3:$Q$1101,12,0),"")</f>
        <v>1w</v>
      </c>
      <c r="AT167" s="185" t="str">
        <f>_xlfn.IFNA(VLOOKUP($AH167,Programma!$F$3:$R$1101,13,0),"")</f>
        <v>1w</v>
      </c>
      <c r="AU167" s="185" t="str">
        <f>_xlfn.IFNA(VLOOKUP($AH167,Programma!$F$3:$S$1101,14,0),"")</f>
        <v>1m</v>
      </c>
      <c r="AV167" s="185" t="str">
        <f>_xlfn.IFNA(VLOOKUP($AH167,Programma!$F$3:$T$1101,15,0),"")</f>
        <v>2j</v>
      </c>
      <c r="AW167" s="185" t="str">
        <f>_xlfn.IFNA(VLOOKUP($AH167,Programma!$F$3:$U$1101,16,0),"")</f>
        <v>1j</v>
      </c>
      <c r="AX167" s="185" t="str">
        <f>_xlfn.IFNA(VLOOKUP($AH167,Programma!$F$3:$V$1101,17,0),"")</f>
        <v>_</v>
      </c>
      <c r="AY167" s="185" t="str">
        <f>_xlfn.IFNA(VLOOKUP($AH167,Programma!$F$3:$W$1101,18,0),"")</f>
        <v>_</v>
      </c>
      <c r="AZ167" s="185" t="str">
        <f>_xlfn.IFNA(VLOOKUP($AH167,Programma!$F$3:$X$1101,19,0),"")</f>
        <v>_</v>
      </c>
      <c r="BA167" s="185" t="str">
        <f>_xlfn.IFNA(VLOOKUP($AH167,Programma!$F$3:$Y$1101,20,0),"")</f>
        <v>_</v>
      </c>
      <c r="BB167" s="182"/>
      <c r="BC167" s="181" t="str">
        <f>IF(Ruimtestaat[[#This Row],[Frequentie weekend]]="","",_xlfn.CONCAT(Ruimtestaat[[#This Row],[Ruimte code]],"-",Ruimtestaat[[#This Row],[Frequentie weekend]]," ",Ruimtestaat[[#This Row],[Vloer code]]))</f>
        <v/>
      </c>
      <c r="BD167" s="185" t="str">
        <f>_xlfn.IFNA(VLOOKUP($BC167,Programma!$F$3:$G$1101,2,0),"")</f>
        <v/>
      </c>
      <c r="BE167" s="185" t="str">
        <f>_xlfn.IFNA(VLOOKUP($BC167,Programma!$F$3:$H$1101,3,0),"")</f>
        <v/>
      </c>
      <c r="BF167" s="185" t="str">
        <f>_xlfn.IFNA(VLOOKUP($BC167,Programma!$F$3:$I$1101,4,0),"")</f>
        <v/>
      </c>
      <c r="BG167" s="185" t="str">
        <f>_xlfn.IFNA(VLOOKUP($BC167,Programma!$F$3:$J$1101,5,0),"")</f>
        <v/>
      </c>
      <c r="BH167" s="185" t="str">
        <f>_xlfn.IFNA(VLOOKUP($BC167,Programma!$F$3:$K$1101,6,0),"")</f>
        <v/>
      </c>
      <c r="BI167" s="185" t="str">
        <f>_xlfn.IFNA(VLOOKUP($BC167,Programma!$F$3:$L$1101,7,0),"")</f>
        <v/>
      </c>
      <c r="BJ167" s="185" t="str">
        <f>_xlfn.IFNA(VLOOKUP($BC167,Programma!$F$3:$M$1101,8,0),"")</f>
        <v/>
      </c>
      <c r="BK167" s="185" t="str">
        <f>_xlfn.IFNA(VLOOKUP($BC167,Programma!$F$3:$N$1101,9,0),"")</f>
        <v/>
      </c>
      <c r="BL167" s="185" t="str">
        <f>_xlfn.IFNA(VLOOKUP($BC167,Programma!$F$3:$O$1101,10,0),"")</f>
        <v/>
      </c>
      <c r="BM167" s="185" t="str">
        <f>_xlfn.IFNA(VLOOKUP($BC167,Programma!$F$3:$P$1101,11,0),"")</f>
        <v/>
      </c>
      <c r="BN167" s="185" t="str">
        <f>_xlfn.IFNA(VLOOKUP($BC167,Programma!$F$3:$Q$1101,12,0),"")</f>
        <v/>
      </c>
      <c r="BO167" s="185" t="str">
        <f>_xlfn.IFNA(VLOOKUP($BC167,Programma!$F$3:$R$1101,13,0),"")</f>
        <v/>
      </c>
      <c r="BP167" s="185" t="str">
        <f>_xlfn.IFNA(VLOOKUP($BC167,Programma!$F$3:$S$1101,14,0),"")</f>
        <v/>
      </c>
      <c r="BQ167" s="185" t="str">
        <f>_xlfn.IFNA(VLOOKUP($BC167,Programma!$F$3:$T$1101,15,0),"")</f>
        <v/>
      </c>
      <c r="BR167" s="185" t="str">
        <f>_xlfn.IFNA(VLOOKUP($BC167,Programma!$F$3:$U$1101,16,0),"")</f>
        <v/>
      </c>
      <c r="BS167" s="185" t="str">
        <f>_xlfn.IFNA(VLOOKUP($BC167,Programma!$F$3:$V$1101,17,0),"")</f>
        <v/>
      </c>
      <c r="BT167" s="185" t="str">
        <f>_xlfn.IFNA(VLOOKUP($BC167,Programma!$F$3:$W$1101,18,0),"")</f>
        <v/>
      </c>
      <c r="BU167" s="185" t="str">
        <f>_xlfn.IFNA(VLOOKUP($BC167,Programma!$F$3:$X$1101,19,0),"")</f>
        <v/>
      </c>
      <c r="BV167" s="185" t="str">
        <f>_xlfn.IFNA(VLOOKUP($BC167,Programma!$F$3:$Y$1101,20,0),"")</f>
        <v/>
      </c>
      <c r="BW167" s="78"/>
      <c r="BX167" s="78"/>
      <c r="BY167" s="78"/>
      <c r="BZ167" s="78"/>
      <c r="CA167" s="78"/>
      <c r="CB167" s="78"/>
      <c r="CC167" s="78"/>
      <c r="CD167" s="78"/>
      <c r="CE167" s="78"/>
      <c r="CF167" s="78"/>
      <c r="CG167" s="78"/>
      <c r="CH167" s="78"/>
      <c r="CI167" s="78"/>
      <c r="CJ167" s="78"/>
      <c r="CK167" s="78"/>
      <c r="CL167" s="78"/>
      <c r="CM167" s="78"/>
      <c r="CN167" s="78"/>
      <c r="CO167" s="78"/>
      <c r="CP167" s="78"/>
      <c r="CQ167" s="78"/>
      <c r="CR167" s="78"/>
      <c r="CS167" s="78"/>
      <c r="CT167" s="78"/>
      <c r="CU167" s="78"/>
      <c r="CV167" s="78"/>
      <c r="CW167" s="78"/>
      <c r="CX167" s="78"/>
      <c r="CY167" s="78"/>
      <c r="CZ167" s="78"/>
      <c r="DA167" s="78"/>
      <c r="DB167" s="78"/>
      <c r="DC167" s="78"/>
      <c r="DD167" s="78"/>
      <c r="DE167" s="78"/>
      <c r="DF167" s="78"/>
      <c r="DG167" s="78"/>
      <c r="DH167" s="78"/>
      <c r="DI167" s="78"/>
      <c r="DJ167" s="78"/>
      <c r="DK167" s="78"/>
      <c r="DL167" s="78"/>
      <c r="DM167" s="78"/>
      <c r="DN167" s="78"/>
      <c r="DO167" s="78"/>
      <c r="DP167" s="78"/>
      <c r="DQ167" s="78"/>
      <c r="DR167" s="78"/>
      <c r="DS167" s="78"/>
      <c r="DT167" s="78"/>
      <c r="DU167" s="78"/>
      <c r="DV167" s="78"/>
      <c r="DW167" s="78"/>
      <c r="DX167" s="78"/>
      <c r="DY167" s="78"/>
      <c r="DZ167" s="78"/>
      <c r="EA167" s="78"/>
      <c r="EB167" s="78"/>
      <c r="EC167" s="78"/>
      <c r="ED167" s="78"/>
      <c r="EE167" s="78"/>
      <c r="EF167" s="78"/>
      <c r="EG167" s="78"/>
      <c r="EH167" s="78"/>
      <c r="EI167" s="78"/>
      <c r="EJ167" s="78"/>
      <c r="EK167" s="78"/>
      <c r="EL167" s="78"/>
      <c r="EM167" s="78"/>
      <c r="EN167" s="78"/>
      <c r="EO167" s="78"/>
      <c r="EP167" s="78"/>
      <c r="EQ167" s="78"/>
      <c r="ER167" s="78"/>
      <c r="ES167" s="78"/>
      <c r="ET167" s="78"/>
      <c r="EU167" s="78"/>
      <c r="EV167" s="78"/>
      <c r="EW167" s="78"/>
      <c r="EX167" s="78"/>
      <c r="EY167" s="78"/>
      <c r="EZ167" s="78"/>
      <c r="FA167" s="78"/>
      <c r="FB167" s="78"/>
      <c r="FC167" s="78"/>
      <c r="FD167" s="78"/>
      <c r="FE167" s="78"/>
      <c r="FF167" s="78"/>
      <c r="FG167" s="78"/>
      <c r="FH167" s="78"/>
      <c r="FI167" s="78"/>
      <c r="FJ167" s="78"/>
      <c r="FK167" s="78"/>
      <c r="FL167" s="78"/>
      <c r="FM167" s="78"/>
      <c r="FN167" s="78"/>
      <c r="FO167" s="78"/>
      <c r="FP167" s="78"/>
      <c r="FQ167" s="78"/>
      <c r="FR167" s="78"/>
      <c r="FS167" s="78"/>
      <c r="FT167" s="78"/>
      <c r="FU167" s="78"/>
      <c r="FV167" s="78"/>
      <c r="FW167" s="78"/>
      <c r="FX167" s="78"/>
      <c r="FY167" s="78"/>
      <c r="FZ167" s="78"/>
      <c r="GA167" s="78"/>
      <c r="GB167" s="78"/>
      <c r="GC167" s="78"/>
      <c r="GD167" s="78"/>
      <c r="GE167" s="78"/>
      <c r="GF167" s="78"/>
      <c r="GG167" s="78"/>
      <c r="GH167" s="78"/>
      <c r="GI167" s="78"/>
      <c r="GJ167" s="78"/>
      <c r="GK167" s="78"/>
      <c r="GL167" s="78"/>
      <c r="GM167" s="78"/>
      <c r="GN167" s="78"/>
      <c r="GO167" s="78"/>
      <c r="GP167" s="78"/>
      <c r="GQ167" s="78"/>
      <c r="GR167" s="78"/>
      <c r="GS167" s="78"/>
      <c r="GT167" s="78"/>
      <c r="GU167" s="78"/>
      <c r="GV167" s="78"/>
      <c r="GW167" s="78"/>
      <c r="GX167" s="78"/>
      <c r="GY167" s="78"/>
      <c r="GZ167" s="78"/>
      <c r="HA167" s="78"/>
      <c r="HB167" s="78"/>
      <c r="HC167" s="78"/>
      <c r="HD167" s="78"/>
      <c r="HE167" s="78"/>
      <c r="HF167" s="78"/>
      <c r="HG167" s="78"/>
      <c r="HH167" s="78"/>
      <c r="HI167" s="78"/>
      <c r="HJ167" s="78"/>
      <c r="HK167" s="78"/>
    </row>
    <row r="168" spans="1:219" ht="15" customHeight="1">
      <c r="A168" s="149">
        <v>5</v>
      </c>
      <c r="B168" s="176" t="str">
        <f>VLOOKUP(Ruimtestaat[[#This Row],[Code]],Locaties[[Code]:[Locatie]],2,FALSE)</f>
        <v>OBS Harry Bannink</v>
      </c>
      <c r="C168" s="176" t="str">
        <f>VLOOKUP(Ruimtestaat[[#This Row],[Code]],Locaties[[#All],[Code]:[Adres]],4,FALSE)</f>
        <v>Het Bijvank 111</v>
      </c>
      <c r="D168" s="176" t="str">
        <f>VLOOKUP(Ruimtestaat[[#This Row],[Code]],Locaties[[#All],[Code]:[Postcode]],5,FALSE)</f>
        <v>7544 DA</v>
      </c>
      <c r="E168" s="176" t="str">
        <f>VLOOKUP(Ruimtestaat[[#This Row],[Code]],Locaties[#All],6,FALSE)</f>
        <v>Enschede</v>
      </c>
      <c r="F168" s="149"/>
      <c r="G168" s="149" t="s">
        <v>1714</v>
      </c>
      <c r="H168" s="99" t="s">
        <v>1753</v>
      </c>
      <c r="I168" s="183" t="s">
        <v>1649</v>
      </c>
      <c r="J168" s="99">
        <v>2</v>
      </c>
      <c r="K168" s="183" t="str">
        <f>VLOOKUP(Ruimtestaat[[#This Row],[Ruimte code]],Ruimtegroepen[[#All],[Code]:[Ruimte omschrijving]],2,FALSE)</f>
        <v>Kantoren</v>
      </c>
      <c r="L168" s="149" t="s">
        <v>100</v>
      </c>
      <c r="M168" s="301" t="s">
        <v>1697</v>
      </c>
      <c r="N168" s="177">
        <v>9.1999999999999993</v>
      </c>
      <c r="O168" s="177"/>
      <c r="P168" s="178" t="str">
        <f>VLOOKUP(Ruimtestaat[[#This Row],[Ruimte code]],Ruimtegroepen[],4,FALSE)</f>
        <v>Bu</v>
      </c>
      <c r="Q168" s="149">
        <v>40</v>
      </c>
      <c r="R168" s="149" t="s">
        <v>18</v>
      </c>
      <c r="S168" s="149">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168" s="149">
        <f>IF(S168&gt;0,VLOOKUP($J168,Ruimtegroepen[],3,FALSE)*VLOOKUP($L168,Vloersoorten[],3,FALSE)*VLOOKUP($R168,Frequenties[],3,FALSE)*VLOOKUP($A168,Locaties[],3,FALSE),0)</f>
        <v>0</v>
      </c>
      <c r="U168" s="149">
        <f>Ruimtestaat[[#This Row],[Uitvoeringen werkdagen]]*Ruimtestaat[[#This Row],[Oppervlak (netto)]]</f>
        <v>1104</v>
      </c>
      <c r="V168" s="179">
        <f>IF(T168&gt;0,Ruimtestaat[[#This Row],[Prest. (m2 /jaar) werkdagen]]/Ruimtestaat[[#This Row],[Norm (m2/uur) werkdagen]],0)</f>
        <v>0</v>
      </c>
      <c r="W168" s="180">
        <f>Ruimtestaat[[#This Row],[uren / jaar werkdagen]]*Tariefsopbouw!$E$35</f>
        <v>0</v>
      </c>
      <c r="X168" s="149"/>
      <c r="Y168" s="149">
        <f>IF(Ruimtestaat[[#This Row],[Frequentie weekend]]&gt;0,VALUE(LEFT(X168,1))*Q168,0)</f>
        <v>0</v>
      </c>
      <c r="Z168" s="148">
        <f>IF($Y168&gt;0,VLOOKUP($J168,Ruimtegroepen[],3,FALSE)*VLOOKUP($L168,Vloersoorten[],3,FALSE)*VLOOKUP($X168,Frequenties[],3,FALSE)*VLOOKUP(Ruimtestaat[[#This Row],[Code]],Locaties[],3,FALSE),0)</f>
        <v>0</v>
      </c>
      <c r="AA168" s="148">
        <f>Ruimtestaat[[#This Row],[Uitvoeringen weekend]]*Ruimtestaat[[#This Row],[Oppervlak (netto)]]</f>
        <v>0</v>
      </c>
      <c r="AB168" s="148">
        <f>IF(Z168&gt;0,Ruimtestaat[[#This Row],[Prest. (m2 /jaar) weekend]]/Ruimtestaat[[#This Row],[Norm (m2/uur) weekend]],0)</f>
        <v>0</v>
      </c>
      <c r="AC168" s="180">
        <f>Ruimtestaat[[#This Row],[uren / jaar weekend]]*Tariefsopbouw!$D$40</f>
        <v>0</v>
      </c>
      <c r="AD168" s="179">
        <f>Ruimtestaat[[#This Row],[Prest. (m2 /jaar) weekend]]+Ruimtestaat[[#This Row],[Prest. (m2 /jaar) werkdagen]]</f>
        <v>1104</v>
      </c>
      <c r="AE168" s="179">
        <f>Ruimtestaat[[#This Row],[uren / jaar weekend]]+Ruimtestaat[[#This Row],[uren / jaar werkdagen]]</f>
        <v>0</v>
      </c>
      <c r="AF168" s="174">
        <f>Ruimtestaat[[#This Row],[kosten / jaar weekend]]+Ruimtestaat[[#This Row],[kosten / jaar werkdagen]]</f>
        <v>0</v>
      </c>
      <c r="AG168" s="174"/>
      <c r="AH168" s="181" t="str">
        <f>IF(Ruimtestaat[[#This Row],[Frequentie werkdagen]]="","",_xlfn.CONCAT(Ruimtestaat[[#This Row],[Ruimte code]],"-",Ruimtestaat[[#This Row],[Frequentie werkdagen]]," ",Ruimtestaat[[#This Row],[Vloer code]]))</f>
        <v>2-3w L</v>
      </c>
      <c r="AI168" s="185" t="str">
        <f>_xlfn.IFNA(VLOOKUP($AH168,Programma!$F$3:$G$1101,2,0),"")</f>
        <v>_</v>
      </c>
      <c r="AJ168" s="185" t="str">
        <f>_xlfn.IFNA(VLOOKUP($AH168,Programma!$F$3:$H$1101,3,0),"")</f>
        <v>_</v>
      </c>
      <c r="AK168" s="185" t="str">
        <f>_xlfn.IFNA(VLOOKUP($AH168,Programma!$F$3:$I$1101,4,0),"")</f>
        <v>2w</v>
      </c>
      <c r="AL168" s="185" t="str">
        <f>_xlfn.IFNA(VLOOKUP($AH168,Programma!$F$3:$J$1101,5,0),"")</f>
        <v>1w</v>
      </c>
      <c r="AM168" s="185" t="str">
        <f>_xlfn.IFNA(VLOOKUP($AH168,Programma!$F$3:$K$1101,6,0),"")</f>
        <v>_</v>
      </c>
      <c r="AN168" s="185" t="str">
        <f>_xlfn.IFNA(VLOOKUP($AH168,Programma!$F$3:$L$1101,7,0),"")</f>
        <v>_</v>
      </c>
      <c r="AO168" s="185" t="str">
        <f>_xlfn.IFNA(VLOOKUP($AH168,Programma!$F$3:$M$1101,8,0),"")</f>
        <v>_</v>
      </c>
      <c r="AP168" s="185" t="str">
        <f>_xlfn.IFNA(VLOOKUP($AH168,Programma!$F$3:$N$1101,9,0),"")</f>
        <v>_</v>
      </c>
      <c r="AQ168" s="185" t="str">
        <f>_xlfn.IFNA(VLOOKUP($AH168,Programma!$F$3:$O$1101,10,0),"")</f>
        <v>3w</v>
      </c>
      <c r="AR168" s="185" t="str">
        <f>_xlfn.IFNA(VLOOKUP($AH168,Programma!$F$3:$P$1101,11,0),"")</f>
        <v>3w</v>
      </c>
      <c r="AS168" s="185" t="str">
        <f>_xlfn.IFNA(VLOOKUP($AH168,Programma!$F$3:$Q$1101,12,0),"")</f>
        <v>1w</v>
      </c>
      <c r="AT168" s="185" t="str">
        <f>_xlfn.IFNA(VLOOKUP($AH168,Programma!$F$3:$R$1101,13,0),"")</f>
        <v>1w</v>
      </c>
      <c r="AU168" s="185" t="str">
        <f>_xlfn.IFNA(VLOOKUP($AH168,Programma!$F$3:$S$1101,14,0),"")</f>
        <v>1m</v>
      </c>
      <c r="AV168" s="185" t="str">
        <f>_xlfn.IFNA(VLOOKUP($AH168,Programma!$F$3:$T$1101,15,0),"")</f>
        <v>2j</v>
      </c>
      <c r="AW168" s="185" t="str">
        <f>_xlfn.IFNA(VLOOKUP($AH168,Programma!$F$3:$U$1101,16,0),"")</f>
        <v>1j</v>
      </c>
      <c r="AX168" s="185" t="str">
        <f>_xlfn.IFNA(VLOOKUP($AH168,Programma!$F$3:$V$1101,17,0),"")</f>
        <v>_</v>
      </c>
      <c r="AY168" s="185" t="str">
        <f>_xlfn.IFNA(VLOOKUP($AH168,Programma!$F$3:$W$1101,18,0),"")</f>
        <v>_</v>
      </c>
      <c r="AZ168" s="185" t="str">
        <f>_xlfn.IFNA(VLOOKUP($AH168,Programma!$F$3:$X$1101,19,0),"")</f>
        <v>_</v>
      </c>
      <c r="BA168" s="185" t="str">
        <f>_xlfn.IFNA(VLOOKUP($AH168,Programma!$F$3:$Y$1101,20,0),"")</f>
        <v>_</v>
      </c>
      <c r="BB168" s="182"/>
      <c r="BC168" s="181" t="str">
        <f>IF(Ruimtestaat[[#This Row],[Frequentie weekend]]="","",_xlfn.CONCAT(Ruimtestaat[[#This Row],[Ruimte code]],"-",Ruimtestaat[[#This Row],[Frequentie weekend]]," ",Ruimtestaat[[#This Row],[Vloer code]]))</f>
        <v/>
      </c>
      <c r="BD168" s="185" t="str">
        <f>_xlfn.IFNA(VLOOKUP($BC168,Programma!$F$3:$G$1101,2,0),"")</f>
        <v/>
      </c>
      <c r="BE168" s="185" t="str">
        <f>_xlfn.IFNA(VLOOKUP($BC168,Programma!$F$3:$H$1101,3,0),"")</f>
        <v/>
      </c>
      <c r="BF168" s="185" t="str">
        <f>_xlfn.IFNA(VLOOKUP($BC168,Programma!$F$3:$I$1101,4,0),"")</f>
        <v/>
      </c>
      <c r="BG168" s="185" t="str">
        <f>_xlfn.IFNA(VLOOKUP($BC168,Programma!$F$3:$J$1101,5,0),"")</f>
        <v/>
      </c>
      <c r="BH168" s="185" t="str">
        <f>_xlfn.IFNA(VLOOKUP($BC168,Programma!$F$3:$K$1101,6,0),"")</f>
        <v/>
      </c>
      <c r="BI168" s="185" t="str">
        <f>_xlfn.IFNA(VLOOKUP($BC168,Programma!$F$3:$L$1101,7,0),"")</f>
        <v/>
      </c>
      <c r="BJ168" s="185" t="str">
        <f>_xlfn.IFNA(VLOOKUP($BC168,Programma!$F$3:$M$1101,8,0),"")</f>
        <v/>
      </c>
      <c r="BK168" s="185" t="str">
        <f>_xlfn.IFNA(VLOOKUP($BC168,Programma!$F$3:$N$1101,9,0),"")</f>
        <v/>
      </c>
      <c r="BL168" s="185" t="str">
        <f>_xlfn.IFNA(VLOOKUP($BC168,Programma!$F$3:$O$1101,10,0),"")</f>
        <v/>
      </c>
      <c r="BM168" s="185" t="str">
        <f>_xlfn.IFNA(VLOOKUP($BC168,Programma!$F$3:$P$1101,11,0),"")</f>
        <v/>
      </c>
      <c r="BN168" s="185" t="str">
        <f>_xlfn.IFNA(VLOOKUP($BC168,Programma!$F$3:$Q$1101,12,0),"")</f>
        <v/>
      </c>
      <c r="BO168" s="185" t="str">
        <f>_xlfn.IFNA(VLOOKUP($BC168,Programma!$F$3:$R$1101,13,0),"")</f>
        <v/>
      </c>
      <c r="BP168" s="185" t="str">
        <f>_xlfn.IFNA(VLOOKUP($BC168,Programma!$F$3:$S$1101,14,0),"")</f>
        <v/>
      </c>
      <c r="BQ168" s="185" t="str">
        <f>_xlfn.IFNA(VLOOKUP($BC168,Programma!$F$3:$T$1101,15,0),"")</f>
        <v/>
      </c>
      <c r="BR168" s="185" t="str">
        <f>_xlfn.IFNA(VLOOKUP($BC168,Programma!$F$3:$U$1101,16,0),"")</f>
        <v/>
      </c>
      <c r="BS168" s="185" t="str">
        <f>_xlfn.IFNA(VLOOKUP($BC168,Programma!$F$3:$V$1101,17,0),"")</f>
        <v/>
      </c>
      <c r="BT168" s="185" t="str">
        <f>_xlfn.IFNA(VLOOKUP($BC168,Programma!$F$3:$W$1101,18,0),"")</f>
        <v/>
      </c>
      <c r="BU168" s="185" t="str">
        <f>_xlfn.IFNA(VLOOKUP($BC168,Programma!$F$3:$X$1101,19,0),"")</f>
        <v/>
      </c>
      <c r="BV168" s="185" t="str">
        <f>_xlfn.IFNA(VLOOKUP($BC168,Programma!$F$3:$Y$1101,20,0),"")</f>
        <v/>
      </c>
      <c r="BW168" s="78"/>
      <c r="BX168" s="78"/>
      <c r="BY168" s="78"/>
      <c r="BZ168" s="78"/>
      <c r="CA168" s="78"/>
      <c r="CB168" s="78"/>
      <c r="CC168" s="78"/>
      <c r="CD168" s="78"/>
      <c r="CE168" s="78"/>
      <c r="CF168" s="78"/>
      <c r="CG168" s="78"/>
      <c r="CH168" s="78"/>
      <c r="CI168" s="78"/>
      <c r="CJ168" s="78"/>
      <c r="CK168" s="78"/>
      <c r="CL168" s="78"/>
      <c r="CM168" s="78"/>
      <c r="CN168" s="78"/>
      <c r="CO168" s="78"/>
      <c r="CP168" s="78"/>
      <c r="CQ168" s="78"/>
      <c r="CR168" s="78"/>
      <c r="CS168" s="78"/>
      <c r="CT168" s="78"/>
      <c r="CU168" s="78"/>
      <c r="CV168" s="78"/>
      <c r="CW168" s="78"/>
      <c r="CX168" s="78"/>
      <c r="CY168" s="78"/>
      <c r="CZ168" s="78"/>
      <c r="DA168" s="78"/>
      <c r="DB168" s="78"/>
      <c r="DC168" s="78"/>
      <c r="DD168" s="78"/>
      <c r="DE168" s="78"/>
      <c r="DF168" s="78"/>
      <c r="DG168" s="78"/>
      <c r="DH168" s="78"/>
      <c r="DI168" s="78"/>
      <c r="DJ168" s="78"/>
      <c r="DK168" s="78"/>
      <c r="DL168" s="78"/>
      <c r="DM168" s="78"/>
      <c r="DN168" s="78"/>
      <c r="DO168" s="78"/>
      <c r="DP168" s="78"/>
      <c r="DQ168" s="78"/>
      <c r="DR168" s="78"/>
      <c r="DS168" s="78"/>
      <c r="DT168" s="78"/>
      <c r="DU168" s="78"/>
      <c r="DV168" s="78"/>
      <c r="DW168" s="78"/>
      <c r="DX168" s="78"/>
      <c r="DY168" s="78"/>
      <c r="DZ168" s="78"/>
      <c r="EA168" s="78"/>
      <c r="EB168" s="78"/>
      <c r="EC168" s="78"/>
      <c r="ED168" s="78"/>
      <c r="EE168" s="78"/>
      <c r="EF168" s="78"/>
      <c r="EG168" s="78"/>
      <c r="EH168" s="78"/>
      <c r="EI168" s="78"/>
      <c r="EJ168" s="78"/>
      <c r="EK168" s="78"/>
      <c r="EL168" s="78"/>
      <c r="EM168" s="78"/>
      <c r="EN168" s="78"/>
      <c r="EO168" s="78"/>
      <c r="EP168" s="78"/>
      <c r="EQ168" s="78"/>
      <c r="ER168" s="78"/>
      <c r="ES168" s="78"/>
      <c r="ET168" s="78"/>
      <c r="EU168" s="78"/>
      <c r="EV168" s="78"/>
      <c r="EW168" s="78"/>
      <c r="EX168" s="78"/>
      <c r="EY168" s="78"/>
      <c r="EZ168" s="78"/>
      <c r="FA168" s="78"/>
      <c r="FB168" s="78"/>
      <c r="FC168" s="78"/>
      <c r="FD168" s="78"/>
      <c r="FE168" s="78"/>
      <c r="FF168" s="78"/>
      <c r="FG168" s="78"/>
      <c r="FH168" s="78"/>
      <c r="FI168" s="78"/>
      <c r="FJ168" s="78"/>
      <c r="FK168" s="78"/>
      <c r="FL168" s="78"/>
      <c r="FM168" s="78"/>
      <c r="FN168" s="78"/>
      <c r="FO168" s="78"/>
      <c r="FP168" s="78"/>
      <c r="FQ168" s="78"/>
      <c r="FR168" s="78"/>
      <c r="FS168" s="78"/>
      <c r="FT168" s="78"/>
      <c r="FU168" s="78"/>
      <c r="FV168" s="78"/>
      <c r="FW168" s="78"/>
      <c r="FX168" s="78"/>
      <c r="FY168" s="78"/>
      <c r="FZ168" s="78"/>
      <c r="GA168" s="78"/>
      <c r="GB168" s="78"/>
      <c r="GC168" s="78"/>
      <c r="GD168" s="78"/>
      <c r="GE168" s="78"/>
      <c r="GF168" s="78"/>
      <c r="GG168" s="78"/>
      <c r="GH168" s="78"/>
      <c r="GI168" s="78"/>
      <c r="GJ168" s="78"/>
      <c r="GK168" s="78"/>
      <c r="GL168" s="78"/>
      <c r="GM168" s="78"/>
      <c r="GN168" s="78"/>
      <c r="GO168" s="78"/>
      <c r="GP168" s="78"/>
      <c r="GQ168" s="78"/>
      <c r="GR168" s="78"/>
      <c r="GS168" s="78"/>
      <c r="GT168" s="78"/>
      <c r="GU168" s="78"/>
      <c r="GV168" s="78"/>
      <c r="GW168" s="78"/>
      <c r="GX168" s="78"/>
      <c r="GY168" s="78"/>
      <c r="GZ168" s="78"/>
      <c r="HA168" s="78"/>
      <c r="HB168" s="78"/>
      <c r="HC168" s="78"/>
      <c r="HD168" s="78"/>
      <c r="HE168" s="78"/>
      <c r="HF168" s="78"/>
      <c r="HG168" s="78"/>
      <c r="HH168" s="78"/>
      <c r="HI168" s="78"/>
      <c r="HJ168" s="78"/>
      <c r="HK168" s="78"/>
    </row>
    <row r="169" spans="1:219" ht="15" customHeight="1">
      <c r="A169" s="149">
        <v>5</v>
      </c>
      <c r="B169" s="176" t="str">
        <f>VLOOKUP(Ruimtestaat[[#This Row],[Code]],Locaties[[Code]:[Locatie]],2,FALSE)</f>
        <v>OBS Harry Bannink</v>
      </c>
      <c r="C169" s="176" t="str">
        <f>VLOOKUP(Ruimtestaat[[#This Row],[Code]],Locaties[[#All],[Code]:[Adres]],4,FALSE)</f>
        <v>Het Bijvank 111</v>
      </c>
      <c r="D169" s="176" t="str">
        <f>VLOOKUP(Ruimtestaat[[#This Row],[Code]],Locaties[[#All],[Code]:[Postcode]],5,FALSE)</f>
        <v>7544 DA</v>
      </c>
      <c r="E169" s="176" t="str">
        <f>VLOOKUP(Ruimtestaat[[#This Row],[Code]],Locaties[#All],6,FALSE)</f>
        <v>Enschede</v>
      </c>
      <c r="F169" s="149"/>
      <c r="G169" s="149" t="s">
        <v>1714</v>
      </c>
      <c r="H169" s="99" t="s">
        <v>1754</v>
      </c>
      <c r="I169" s="183" t="s">
        <v>1651</v>
      </c>
      <c r="J169" s="99">
        <v>16</v>
      </c>
      <c r="K169" s="183" t="str">
        <f>VLOOKUP(Ruimtestaat[[#This Row],[Ruimte code]],Ruimtegroepen[[#All],[Code]:[Ruimte omschrijving]],2,FALSE)</f>
        <v>Leslokalen</v>
      </c>
      <c r="L169" s="149" t="s">
        <v>100</v>
      </c>
      <c r="M169" s="301" t="s">
        <v>1697</v>
      </c>
      <c r="N169" s="177">
        <v>54.1</v>
      </c>
      <c r="O169" s="177"/>
      <c r="P169" s="178" t="str">
        <f>VLOOKUP(Ruimtestaat[[#This Row],[Ruimte code]],Ruimtegroepen[],4,FALSE)</f>
        <v>Le</v>
      </c>
      <c r="Q169" s="149">
        <v>40</v>
      </c>
      <c r="R169" s="149" t="s">
        <v>2</v>
      </c>
      <c r="S169" s="149">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149">
        <f>IF(S169&gt;0,VLOOKUP($J169,Ruimtegroepen[],3,FALSE)*VLOOKUP($L169,Vloersoorten[],3,FALSE)*VLOOKUP($R169,Frequenties[],3,FALSE)*VLOOKUP($A169,Locaties[],3,FALSE),0)</f>
        <v>0</v>
      </c>
      <c r="U169" s="149">
        <f>Ruimtestaat[[#This Row],[Uitvoeringen werkdagen]]*Ruimtestaat[[#This Row],[Oppervlak (netto)]]</f>
        <v>10820</v>
      </c>
      <c r="V169" s="179">
        <f>IF(T169&gt;0,Ruimtestaat[[#This Row],[Prest. (m2 /jaar) werkdagen]]/Ruimtestaat[[#This Row],[Norm (m2/uur) werkdagen]],0)</f>
        <v>0</v>
      </c>
      <c r="W169" s="180">
        <f>Ruimtestaat[[#This Row],[uren / jaar werkdagen]]*Tariefsopbouw!$E$35</f>
        <v>0</v>
      </c>
      <c r="X169" s="149"/>
      <c r="Y169" s="149">
        <f>IF(Ruimtestaat[[#This Row],[Frequentie weekend]]&gt;0,VALUE(LEFT(X169,1))*Q169,0)</f>
        <v>0</v>
      </c>
      <c r="Z169" s="148">
        <f>IF($Y169&gt;0,VLOOKUP($J169,Ruimtegroepen[],3,FALSE)*VLOOKUP($L169,Vloersoorten[],3,FALSE)*VLOOKUP($X169,Frequenties[],3,FALSE)*VLOOKUP(Ruimtestaat[[#This Row],[Code]],Locaties[],3,FALSE),0)</f>
        <v>0</v>
      </c>
      <c r="AA169" s="148">
        <f>Ruimtestaat[[#This Row],[Uitvoeringen weekend]]*Ruimtestaat[[#This Row],[Oppervlak (netto)]]</f>
        <v>0</v>
      </c>
      <c r="AB169" s="148">
        <f>IF(Z169&gt;0,Ruimtestaat[[#This Row],[Prest. (m2 /jaar) weekend]]/Ruimtestaat[[#This Row],[Norm (m2/uur) weekend]],0)</f>
        <v>0</v>
      </c>
      <c r="AC169" s="180">
        <f>Ruimtestaat[[#This Row],[uren / jaar weekend]]*Tariefsopbouw!$D$40</f>
        <v>0</v>
      </c>
      <c r="AD169" s="179">
        <f>Ruimtestaat[[#This Row],[Prest. (m2 /jaar) weekend]]+Ruimtestaat[[#This Row],[Prest. (m2 /jaar) werkdagen]]</f>
        <v>10820</v>
      </c>
      <c r="AE169" s="179">
        <f>Ruimtestaat[[#This Row],[uren / jaar weekend]]+Ruimtestaat[[#This Row],[uren / jaar werkdagen]]</f>
        <v>0</v>
      </c>
      <c r="AF169" s="174">
        <f>Ruimtestaat[[#This Row],[kosten / jaar weekend]]+Ruimtestaat[[#This Row],[kosten / jaar werkdagen]]</f>
        <v>0</v>
      </c>
      <c r="AG169" s="174"/>
      <c r="AH169" s="181" t="str">
        <f>IF(Ruimtestaat[[#This Row],[Frequentie werkdagen]]="","",_xlfn.CONCAT(Ruimtestaat[[#This Row],[Ruimte code]],"-",Ruimtestaat[[#This Row],[Frequentie werkdagen]]," ",Ruimtestaat[[#This Row],[Vloer code]]))</f>
        <v>16-5w L</v>
      </c>
      <c r="AI169" s="185" t="str">
        <f>_xlfn.IFNA(VLOOKUP($AH169,Programma!$F$3:$G$1101,2,0),"")</f>
        <v>_</v>
      </c>
      <c r="AJ169" s="185" t="str">
        <f>_xlfn.IFNA(VLOOKUP($AH169,Programma!$F$3:$H$1101,3,0),"")</f>
        <v>_</v>
      </c>
      <c r="AK169" s="185" t="str">
        <f>_xlfn.IFNA(VLOOKUP($AH169,Programma!$F$3:$I$1101,4,0),"")</f>
        <v>4w</v>
      </c>
      <c r="AL169" s="185" t="str">
        <f>_xlfn.IFNA(VLOOKUP($AH169,Programma!$F$3:$J$1101,5,0),"")</f>
        <v>1w</v>
      </c>
      <c r="AM169" s="185" t="str">
        <f>_xlfn.IFNA(VLOOKUP($AH169,Programma!$F$3:$K$1101,6,0),"")</f>
        <v>_</v>
      </c>
      <c r="AN169" s="185" t="str">
        <f>_xlfn.IFNA(VLOOKUP($AH169,Programma!$F$3:$L$1101,7,0),"")</f>
        <v>_</v>
      </c>
      <c r="AO169" s="185" t="str">
        <f>_xlfn.IFNA(VLOOKUP($AH169,Programma!$F$3:$M$1101,8,0),"")</f>
        <v>_</v>
      </c>
      <c r="AP169" s="185" t="str">
        <f>_xlfn.IFNA(VLOOKUP($AH169,Programma!$F$3:$N$1101,9,0),"")</f>
        <v>_</v>
      </c>
      <c r="AQ169" s="185" t="str">
        <f>_xlfn.IFNA(VLOOKUP($AH169,Programma!$F$3:$O$1101,10,0),"")</f>
        <v>5w</v>
      </c>
      <c r="AR169" s="185" t="str">
        <f>_xlfn.IFNA(VLOOKUP($AH169,Programma!$F$3:$P$1101,11,0),"")</f>
        <v>5w</v>
      </c>
      <c r="AS169" s="185" t="str">
        <f>_xlfn.IFNA(VLOOKUP($AH169,Programma!$F$3:$Q$1101,12,0),"")</f>
        <v>1w</v>
      </c>
      <c r="AT169" s="185" t="str">
        <f>_xlfn.IFNA(VLOOKUP($AH169,Programma!$F$3:$R$1101,13,0),"")</f>
        <v>1w</v>
      </c>
      <c r="AU169" s="185" t="str">
        <f>_xlfn.IFNA(VLOOKUP($AH169,Programma!$F$3:$S$1101,14,0),"")</f>
        <v>1m</v>
      </c>
      <c r="AV169" s="185" t="str">
        <f>_xlfn.IFNA(VLOOKUP($AH169,Programma!$F$3:$T$1101,15,0),"")</f>
        <v>2j</v>
      </c>
      <c r="AW169" s="185" t="str">
        <f>_xlfn.IFNA(VLOOKUP($AH169,Programma!$F$3:$U$1101,16,0),"")</f>
        <v>1j</v>
      </c>
      <c r="AX169" s="185" t="str">
        <f>_xlfn.IFNA(VLOOKUP($AH169,Programma!$F$3:$V$1101,17,0),"")</f>
        <v>_</v>
      </c>
      <c r="AY169" s="185" t="str">
        <f>_xlfn.IFNA(VLOOKUP($AH169,Programma!$F$3:$W$1101,18,0),"")</f>
        <v>_</v>
      </c>
      <c r="AZ169" s="185" t="str">
        <f>_xlfn.IFNA(VLOOKUP($AH169,Programma!$F$3:$X$1101,19,0),"")</f>
        <v>_</v>
      </c>
      <c r="BA169" s="185" t="str">
        <f>_xlfn.IFNA(VLOOKUP($AH169,Programma!$F$3:$Y$1101,20,0),"")</f>
        <v>_</v>
      </c>
      <c r="BB169" s="182"/>
      <c r="BC169" s="181" t="str">
        <f>IF(Ruimtestaat[[#This Row],[Frequentie weekend]]="","",_xlfn.CONCAT(Ruimtestaat[[#This Row],[Ruimte code]],"-",Ruimtestaat[[#This Row],[Frequentie weekend]]," ",Ruimtestaat[[#This Row],[Vloer code]]))</f>
        <v/>
      </c>
      <c r="BD169" s="185" t="str">
        <f>_xlfn.IFNA(VLOOKUP($BC169,Programma!$F$3:$G$1101,2,0),"")</f>
        <v/>
      </c>
      <c r="BE169" s="185" t="str">
        <f>_xlfn.IFNA(VLOOKUP($BC169,Programma!$F$3:$H$1101,3,0),"")</f>
        <v/>
      </c>
      <c r="BF169" s="185" t="str">
        <f>_xlfn.IFNA(VLOOKUP($BC169,Programma!$F$3:$I$1101,4,0),"")</f>
        <v/>
      </c>
      <c r="BG169" s="185" t="str">
        <f>_xlfn.IFNA(VLOOKUP($BC169,Programma!$F$3:$J$1101,5,0),"")</f>
        <v/>
      </c>
      <c r="BH169" s="185" t="str">
        <f>_xlfn.IFNA(VLOOKUP($BC169,Programma!$F$3:$K$1101,6,0),"")</f>
        <v/>
      </c>
      <c r="BI169" s="185" t="str">
        <f>_xlfn.IFNA(VLOOKUP($BC169,Programma!$F$3:$L$1101,7,0),"")</f>
        <v/>
      </c>
      <c r="BJ169" s="185" t="str">
        <f>_xlfn.IFNA(VLOOKUP($BC169,Programma!$F$3:$M$1101,8,0),"")</f>
        <v/>
      </c>
      <c r="BK169" s="185" t="str">
        <f>_xlfn.IFNA(VLOOKUP($BC169,Programma!$F$3:$N$1101,9,0),"")</f>
        <v/>
      </c>
      <c r="BL169" s="185" t="str">
        <f>_xlfn.IFNA(VLOOKUP($BC169,Programma!$F$3:$O$1101,10,0),"")</f>
        <v/>
      </c>
      <c r="BM169" s="185" t="str">
        <f>_xlfn.IFNA(VLOOKUP($BC169,Programma!$F$3:$P$1101,11,0),"")</f>
        <v/>
      </c>
      <c r="BN169" s="185" t="str">
        <f>_xlfn.IFNA(VLOOKUP($BC169,Programma!$F$3:$Q$1101,12,0),"")</f>
        <v/>
      </c>
      <c r="BO169" s="185" t="str">
        <f>_xlfn.IFNA(VLOOKUP($BC169,Programma!$F$3:$R$1101,13,0),"")</f>
        <v/>
      </c>
      <c r="BP169" s="185" t="str">
        <f>_xlfn.IFNA(VLOOKUP($BC169,Programma!$F$3:$S$1101,14,0),"")</f>
        <v/>
      </c>
      <c r="BQ169" s="185" t="str">
        <f>_xlfn.IFNA(VLOOKUP($BC169,Programma!$F$3:$T$1101,15,0),"")</f>
        <v/>
      </c>
      <c r="BR169" s="185" t="str">
        <f>_xlfn.IFNA(VLOOKUP($BC169,Programma!$F$3:$U$1101,16,0),"")</f>
        <v/>
      </c>
      <c r="BS169" s="185" t="str">
        <f>_xlfn.IFNA(VLOOKUP($BC169,Programma!$F$3:$V$1101,17,0),"")</f>
        <v/>
      </c>
      <c r="BT169" s="185" t="str">
        <f>_xlfn.IFNA(VLOOKUP($BC169,Programma!$F$3:$W$1101,18,0),"")</f>
        <v/>
      </c>
      <c r="BU169" s="185" t="str">
        <f>_xlfn.IFNA(VLOOKUP($BC169,Programma!$F$3:$X$1101,19,0),"")</f>
        <v/>
      </c>
      <c r="BV169" s="185" t="str">
        <f>_xlfn.IFNA(VLOOKUP($BC169,Programma!$F$3:$Y$1101,20,0),"")</f>
        <v/>
      </c>
      <c r="BW169" s="78"/>
      <c r="BX169" s="78"/>
      <c r="BY169" s="78"/>
      <c r="BZ169" s="78"/>
      <c r="CA169" s="78"/>
      <c r="CB169" s="78"/>
      <c r="CC169" s="78"/>
      <c r="CD169" s="78"/>
      <c r="CE169" s="78"/>
      <c r="CF169" s="78"/>
      <c r="CG169" s="78"/>
      <c r="CH169" s="78"/>
      <c r="CI169" s="78"/>
      <c r="CJ169" s="78"/>
      <c r="CK169" s="78"/>
      <c r="CL169" s="78"/>
      <c r="CM169" s="78"/>
      <c r="CN169" s="78"/>
      <c r="CO169" s="78"/>
      <c r="CP169" s="78"/>
      <c r="CQ169" s="78"/>
      <c r="CR169" s="78"/>
      <c r="CS169" s="78"/>
      <c r="CT169" s="78"/>
      <c r="CU169" s="78"/>
      <c r="CV169" s="78"/>
      <c r="CW169" s="78"/>
      <c r="CX169" s="78"/>
      <c r="CY169" s="78"/>
      <c r="CZ169" s="78"/>
      <c r="DA169" s="78"/>
      <c r="DB169" s="78"/>
      <c r="DC169" s="78"/>
      <c r="DD169" s="78"/>
      <c r="DE169" s="78"/>
      <c r="DF169" s="78"/>
      <c r="DG169" s="78"/>
      <c r="DH169" s="78"/>
      <c r="DI169" s="78"/>
      <c r="DJ169" s="78"/>
      <c r="DK169" s="78"/>
      <c r="DL169" s="78"/>
      <c r="DM169" s="78"/>
      <c r="DN169" s="78"/>
      <c r="DO169" s="78"/>
      <c r="DP169" s="78"/>
      <c r="DQ169" s="78"/>
      <c r="DR169" s="78"/>
      <c r="DS169" s="78"/>
      <c r="DT169" s="78"/>
      <c r="DU169" s="78"/>
      <c r="DV169" s="78"/>
      <c r="DW169" s="78"/>
      <c r="DX169" s="78"/>
      <c r="DY169" s="78"/>
      <c r="DZ169" s="78"/>
      <c r="EA169" s="78"/>
      <c r="EB169" s="78"/>
      <c r="EC169" s="78"/>
      <c r="ED169" s="78"/>
      <c r="EE169" s="78"/>
      <c r="EF169" s="78"/>
      <c r="EG169" s="78"/>
      <c r="EH169" s="78"/>
      <c r="EI169" s="78"/>
      <c r="EJ169" s="78"/>
      <c r="EK169" s="78"/>
      <c r="EL169" s="78"/>
      <c r="EM169" s="78"/>
      <c r="EN169" s="78"/>
      <c r="EO169" s="78"/>
      <c r="EP169" s="78"/>
      <c r="EQ169" s="78"/>
      <c r="ER169" s="78"/>
      <c r="ES169" s="78"/>
      <c r="ET169" s="78"/>
      <c r="EU169" s="78"/>
      <c r="EV169" s="78"/>
      <c r="EW169" s="78"/>
      <c r="EX169" s="78"/>
      <c r="EY169" s="78"/>
      <c r="EZ169" s="78"/>
      <c r="FA169" s="78"/>
      <c r="FB169" s="78"/>
      <c r="FC169" s="78"/>
      <c r="FD169" s="78"/>
      <c r="FE169" s="78"/>
      <c r="FF169" s="78"/>
      <c r="FG169" s="78"/>
      <c r="FH169" s="78"/>
      <c r="FI169" s="78"/>
      <c r="FJ169" s="78"/>
      <c r="FK169" s="78"/>
      <c r="FL169" s="78"/>
      <c r="FM169" s="78"/>
      <c r="FN169" s="78"/>
      <c r="FO169" s="78"/>
      <c r="FP169" s="78"/>
      <c r="FQ169" s="78"/>
      <c r="FR169" s="78"/>
      <c r="FS169" s="78"/>
      <c r="FT169" s="78"/>
      <c r="FU169" s="78"/>
      <c r="FV169" s="78"/>
      <c r="FW169" s="78"/>
      <c r="FX169" s="78"/>
      <c r="FY169" s="78"/>
      <c r="FZ169" s="78"/>
      <c r="GA169" s="78"/>
      <c r="GB169" s="78"/>
      <c r="GC169" s="78"/>
      <c r="GD169" s="78"/>
      <c r="GE169" s="78"/>
      <c r="GF169" s="78"/>
      <c r="GG169" s="78"/>
      <c r="GH169" s="78"/>
      <c r="GI169" s="78"/>
      <c r="GJ169" s="78"/>
      <c r="GK169" s="78"/>
      <c r="GL169" s="78"/>
      <c r="GM169" s="78"/>
      <c r="GN169" s="78"/>
      <c r="GO169" s="78"/>
      <c r="GP169" s="78"/>
      <c r="GQ169" s="78"/>
      <c r="GR169" s="78"/>
      <c r="GS169" s="78"/>
      <c r="GT169" s="78"/>
      <c r="GU169" s="78"/>
      <c r="GV169" s="78"/>
      <c r="GW169" s="78"/>
      <c r="GX169" s="78"/>
      <c r="GY169" s="78"/>
      <c r="GZ169" s="78"/>
      <c r="HA169" s="78"/>
      <c r="HB169" s="78"/>
      <c r="HC169" s="78"/>
      <c r="HD169" s="78"/>
      <c r="HE169" s="78"/>
      <c r="HF169" s="78"/>
      <c r="HG169" s="78"/>
      <c r="HH169" s="78"/>
      <c r="HI169" s="78"/>
      <c r="HJ169" s="78"/>
      <c r="HK169" s="78"/>
    </row>
    <row r="170" spans="1:219" ht="15" customHeight="1">
      <c r="A170" s="149">
        <v>5</v>
      </c>
      <c r="B170" s="176" t="str">
        <f>VLOOKUP(Ruimtestaat[[#This Row],[Code]],Locaties[[Code]:[Locatie]],2,FALSE)</f>
        <v>OBS Harry Bannink</v>
      </c>
      <c r="C170" s="176" t="str">
        <f>VLOOKUP(Ruimtestaat[[#This Row],[Code]],Locaties[[#All],[Code]:[Adres]],4,FALSE)</f>
        <v>Het Bijvank 111</v>
      </c>
      <c r="D170" s="176" t="str">
        <f>VLOOKUP(Ruimtestaat[[#This Row],[Code]],Locaties[[#All],[Code]:[Postcode]],5,FALSE)</f>
        <v>7544 DA</v>
      </c>
      <c r="E170" s="176" t="str">
        <f>VLOOKUP(Ruimtestaat[[#This Row],[Code]],Locaties[#All],6,FALSE)</f>
        <v>Enschede</v>
      </c>
      <c r="F170" s="149"/>
      <c r="G170" s="149" t="s">
        <v>1714</v>
      </c>
      <c r="H170" s="99" t="s">
        <v>1755</v>
      </c>
      <c r="I170" s="183" t="s">
        <v>1655</v>
      </c>
      <c r="J170" s="99">
        <v>5</v>
      </c>
      <c r="K170" s="183" t="str">
        <f>VLOOKUP(Ruimtestaat[[#This Row],[Ruimte code]],Ruimtegroepen[[#All],[Code]:[Ruimte omschrijving]],2,FALSE)</f>
        <v>Sanitair</v>
      </c>
      <c r="L170" s="149" t="s">
        <v>102</v>
      </c>
      <c r="M170" s="301" t="s">
        <v>120</v>
      </c>
      <c r="N170" s="177">
        <v>0.8</v>
      </c>
      <c r="O170" s="177"/>
      <c r="P170" s="178" t="str">
        <f>VLOOKUP(Ruimtestaat[[#This Row],[Ruimte code]],Ruimtegroepen[],4,FALSE)</f>
        <v>Sa</v>
      </c>
      <c r="Q170" s="149">
        <v>40</v>
      </c>
      <c r="R170" s="149" t="s">
        <v>2</v>
      </c>
      <c r="S170" s="149">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0" s="149">
        <f>IF(S170&gt;0,VLOOKUP($J170,Ruimtegroepen[],3,FALSE)*VLOOKUP($L170,Vloersoorten[],3,FALSE)*VLOOKUP($R170,Frequenties[],3,FALSE)*VLOOKUP($A170,Locaties[],3,FALSE),0)</f>
        <v>0</v>
      </c>
      <c r="U170" s="149">
        <f>Ruimtestaat[[#This Row],[Uitvoeringen werkdagen]]*Ruimtestaat[[#This Row],[Oppervlak (netto)]]</f>
        <v>160</v>
      </c>
      <c r="V170" s="179">
        <f>IF(T170&gt;0,Ruimtestaat[[#This Row],[Prest. (m2 /jaar) werkdagen]]/Ruimtestaat[[#This Row],[Norm (m2/uur) werkdagen]],0)</f>
        <v>0</v>
      </c>
      <c r="W170" s="180">
        <f>Ruimtestaat[[#This Row],[uren / jaar werkdagen]]*Tariefsopbouw!$E$35</f>
        <v>0</v>
      </c>
      <c r="X170" s="149"/>
      <c r="Y170" s="149">
        <f>IF(Ruimtestaat[[#This Row],[Frequentie weekend]]&gt;0,VALUE(LEFT(X170,1))*Q170,0)</f>
        <v>0</v>
      </c>
      <c r="Z170" s="148">
        <f>IF($Y170&gt;0,VLOOKUP($J170,Ruimtegroepen[],3,FALSE)*VLOOKUP($L170,Vloersoorten[],3,FALSE)*VLOOKUP($X170,Frequenties[],3,FALSE)*VLOOKUP(Ruimtestaat[[#This Row],[Code]],Locaties[],3,FALSE),0)</f>
        <v>0</v>
      </c>
      <c r="AA170" s="148">
        <f>Ruimtestaat[[#This Row],[Uitvoeringen weekend]]*Ruimtestaat[[#This Row],[Oppervlak (netto)]]</f>
        <v>0</v>
      </c>
      <c r="AB170" s="148">
        <f>IF(Z170&gt;0,Ruimtestaat[[#This Row],[Prest. (m2 /jaar) weekend]]/Ruimtestaat[[#This Row],[Norm (m2/uur) weekend]],0)</f>
        <v>0</v>
      </c>
      <c r="AC170" s="180">
        <f>Ruimtestaat[[#This Row],[uren / jaar weekend]]*Tariefsopbouw!$D$40</f>
        <v>0</v>
      </c>
      <c r="AD170" s="179">
        <f>Ruimtestaat[[#This Row],[Prest. (m2 /jaar) weekend]]+Ruimtestaat[[#This Row],[Prest. (m2 /jaar) werkdagen]]</f>
        <v>160</v>
      </c>
      <c r="AE170" s="179">
        <f>Ruimtestaat[[#This Row],[uren / jaar weekend]]+Ruimtestaat[[#This Row],[uren / jaar werkdagen]]</f>
        <v>0</v>
      </c>
      <c r="AF170" s="174">
        <f>Ruimtestaat[[#This Row],[kosten / jaar weekend]]+Ruimtestaat[[#This Row],[kosten / jaar werkdagen]]</f>
        <v>0</v>
      </c>
      <c r="AG170" s="174"/>
      <c r="AH170" s="181" t="str">
        <f>IF(Ruimtestaat[[#This Row],[Frequentie werkdagen]]="","",_xlfn.CONCAT(Ruimtestaat[[#This Row],[Ruimte code]],"-",Ruimtestaat[[#This Row],[Frequentie werkdagen]]," ",Ruimtestaat[[#This Row],[Vloer code]]))</f>
        <v>5-5w P</v>
      </c>
      <c r="AI170" s="185" t="str">
        <f>_xlfn.IFNA(VLOOKUP($AH170,Programma!$F$3:$G$1101,2,0),"")</f>
        <v>_</v>
      </c>
      <c r="AJ170" s="185" t="str">
        <f>_xlfn.IFNA(VLOOKUP($AH170,Programma!$F$3:$H$1101,3,0),"")</f>
        <v>_</v>
      </c>
      <c r="AK170" s="185" t="str">
        <f>_xlfn.IFNA(VLOOKUP($AH170,Programma!$F$3:$I$1101,4,0),"")</f>
        <v>_</v>
      </c>
      <c r="AL170" s="185" t="str">
        <f>_xlfn.IFNA(VLOOKUP($AH170,Programma!$F$3:$J$1101,5,0),"")</f>
        <v>4w</v>
      </c>
      <c r="AM170" s="185" t="str">
        <f>_xlfn.IFNA(VLOOKUP($AH170,Programma!$F$3:$K$1101,6,0),"")</f>
        <v>1w</v>
      </c>
      <c r="AN170" s="185" t="str">
        <f>_xlfn.IFNA(VLOOKUP($AH170,Programma!$F$3:$L$1101,7,0),"")</f>
        <v>_</v>
      </c>
      <c r="AO170" s="185" t="str">
        <f>_xlfn.IFNA(VLOOKUP($AH170,Programma!$F$3:$M$1101,8,0),"")</f>
        <v>_</v>
      </c>
      <c r="AP170" s="185" t="str">
        <f>_xlfn.IFNA(VLOOKUP($AH170,Programma!$F$3:$N$1101,9,0),"")</f>
        <v>_</v>
      </c>
      <c r="AQ170" s="185" t="str">
        <f>_xlfn.IFNA(VLOOKUP($AH170,Programma!$F$3:$O$1101,10,0),"")</f>
        <v>_</v>
      </c>
      <c r="AR170" s="185" t="str">
        <f>_xlfn.IFNA(VLOOKUP($AH170,Programma!$F$3:$P$1101,11,0),"")</f>
        <v>_</v>
      </c>
      <c r="AS170" s="185" t="str">
        <f>_xlfn.IFNA(VLOOKUP($AH170,Programma!$F$3:$Q$1101,12,0),"")</f>
        <v>_</v>
      </c>
      <c r="AT170" s="185" t="str">
        <f>_xlfn.IFNA(VLOOKUP($AH170,Programma!$F$3:$R$1101,13,0),"")</f>
        <v>_</v>
      </c>
      <c r="AU170" s="185" t="str">
        <f>_xlfn.IFNA(VLOOKUP($AH170,Programma!$F$3:$S$1101,14,0),"")</f>
        <v>_</v>
      </c>
      <c r="AV170" s="185" t="str">
        <f>_xlfn.IFNA(VLOOKUP($AH170,Programma!$F$3:$T$1101,15,0),"")</f>
        <v>_</v>
      </c>
      <c r="AW170" s="185" t="str">
        <f>_xlfn.IFNA(VLOOKUP($AH170,Programma!$F$3:$U$1101,16,0),"")</f>
        <v>_</v>
      </c>
      <c r="AX170" s="185" t="str">
        <f>_xlfn.IFNA(VLOOKUP($AH170,Programma!$F$3:$V$1101,17,0),"")</f>
        <v>_</v>
      </c>
      <c r="AY170" s="185" t="str">
        <f>_xlfn.IFNA(VLOOKUP($AH170,Programma!$F$3:$W$1101,18,0),"")</f>
        <v>4w</v>
      </c>
      <c r="AZ170" s="185" t="str">
        <f>_xlfn.IFNA(VLOOKUP($AH170,Programma!$F$3:$X$1101,19,0),"")</f>
        <v>1w</v>
      </c>
      <c r="BA170" s="185" t="str">
        <f>_xlfn.IFNA(VLOOKUP($AH170,Programma!$F$3:$Y$1101,20,0),"")</f>
        <v>_</v>
      </c>
      <c r="BB170" s="182"/>
      <c r="BC170" s="181" t="str">
        <f>IF(Ruimtestaat[[#This Row],[Frequentie weekend]]="","",_xlfn.CONCAT(Ruimtestaat[[#This Row],[Ruimte code]],"-",Ruimtestaat[[#This Row],[Frequentie weekend]]," ",Ruimtestaat[[#This Row],[Vloer code]]))</f>
        <v/>
      </c>
      <c r="BD170" s="185" t="str">
        <f>_xlfn.IFNA(VLOOKUP($BC170,Programma!$F$3:$G$1101,2,0),"")</f>
        <v/>
      </c>
      <c r="BE170" s="185" t="str">
        <f>_xlfn.IFNA(VLOOKUP($BC170,Programma!$F$3:$H$1101,3,0),"")</f>
        <v/>
      </c>
      <c r="BF170" s="185" t="str">
        <f>_xlfn.IFNA(VLOOKUP($BC170,Programma!$F$3:$I$1101,4,0),"")</f>
        <v/>
      </c>
      <c r="BG170" s="185" t="str">
        <f>_xlfn.IFNA(VLOOKUP($BC170,Programma!$F$3:$J$1101,5,0),"")</f>
        <v/>
      </c>
      <c r="BH170" s="185" t="str">
        <f>_xlfn.IFNA(VLOOKUP($BC170,Programma!$F$3:$K$1101,6,0),"")</f>
        <v/>
      </c>
      <c r="BI170" s="185" t="str">
        <f>_xlfn.IFNA(VLOOKUP($BC170,Programma!$F$3:$L$1101,7,0),"")</f>
        <v/>
      </c>
      <c r="BJ170" s="185" t="str">
        <f>_xlfn.IFNA(VLOOKUP($BC170,Programma!$F$3:$M$1101,8,0),"")</f>
        <v/>
      </c>
      <c r="BK170" s="185" t="str">
        <f>_xlfn.IFNA(VLOOKUP($BC170,Programma!$F$3:$N$1101,9,0),"")</f>
        <v/>
      </c>
      <c r="BL170" s="185" t="str">
        <f>_xlfn.IFNA(VLOOKUP($BC170,Programma!$F$3:$O$1101,10,0),"")</f>
        <v/>
      </c>
      <c r="BM170" s="185" t="str">
        <f>_xlfn.IFNA(VLOOKUP($BC170,Programma!$F$3:$P$1101,11,0),"")</f>
        <v/>
      </c>
      <c r="BN170" s="185" t="str">
        <f>_xlfn.IFNA(VLOOKUP($BC170,Programma!$F$3:$Q$1101,12,0),"")</f>
        <v/>
      </c>
      <c r="BO170" s="185" t="str">
        <f>_xlfn.IFNA(VLOOKUP($BC170,Programma!$F$3:$R$1101,13,0),"")</f>
        <v/>
      </c>
      <c r="BP170" s="185" t="str">
        <f>_xlfn.IFNA(VLOOKUP($BC170,Programma!$F$3:$S$1101,14,0),"")</f>
        <v/>
      </c>
      <c r="BQ170" s="185" t="str">
        <f>_xlfn.IFNA(VLOOKUP($BC170,Programma!$F$3:$T$1101,15,0),"")</f>
        <v/>
      </c>
      <c r="BR170" s="185" t="str">
        <f>_xlfn.IFNA(VLOOKUP($BC170,Programma!$F$3:$U$1101,16,0),"")</f>
        <v/>
      </c>
      <c r="BS170" s="185" t="str">
        <f>_xlfn.IFNA(VLOOKUP($BC170,Programma!$F$3:$V$1101,17,0),"")</f>
        <v/>
      </c>
      <c r="BT170" s="185" t="str">
        <f>_xlfn.IFNA(VLOOKUP($BC170,Programma!$F$3:$W$1101,18,0),"")</f>
        <v/>
      </c>
      <c r="BU170" s="185" t="str">
        <f>_xlfn.IFNA(VLOOKUP($BC170,Programma!$F$3:$X$1101,19,0),"")</f>
        <v/>
      </c>
      <c r="BV170" s="185" t="str">
        <f>_xlfn.IFNA(VLOOKUP($BC170,Programma!$F$3:$Y$1101,20,0),"")</f>
        <v/>
      </c>
      <c r="BW170" s="78"/>
      <c r="BX170" s="78"/>
      <c r="BY170" s="78"/>
      <c r="BZ170" s="78"/>
      <c r="CA170" s="78"/>
      <c r="CB170" s="78"/>
      <c r="CC170" s="78"/>
      <c r="CD170" s="78"/>
      <c r="CE170" s="78"/>
      <c r="CF170" s="78"/>
      <c r="CG170" s="78"/>
      <c r="CH170" s="78"/>
      <c r="CI170" s="78"/>
      <c r="CJ170" s="78"/>
      <c r="CK170" s="78"/>
      <c r="CL170" s="78"/>
      <c r="CM170" s="78"/>
      <c r="CN170" s="78"/>
      <c r="CO170" s="78"/>
      <c r="CP170" s="78"/>
      <c r="CQ170" s="78"/>
      <c r="CR170" s="78"/>
      <c r="CS170" s="78"/>
      <c r="CT170" s="78"/>
      <c r="CU170" s="78"/>
      <c r="CV170" s="78"/>
      <c r="CW170" s="78"/>
      <c r="CX170" s="78"/>
      <c r="CY170" s="78"/>
      <c r="CZ170" s="78"/>
      <c r="DA170" s="78"/>
      <c r="DB170" s="78"/>
      <c r="DC170" s="78"/>
      <c r="DD170" s="78"/>
      <c r="DE170" s="78"/>
      <c r="DF170" s="78"/>
      <c r="DG170" s="78"/>
      <c r="DH170" s="78"/>
      <c r="DI170" s="78"/>
      <c r="DJ170" s="78"/>
      <c r="DK170" s="78"/>
      <c r="DL170" s="78"/>
      <c r="DM170" s="78"/>
      <c r="DN170" s="78"/>
      <c r="DO170" s="78"/>
      <c r="DP170" s="78"/>
      <c r="DQ170" s="78"/>
      <c r="DR170" s="78"/>
      <c r="DS170" s="78"/>
      <c r="DT170" s="78"/>
      <c r="DU170" s="78"/>
      <c r="DV170" s="78"/>
      <c r="DW170" s="78"/>
      <c r="DX170" s="78"/>
      <c r="DY170" s="78"/>
      <c r="DZ170" s="78"/>
      <c r="EA170" s="78"/>
      <c r="EB170" s="78"/>
      <c r="EC170" s="78"/>
      <c r="ED170" s="78"/>
      <c r="EE170" s="78"/>
      <c r="EF170" s="78"/>
      <c r="EG170" s="78"/>
      <c r="EH170" s="78"/>
      <c r="EI170" s="78"/>
      <c r="EJ170" s="78"/>
      <c r="EK170" s="78"/>
      <c r="EL170" s="78"/>
      <c r="EM170" s="78"/>
      <c r="EN170" s="78"/>
      <c r="EO170" s="78"/>
      <c r="EP170" s="78"/>
      <c r="EQ170" s="78"/>
      <c r="ER170" s="78"/>
      <c r="ES170" s="78"/>
      <c r="ET170" s="78"/>
      <c r="EU170" s="78"/>
      <c r="EV170" s="78"/>
      <c r="EW170" s="78"/>
      <c r="EX170" s="78"/>
      <c r="EY170" s="78"/>
      <c r="EZ170" s="78"/>
      <c r="FA170" s="78"/>
      <c r="FB170" s="78"/>
      <c r="FC170" s="78"/>
      <c r="FD170" s="78"/>
      <c r="FE170" s="78"/>
      <c r="FF170" s="78"/>
      <c r="FG170" s="78"/>
      <c r="FH170" s="78"/>
      <c r="FI170" s="78"/>
      <c r="FJ170" s="78"/>
      <c r="FK170" s="78"/>
      <c r="FL170" s="78"/>
      <c r="FM170" s="78"/>
      <c r="FN170" s="78"/>
      <c r="FO170" s="78"/>
      <c r="FP170" s="78"/>
      <c r="FQ170" s="78"/>
      <c r="FR170" s="78"/>
      <c r="FS170" s="78"/>
      <c r="FT170" s="78"/>
      <c r="FU170" s="78"/>
      <c r="FV170" s="78"/>
      <c r="FW170" s="78"/>
      <c r="FX170" s="78"/>
      <c r="FY170" s="78"/>
      <c r="FZ170" s="78"/>
      <c r="GA170" s="78"/>
      <c r="GB170" s="78"/>
      <c r="GC170" s="78"/>
      <c r="GD170" s="78"/>
      <c r="GE170" s="78"/>
      <c r="GF170" s="78"/>
      <c r="GG170" s="78"/>
      <c r="GH170" s="78"/>
      <c r="GI170" s="78"/>
      <c r="GJ170" s="78"/>
      <c r="GK170" s="78"/>
      <c r="GL170" s="78"/>
      <c r="GM170" s="78"/>
      <c r="GN170" s="78"/>
      <c r="GO170" s="78"/>
      <c r="GP170" s="78"/>
      <c r="GQ170" s="78"/>
      <c r="GR170" s="78"/>
      <c r="GS170" s="78"/>
      <c r="GT170" s="78"/>
      <c r="GU170" s="78"/>
      <c r="GV170" s="78"/>
      <c r="GW170" s="78"/>
      <c r="GX170" s="78"/>
      <c r="GY170" s="78"/>
      <c r="GZ170" s="78"/>
      <c r="HA170" s="78"/>
      <c r="HB170" s="78"/>
      <c r="HC170" s="78"/>
      <c r="HD170" s="78"/>
      <c r="HE170" s="78"/>
      <c r="HF170" s="78"/>
      <c r="HG170" s="78"/>
      <c r="HH170" s="78"/>
      <c r="HI170" s="78"/>
      <c r="HJ170" s="78"/>
      <c r="HK170" s="78"/>
    </row>
    <row r="171" spans="1:219" ht="15" customHeight="1">
      <c r="A171" s="149">
        <v>5</v>
      </c>
      <c r="B171" s="176" t="str">
        <f>VLOOKUP(Ruimtestaat[[#This Row],[Code]],Locaties[[Code]:[Locatie]],2,FALSE)</f>
        <v>OBS Harry Bannink</v>
      </c>
      <c r="C171" s="176" t="str">
        <f>VLOOKUP(Ruimtestaat[[#This Row],[Code]],Locaties[[#All],[Code]:[Adres]],4,FALSE)</f>
        <v>Het Bijvank 111</v>
      </c>
      <c r="D171" s="176" t="str">
        <f>VLOOKUP(Ruimtestaat[[#This Row],[Code]],Locaties[[#All],[Code]:[Postcode]],5,FALSE)</f>
        <v>7544 DA</v>
      </c>
      <c r="E171" s="176" t="str">
        <f>VLOOKUP(Ruimtestaat[[#This Row],[Code]],Locaties[#All],6,FALSE)</f>
        <v>Enschede</v>
      </c>
      <c r="F171" s="149"/>
      <c r="G171" s="149" t="s">
        <v>1714</v>
      </c>
      <c r="H171" s="99" t="s">
        <v>1756</v>
      </c>
      <c r="I171" s="183" t="s">
        <v>1655</v>
      </c>
      <c r="J171" s="99">
        <v>5</v>
      </c>
      <c r="K171" s="183" t="str">
        <f>VLOOKUP(Ruimtestaat[[#This Row],[Ruimte code]],Ruimtegroepen[[#All],[Code]:[Ruimte omschrijving]],2,FALSE)</f>
        <v>Sanitair</v>
      </c>
      <c r="L171" s="149" t="s">
        <v>102</v>
      </c>
      <c r="M171" s="301" t="s">
        <v>120</v>
      </c>
      <c r="N171" s="177">
        <v>0.8</v>
      </c>
      <c r="O171" s="177"/>
      <c r="P171" s="178" t="str">
        <f>VLOOKUP(Ruimtestaat[[#This Row],[Ruimte code]],Ruimtegroepen[],4,FALSE)</f>
        <v>Sa</v>
      </c>
      <c r="Q171" s="149">
        <v>40</v>
      </c>
      <c r="R171" s="149" t="s">
        <v>2</v>
      </c>
      <c r="S171" s="149">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149">
        <f>IF(S171&gt;0,VLOOKUP($J171,Ruimtegroepen[],3,FALSE)*VLOOKUP($L171,Vloersoorten[],3,FALSE)*VLOOKUP($R171,Frequenties[],3,FALSE)*VLOOKUP($A171,Locaties[],3,FALSE),0)</f>
        <v>0</v>
      </c>
      <c r="U171" s="149">
        <f>Ruimtestaat[[#This Row],[Uitvoeringen werkdagen]]*Ruimtestaat[[#This Row],[Oppervlak (netto)]]</f>
        <v>160</v>
      </c>
      <c r="V171" s="179">
        <f>IF(T171&gt;0,Ruimtestaat[[#This Row],[Prest. (m2 /jaar) werkdagen]]/Ruimtestaat[[#This Row],[Norm (m2/uur) werkdagen]],0)</f>
        <v>0</v>
      </c>
      <c r="W171" s="180">
        <f>Ruimtestaat[[#This Row],[uren / jaar werkdagen]]*Tariefsopbouw!$E$35</f>
        <v>0</v>
      </c>
      <c r="X171" s="149"/>
      <c r="Y171" s="149">
        <f>IF(Ruimtestaat[[#This Row],[Frequentie weekend]]&gt;0,VALUE(LEFT(X171,1))*Q171,0)</f>
        <v>0</v>
      </c>
      <c r="Z171" s="148">
        <f>IF($Y171&gt;0,VLOOKUP($J171,Ruimtegroepen[],3,FALSE)*VLOOKUP($L171,Vloersoorten[],3,FALSE)*VLOOKUP($X171,Frequenties[],3,FALSE)*VLOOKUP(Ruimtestaat[[#This Row],[Code]],Locaties[],3,FALSE),0)</f>
        <v>0</v>
      </c>
      <c r="AA171" s="148">
        <f>Ruimtestaat[[#This Row],[Uitvoeringen weekend]]*Ruimtestaat[[#This Row],[Oppervlak (netto)]]</f>
        <v>0</v>
      </c>
      <c r="AB171" s="148">
        <f>IF(Z171&gt;0,Ruimtestaat[[#This Row],[Prest. (m2 /jaar) weekend]]/Ruimtestaat[[#This Row],[Norm (m2/uur) weekend]],0)</f>
        <v>0</v>
      </c>
      <c r="AC171" s="180">
        <f>Ruimtestaat[[#This Row],[uren / jaar weekend]]*Tariefsopbouw!$D$40</f>
        <v>0</v>
      </c>
      <c r="AD171" s="179">
        <f>Ruimtestaat[[#This Row],[Prest. (m2 /jaar) weekend]]+Ruimtestaat[[#This Row],[Prest. (m2 /jaar) werkdagen]]</f>
        <v>160</v>
      </c>
      <c r="AE171" s="179">
        <f>Ruimtestaat[[#This Row],[uren / jaar weekend]]+Ruimtestaat[[#This Row],[uren / jaar werkdagen]]</f>
        <v>0</v>
      </c>
      <c r="AF171" s="174">
        <f>Ruimtestaat[[#This Row],[kosten / jaar weekend]]+Ruimtestaat[[#This Row],[kosten / jaar werkdagen]]</f>
        <v>0</v>
      </c>
      <c r="AG171" s="174"/>
      <c r="AH171" s="181" t="str">
        <f>IF(Ruimtestaat[[#This Row],[Frequentie werkdagen]]="","",_xlfn.CONCAT(Ruimtestaat[[#This Row],[Ruimte code]],"-",Ruimtestaat[[#This Row],[Frequentie werkdagen]]," ",Ruimtestaat[[#This Row],[Vloer code]]))</f>
        <v>5-5w P</v>
      </c>
      <c r="AI171" s="185" t="str">
        <f>_xlfn.IFNA(VLOOKUP($AH171,Programma!$F$3:$G$1101,2,0),"")</f>
        <v>_</v>
      </c>
      <c r="AJ171" s="185" t="str">
        <f>_xlfn.IFNA(VLOOKUP($AH171,Programma!$F$3:$H$1101,3,0),"")</f>
        <v>_</v>
      </c>
      <c r="AK171" s="185" t="str">
        <f>_xlfn.IFNA(VLOOKUP($AH171,Programma!$F$3:$I$1101,4,0),"")</f>
        <v>_</v>
      </c>
      <c r="AL171" s="185" t="str">
        <f>_xlfn.IFNA(VLOOKUP($AH171,Programma!$F$3:$J$1101,5,0),"")</f>
        <v>4w</v>
      </c>
      <c r="AM171" s="185" t="str">
        <f>_xlfn.IFNA(VLOOKUP($AH171,Programma!$F$3:$K$1101,6,0),"")</f>
        <v>1w</v>
      </c>
      <c r="AN171" s="185" t="str">
        <f>_xlfn.IFNA(VLOOKUP($AH171,Programma!$F$3:$L$1101,7,0),"")</f>
        <v>_</v>
      </c>
      <c r="AO171" s="185" t="str">
        <f>_xlfn.IFNA(VLOOKUP($AH171,Programma!$F$3:$M$1101,8,0),"")</f>
        <v>_</v>
      </c>
      <c r="AP171" s="185" t="str">
        <f>_xlfn.IFNA(VLOOKUP($AH171,Programma!$F$3:$N$1101,9,0),"")</f>
        <v>_</v>
      </c>
      <c r="AQ171" s="185" t="str">
        <f>_xlfn.IFNA(VLOOKUP($AH171,Programma!$F$3:$O$1101,10,0),"")</f>
        <v>_</v>
      </c>
      <c r="AR171" s="185" t="str">
        <f>_xlfn.IFNA(VLOOKUP($AH171,Programma!$F$3:$P$1101,11,0),"")</f>
        <v>_</v>
      </c>
      <c r="AS171" s="185" t="str">
        <f>_xlfn.IFNA(VLOOKUP($AH171,Programma!$F$3:$Q$1101,12,0),"")</f>
        <v>_</v>
      </c>
      <c r="AT171" s="185" t="str">
        <f>_xlfn.IFNA(VLOOKUP($AH171,Programma!$F$3:$R$1101,13,0),"")</f>
        <v>_</v>
      </c>
      <c r="AU171" s="185" t="str">
        <f>_xlfn.IFNA(VLOOKUP($AH171,Programma!$F$3:$S$1101,14,0),"")</f>
        <v>_</v>
      </c>
      <c r="AV171" s="185" t="str">
        <f>_xlfn.IFNA(VLOOKUP($AH171,Programma!$F$3:$T$1101,15,0),"")</f>
        <v>_</v>
      </c>
      <c r="AW171" s="185" t="str">
        <f>_xlfn.IFNA(VLOOKUP($AH171,Programma!$F$3:$U$1101,16,0),"")</f>
        <v>_</v>
      </c>
      <c r="AX171" s="185" t="str">
        <f>_xlfn.IFNA(VLOOKUP($AH171,Programma!$F$3:$V$1101,17,0),"")</f>
        <v>_</v>
      </c>
      <c r="AY171" s="185" t="str">
        <f>_xlfn.IFNA(VLOOKUP($AH171,Programma!$F$3:$W$1101,18,0),"")</f>
        <v>4w</v>
      </c>
      <c r="AZ171" s="185" t="str">
        <f>_xlfn.IFNA(VLOOKUP($AH171,Programma!$F$3:$X$1101,19,0),"")</f>
        <v>1w</v>
      </c>
      <c r="BA171" s="185" t="str">
        <f>_xlfn.IFNA(VLOOKUP($AH171,Programma!$F$3:$Y$1101,20,0),"")</f>
        <v>_</v>
      </c>
      <c r="BB171" s="182"/>
      <c r="BC171" s="181" t="str">
        <f>IF(Ruimtestaat[[#This Row],[Frequentie weekend]]="","",_xlfn.CONCAT(Ruimtestaat[[#This Row],[Ruimte code]],"-",Ruimtestaat[[#This Row],[Frequentie weekend]]," ",Ruimtestaat[[#This Row],[Vloer code]]))</f>
        <v/>
      </c>
      <c r="BD171" s="185" t="str">
        <f>_xlfn.IFNA(VLOOKUP($BC171,Programma!$F$3:$G$1101,2,0),"")</f>
        <v/>
      </c>
      <c r="BE171" s="185" t="str">
        <f>_xlfn.IFNA(VLOOKUP($BC171,Programma!$F$3:$H$1101,3,0),"")</f>
        <v/>
      </c>
      <c r="BF171" s="185" t="str">
        <f>_xlfn.IFNA(VLOOKUP($BC171,Programma!$F$3:$I$1101,4,0),"")</f>
        <v/>
      </c>
      <c r="BG171" s="185" t="str">
        <f>_xlfn.IFNA(VLOOKUP($BC171,Programma!$F$3:$J$1101,5,0),"")</f>
        <v/>
      </c>
      <c r="BH171" s="185" t="str">
        <f>_xlfn.IFNA(VLOOKUP($BC171,Programma!$F$3:$K$1101,6,0),"")</f>
        <v/>
      </c>
      <c r="BI171" s="185" t="str">
        <f>_xlfn.IFNA(VLOOKUP($BC171,Programma!$F$3:$L$1101,7,0),"")</f>
        <v/>
      </c>
      <c r="BJ171" s="185" t="str">
        <f>_xlfn.IFNA(VLOOKUP($BC171,Programma!$F$3:$M$1101,8,0),"")</f>
        <v/>
      </c>
      <c r="BK171" s="185" t="str">
        <f>_xlfn.IFNA(VLOOKUP($BC171,Programma!$F$3:$N$1101,9,0),"")</f>
        <v/>
      </c>
      <c r="BL171" s="185" t="str">
        <f>_xlfn.IFNA(VLOOKUP($BC171,Programma!$F$3:$O$1101,10,0),"")</f>
        <v/>
      </c>
      <c r="BM171" s="185" t="str">
        <f>_xlfn.IFNA(VLOOKUP($BC171,Programma!$F$3:$P$1101,11,0),"")</f>
        <v/>
      </c>
      <c r="BN171" s="185" t="str">
        <f>_xlfn.IFNA(VLOOKUP($BC171,Programma!$F$3:$Q$1101,12,0),"")</f>
        <v/>
      </c>
      <c r="BO171" s="185" t="str">
        <f>_xlfn.IFNA(VLOOKUP($BC171,Programma!$F$3:$R$1101,13,0),"")</f>
        <v/>
      </c>
      <c r="BP171" s="185" t="str">
        <f>_xlfn.IFNA(VLOOKUP($BC171,Programma!$F$3:$S$1101,14,0),"")</f>
        <v/>
      </c>
      <c r="BQ171" s="185" t="str">
        <f>_xlfn.IFNA(VLOOKUP($BC171,Programma!$F$3:$T$1101,15,0),"")</f>
        <v/>
      </c>
      <c r="BR171" s="185" t="str">
        <f>_xlfn.IFNA(VLOOKUP($BC171,Programma!$F$3:$U$1101,16,0),"")</f>
        <v/>
      </c>
      <c r="BS171" s="185" t="str">
        <f>_xlfn.IFNA(VLOOKUP($BC171,Programma!$F$3:$V$1101,17,0),"")</f>
        <v/>
      </c>
      <c r="BT171" s="185" t="str">
        <f>_xlfn.IFNA(VLOOKUP($BC171,Programma!$F$3:$W$1101,18,0),"")</f>
        <v/>
      </c>
      <c r="BU171" s="185" t="str">
        <f>_xlfn.IFNA(VLOOKUP($BC171,Programma!$F$3:$X$1101,19,0),"")</f>
        <v/>
      </c>
      <c r="BV171" s="185" t="str">
        <f>_xlfn.IFNA(VLOOKUP($BC171,Programma!$F$3:$Y$1101,20,0),"")</f>
        <v/>
      </c>
      <c r="BW171" s="78"/>
      <c r="BX171" s="78"/>
      <c r="BY171" s="78"/>
      <c r="BZ171" s="78"/>
      <c r="CA171" s="78"/>
      <c r="CB171" s="78"/>
      <c r="CC171" s="78"/>
      <c r="CD171" s="78"/>
      <c r="CE171" s="78"/>
      <c r="CF171" s="78"/>
      <c r="CG171" s="78"/>
      <c r="CH171" s="78"/>
      <c r="CI171" s="78"/>
      <c r="CJ171" s="78"/>
      <c r="CK171" s="78"/>
      <c r="CL171" s="78"/>
      <c r="CM171" s="78"/>
      <c r="CN171" s="78"/>
      <c r="CO171" s="78"/>
      <c r="CP171" s="78"/>
      <c r="CQ171" s="78"/>
      <c r="CR171" s="78"/>
      <c r="CS171" s="78"/>
      <c r="CT171" s="78"/>
      <c r="CU171" s="78"/>
      <c r="CV171" s="78"/>
      <c r="CW171" s="78"/>
      <c r="CX171" s="78"/>
      <c r="CY171" s="78"/>
      <c r="CZ171" s="78"/>
      <c r="DA171" s="78"/>
      <c r="DB171" s="78"/>
      <c r="DC171" s="78"/>
      <c r="DD171" s="78"/>
      <c r="DE171" s="78"/>
      <c r="DF171" s="78"/>
      <c r="DG171" s="78"/>
      <c r="DH171" s="78"/>
      <c r="DI171" s="78"/>
      <c r="DJ171" s="78"/>
      <c r="DK171" s="78"/>
      <c r="DL171" s="78"/>
      <c r="DM171" s="78"/>
      <c r="DN171" s="78"/>
      <c r="DO171" s="78"/>
      <c r="DP171" s="78"/>
      <c r="DQ171" s="78"/>
      <c r="DR171" s="78"/>
      <c r="DS171" s="78"/>
      <c r="DT171" s="78"/>
      <c r="DU171" s="78"/>
      <c r="DV171" s="78"/>
      <c r="DW171" s="78"/>
      <c r="DX171" s="78"/>
      <c r="DY171" s="78"/>
      <c r="DZ171" s="78"/>
      <c r="EA171" s="78"/>
      <c r="EB171" s="78"/>
      <c r="EC171" s="78"/>
      <c r="ED171" s="78"/>
      <c r="EE171" s="78"/>
      <c r="EF171" s="78"/>
      <c r="EG171" s="78"/>
      <c r="EH171" s="78"/>
      <c r="EI171" s="78"/>
      <c r="EJ171" s="78"/>
      <c r="EK171" s="78"/>
      <c r="EL171" s="78"/>
      <c r="EM171" s="78"/>
      <c r="EN171" s="78"/>
      <c r="EO171" s="78"/>
      <c r="EP171" s="78"/>
      <c r="EQ171" s="78"/>
      <c r="ER171" s="78"/>
      <c r="ES171" s="78"/>
      <c r="ET171" s="78"/>
      <c r="EU171" s="78"/>
      <c r="EV171" s="78"/>
      <c r="EW171" s="78"/>
      <c r="EX171" s="78"/>
      <c r="EY171" s="78"/>
      <c r="EZ171" s="78"/>
      <c r="FA171" s="78"/>
      <c r="FB171" s="78"/>
      <c r="FC171" s="78"/>
      <c r="FD171" s="78"/>
      <c r="FE171" s="78"/>
      <c r="FF171" s="78"/>
      <c r="FG171" s="78"/>
      <c r="FH171" s="78"/>
      <c r="FI171" s="78"/>
      <c r="FJ171" s="78"/>
      <c r="FK171" s="78"/>
      <c r="FL171" s="78"/>
      <c r="FM171" s="78"/>
      <c r="FN171" s="78"/>
      <c r="FO171" s="78"/>
      <c r="FP171" s="78"/>
      <c r="FQ171" s="78"/>
      <c r="FR171" s="78"/>
      <c r="FS171" s="78"/>
      <c r="FT171" s="78"/>
      <c r="FU171" s="78"/>
      <c r="FV171" s="78"/>
      <c r="FW171" s="78"/>
      <c r="FX171" s="78"/>
      <c r="FY171" s="78"/>
      <c r="FZ171" s="78"/>
      <c r="GA171" s="78"/>
      <c r="GB171" s="78"/>
      <c r="GC171" s="78"/>
      <c r="GD171" s="78"/>
      <c r="GE171" s="78"/>
      <c r="GF171" s="78"/>
      <c r="GG171" s="78"/>
      <c r="GH171" s="78"/>
      <c r="GI171" s="78"/>
      <c r="GJ171" s="78"/>
      <c r="GK171" s="78"/>
      <c r="GL171" s="78"/>
      <c r="GM171" s="78"/>
      <c r="GN171" s="78"/>
      <c r="GO171" s="78"/>
      <c r="GP171" s="78"/>
      <c r="GQ171" s="78"/>
      <c r="GR171" s="78"/>
      <c r="GS171" s="78"/>
      <c r="GT171" s="78"/>
      <c r="GU171" s="78"/>
      <c r="GV171" s="78"/>
      <c r="GW171" s="78"/>
      <c r="GX171" s="78"/>
      <c r="GY171" s="78"/>
      <c r="GZ171" s="78"/>
      <c r="HA171" s="78"/>
      <c r="HB171" s="78"/>
      <c r="HC171" s="78"/>
      <c r="HD171" s="78"/>
      <c r="HE171" s="78"/>
      <c r="HF171" s="78"/>
      <c r="HG171" s="78"/>
      <c r="HH171" s="78"/>
      <c r="HI171" s="78"/>
      <c r="HJ171" s="78"/>
      <c r="HK171" s="78"/>
    </row>
    <row r="172" spans="1:219" ht="15" customHeight="1">
      <c r="A172" s="149">
        <v>5</v>
      </c>
      <c r="B172" s="176" t="str">
        <f>VLOOKUP(Ruimtestaat[[#This Row],[Code]],Locaties[[Code]:[Locatie]],2,FALSE)</f>
        <v>OBS Harry Bannink</v>
      </c>
      <c r="C172" s="176" t="str">
        <f>VLOOKUP(Ruimtestaat[[#This Row],[Code]],Locaties[[#All],[Code]:[Adres]],4,FALSE)</f>
        <v>Het Bijvank 111</v>
      </c>
      <c r="D172" s="176" t="str">
        <f>VLOOKUP(Ruimtestaat[[#This Row],[Code]],Locaties[[#All],[Code]:[Postcode]],5,FALSE)</f>
        <v>7544 DA</v>
      </c>
      <c r="E172" s="176" t="str">
        <f>VLOOKUP(Ruimtestaat[[#This Row],[Code]],Locaties[#All],6,FALSE)</f>
        <v>Enschede</v>
      </c>
      <c r="F172" s="149"/>
      <c r="G172" s="149" t="s">
        <v>1714</v>
      </c>
      <c r="H172" s="99" t="s">
        <v>1757</v>
      </c>
      <c r="I172" s="183" t="s">
        <v>1681</v>
      </c>
      <c r="J172" s="99">
        <v>6</v>
      </c>
      <c r="K172" s="183" t="str">
        <f>VLOOKUP(Ruimtestaat[[#This Row],[Ruimte code]],Ruimtegroepen[[#All],[Code]:[Ruimte omschrijving]],2,FALSE)</f>
        <v>Gangen/hallen</v>
      </c>
      <c r="L172" s="149" t="s">
        <v>100</v>
      </c>
      <c r="M172" s="301" t="s">
        <v>1697</v>
      </c>
      <c r="N172" s="177">
        <v>199.4</v>
      </c>
      <c r="O172" s="177"/>
      <c r="P172" s="178" t="str">
        <f>VLOOKUP(Ruimtestaat[[#This Row],[Ruimte code]],Ruimtegroepen[],4,FALSE)</f>
        <v>Ve</v>
      </c>
      <c r="Q172" s="149">
        <v>40</v>
      </c>
      <c r="R172" s="149" t="s">
        <v>2</v>
      </c>
      <c r="S172" s="149">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149">
        <f>IF(S172&gt;0,VLOOKUP($J172,Ruimtegroepen[],3,FALSE)*VLOOKUP($L172,Vloersoorten[],3,FALSE)*VLOOKUP($R172,Frequenties[],3,FALSE)*VLOOKUP($A172,Locaties[],3,FALSE),0)</f>
        <v>0</v>
      </c>
      <c r="U172" s="149">
        <f>Ruimtestaat[[#This Row],[Uitvoeringen werkdagen]]*Ruimtestaat[[#This Row],[Oppervlak (netto)]]</f>
        <v>39880</v>
      </c>
      <c r="V172" s="179">
        <f>IF(T172&gt;0,Ruimtestaat[[#This Row],[Prest. (m2 /jaar) werkdagen]]/Ruimtestaat[[#This Row],[Norm (m2/uur) werkdagen]],0)</f>
        <v>0</v>
      </c>
      <c r="W172" s="180">
        <f>Ruimtestaat[[#This Row],[uren / jaar werkdagen]]*Tariefsopbouw!$E$35</f>
        <v>0</v>
      </c>
      <c r="X172" s="149"/>
      <c r="Y172" s="149">
        <f>IF(Ruimtestaat[[#This Row],[Frequentie weekend]]&gt;0,VALUE(LEFT(X172,1))*Q172,0)</f>
        <v>0</v>
      </c>
      <c r="Z172" s="148">
        <f>IF($Y172&gt;0,VLOOKUP($J172,Ruimtegroepen[],3,FALSE)*VLOOKUP($L172,Vloersoorten[],3,FALSE)*VLOOKUP($X172,Frequenties[],3,FALSE)*VLOOKUP(Ruimtestaat[[#This Row],[Code]],Locaties[],3,FALSE),0)</f>
        <v>0</v>
      </c>
      <c r="AA172" s="148">
        <f>Ruimtestaat[[#This Row],[Uitvoeringen weekend]]*Ruimtestaat[[#This Row],[Oppervlak (netto)]]</f>
        <v>0</v>
      </c>
      <c r="AB172" s="148">
        <f>IF(Z172&gt;0,Ruimtestaat[[#This Row],[Prest. (m2 /jaar) weekend]]/Ruimtestaat[[#This Row],[Norm (m2/uur) weekend]],0)</f>
        <v>0</v>
      </c>
      <c r="AC172" s="180">
        <f>Ruimtestaat[[#This Row],[uren / jaar weekend]]*Tariefsopbouw!$D$40</f>
        <v>0</v>
      </c>
      <c r="AD172" s="179">
        <f>Ruimtestaat[[#This Row],[Prest. (m2 /jaar) weekend]]+Ruimtestaat[[#This Row],[Prest. (m2 /jaar) werkdagen]]</f>
        <v>39880</v>
      </c>
      <c r="AE172" s="179">
        <f>Ruimtestaat[[#This Row],[uren / jaar weekend]]+Ruimtestaat[[#This Row],[uren / jaar werkdagen]]</f>
        <v>0</v>
      </c>
      <c r="AF172" s="174">
        <f>Ruimtestaat[[#This Row],[kosten / jaar weekend]]+Ruimtestaat[[#This Row],[kosten / jaar werkdagen]]</f>
        <v>0</v>
      </c>
      <c r="AG172" s="174"/>
      <c r="AH172" s="181" t="str">
        <f>IF(Ruimtestaat[[#This Row],[Frequentie werkdagen]]="","",_xlfn.CONCAT(Ruimtestaat[[#This Row],[Ruimte code]],"-",Ruimtestaat[[#This Row],[Frequentie werkdagen]]," ",Ruimtestaat[[#This Row],[Vloer code]]))</f>
        <v>6-5w L</v>
      </c>
      <c r="AI172" s="185" t="str">
        <f>_xlfn.IFNA(VLOOKUP($AH172,Programma!$F$3:$G$1101,2,0),"")</f>
        <v>_</v>
      </c>
      <c r="AJ172" s="185" t="str">
        <f>_xlfn.IFNA(VLOOKUP($AH172,Programma!$F$3:$H$1101,3,0),"")</f>
        <v>_</v>
      </c>
      <c r="AK172" s="185" t="str">
        <f>_xlfn.IFNA(VLOOKUP($AH172,Programma!$F$3:$I$1101,4,0),"")</f>
        <v>_</v>
      </c>
      <c r="AL172" s="185" t="str">
        <f>_xlfn.IFNA(VLOOKUP($AH172,Programma!$F$3:$J$1101,5,0),"")</f>
        <v>5w</v>
      </c>
      <c r="AM172" s="185" t="str">
        <f>_xlfn.IFNA(VLOOKUP($AH172,Programma!$F$3:$K$1101,6,0),"")</f>
        <v>_</v>
      </c>
      <c r="AN172" s="185" t="str">
        <f>_xlfn.IFNA(VLOOKUP($AH172,Programma!$F$3:$L$1101,7,0),"")</f>
        <v>_</v>
      </c>
      <c r="AO172" s="185" t="str">
        <f>_xlfn.IFNA(VLOOKUP($AH172,Programma!$F$3:$M$1101,8,0),"")</f>
        <v>_</v>
      </c>
      <c r="AP172" s="185" t="str">
        <f>_xlfn.IFNA(VLOOKUP($AH172,Programma!$F$3:$N$1101,9,0),"")</f>
        <v>_</v>
      </c>
      <c r="AQ172" s="185" t="str">
        <f>_xlfn.IFNA(VLOOKUP($AH172,Programma!$F$3:$O$1101,10,0),"")</f>
        <v>5w</v>
      </c>
      <c r="AR172" s="185" t="str">
        <f>_xlfn.IFNA(VLOOKUP($AH172,Programma!$F$3:$P$1101,11,0),"")</f>
        <v>5w</v>
      </c>
      <c r="AS172" s="185" t="str">
        <f>_xlfn.IFNA(VLOOKUP($AH172,Programma!$F$3:$Q$1101,12,0),"")</f>
        <v>1w</v>
      </c>
      <c r="AT172" s="185" t="str">
        <f>_xlfn.IFNA(VLOOKUP($AH172,Programma!$F$3:$R$1101,13,0),"")</f>
        <v>1w</v>
      </c>
      <c r="AU172" s="185" t="str">
        <f>_xlfn.IFNA(VLOOKUP($AH172,Programma!$F$3:$S$1101,14,0),"")</f>
        <v>1m</v>
      </c>
      <c r="AV172" s="185" t="str">
        <f>_xlfn.IFNA(VLOOKUP($AH172,Programma!$F$3:$T$1101,15,0),"")</f>
        <v>2j</v>
      </c>
      <c r="AW172" s="185" t="str">
        <f>_xlfn.IFNA(VLOOKUP($AH172,Programma!$F$3:$U$1101,16,0),"")</f>
        <v>1j</v>
      </c>
      <c r="AX172" s="185" t="str">
        <f>_xlfn.IFNA(VLOOKUP($AH172,Programma!$F$3:$V$1101,17,0),"")</f>
        <v>_</v>
      </c>
      <c r="AY172" s="185" t="str">
        <f>_xlfn.IFNA(VLOOKUP($AH172,Programma!$F$3:$W$1101,18,0),"")</f>
        <v>_</v>
      </c>
      <c r="AZ172" s="185" t="str">
        <f>_xlfn.IFNA(VLOOKUP($AH172,Programma!$F$3:$X$1101,19,0),"")</f>
        <v>_</v>
      </c>
      <c r="BA172" s="185" t="str">
        <f>_xlfn.IFNA(VLOOKUP($AH172,Programma!$F$3:$Y$1101,20,0),"")</f>
        <v>_</v>
      </c>
      <c r="BB172" s="182"/>
      <c r="BC172" s="181" t="str">
        <f>IF(Ruimtestaat[[#This Row],[Frequentie weekend]]="","",_xlfn.CONCAT(Ruimtestaat[[#This Row],[Ruimte code]],"-",Ruimtestaat[[#This Row],[Frequentie weekend]]," ",Ruimtestaat[[#This Row],[Vloer code]]))</f>
        <v/>
      </c>
      <c r="BD172" s="185" t="str">
        <f>_xlfn.IFNA(VLOOKUP($BC172,Programma!$F$3:$G$1101,2,0),"")</f>
        <v/>
      </c>
      <c r="BE172" s="185" t="str">
        <f>_xlfn.IFNA(VLOOKUP($BC172,Programma!$F$3:$H$1101,3,0),"")</f>
        <v/>
      </c>
      <c r="BF172" s="185" t="str">
        <f>_xlfn.IFNA(VLOOKUP($BC172,Programma!$F$3:$I$1101,4,0),"")</f>
        <v/>
      </c>
      <c r="BG172" s="185" t="str">
        <f>_xlfn.IFNA(VLOOKUP($BC172,Programma!$F$3:$J$1101,5,0),"")</f>
        <v/>
      </c>
      <c r="BH172" s="185" t="str">
        <f>_xlfn.IFNA(VLOOKUP($BC172,Programma!$F$3:$K$1101,6,0),"")</f>
        <v/>
      </c>
      <c r="BI172" s="185" t="str">
        <f>_xlfn.IFNA(VLOOKUP($BC172,Programma!$F$3:$L$1101,7,0),"")</f>
        <v/>
      </c>
      <c r="BJ172" s="185" t="str">
        <f>_xlfn.IFNA(VLOOKUP($BC172,Programma!$F$3:$M$1101,8,0),"")</f>
        <v/>
      </c>
      <c r="BK172" s="185" t="str">
        <f>_xlfn.IFNA(VLOOKUP($BC172,Programma!$F$3:$N$1101,9,0),"")</f>
        <v/>
      </c>
      <c r="BL172" s="185" t="str">
        <f>_xlfn.IFNA(VLOOKUP($BC172,Programma!$F$3:$O$1101,10,0),"")</f>
        <v/>
      </c>
      <c r="BM172" s="185" t="str">
        <f>_xlfn.IFNA(VLOOKUP($BC172,Programma!$F$3:$P$1101,11,0),"")</f>
        <v/>
      </c>
      <c r="BN172" s="185" t="str">
        <f>_xlfn.IFNA(VLOOKUP($BC172,Programma!$F$3:$Q$1101,12,0),"")</f>
        <v/>
      </c>
      <c r="BO172" s="185" t="str">
        <f>_xlfn.IFNA(VLOOKUP($BC172,Programma!$F$3:$R$1101,13,0),"")</f>
        <v/>
      </c>
      <c r="BP172" s="185" t="str">
        <f>_xlfn.IFNA(VLOOKUP($BC172,Programma!$F$3:$S$1101,14,0),"")</f>
        <v/>
      </c>
      <c r="BQ172" s="185" t="str">
        <f>_xlfn.IFNA(VLOOKUP($BC172,Programma!$F$3:$T$1101,15,0),"")</f>
        <v/>
      </c>
      <c r="BR172" s="185" t="str">
        <f>_xlfn.IFNA(VLOOKUP($BC172,Programma!$F$3:$U$1101,16,0),"")</f>
        <v/>
      </c>
      <c r="BS172" s="185" t="str">
        <f>_xlfn.IFNA(VLOOKUP($BC172,Programma!$F$3:$V$1101,17,0),"")</f>
        <v/>
      </c>
      <c r="BT172" s="185" t="str">
        <f>_xlfn.IFNA(VLOOKUP($BC172,Programma!$F$3:$W$1101,18,0),"")</f>
        <v/>
      </c>
      <c r="BU172" s="185" t="str">
        <f>_xlfn.IFNA(VLOOKUP($BC172,Programma!$F$3:$X$1101,19,0),"")</f>
        <v/>
      </c>
      <c r="BV172" s="185" t="str">
        <f>_xlfn.IFNA(VLOOKUP($BC172,Programma!$F$3:$Y$1101,20,0),"")</f>
        <v/>
      </c>
      <c r="BW172" s="78"/>
      <c r="BX172" s="78"/>
      <c r="BY172" s="78"/>
      <c r="BZ172" s="78"/>
      <c r="CA172" s="78"/>
      <c r="CB172" s="78"/>
      <c r="CC172" s="78"/>
      <c r="CD172" s="78"/>
      <c r="CE172" s="78"/>
      <c r="CF172" s="78"/>
      <c r="CG172" s="78"/>
      <c r="CH172" s="78"/>
      <c r="CI172" s="78"/>
      <c r="CJ172" s="78"/>
      <c r="CK172" s="78"/>
      <c r="CL172" s="78"/>
      <c r="CM172" s="78"/>
      <c r="CN172" s="78"/>
      <c r="CO172" s="78"/>
      <c r="CP172" s="78"/>
      <c r="CQ172" s="78"/>
      <c r="CR172" s="78"/>
      <c r="CS172" s="78"/>
      <c r="CT172" s="78"/>
      <c r="CU172" s="78"/>
      <c r="CV172" s="78"/>
      <c r="CW172" s="78"/>
      <c r="CX172" s="78"/>
      <c r="CY172" s="78"/>
      <c r="CZ172" s="78"/>
      <c r="DA172" s="78"/>
      <c r="DB172" s="78"/>
      <c r="DC172" s="78"/>
      <c r="DD172" s="78"/>
      <c r="DE172" s="78"/>
      <c r="DF172" s="78"/>
      <c r="DG172" s="78"/>
      <c r="DH172" s="78"/>
      <c r="DI172" s="78"/>
      <c r="DJ172" s="78"/>
      <c r="DK172" s="78"/>
      <c r="DL172" s="78"/>
      <c r="DM172" s="78"/>
      <c r="DN172" s="78"/>
      <c r="DO172" s="78"/>
      <c r="DP172" s="78"/>
      <c r="DQ172" s="78"/>
      <c r="DR172" s="78"/>
      <c r="DS172" s="78"/>
      <c r="DT172" s="78"/>
      <c r="DU172" s="78"/>
      <c r="DV172" s="78"/>
      <c r="DW172" s="78"/>
      <c r="DX172" s="78"/>
      <c r="DY172" s="78"/>
      <c r="DZ172" s="78"/>
      <c r="EA172" s="78"/>
      <c r="EB172" s="78"/>
      <c r="EC172" s="78"/>
      <c r="ED172" s="78"/>
      <c r="EE172" s="78"/>
      <c r="EF172" s="78"/>
      <c r="EG172" s="78"/>
      <c r="EH172" s="78"/>
      <c r="EI172" s="78"/>
      <c r="EJ172" s="78"/>
      <c r="EK172" s="78"/>
      <c r="EL172" s="78"/>
      <c r="EM172" s="78"/>
      <c r="EN172" s="78"/>
      <c r="EO172" s="78"/>
      <c r="EP172" s="78"/>
      <c r="EQ172" s="78"/>
      <c r="ER172" s="78"/>
      <c r="ES172" s="78"/>
      <c r="ET172" s="78"/>
      <c r="EU172" s="78"/>
      <c r="EV172" s="78"/>
      <c r="EW172" s="78"/>
      <c r="EX172" s="78"/>
      <c r="EY172" s="78"/>
      <c r="EZ172" s="78"/>
      <c r="FA172" s="78"/>
      <c r="FB172" s="78"/>
      <c r="FC172" s="78"/>
      <c r="FD172" s="78"/>
      <c r="FE172" s="78"/>
      <c r="FF172" s="78"/>
      <c r="FG172" s="78"/>
      <c r="FH172" s="78"/>
      <c r="FI172" s="78"/>
      <c r="FJ172" s="78"/>
      <c r="FK172" s="78"/>
      <c r="FL172" s="78"/>
      <c r="FM172" s="78"/>
      <c r="FN172" s="78"/>
      <c r="FO172" s="78"/>
      <c r="FP172" s="78"/>
      <c r="FQ172" s="78"/>
      <c r="FR172" s="78"/>
      <c r="FS172" s="78"/>
      <c r="FT172" s="78"/>
      <c r="FU172" s="78"/>
      <c r="FV172" s="78"/>
      <c r="FW172" s="78"/>
      <c r="FX172" s="78"/>
      <c r="FY172" s="78"/>
      <c r="FZ172" s="78"/>
      <c r="GA172" s="78"/>
      <c r="GB172" s="78"/>
      <c r="GC172" s="78"/>
      <c r="GD172" s="78"/>
      <c r="GE172" s="78"/>
      <c r="GF172" s="78"/>
      <c r="GG172" s="78"/>
      <c r="GH172" s="78"/>
      <c r="GI172" s="78"/>
      <c r="GJ172" s="78"/>
      <c r="GK172" s="78"/>
      <c r="GL172" s="78"/>
      <c r="GM172" s="78"/>
      <c r="GN172" s="78"/>
      <c r="GO172" s="78"/>
      <c r="GP172" s="78"/>
      <c r="GQ172" s="78"/>
      <c r="GR172" s="78"/>
      <c r="GS172" s="78"/>
      <c r="GT172" s="78"/>
      <c r="GU172" s="78"/>
      <c r="GV172" s="78"/>
      <c r="GW172" s="78"/>
      <c r="GX172" s="78"/>
      <c r="GY172" s="78"/>
      <c r="GZ172" s="78"/>
      <c r="HA172" s="78"/>
      <c r="HB172" s="78"/>
      <c r="HC172" s="78"/>
      <c r="HD172" s="78"/>
      <c r="HE172" s="78"/>
      <c r="HF172" s="78"/>
      <c r="HG172" s="78"/>
      <c r="HH172" s="78"/>
      <c r="HI172" s="78"/>
      <c r="HJ172" s="78"/>
      <c r="HK172" s="78"/>
    </row>
    <row r="173" spans="1:219" ht="15" customHeight="1">
      <c r="A173" s="149">
        <v>6</v>
      </c>
      <c r="B173" s="176" t="str">
        <f>VLOOKUP(Ruimtestaat[[#This Row],[Code]],Locaties[[Code]:[Locatie]],2,FALSE)</f>
        <v>OBS La Res Noord</v>
      </c>
      <c r="C173" s="176" t="str">
        <f>VLOOKUP(Ruimtestaat[[#This Row],[Code]],Locaties[[#All],[Code]:[Adres]],4,FALSE)</f>
        <v>Schietbaanweg 30</v>
      </c>
      <c r="D173" s="176" t="str">
        <f>VLOOKUP(Ruimtestaat[[#This Row],[Code]],Locaties[[#All],[Code]:[Postcode]],5,FALSE)</f>
        <v>7521 DB</v>
      </c>
      <c r="E173" s="176" t="str">
        <f>VLOOKUP(Ruimtestaat[[#This Row],[Code]],Locaties[#All],6,FALSE)</f>
        <v>Enschede</v>
      </c>
      <c r="F173" s="149"/>
      <c r="G173" s="149"/>
      <c r="H173" s="99" t="s">
        <v>1672</v>
      </c>
      <c r="I173" s="183" t="s">
        <v>1684</v>
      </c>
      <c r="J173" s="99">
        <v>5</v>
      </c>
      <c r="K173" s="183" t="str">
        <f>VLOOKUP(Ruimtestaat[[#This Row],[Ruimte code]],Ruimtegroepen[[#All],[Code]:[Ruimte omschrijving]],2,FALSE)</f>
        <v>Sanitair</v>
      </c>
      <c r="L173" s="149" t="s">
        <v>101</v>
      </c>
      <c r="M173" s="301" t="s">
        <v>119</v>
      </c>
      <c r="N173" s="177">
        <v>6.7</v>
      </c>
      <c r="O173" s="177"/>
      <c r="P173" s="178" t="str">
        <f>VLOOKUP(Ruimtestaat[[#This Row],[Ruimte code]],Ruimtegroepen[],4,FALSE)</f>
        <v>Sa</v>
      </c>
      <c r="Q173" s="149"/>
      <c r="R173" s="149"/>
      <c r="S173" s="149">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3" s="149">
        <f>IF(S173&gt;0,VLOOKUP($J173,Ruimtegroepen[],3,FALSE)*VLOOKUP($L173,Vloersoorten[],3,FALSE)*VLOOKUP($R173,Frequenties[],3,FALSE)*VLOOKUP($A173,Locaties[],3,FALSE),0)</f>
        <v>0</v>
      </c>
      <c r="U173" s="149">
        <f>Ruimtestaat[[#This Row],[Uitvoeringen werkdagen]]*Ruimtestaat[[#This Row],[Oppervlak (netto)]]</f>
        <v>0</v>
      </c>
      <c r="V173" s="179">
        <f>IF(T173&gt;0,Ruimtestaat[[#This Row],[Prest. (m2 /jaar) werkdagen]]/Ruimtestaat[[#This Row],[Norm (m2/uur) werkdagen]],0)</f>
        <v>0</v>
      </c>
      <c r="W173" s="180">
        <f>Ruimtestaat[[#This Row],[uren / jaar werkdagen]]*Tariefsopbouw!$E$35</f>
        <v>0</v>
      </c>
      <c r="X173" s="149"/>
      <c r="Y173" s="149">
        <f>IF(Ruimtestaat[[#This Row],[Frequentie weekend]]&gt;0,VALUE(LEFT(X173,1))*Q173,0)</f>
        <v>0</v>
      </c>
      <c r="Z173" s="148">
        <f>IF($Y173&gt;0,VLOOKUP($J173,Ruimtegroepen[],3,FALSE)*VLOOKUP($L173,Vloersoorten[],3,FALSE)*VLOOKUP($X173,Frequenties[],3,FALSE)*VLOOKUP(#REF!,Locaties[],3,FALSE),0)</f>
        <v>0</v>
      </c>
      <c r="AA173" s="148">
        <f>Ruimtestaat[[#This Row],[Uitvoeringen weekend]]*Ruimtestaat[[#This Row],[Oppervlak (netto)]]</f>
        <v>0</v>
      </c>
      <c r="AB173" s="148">
        <f>IF(Z173&gt;0,Ruimtestaat[[#This Row],[Prest. (m2 /jaar) weekend]]/Ruimtestaat[[#This Row],[Norm (m2/uur) weekend]],0)</f>
        <v>0</v>
      </c>
      <c r="AC173" s="180">
        <f>Ruimtestaat[[#This Row],[uren / jaar weekend]]*Tariefsopbouw!$D$40</f>
        <v>0</v>
      </c>
      <c r="AD173" s="179">
        <f>Ruimtestaat[[#This Row],[Prest. (m2 /jaar) weekend]]+Ruimtestaat[[#This Row],[Prest. (m2 /jaar) werkdagen]]</f>
        <v>0</v>
      </c>
      <c r="AE173" s="179">
        <f>Ruimtestaat[[#This Row],[uren / jaar weekend]]+Ruimtestaat[[#This Row],[uren / jaar werkdagen]]</f>
        <v>0</v>
      </c>
      <c r="AF173" s="174">
        <f>Ruimtestaat[[#This Row],[kosten / jaar weekend]]+Ruimtestaat[[#This Row],[kosten / jaar werkdagen]]</f>
        <v>0</v>
      </c>
      <c r="AG173" s="174"/>
      <c r="AH173" s="181" t="str">
        <f>IF(Ruimtestaat[[#This Row],[Frequentie werkdagen]]="","",_xlfn.CONCAT(Ruimtestaat[[#This Row],[Ruimte code]],"-",Ruimtestaat[[#This Row],[Frequentie werkdagen]]," ",Ruimtestaat[[#This Row],[Vloer code]]))</f>
        <v/>
      </c>
      <c r="AI173" s="185" t="str">
        <f>_xlfn.IFNA(VLOOKUP($AH173,Programma!$F$3:$G$1101,2,0),"")</f>
        <v/>
      </c>
      <c r="AJ173" s="185" t="str">
        <f>_xlfn.IFNA(VLOOKUP($AH173,Programma!$F$3:$H$1101,3,0),"")</f>
        <v/>
      </c>
      <c r="AK173" s="185" t="str">
        <f>_xlfn.IFNA(VLOOKUP($AH173,Programma!$F$3:$I$1101,4,0),"")</f>
        <v/>
      </c>
      <c r="AL173" s="185" t="str">
        <f>_xlfn.IFNA(VLOOKUP($AH173,Programma!$F$3:$J$1101,5,0),"")</f>
        <v/>
      </c>
      <c r="AM173" s="185" t="str">
        <f>_xlfn.IFNA(VLOOKUP($AH173,Programma!$F$3:$K$1101,6,0),"")</f>
        <v/>
      </c>
      <c r="AN173" s="185" t="str">
        <f>_xlfn.IFNA(VLOOKUP($AH173,Programma!$F$3:$L$1101,7,0),"")</f>
        <v/>
      </c>
      <c r="AO173" s="185" t="str">
        <f>_xlfn.IFNA(VLOOKUP($AH173,Programma!$F$3:$M$1101,8,0),"")</f>
        <v/>
      </c>
      <c r="AP173" s="185" t="str">
        <f>_xlfn.IFNA(VLOOKUP($AH173,Programma!$F$3:$N$1101,9,0),"")</f>
        <v/>
      </c>
      <c r="AQ173" s="185" t="str">
        <f>_xlfn.IFNA(VLOOKUP($AH173,Programma!$F$3:$O$1101,10,0),"")</f>
        <v/>
      </c>
      <c r="AR173" s="185" t="str">
        <f>_xlfn.IFNA(VLOOKUP($AH173,Programma!$F$3:$P$1101,11,0),"")</f>
        <v/>
      </c>
      <c r="AS173" s="185" t="str">
        <f>_xlfn.IFNA(VLOOKUP($AH173,Programma!$F$3:$Q$1101,12,0),"")</f>
        <v/>
      </c>
      <c r="AT173" s="185" t="str">
        <f>_xlfn.IFNA(VLOOKUP($AH173,Programma!$F$3:$R$1101,13,0),"")</f>
        <v/>
      </c>
      <c r="AU173" s="185" t="str">
        <f>_xlfn.IFNA(VLOOKUP($AH173,Programma!$F$3:$S$1101,14,0),"")</f>
        <v/>
      </c>
      <c r="AV173" s="185" t="str">
        <f>_xlfn.IFNA(VLOOKUP($AH173,Programma!$F$3:$T$1101,15,0),"")</f>
        <v/>
      </c>
      <c r="AW173" s="185" t="str">
        <f>_xlfn.IFNA(VLOOKUP($AH173,Programma!$F$3:$U$1101,16,0),"")</f>
        <v/>
      </c>
      <c r="AX173" s="185" t="str">
        <f>_xlfn.IFNA(VLOOKUP($AH173,Programma!$F$3:$V$1101,17,0),"")</f>
        <v/>
      </c>
      <c r="AY173" s="185" t="str">
        <f>_xlfn.IFNA(VLOOKUP($AH173,Programma!$F$3:$W$1101,18,0),"")</f>
        <v/>
      </c>
      <c r="AZ173" s="185" t="str">
        <f>_xlfn.IFNA(VLOOKUP($AH173,Programma!$F$3:$X$1101,19,0),"")</f>
        <v/>
      </c>
      <c r="BA173" s="185" t="str">
        <f>_xlfn.IFNA(VLOOKUP($AH173,Programma!$F$3:$Y$1101,20,0),"")</f>
        <v/>
      </c>
      <c r="BB173" s="182"/>
      <c r="BC173" s="181" t="str">
        <f>IF(Ruimtestaat[[#This Row],[Frequentie weekend]]="","",_xlfn.CONCAT(Ruimtestaat[[#This Row],[Ruimte code]],"-",Ruimtestaat[[#This Row],[Frequentie weekend]]," ",Ruimtestaat[[#This Row],[Vloer code]]))</f>
        <v/>
      </c>
      <c r="BD173" s="185" t="str">
        <f>_xlfn.IFNA(VLOOKUP($BC173,Programma!$F$3:$G$1101,2,0),"")</f>
        <v/>
      </c>
      <c r="BE173" s="185" t="str">
        <f>_xlfn.IFNA(VLOOKUP($BC173,Programma!$F$3:$H$1101,3,0),"")</f>
        <v/>
      </c>
      <c r="BF173" s="185" t="str">
        <f>_xlfn.IFNA(VLOOKUP($BC173,Programma!$F$3:$I$1101,4,0),"")</f>
        <v/>
      </c>
      <c r="BG173" s="185" t="str">
        <f>_xlfn.IFNA(VLOOKUP($BC173,Programma!$F$3:$J$1101,5,0),"")</f>
        <v/>
      </c>
      <c r="BH173" s="185" t="str">
        <f>_xlfn.IFNA(VLOOKUP($BC173,Programma!$F$3:$K$1101,6,0),"")</f>
        <v/>
      </c>
      <c r="BI173" s="185" t="str">
        <f>_xlfn.IFNA(VLOOKUP($BC173,Programma!$F$3:$L$1101,7,0),"")</f>
        <v/>
      </c>
      <c r="BJ173" s="185" t="str">
        <f>_xlfn.IFNA(VLOOKUP($BC173,Programma!$F$3:$M$1101,8,0),"")</f>
        <v/>
      </c>
      <c r="BK173" s="185" t="str">
        <f>_xlfn.IFNA(VLOOKUP($BC173,Programma!$F$3:$N$1101,9,0),"")</f>
        <v/>
      </c>
      <c r="BL173" s="185" t="str">
        <f>_xlfn.IFNA(VLOOKUP($BC173,Programma!$F$3:$O$1101,10,0),"")</f>
        <v/>
      </c>
      <c r="BM173" s="185" t="str">
        <f>_xlfn.IFNA(VLOOKUP($BC173,Programma!$F$3:$P$1101,11,0),"")</f>
        <v/>
      </c>
      <c r="BN173" s="185" t="str">
        <f>_xlfn.IFNA(VLOOKUP($BC173,Programma!$F$3:$Q$1101,12,0),"")</f>
        <v/>
      </c>
      <c r="BO173" s="185" t="str">
        <f>_xlfn.IFNA(VLOOKUP($BC173,Programma!$F$3:$R$1101,13,0),"")</f>
        <v/>
      </c>
      <c r="BP173" s="185" t="str">
        <f>_xlfn.IFNA(VLOOKUP($BC173,Programma!$F$3:$S$1101,14,0),"")</f>
        <v/>
      </c>
      <c r="BQ173" s="185" t="str">
        <f>_xlfn.IFNA(VLOOKUP($BC173,Programma!$F$3:$T$1101,15,0),"")</f>
        <v/>
      </c>
      <c r="BR173" s="185" t="str">
        <f>_xlfn.IFNA(VLOOKUP($BC173,Programma!$F$3:$U$1101,16,0),"")</f>
        <v/>
      </c>
      <c r="BS173" s="185" t="str">
        <f>_xlfn.IFNA(VLOOKUP($BC173,Programma!$F$3:$V$1101,17,0),"")</f>
        <v/>
      </c>
      <c r="BT173" s="185" t="str">
        <f>_xlfn.IFNA(VLOOKUP($BC173,Programma!$F$3:$W$1101,18,0),"")</f>
        <v/>
      </c>
      <c r="BU173" s="185" t="str">
        <f>_xlfn.IFNA(VLOOKUP($BC173,Programma!$F$3:$X$1101,19,0),"")</f>
        <v/>
      </c>
      <c r="BV173" s="185" t="str">
        <f>_xlfn.IFNA(VLOOKUP($BC173,Programma!$F$3:$Y$1101,20,0),"")</f>
        <v/>
      </c>
      <c r="BW173" s="78"/>
      <c r="BX173" s="78"/>
      <c r="BY173" s="78"/>
      <c r="BZ173" s="78"/>
      <c r="CA173" s="78"/>
      <c r="CB173" s="78"/>
      <c r="CC173" s="78"/>
      <c r="CD173" s="78"/>
      <c r="CE173" s="78"/>
      <c r="CF173" s="78"/>
      <c r="CG173" s="78"/>
      <c r="CH173" s="78"/>
      <c r="CI173" s="78"/>
      <c r="CJ173" s="78"/>
      <c r="CK173" s="78"/>
      <c r="CL173" s="78"/>
      <c r="CM173" s="78"/>
      <c r="CN173" s="78"/>
      <c r="CO173" s="78"/>
      <c r="CP173" s="78"/>
      <c r="CQ173" s="78"/>
      <c r="CR173" s="78"/>
      <c r="CS173" s="78"/>
      <c r="CT173" s="78"/>
      <c r="CU173" s="78"/>
      <c r="CV173" s="78"/>
      <c r="CW173" s="78"/>
      <c r="CX173" s="78"/>
      <c r="CY173" s="78"/>
      <c r="CZ173" s="78"/>
      <c r="DA173" s="78"/>
      <c r="DB173" s="78"/>
      <c r="DC173" s="78"/>
      <c r="DD173" s="78"/>
      <c r="DE173" s="78"/>
      <c r="DF173" s="78"/>
      <c r="DG173" s="78"/>
      <c r="DH173" s="78"/>
      <c r="DI173" s="78"/>
      <c r="DJ173" s="78"/>
      <c r="DK173" s="78"/>
      <c r="DL173" s="78"/>
      <c r="DM173" s="78"/>
      <c r="DN173" s="78"/>
      <c r="DO173" s="78"/>
      <c r="DP173" s="78"/>
      <c r="DQ173" s="78"/>
      <c r="DR173" s="78"/>
      <c r="DS173" s="78"/>
      <c r="DT173" s="78"/>
      <c r="DU173" s="78"/>
      <c r="DV173" s="78"/>
      <c r="DW173" s="78"/>
      <c r="DX173" s="78"/>
      <c r="DY173" s="78"/>
      <c r="DZ173" s="78"/>
      <c r="EA173" s="78"/>
      <c r="EB173" s="78"/>
      <c r="EC173" s="78"/>
      <c r="ED173" s="78"/>
      <c r="EE173" s="78"/>
      <c r="EF173" s="78"/>
      <c r="EG173" s="78"/>
      <c r="EH173" s="78"/>
      <c r="EI173" s="78"/>
      <c r="EJ173" s="78"/>
      <c r="EK173" s="78"/>
      <c r="EL173" s="78"/>
      <c r="EM173" s="78"/>
      <c r="EN173" s="78"/>
      <c r="EO173" s="78"/>
      <c r="EP173" s="78"/>
      <c r="EQ173" s="78"/>
      <c r="ER173" s="78"/>
      <c r="ES173" s="78"/>
      <c r="ET173" s="78"/>
      <c r="EU173" s="78"/>
      <c r="EV173" s="78"/>
      <c r="EW173" s="78"/>
      <c r="EX173" s="78"/>
      <c r="EY173" s="78"/>
      <c r="EZ173" s="78"/>
      <c r="FA173" s="78"/>
      <c r="FB173" s="78"/>
      <c r="FC173" s="78"/>
      <c r="FD173" s="78"/>
      <c r="FE173" s="78"/>
      <c r="FF173" s="78"/>
      <c r="FG173" s="78"/>
      <c r="FH173" s="78"/>
      <c r="FI173" s="78"/>
      <c r="FJ173" s="78"/>
      <c r="FK173" s="78"/>
      <c r="FL173" s="78"/>
      <c r="FM173" s="78"/>
      <c r="FN173" s="78"/>
      <c r="FO173" s="78"/>
      <c r="FP173" s="78"/>
      <c r="FQ173" s="78"/>
      <c r="FR173" s="78"/>
      <c r="FS173" s="78"/>
      <c r="FT173" s="78"/>
      <c r="FU173" s="78"/>
      <c r="FV173" s="78"/>
      <c r="FW173" s="78"/>
      <c r="FX173" s="78"/>
      <c r="FY173" s="78"/>
      <c r="FZ173" s="78"/>
      <c r="GA173" s="78"/>
      <c r="GB173" s="78"/>
      <c r="GC173" s="78"/>
      <c r="GD173" s="78"/>
      <c r="GE173" s="78"/>
      <c r="GF173" s="78"/>
      <c r="GG173" s="78"/>
      <c r="GH173" s="78"/>
      <c r="GI173" s="78"/>
      <c r="GJ173" s="78"/>
      <c r="GK173" s="78"/>
      <c r="GL173" s="78"/>
      <c r="GM173" s="78"/>
      <c r="GN173" s="78"/>
      <c r="GO173" s="78"/>
      <c r="GP173" s="78"/>
      <c r="GQ173" s="78"/>
      <c r="GR173" s="78"/>
      <c r="GS173" s="78"/>
      <c r="GT173" s="78"/>
      <c r="GU173" s="78"/>
      <c r="GV173" s="78"/>
      <c r="GW173" s="78"/>
      <c r="GX173" s="78"/>
      <c r="GY173" s="78"/>
      <c r="GZ173" s="78"/>
      <c r="HA173" s="78"/>
      <c r="HB173" s="78"/>
      <c r="HC173" s="78"/>
      <c r="HD173" s="78"/>
      <c r="HE173" s="78"/>
      <c r="HF173" s="78"/>
      <c r="HG173" s="78"/>
      <c r="HH173" s="78"/>
      <c r="HI173" s="78"/>
      <c r="HJ173" s="78"/>
      <c r="HK173" s="78"/>
    </row>
    <row r="174" spans="1:219" ht="15" customHeight="1">
      <c r="A174" s="149">
        <v>6</v>
      </c>
      <c r="B174" s="176" t="str">
        <f>VLOOKUP(Ruimtestaat[[#This Row],[Code]],Locaties[[Code]:[Locatie]],2,FALSE)</f>
        <v>OBS La Res Noord</v>
      </c>
      <c r="C174" s="176" t="str">
        <f>VLOOKUP(Ruimtestaat[[#This Row],[Code]],Locaties[[#All],[Code]:[Adres]],4,FALSE)</f>
        <v>Schietbaanweg 30</v>
      </c>
      <c r="D174" s="176" t="str">
        <f>VLOOKUP(Ruimtestaat[[#This Row],[Code]],Locaties[[#All],[Code]:[Postcode]],5,FALSE)</f>
        <v>7521 DB</v>
      </c>
      <c r="E174" s="176" t="str">
        <f>VLOOKUP(Ruimtestaat[[#This Row],[Code]],Locaties[#All],6,FALSE)</f>
        <v>Enschede</v>
      </c>
      <c r="F174" s="149"/>
      <c r="G174" s="149"/>
      <c r="H174" s="99" t="s">
        <v>1673</v>
      </c>
      <c r="I174" s="183" t="s">
        <v>1684</v>
      </c>
      <c r="J174" s="99">
        <v>5</v>
      </c>
      <c r="K174" s="183" t="str">
        <f>VLOOKUP(Ruimtestaat[[#This Row],[Ruimte code]],Ruimtegroepen[[#All],[Code]:[Ruimte omschrijving]],2,FALSE)</f>
        <v>Sanitair</v>
      </c>
      <c r="L174" s="149" t="s">
        <v>101</v>
      </c>
      <c r="M174" s="301" t="s">
        <v>119</v>
      </c>
      <c r="N174" s="177">
        <v>6.7</v>
      </c>
      <c r="O174" s="177"/>
      <c r="P174" s="178" t="str">
        <f>VLOOKUP(Ruimtestaat[[#This Row],[Ruimte code]],Ruimtegroepen[],4,FALSE)</f>
        <v>Sa</v>
      </c>
      <c r="Q174" s="149"/>
      <c r="R174" s="149"/>
      <c r="S174" s="149">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4" s="149">
        <f>IF(S174&gt;0,VLOOKUP($J174,Ruimtegroepen[],3,FALSE)*VLOOKUP($L174,Vloersoorten[],3,FALSE)*VLOOKUP($R174,Frequenties[],3,FALSE)*VLOOKUP($A174,Locaties[],3,FALSE),0)</f>
        <v>0</v>
      </c>
      <c r="U174" s="149">
        <f>Ruimtestaat[[#This Row],[Uitvoeringen werkdagen]]*Ruimtestaat[[#This Row],[Oppervlak (netto)]]</f>
        <v>0</v>
      </c>
      <c r="V174" s="179">
        <f>IF(T174&gt;0,Ruimtestaat[[#This Row],[Prest. (m2 /jaar) werkdagen]]/Ruimtestaat[[#This Row],[Norm (m2/uur) werkdagen]],0)</f>
        <v>0</v>
      </c>
      <c r="W174" s="180">
        <f>Ruimtestaat[[#This Row],[uren / jaar werkdagen]]*Tariefsopbouw!$E$35</f>
        <v>0</v>
      </c>
      <c r="X174" s="149"/>
      <c r="Y174" s="149">
        <f>IF(Ruimtestaat[[#This Row],[Frequentie weekend]]&gt;0,VALUE(LEFT(X174,1))*Q174,0)</f>
        <v>0</v>
      </c>
      <c r="Z174" s="148">
        <f>IF($Y174&gt;0,VLOOKUP($J174,Ruimtegroepen[],3,FALSE)*VLOOKUP($L174,Vloersoorten[],3,FALSE)*VLOOKUP($X174,Frequenties[],3,FALSE)*VLOOKUP(#REF!,Locaties[],3,FALSE),0)</f>
        <v>0</v>
      </c>
      <c r="AA174" s="148">
        <f>Ruimtestaat[[#This Row],[Uitvoeringen weekend]]*Ruimtestaat[[#This Row],[Oppervlak (netto)]]</f>
        <v>0</v>
      </c>
      <c r="AB174" s="148">
        <f>IF(Z174&gt;0,Ruimtestaat[[#This Row],[Prest. (m2 /jaar) weekend]]/Ruimtestaat[[#This Row],[Norm (m2/uur) weekend]],0)</f>
        <v>0</v>
      </c>
      <c r="AC174" s="180">
        <f>Ruimtestaat[[#This Row],[uren / jaar weekend]]*Tariefsopbouw!$D$40</f>
        <v>0</v>
      </c>
      <c r="AD174" s="179">
        <f>Ruimtestaat[[#This Row],[Prest. (m2 /jaar) weekend]]+Ruimtestaat[[#This Row],[Prest. (m2 /jaar) werkdagen]]</f>
        <v>0</v>
      </c>
      <c r="AE174" s="179">
        <f>Ruimtestaat[[#This Row],[uren / jaar weekend]]+Ruimtestaat[[#This Row],[uren / jaar werkdagen]]</f>
        <v>0</v>
      </c>
      <c r="AF174" s="174">
        <f>Ruimtestaat[[#This Row],[kosten / jaar weekend]]+Ruimtestaat[[#This Row],[kosten / jaar werkdagen]]</f>
        <v>0</v>
      </c>
      <c r="AG174" s="174"/>
      <c r="AH174" s="181" t="str">
        <f>IF(Ruimtestaat[[#This Row],[Frequentie werkdagen]]="","",_xlfn.CONCAT(Ruimtestaat[[#This Row],[Ruimte code]],"-",Ruimtestaat[[#This Row],[Frequentie werkdagen]]," ",Ruimtestaat[[#This Row],[Vloer code]]))</f>
        <v/>
      </c>
      <c r="AI174" s="185" t="str">
        <f>_xlfn.IFNA(VLOOKUP($AH174,Programma!$F$3:$G$1101,2,0),"")</f>
        <v/>
      </c>
      <c r="AJ174" s="185" t="str">
        <f>_xlfn.IFNA(VLOOKUP($AH174,Programma!$F$3:$H$1101,3,0),"")</f>
        <v/>
      </c>
      <c r="AK174" s="185" t="str">
        <f>_xlfn.IFNA(VLOOKUP($AH174,Programma!$F$3:$I$1101,4,0),"")</f>
        <v/>
      </c>
      <c r="AL174" s="185" t="str">
        <f>_xlfn.IFNA(VLOOKUP($AH174,Programma!$F$3:$J$1101,5,0),"")</f>
        <v/>
      </c>
      <c r="AM174" s="185" t="str">
        <f>_xlfn.IFNA(VLOOKUP($AH174,Programma!$F$3:$K$1101,6,0),"")</f>
        <v/>
      </c>
      <c r="AN174" s="185" t="str">
        <f>_xlfn.IFNA(VLOOKUP($AH174,Programma!$F$3:$L$1101,7,0),"")</f>
        <v/>
      </c>
      <c r="AO174" s="185" t="str">
        <f>_xlfn.IFNA(VLOOKUP($AH174,Programma!$F$3:$M$1101,8,0),"")</f>
        <v/>
      </c>
      <c r="AP174" s="185" t="str">
        <f>_xlfn.IFNA(VLOOKUP($AH174,Programma!$F$3:$N$1101,9,0),"")</f>
        <v/>
      </c>
      <c r="AQ174" s="185" t="str">
        <f>_xlfn.IFNA(VLOOKUP($AH174,Programma!$F$3:$O$1101,10,0),"")</f>
        <v/>
      </c>
      <c r="AR174" s="185" t="str">
        <f>_xlfn.IFNA(VLOOKUP($AH174,Programma!$F$3:$P$1101,11,0),"")</f>
        <v/>
      </c>
      <c r="AS174" s="185" t="str">
        <f>_xlfn.IFNA(VLOOKUP($AH174,Programma!$F$3:$Q$1101,12,0),"")</f>
        <v/>
      </c>
      <c r="AT174" s="185" t="str">
        <f>_xlfn.IFNA(VLOOKUP($AH174,Programma!$F$3:$R$1101,13,0),"")</f>
        <v/>
      </c>
      <c r="AU174" s="185" t="str">
        <f>_xlfn.IFNA(VLOOKUP($AH174,Programma!$F$3:$S$1101,14,0),"")</f>
        <v/>
      </c>
      <c r="AV174" s="185" t="str">
        <f>_xlfn.IFNA(VLOOKUP($AH174,Programma!$F$3:$T$1101,15,0),"")</f>
        <v/>
      </c>
      <c r="AW174" s="185" t="str">
        <f>_xlfn.IFNA(VLOOKUP($AH174,Programma!$F$3:$U$1101,16,0),"")</f>
        <v/>
      </c>
      <c r="AX174" s="185" t="str">
        <f>_xlfn.IFNA(VLOOKUP($AH174,Programma!$F$3:$V$1101,17,0),"")</f>
        <v/>
      </c>
      <c r="AY174" s="185" t="str">
        <f>_xlfn.IFNA(VLOOKUP($AH174,Programma!$F$3:$W$1101,18,0),"")</f>
        <v/>
      </c>
      <c r="AZ174" s="185" t="str">
        <f>_xlfn.IFNA(VLOOKUP($AH174,Programma!$F$3:$X$1101,19,0),"")</f>
        <v/>
      </c>
      <c r="BA174" s="185" t="str">
        <f>_xlfn.IFNA(VLOOKUP($AH174,Programma!$F$3:$Y$1101,20,0),"")</f>
        <v/>
      </c>
      <c r="BB174" s="182"/>
      <c r="BC174" s="181" t="str">
        <f>IF(Ruimtestaat[[#This Row],[Frequentie weekend]]="","",_xlfn.CONCAT(Ruimtestaat[[#This Row],[Ruimte code]],"-",Ruimtestaat[[#This Row],[Frequentie weekend]]," ",Ruimtestaat[[#This Row],[Vloer code]]))</f>
        <v/>
      </c>
      <c r="BD174" s="185" t="str">
        <f>_xlfn.IFNA(VLOOKUP($BC174,Programma!$F$3:$G$1101,2,0),"")</f>
        <v/>
      </c>
      <c r="BE174" s="185" t="str">
        <f>_xlfn.IFNA(VLOOKUP($BC174,Programma!$F$3:$H$1101,3,0),"")</f>
        <v/>
      </c>
      <c r="BF174" s="185" t="str">
        <f>_xlfn.IFNA(VLOOKUP($BC174,Programma!$F$3:$I$1101,4,0),"")</f>
        <v/>
      </c>
      <c r="BG174" s="185" t="str">
        <f>_xlfn.IFNA(VLOOKUP($BC174,Programma!$F$3:$J$1101,5,0),"")</f>
        <v/>
      </c>
      <c r="BH174" s="185" t="str">
        <f>_xlfn.IFNA(VLOOKUP($BC174,Programma!$F$3:$K$1101,6,0),"")</f>
        <v/>
      </c>
      <c r="BI174" s="185" t="str">
        <f>_xlfn.IFNA(VLOOKUP($BC174,Programma!$F$3:$L$1101,7,0),"")</f>
        <v/>
      </c>
      <c r="BJ174" s="185" t="str">
        <f>_xlfn.IFNA(VLOOKUP($BC174,Programma!$F$3:$M$1101,8,0),"")</f>
        <v/>
      </c>
      <c r="BK174" s="185" t="str">
        <f>_xlfn.IFNA(VLOOKUP($BC174,Programma!$F$3:$N$1101,9,0),"")</f>
        <v/>
      </c>
      <c r="BL174" s="185" t="str">
        <f>_xlfn.IFNA(VLOOKUP($BC174,Programma!$F$3:$O$1101,10,0),"")</f>
        <v/>
      </c>
      <c r="BM174" s="185" t="str">
        <f>_xlfn.IFNA(VLOOKUP($BC174,Programma!$F$3:$P$1101,11,0),"")</f>
        <v/>
      </c>
      <c r="BN174" s="185" t="str">
        <f>_xlfn.IFNA(VLOOKUP($BC174,Programma!$F$3:$Q$1101,12,0),"")</f>
        <v/>
      </c>
      <c r="BO174" s="185" t="str">
        <f>_xlfn.IFNA(VLOOKUP($BC174,Programma!$F$3:$R$1101,13,0),"")</f>
        <v/>
      </c>
      <c r="BP174" s="185" t="str">
        <f>_xlfn.IFNA(VLOOKUP($BC174,Programma!$F$3:$S$1101,14,0),"")</f>
        <v/>
      </c>
      <c r="BQ174" s="185" t="str">
        <f>_xlfn.IFNA(VLOOKUP($BC174,Programma!$F$3:$T$1101,15,0),"")</f>
        <v/>
      </c>
      <c r="BR174" s="185" t="str">
        <f>_xlfn.IFNA(VLOOKUP($BC174,Programma!$F$3:$U$1101,16,0),"")</f>
        <v/>
      </c>
      <c r="BS174" s="185" t="str">
        <f>_xlfn.IFNA(VLOOKUP($BC174,Programma!$F$3:$V$1101,17,0),"")</f>
        <v/>
      </c>
      <c r="BT174" s="185" t="str">
        <f>_xlfn.IFNA(VLOOKUP($BC174,Programma!$F$3:$W$1101,18,0),"")</f>
        <v/>
      </c>
      <c r="BU174" s="185" t="str">
        <f>_xlfn.IFNA(VLOOKUP($BC174,Programma!$F$3:$X$1101,19,0),"")</f>
        <v/>
      </c>
      <c r="BV174" s="185" t="str">
        <f>_xlfn.IFNA(VLOOKUP($BC174,Programma!$F$3:$Y$1101,20,0),"")</f>
        <v/>
      </c>
      <c r="BW174" s="78"/>
      <c r="BX174" s="78"/>
      <c r="BY174" s="78"/>
      <c r="BZ174" s="78"/>
      <c r="CA174" s="78"/>
      <c r="CB174" s="78"/>
      <c r="CC174" s="78"/>
      <c r="CD174" s="78"/>
      <c r="CE174" s="78"/>
      <c r="CF174" s="78"/>
      <c r="CG174" s="78"/>
      <c r="CH174" s="78"/>
      <c r="CI174" s="78"/>
      <c r="CJ174" s="78"/>
      <c r="CK174" s="78"/>
      <c r="CL174" s="78"/>
      <c r="CM174" s="78"/>
      <c r="CN174" s="78"/>
      <c r="CO174" s="78"/>
      <c r="CP174" s="78"/>
      <c r="CQ174" s="78"/>
      <c r="CR174" s="78"/>
      <c r="CS174" s="78"/>
      <c r="CT174" s="78"/>
      <c r="CU174" s="78"/>
      <c r="CV174" s="78"/>
      <c r="CW174" s="78"/>
      <c r="CX174" s="78"/>
      <c r="CY174" s="78"/>
      <c r="CZ174" s="78"/>
      <c r="DA174" s="78"/>
      <c r="DB174" s="78"/>
      <c r="DC174" s="78"/>
      <c r="DD174" s="78"/>
      <c r="DE174" s="78"/>
      <c r="DF174" s="78"/>
      <c r="DG174" s="78"/>
      <c r="DH174" s="78"/>
      <c r="DI174" s="78"/>
      <c r="DJ174" s="78"/>
      <c r="DK174" s="78"/>
      <c r="DL174" s="78"/>
      <c r="DM174" s="78"/>
      <c r="DN174" s="78"/>
      <c r="DO174" s="78"/>
      <c r="DP174" s="78"/>
      <c r="DQ174" s="78"/>
      <c r="DR174" s="78"/>
      <c r="DS174" s="78"/>
      <c r="DT174" s="78"/>
      <c r="DU174" s="78"/>
      <c r="DV174" s="78"/>
      <c r="DW174" s="78"/>
      <c r="DX174" s="78"/>
      <c r="DY174" s="78"/>
      <c r="DZ174" s="78"/>
      <c r="EA174" s="78"/>
      <c r="EB174" s="78"/>
      <c r="EC174" s="78"/>
      <c r="ED174" s="78"/>
      <c r="EE174" s="78"/>
      <c r="EF174" s="78"/>
      <c r="EG174" s="78"/>
      <c r="EH174" s="78"/>
      <c r="EI174" s="78"/>
      <c r="EJ174" s="78"/>
      <c r="EK174" s="78"/>
      <c r="EL174" s="78"/>
      <c r="EM174" s="78"/>
      <c r="EN174" s="78"/>
      <c r="EO174" s="78"/>
      <c r="EP174" s="78"/>
      <c r="EQ174" s="78"/>
      <c r="ER174" s="78"/>
      <c r="ES174" s="78"/>
      <c r="ET174" s="78"/>
      <c r="EU174" s="78"/>
      <c r="EV174" s="78"/>
      <c r="EW174" s="78"/>
      <c r="EX174" s="78"/>
      <c r="EY174" s="78"/>
      <c r="EZ174" s="78"/>
      <c r="FA174" s="78"/>
      <c r="FB174" s="78"/>
      <c r="FC174" s="78"/>
      <c r="FD174" s="78"/>
      <c r="FE174" s="78"/>
      <c r="FF174" s="78"/>
      <c r="FG174" s="78"/>
      <c r="FH174" s="78"/>
      <c r="FI174" s="78"/>
      <c r="FJ174" s="78"/>
      <c r="FK174" s="78"/>
      <c r="FL174" s="78"/>
      <c r="FM174" s="78"/>
      <c r="FN174" s="78"/>
      <c r="FO174" s="78"/>
      <c r="FP174" s="78"/>
      <c r="FQ174" s="78"/>
      <c r="FR174" s="78"/>
      <c r="FS174" s="78"/>
      <c r="FT174" s="78"/>
      <c r="FU174" s="78"/>
      <c r="FV174" s="78"/>
      <c r="FW174" s="78"/>
      <c r="FX174" s="78"/>
      <c r="FY174" s="78"/>
      <c r="FZ174" s="78"/>
      <c r="GA174" s="78"/>
      <c r="GB174" s="78"/>
      <c r="GC174" s="78"/>
      <c r="GD174" s="78"/>
      <c r="GE174" s="78"/>
      <c r="GF174" s="78"/>
      <c r="GG174" s="78"/>
      <c r="GH174" s="78"/>
      <c r="GI174" s="78"/>
      <c r="GJ174" s="78"/>
      <c r="GK174" s="78"/>
      <c r="GL174" s="78"/>
      <c r="GM174" s="78"/>
      <c r="GN174" s="78"/>
      <c r="GO174" s="78"/>
      <c r="GP174" s="78"/>
      <c r="GQ174" s="78"/>
      <c r="GR174" s="78"/>
      <c r="GS174" s="78"/>
      <c r="GT174" s="78"/>
      <c r="GU174" s="78"/>
      <c r="GV174" s="78"/>
      <c r="GW174" s="78"/>
      <c r="GX174" s="78"/>
      <c r="GY174" s="78"/>
      <c r="GZ174" s="78"/>
      <c r="HA174" s="78"/>
      <c r="HB174" s="78"/>
      <c r="HC174" s="78"/>
      <c r="HD174" s="78"/>
      <c r="HE174" s="78"/>
      <c r="HF174" s="78"/>
      <c r="HG174" s="78"/>
      <c r="HH174" s="78"/>
      <c r="HI174" s="78"/>
      <c r="HJ174" s="78"/>
      <c r="HK174" s="78"/>
    </row>
    <row r="175" spans="1:219" ht="15" customHeight="1">
      <c r="A175" s="149">
        <v>6</v>
      </c>
      <c r="B175" s="176" t="str">
        <f>VLOOKUP(Ruimtestaat[[#This Row],[Code]],Locaties[[Code]:[Locatie]],2,FALSE)</f>
        <v>OBS La Res Noord</v>
      </c>
      <c r="C175" s="176" t="str">
        <f>VLOOKUP(Ruimtestaat[[#This Row],[Code]],Locaties[[#All],[Code]:[Adres]],4,FALSE)</f>
        <v>Schietbaanweg 30</v>
      </c>
      <c r="D175" s="176" t="str">
        <f>VLOOKUP(Ruimtestaat[[#This Row],[Code]],Locaties[[#All],[Code]:[Postcode]],5,FALSE)</f>
        <v>7521 DB</v>
      </c>
      <c r="E175" s="176" t="str">
        <f>VLOOKUP(Ruimtestaat[[#This Row],[Code]],Locaties[#All],6,FALSE)</f>
        <v>Enschede</v>
      </c>
      <c r="F175" s="149"/>
      <c r="G175" s="149"/>
      <c r="H175" s="99" t="s">
        <v>1696</v>
      </c>
      <c r="I175" s="183" t="s">
        <v>1658</v>
      </c>
      <c r="J175" s="99">
        <v>6</v>
      </c>
      <c r="K175" s="183" t="str">
        <f>VLOOKUP(Ruimtestaat[[#This Row],[Ruimte code]],Ruimtegroepen[[#All],[Code]:[Ruimte omschrijving]],2,FALSE)</f>
        <v>Gangen/hallen</v>
      </c>
      <c r="L175" s="149" t="s">
        <v>100</v>
      </c>
      <c r="M175" s="301" t="s">
        <v>1697</v>
      </c>
      <c r="N175" s="177">
        <v>60.8</v>
      </c>
      <c r="O175" s="177"/>
      <c r="P175" s="178" t="str">
        <f>VLOOKUP(Ruimtestaat[[#This Row],[Ruimte code]],Ruimtegroepen[],4,FALSE)</f>
        <v>Ve</v>
      </c>
      <c r="Q175" s="149"/>
      <c r="R175" s="149"/>
      <c r="S175" s="149">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5" s="149">
        <f>IF(S175&gt;0,VLOOKUP($J175,Ruimtegroepen[],3,FALSE)*VLOOKUP($L175,Vloersoorten[],3,FALSE)*VLOOKUP($R175,Frequenties[],3,FALSE)*VLOOKUP($A175,Locaties[],3,FALSE),0)</f>
        <v>0</v>
      </c>
      <c r="U175" s="149">
        <f>Ruimtestaat[[#This Row],[Uitvoeringen werkdagen]]*Ruimtestaat[[#This Row],[Oppervlak (netto)]]</f>
        <v>0</v>
      </c>
      <c r="V175" s="179">
        <f>IF(T175&gt;0,Ruimtestaat[[#This Row],[Prest. (m2 /jaar) werkdagen]]/Ruimtestaat[[#This Row],[Norm (m2/uur) werkdagen]],0)</f>
        <v>0</v>
      </c>
      <c r="W175" s="180">
        <f>Ruimtestaat[[#This Row],[uren / jaar werkdagen]]*Tariefsopbouw!$E$35</f>
        <v>0</v>
      </c>
      <c r="X175" s="149"/>
      <c r="Y175" s="149">
        <f>IF(Ruimtestaat[[#This Row],[Frequentie weekend]]&gt;0,VALUE(LEFT(X175,1))*Q175,0)</f>
        <v>0</v>
      </c>
      <c r="Z175" s="148">
        <f>IF($Y175&gt;0,VLOOKUP($J175,Ruimtegroepen[],3,FALSE)*VLOOKUP($L175,Vloersoorten[],3,FALSE)*VLOOKUP($X175,Frequenties[],3,FALSE)*VLOOKUP(#REF!,Locaties[],3,FALSE),0)</f>
        <v>0</v>
      </c>
      <c r="AA175" s="148">
        <f>Ruimtestaat[[#This Row],[Uitvoeringen weekend]]*Ruimtestaat[[#This Row],[Oppervlak (netto)]]</f>
        <v>0</v>
      </c>
      <c r="AB175" s="148">
        <f>IF(Z175&gt;0,Ruimtestaat[[#This Row],[Prest. (m2 /jaar) weekend]]/Ruimtestaat[[#This Row],[Norm (m2/uur) weekend]],0)</f>
        <v>0</v>
      </c>
      <c r="AC175" s="180">
        <f>Ruimtestaat[[#This Row],[uren / jaar weekend]]*Tariefsopbouw!$D$40</f>
        <v>0</v>
      </c>
      <c r="AD175" s="179">
        <f>Ruimtestaat[[#This Row],[Prest. (m2 /jaar) weekend]]+Ruimtestaat[[#This Row],[Prest. (m2 /jaar) werkdagen]]</f>
        <v>0</v>
      </c>
      <c r="AE175" s="179">
        <f>Ruimtestaat[[#This Row],[uren / jaar weekend]]+Ruimtestaat[[#This Row],[uren / jaar werkdagen]]</f>
        <v>0</v>
      </c>
      <c r="AF175" s="174">
        <f>Ruimtestaat[[#This Row],[kosten / jaar weekend]]+Ruimtestaat[[#This Row],[kosten / jaar werkdagen]]</f>
        <v>0</v>
      </c>
      <c r="AG175" s="174"/>
      <c r="AH175" s="181" t="str">
        <f>IF(Ruimtestaat[[#This Row],[Frequentie werkdagen]]="","",_xlfn.CONCAT(Ruimtestaat[[#This Row],[Ruimte code]],"-",Ruimtestaat[[#This Row],[Frequentie werkdagen]]," ",Ruimtestaat[[#This Row],[Vloer code]]))</f>
        <v/>
      </c>
      <c r="AI175" s="185" t="str">
        <f>_xlfn.IFNA(VLOOKUP($AH175,Programma!$F$3:$G$1101,2,0),"")</f>
        <v/>
      </c>
      <c r="AJ175" s="185" t="str">
        <f>_xlfn.IFNA(VLOOKUP($AH175,Programma!$F$3:$H$1101,3,0),"")</f>
        <v/>
      </c>
      <c r="AK175" s="185" t="str">
        <f>_xlfn.IFNA(VLOOKUP($AH175,Programma!$F$3:$I$1101,4,0),"")</f>
        <v/>
      </c>
      <c r="AL175" s="185" t="str">
        <f>_xlfn.IFNA(VLOOKUP($AH175,Programma!$F$3:$J$1101,5,0),"")</f>
        <v/>
      </c>
      <c r="AM175" s="185" t="str">
        <f>_xlfn.IFNA(VLOOKUP($AH175,Programma!$F$3:$K$1101,6,0),"")</f>
        <v/>
      </c>
      <c r="AN175" s="185" t="str">
        <f>_xlfn.IFNA(VLOOKUP($AH175,Programma!$F$3:$L$1101,7,0),"")</f>
        <v/>
      </c>
      <c r="AO175" s="185" t="str">
        <f>_xlfn.IFNA(VLOOKUP($AH175,Programma!$F$3:$M$1101,8,0),"")</f>
        <v/>
      </c>
      <c r="AP175" s="185" t="str">
        <f>_xlfn.IFNA(VLOOKUP($AH175,Programma!$F$3:$N$1101,9,0),"")</f>
        <v/>
      </c>
      <c r="AQ175" s="185" t="str">
        <f>_xlfn.IFNA(VLOOKUP($AH175,Programma!$F$3:$O$1101,10,0),"")</f>
        <v/>
      </c>
      <c r="AR175" s="185" t="str">
        <f>_xlfn.IFNA(VLOOKUP($AH175,Programma!$F$3:$P$1101,11,0),"")</f>
        <v/>
      </c>
      <c r="AS175" s="185" t="str">
        <f>_xlfn.IFNA(VLOOKUP($AH175,Programma!$F$3:$Q$1101,12,0),"")</f>
        <v/>
      </c>
      <c r="AT175" s="185" t="str">
        <f>_xlfn.IFNA(VLOOKUP($AH175,Programma!$F$3:$R$1101,13,0),"")</f>
        <v/>
      </c>
      <c r="AU175" s="185" t="str">
        <f>_xlfn.IFNA(VLOOKUP($AH175,Programma!$F$3:$S$1101,14,0),"")</f>
        <v/>
      </c>
      <c r="AV175" s="185" t="str">
        <f>_xlfn.IFNA(VLOOKUP($AH175,Programma!$F$3:$T$1101,15,0),"")</f>
        <v/>
      </c>
      <c r="AW175" s="185" t="str">
        <f>_xlfn.IFNA(VLOOKUP($AH175,Programma!$F$3:$U$1101,16,0),"")</f>
        <v/>
      </c>
      <c r="AX175" s="185" t="str">
        <f>_xlfn.IFNA(VLOOKUP($AH175,Programma!$F$3:$V$1101,17,0),"")</f>
        <v/>
      </c>
      <c r="AY175" s="185" t="str">
        <f>_xlfn.IFNA(VLOOKUP($AH175,Programma!$F$3:$W$1101,18,0),"")</f>
        <v/>
      </c>
      <c r="AZ175" s="185" t="str">
        <f>_xlfn.IFNA(VLOOKUP($AH175,Programma!$F$3:$X$1101,19,0),"")</f>
        <v/>
      </c>
      <c r="BA175" s="185" t="str">
        <f>_xlfn.IFNA(VLOOKUP($AH175,Programma!$F$3:$Y$1101,20,0),"")</f>
        <v/>
      </c>
      <c r="BB175" s="182"/>
      <c r="BC175" s="181" t="str">
        <f>IF(Ruimtestaat[[#This Row],[Frequentie weekend]]="","",_xlfn.CONCAT(Ruimtestaat[[#This Row],[Ruimte code]],"-",Ruimtestaat[[#This Row],[Frequentie weekend]]," ",Ruimtestaat[[#This Row],[Vloer code]]))</f>
        <v/>
      </c>
      <c r="BD175" s="185" t="str">
        <f>_xlfn.IFNA(VLOOKUP($BC175,Programma!$F$3:$G$1101,2,0),"")</f>
        <v/>
      </c>
      <c r="BE175" s="185" t="str">
        <f>_xlfn.IFNA(VLOOKUP($BC175,Programma!$F$3:$H$1101,3,0),"")</f>
        <v/>
      </c>
      <c r="BF175" s="185" t="str">
        <f>_xlfn.IFNA(VLOOKUP($BC175,Programma!$F$3:$I$1101,4,0),"")</f>
        <v/>
      </c>
      <c r="BG175" s="185" t="str">
        <f>_xlfn.IFNA(VLOOKUP($BC175,Programma!$F$3:$J$1101,5,0),"")</f>
        <v/>
      </c>
      <c r="BH175" s="185" t="str">
        <f>_xlfn.IFNA(VLOOKUP($BC175,Programma!$F$3:$K$1101,6,0),"")</f>
        <v/>
      </c>
      <c r="BI175" s="185" t="str">
        <f>_xlfn.IFNA(VLOOKUP($BC175,Programma!$F$3:$L$1101,7,0),"")</f>
        <v/>
      </c>
      <c r="BJ175" s="185" t="str">
        <f>_xlfn.IFNA(VLOOKUP($BC175,Programma!$F$3:$M$1101,8,0),"")</f>
        <v/>
      </c>
      <c r="BK175" s="185" t="str">
        <f>_xlfn.IFNA(VLOOKUP($BC175,Programma!$F$3:$N$1101,9,0),"")</f>
        <v/>
      </c>
      <c r="BL175" s="185" t="str">
        <f>_xlfn.IFNA(VLOOKUP($BC175,Programma!$F$3:$O$1101,10,0),"")</f>
        <v/>
      </c>
      <c r="BM175" s="185" t="str">
        <f>_xlfn.IFNA(VLOOKUP($BC175,Programma!$F$3:$P$1101,11,0),"")</f>
        <v/>
      </c>
      <c r="BN175" s="185" t="str">
        <f>_xlfn.IFNA(VLOOKUP($BC175,Programma!$F$3:$Q$1101,12,0),"")</f>
        <v/>
      </c>
      <c r="BO175" s="185" t="str">
        <f>_xlfn.IFNA(VLOOKUP($BC175,Programma!$F$3:$R$1101,13,0),"")</f>
        <v/>
      </c>
      <c r="BP175" s="185" t="str">
        <f>_xlfn.IFNA(VLOOKUP($BC175,Programma!$F$3:$S$1101,14,0),"")</f>
        <v/>
      </c>
      <c r="BQ175" s="185" t="str">
        <f>_xlfn.IFNA(VLOOKUP($BC175,Programma!$F$3:$T$1101,15,0),"")</f>
        <v/>
      </c>
      <c r="BR175" s="185" t="str">
        <f>_xlfn.IFNA(VLOOKUP($BC175,Programma!$F$3:$U$1101,16,0),"")</f>
        <v/>
      </c>
      <c r="BS175" s="185" t="str">
        <f>_xlfn.IFNA(VLOOKUP($BC175,Programma!$F$3:$V$1101,17,0),"")</f>
        <v/>
      </c>
      <c r="BT175" s="185" t="str">
        <f>_xlfn.IFNA(VLOOKUP($BC175,Programma!$F$3:$W$1101,18,0),"")</f>
        <v/>
      </c>
      <c r="BU175" s="185" t="str">
        <f>_xlfn.IFNA(VLOOKUP($BC175,Programma!$F$3:$X$1101,19,0),"")</f>
        <v/>
      </c>
      <c r="BV175" s="185" t="str">
        <f>_xlfn.IFNA(VLOOKUP($BC175,Programma!$F$3:$Y$1101,20,0),"")</f>
        <v/>
      </c>
      <c r="BW175" s="78"/>
      <c r="BX175" s="78"/>
      <c r="BY175" s="78"/>
      <c r="BZ175" s="78"/>
      <c r="CA175" s="78"/>
      <c r="CB175" s="78"/>
      <c r="CC175" s="78"/>
      <c r="CD175" s="78"/>
      <c r="CE175" s="78"/>
      <c r="CF175" s="78"/>
      <c r="CG175" s="78"/>
      <c r="CH175" s="78"/>
      <c r="CI175" s="78"/>
      <c r="CJ175" s="78"/>
      <c r="CK175" s="78"/>
      <c r="CL175" s="78"/>
      <c r="CM175" s="78"/>
      <c r="CN175" s="78"/>
      <c r="CO175" s="78"/>
      <c r="CP175" s="78"/>
      <c r="CQ175" s="78"/>
      <c r="CR175" s="78"/>
      <c r="CS175" s="78"/>
      <c r="CT175" s="78"/>
      <c r="CU175" s="78"/>
      <c r="CV175" s="78"/>
      <c r="CW175" s="78"/>
      <c r="CX175" s="78"/>
      <c r="CY175" s="78"/>
      <c r="CZ175" s="78"/>
      <c r="DA175" s="78"/>
      <c r="DB175" s="78"/>
      <c r="DC175" s="78"/>
      <c r="DD175" s="78"/>
      <c r="DE175" s="78"/>
      <c r="DF175" s="78"/>
      <c r="DG175" s="78"/>
      <c r="DH175" s="78"/>
      <c r="DI175" s="78"/>
      <c r="DJ175" s="78"/>
      <c r="DK175" s="78"/>
      <c r="DL175" s="78"/>
      <c r="DM175" s="78"/>
      <c r="DN175" s="78"/>
      <c r="DO175" s="78"/>
      <c r="DP175" s="78"/>
      <c r="DQ175" s="78"/>
      <c r="DR175" s="78"/>
      <c r="DS175" s="78"/>
      <c r="DT175" s="78"/>
      <c r="DU175" s="78"/>
      <c r="DV175" s="78"/>
      <c r="DW175" s="78"/>
      <c r="DX175" s="78"/>
      <c r="DY175" s="78"/>
      <c r="DZ175" s="78"/>
      <c r="EA175" s="78"/>
      <c r="EB175" s="78"/>
      <c r="EC175" s="78"/>
      <c r="ED175" s="78"/>
      <c r="EE175" s="78"/>
      <c r="EF175" s="78"/>
      <c r="EG175" s="78"/>
      <c r="EH175" s="78"/>
      <c r="EI175" s="78"/>
      <c r="EJ175" s="78"/>
      <c r="EK175" s="78"/>
      <c r="EL175" s="78"/>
      <c r="EM175" s="78"/>
      <c r="EN175" s="78"/>
      <c r="EO175" s="78"/>
      <c r="EP175" s="78"/>
      <c r="EQ175" s="78"/>
      <c r="ER175" s="78"/>
      <c r="ES175" s="78"/>
      <c r="ET175" s="78"/>
      <c r="EU175" s="78"/>
      <c r="EV175" s="78"/>
      <c r="EW175" s="78"/>
      <c r="EX175" s="78"/>
      <c r="EY175" s="78"/>
      <c r="EZ175" s="78"/>
      <c r="FA175" s="78"/>
      <c r="FB175" s="78"/>
      <c r="FC175" s="78"/>
      <c r="FD175" s="78"/>
      <c r="FE175" s="78"/>
      <c r="FF175" s="78"/>
      <c r="FG175" s="78"/>
      <c r="FH175" s="78"/>
      <c r="FI175" s="78"/>
      <c r="FJ175" s="78"/>
      <c r="FK175" s="78"/>
      <c r="FL175" s="78"/>
      <c r="FM175" s="78"/>
      <c r="FN175" s="78"/>
      <c r="FO175" s="78"/>
      <c r="FP175" s="78"/>
      <c r="FQ175" s="78"/>
      <c r="FR175" s="78"/>
      <c r="FS175" s="78"/>
      <c r="FT175" s="78"/>
      <c r="FU175" s="78"/>
      <c r="FV175" s="78"/>
      <c r="FW175" s="78"/>
      <c r="FX175" s="78"/>
      <c r="FY175" s="78"/>
      <c r="FZ175" s="78"/>
      <c r="GA175" s="78"/>
      <c r="GB175" s="78"/>
      <c r="GC175" s="78"/>
      <c r="GD175" s="78"/>
      <c r="GE175" s="78"/>
      <c r="GF175" s="78"/>
      <c r="GG175" s="78"/>
      <c r="GH175" s="78"/>
      <c r="GI175" s="78"/>
      <c r="GJ175" s="78"/>
      <c r="GK175" s="78"/>
      <c r="GL175" s="78"/>
      <c r="GM175" s="78"/>
      <c r="GN175" s="78"/>
      <c r="GO175" s="78"/>
      <c r="GP175" s="78"/>
      <c r="GQ175" s="78"/>
      <c r="GR175" s="78"/>
      <c r="GS175" s="78"/>
      <c r="GT175" s="78"/>
      <c r="GU175" s="78"/>
      <c r="GV175" s="78"/>
      <c r="GW175" s="78"/>
      <c r="GX175" s="78"/>
      <c r="GY175" s="78"/>
      <c r="GZ175" s="78"/>
      <c r="HA175" s="78"/>
      <c r="HB175" s="78"/>
      <c r="HC175" s="78"/>
      <c r="HD175" s="78"/>
      <c r="HE175" s="78"/>
      <c r="HF175" s="78"/>
      <c r="HG175" s="78"/>
      <c r="HH175" s="78"/>
      <c r="HI175" s="78"/>
      <c r="HJ175" s="78"/>
      <c r="HK175" s="78"/>
    </row>
    <row r="176" spans="1:219" ht="15" customHeight="1">
      <c r="A176" s="149">
        <v>6</v>
      </c>
      <c r="B176" s="176" t="str">
        <f>VLOOKUP(Ruimtestaat[[#This Row],[Code]],Locaties[[Code]:[Locatie]],2,FALSE)</f>
        <v>OBS La Res Noord</v>
      </c>
      <c r="C176" s="176" t="str">
        <f>VLOOKUP(Ruimtestaat[[#This Row],[Code]],Locaties[[#All],[Code]:[Adres]],4,FALSE)</f>
        <v>Schietbaanweg 30</v>
      </c>
      <c r="D176" s="176" t="str">
        <f>VLOOKUP(Ruimtestaat[[#This Row],[Code]],Locaties[[#All],[Code]:[Postcode]],5,FALSE)</f>
        <v>7521 DB</v>
      </c>
      <c r="E176" s="176" t="str">
        <f>VLOOKUP(Ruimtestaat[[#This Row],[Code]],Locaties[#All],6,FALSE)</f>
        <v>Enschede</v>
      </c>
      <c r="F176" s="149"/>
      <c r="G176" s="149"/>
      <c r="H176" s="99" t="s">
        <v>1715</v>
      </c>
      <c r="I176" s="183" t="s">
        <v>1651</v>
      </c>
      <c r="J176" s="99">
        <v>20</v>
      </c>
      <c r="K176" s="183" t="str">
        <f>VLOOKUP(Ruimtestaat[[#This Row],[Ruimte code]],Ruimtegroepen[[#All],[Code]:[Ruimte omschrijving]],2,FALSE)</f>
        <v>Niet in Onderhoud</v>
      </c>
      <c r="L176" s="149" t="s">
        <v>100</v>
      </c>
      <c r="M176" s="301" t="s">
        <v>1697</v>
      </c>
      <c r="N176" s="177"/>
      <c r="O176" s="177">
        <v>50</v>
      </c>
      <c r="P176" s="178">
        <f>VLOOKUP(Ruimtestaat[[#This Row],[Ruimte code]],Ruimtegroepen[],4,FALSE)</f>
        <v>0</v>
      </c>
      <c r="Q176" s="149"/>
      <c r="R176" s="149"/>
      <c r="S176" s="149">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6" s="149">
        <f>IF(S176&gt;0,VLOOKUP($J176,Ruimtegroepen[],3,FALSE)*VLOOKUP($L176,Vloersoorten[],3,FALSE)*VLOOKUP($R176,Frequenties[],3,FALSE)*VLOOKUP($A176,Locaties[],3,FALSE),0)</f>
        <v>0</v>
      </c>
      <c r="U176" s="149">
        <f>Ruimtestaat[[#This Row],[Uitvoeringen werkdagen]]*Ruimtestaat[[#This Row],[Oppervlak (netto)]]</f>
        <v>0</v>
      </c>
      <c r="V176" s="179">
        <f>IF(T176&gt;0,Ruimtestaat[[#This Row],[Prest. (m2 /jaar) werkdagen]]/Ruimtestaat[[#This Row],[Norm (m2/uur) werkdagen]],0)</f>
        <v>0</v>
      </c>
      <c r="W176" s="180">
        <f>Ruimtestaat[[#This Row],[uren / jaar werkdagen]]*Tariefsopbouw!$E$35</f>
        <v>0</v>
      </c>
      <c r="X176" s="149"/>
      <c r="Y176" s="149">
        <f>IF(Ruimtestaat[[#This Row],[Frequentie weekend]]&gt;0,VALUE(LEFT(X176,1))*Q176,0)</f>
        <v>0</v>
      </c>
      <c r="Z176" s="148">
        <f>IF($Y176&gt;0,VLOOKUP($J176,Ruimtegroepen[],3,FALSE)*VLOOKUP($L176,Vloersoorten[],3,FALSE)*VLOOKUP($X176,Frequenties[],3,FALSE)*VLOOKUP(#REF!,Locaties[],3,FALSE),0)</f>
        <v>0</v>
      </c>
      <c r="AA176" s="148">
        <f>Ruimtestaat[[#This Row],[Uitvoeringen weekend]]*Ruimtestaat[[#This Row],[Oppervlak (netto)]]</f>
        <v>0</v>
      </c>
      <c r="AB176" s="148">
        <f>IF(Z176&gt;0,Ruimtestaat[[#This Row],[Prest. (m2 /jaar) weekend]]/Ruimtestaat[[#This Row],[Norm (m2/uur) weekend]],0)</f>
        <v>0</v>
      </c>
      <c r="AC176" s="180">
        <f>Ruimtestaat[[#This Row],[uren / jaar weekend]]*Tariefsopbouw!$D$40</f>
        <v>0</v>
      </c>
      <c r="AD176" s="179">
        <f>Ruimtestaat[[#This Row],[Prest. (m2 /jaar) weekend]]+Ruimtestaat[[#This Row],[Prest. (m2 /jaar) werkdagen]]</f>
        <v>0</v>
      </c>
      <c r="AE176" s="179">
        <f>Ruimtestaat[[#This Row],[uren / jaar weekend]]+Ruimtestaat[[#This Row],[uren / jaar werkdagen]]</f>
        <v>0</v>
      </c>
      <c r="AF176" s="174">
        <f>Ruimtestaat[[#This Row],[kosten / jaar weekend]]+Ruimtestaat[[#This Row],[kosten / jaar werkdagen]]</f>
        <v>0</v>
      </c>
      <c r="AG176" s="174"/>
      <c r="AH176" s="181" t="str">
        <f>IF(Ruimtestaat[[#This Row],[Frequentie werkdagen]]="","",_xlfn.CONCAT(Ruimtestaat[[#This Row],[Ruimte code]],"-",Ruimtestaat[[#This Row],[Frequentie werkdagen]]," ",Ruimtestaat[[#This Row],[Vloer code]]))</f>
        <v/>
      </c>
      <c r="AI176" s="185" t="str">
        <f>_xlfn.IFNA(VLOOKUP($AH176,Programma!$F$3:$G$1101,2,0),"")</f>
        <v/>
      </c>
      <c r="AJ176" s="185" t="str">
        <f>_xlfn.IFNA(VLOOKUP($AH176,Programma!$F$3:$H$1101,3,0),"")</f>
        <v/>
      </c>
      <c r="AK176" s="185" t="str">
        <f>_xlfn.IFNA(VLOOKUP($AH176,Programma!$F$3:$I$1101,4,0),"")</f>
        <v/>
      </c>
      <c r="AL176" s="185" t="str">
        <f>_xlfn.IFNA(VLOOKUP($AH176,Programma!$F$3:$J$1101,5,0),"")</f>
        <v/>
      </c>
      <c r="AM176" s="185" t="str">
        <f>_xlfn.IFNA(VLOOKUP($AH176,Programma!$F$3:$K$1101,6,0),"")</f>
        <v/>
      </c>
      <c r="AN176" s="185" t="str">
        <f>_xlfn.IFNA(VLOOKUP($AH176,Programma!$F$3:$L$1101,7,0),"")</f>
        <v/>
      </c>
      <c r="AO176" s="185" t="str">
        <f>_xlfn.IFNA(VLOOKUP($AH176,Programma!$F$3:$M$1101,8,0),"")</f>
        <v/>
      </c>
      <c r="AP176" s="185" t="str">
        <f>_xlfn.IFNA(VLOOKUP($AH176,Programma!$F$3:$N$1101,9,0),"")</f>
        <v/>
      </c>
      <c r="AQ176" s="185" t="str">
        <f>_xlfn.IFNA(VLOOKUP($AH176,Programma!$F$3:$O$1101,10,0),"")</f>
        <v/>
      </c>
      <c r="AR176" s="185" t="str">
        <f>_xlfn.IFNA(VLOOKUP($AH176,Programma!$F$3:$P$1101,11,0),"")</f>
        <v/>
      </c>
      <c r="AS176" s="185" t="str">
        <f>_xlfn.IFNA(VLOOKUP($AH176,Programma!$F$3:$Q$1101,12,0),"")</f>
        <v/>
      </c>
      <c r="AT176" s="185" t="str">
        <f>_xlfn.IFNA(VLOOKUP($AH176,Programma!$F$3:$R$1101,13,0),"")</f>
        <v/>
      </c>
      <c r="AU176" s="185" t="str">
        <f>_xlfn.IFNA(VLOOKUP($AH176,Programma!$F$3:$S$1101,14,0),"")</f>
        <v/>
      </c>
      <c r="AV176" s="185" t="str">
        <f>_xlfn.IFNA(VLOOKUP($AH176,Programma!$F$3:$T$1101,15,0),"")</f>
        <v/>
      </c>
      <c r="AW176" s="185" t="str">
        <f>_xlfn.IFNA(VLOOKUP($AH176,Programma!$F$3:$U$1101,16,0),"")</f>
        <v/>
      </c>
      <c r="AX176" s="185" t="str">
        <f>_xlfn.IFNA(VLOOKUP($AH176,Programma!$F$3:$V$1101,17,0),"")</f>
        <v/>
      </c>
      <c r="AY176" s="185" t="str">
        <f>_xlfn.IFNA(VLOOKUP($AH176,Programma!$F$3:$W$1101,18,0),"")</f>
        <v/>
      </c>
      <c r="AZ176" s="185" t="str">
        <f>_xlfn.IFNA(VLOOKUP($AH176,Programma!$F$3:$X$1101,19,0),"")</f>
        <v/>
      </c>
      <c r="BA176" s="185" t="str">
        <f>_xlfn.IFNA(VLOOKUP($AH176,Programma!$F$3:$Y$1101,20,0),"")</f>
        <v/>
      </c>
      <c r="BB176" s="182"/>
      <c r="BC176" s="181" t="str">
        <f>IF(Ruimtestaat[[#This Row],[Frequentie weekend]]="","",_xlfn.CONCAT(Ruimtestaat[[#This Row],[Ruimte code]],"-",Ruimtestaat[[#This Row],[Frequentie weekend]]," ",Ruimtestaat[[#This Row],[Vloer code]]))</f>
        <v/>
      </c>
      <c r="BD176" s="185" t="str">
        <f>_xlfn.IFNA(VLOOKUP($BC176,Programma!$F$3:$G$1101,2,0),"")</f>
        <v/>
      </c>
      <c r="BE176" s="185" t="str">
        <f>_xlfn.IFNA(VLOOKUP($BC176,Programma!$F$3:$H$1101,3,0),"")</f>
        <v/>
      </c>
      <c r="BF176" s="185" t="str">
        <f>_xlfn.IFNA(VLOOKUP($BC176,Programma!$F$3:$I$1101,4,0),"")</f>
        <v/>
      </c>
      <c r="BG176" s="185" t="str">
        <f>_xlfn.IFNA(VLOOKUP($BC176,Programma!$F$3:$J$1101,5,0),"")</f>
        <v/>
      </c>
      <c r="BH176" s="185" t="str">
        <f>_xlfn.IFNA(VLOOKUP($BC176,Programma!$F$3:$K$1101,6,0),"")</f>
        <v/>
      </c>
      <c r="BI176" s="185" t="str">
        <f>_xlfn.IFNA(VLOOKUP($BC176,Programma!$F$3:$L$1101,7,0),"")</f>
        <v/>
      </c>
      <c r="BJ176" s="185" t="str">
        <f>_xlfn.IFNA(VLOOKUP($BC176,Programma!$F$3:$M$1101,8,0),"")</f>
        <v/>
      </c>
      <c r="BK176" s="185" t="str">
        <f>_xlfn.IFNA(VLOOKUP($BC176,Programma!$F$3:$N$1101,9,0),"")</f>
        <v/>
      </c>
      <c r="BL176" s="185" t="str">
        <f>_xlfn.IFNA(VLOOKUP($BC176,Programma!$F$3:$O$1101,10,0),"")</f>
        <v/>
      </c>
      <c r="BM176" s="185" t="str">
        <f>_xlfn.IFNA(VLOOKUP($BC176,Programma!$F$3:$P$1101,11,0),"")</f>
        <v/>
      </c>
      <c r="BN176" s="185" t="str">
        <f>_xlfn.IFNA(VLOOKUP($BC176,Programma!$F$3:$Q$1101,12,0),"")</f>
        <v/>
      </c>
      <c r="BO176" s="185" t="str">
        <f>_xlfn.IFNA(VLOOKUP($BC176,Programma!$F$3:$R$1101,13,0),"")</f>
        <v/>
      </c>
      <c r="BP176" s="185" t="str">
        <f>_xlfn.IFNA(VLOOKUP($BC176,Programma!$F$3:$S$1101,14,0),"")</f>
        <v/>
      </c>
      <c r="BQ176" s="185" t="str">
        <f>_xlfn.IFNA(VLOOKUP($BC176,Programma!$F$3:$T$1101,15,0),"")</f>
        <v/>
      </c>
      <c r="BR176" s="185" t="str">
        <f>_xlfn.IFNA(VLOOKUP($BC176,Programma!$F$3:$U$1101,16,0),"")</f>
        <v/>
      </c>
      <c r="BS176" s="185" t="str">
        <f>_xlfn.IFNA(VLOOKUP($BC176,Programma!$F$3:$V$1101,17,0),"")</f>
        <v/>
      </c>
      <c r="BT176" s="185" t="str">
        <f>_xlfn.IFNA(VLOOKUP($BC176,Programma!$F$3:$W$1101,18,0),"")</f>
        <v/>
      </c>
      <c r="BU176" s="185" t="str">
        <f>_xlfn.IFNA(VLOOKUP($BC176,Programma!$F$3:$X$1101,19,0),"")</f>
        <v/>
      </c>
      <c r="BV176" s="185" t="str">
        <f>_xlfn.IFNA(VLOOKUP($BC176,Programma!$F$3:$Y$1101,20,0),"")</f>
        <v/>
      </c>
      <c r="BW176" s="78"/>
      <c r="BX176" s="78"/>
      <c r="BY176" s="78"/>
      <c r="BZ176" s="78"/>
      <c r="CA176" s="78"/>
      <c r="CB176" s="78"/>
      <c r="CC176" s="78"/>
      <c r="CD176" s="78"/>
      <c r="CE176" s="78"/>
      <c r="CF176" s="78"/>
      <c r="CG176" s="78"/>
      <c r="CH176" s="78"/>
      <c r="CI176" s="78"/>
      <c r="CJ176" s="78"/>
      <c r="CK176" s="78"/>
      <c r="CL176" s="78"/>
      <c r="CM176" s="78"/>
      <c r="CN176" s="78"/>
      <c r="CO176" s="78"/>
      <c r="CP176" s="78"/>
      <c r="CQ176" s="78"/>
      <c r="CR176" s="78"/>
      <c r="CS176" s="78"/>
      <c r="CT176" s="78"/>
      <c r="CU176" s="78"/>
      <c r="CV176" s="78"/>
      <c r="CW176" s="78"/>
      <c r="CX176" s="78"/>
      <c r="CY176" s="78"/>
      <c r="CZ176" s="78"/>
      <c r="DA176" s="78"/>
      <c r="DB176" s="78"/>
      <c r="DC176" s="78"/>
      <c r="DD176" s="78"/>
      <c r="DE176" s="78"/>
      <c r="DF176" s="78"/>
      <c r="DG176" s="78"/>
      <c r="DH176" s="78"/>
      <c r="DI176" s="78"/>
      <c r="DJ176" s="78"/>
      <c r="DK176" s="78"/>
      <c r="DL176" s="78"/>
      <c r="DM176" s="78"/>
      <c r="DN176" s="78"/>
      <c r="DO176" s="78"/>
      <c r="DP176" s="78"/>
      <c r="DQ176" s="78"/>
      <c r="DR176" s="78"/>
      <c r="DS176" s="78"/>
      <c r="DT176" s="78"/>
      <c r="DU176" s="78"/>
      <c r="DV176" s="78"/>
      <c r="DW176" s="78"/>
      <c r="DX176" s="78"/>
      <c r="DY176" s="78"/>
      <c r="DZ176" s="78"/>
      <c r="EA176" s="78"/>
      <c r="EB176" s="78"/>
      <c r="EC176" s="78"/>
      <c r="ED176" s="78"/>
      <c r="EE176" s="78"/>
      <c r="EF176" s="78"/>
      <c r="EG176" s="78"/>
      <c r="EH176" s="78"/>
      <c r="EI176" s="78"/>
      <c r="EJ176" s="78"/>
      <c r="EK176" s="78"/>
      <c r="EL176" s="78"/>
      <c r="EM176" s="78"/>
      <c r="EN176" s="78"/>
      <c r="EO176" s="78"/>
      <c r="EP176" s="78"/>
      <c r="EQ176" s="78"/>
      <c r="ER176" s="78"/>
      <c r="ES176" s="78"/>
      <c r="ET176" s="78"/>
      <c r="EU176" s="78"/>
      <c r="EV176" s="78"/>
      <c r="EW176" s="78"/>
      <c r="EX176" s="78"/>
      <c r="EY176" s="78"/>
      <c r="EZ176" s="78"/>
      <c r="FA176" s="78"/>
      <c r="FB176" s="78"/>
      <c r="FC176" s="78"/>
      <c r="FD176" s="78"/>
      <c r="FE176" s="78"/>
      <c r="FF176" s="78"/>
      <c r="FG176" s="78"/>
      <c r="FH176" s="78"/>
      <c r="FI176" s="78"/>
      <c r="FJ176" s="78"/>
      <c r="FK176" s="78"/>
      <c r="FL176" s="78"/>
      <c r="FM176" s="78"/>
      <c r="FN176" s="78"/>
      <c r="FO176" s="78"/>
      <c r="FP176" s="78"/>
      <c r="FQ176" s="78"/>
      <c r="FR176" s="78"/>
      <c r="FS176" s="78"/>
      <c r="FT176" s="78"/>
      <c r="FU176" s="78"/>
      <c r="FV176" s="78"/>
      <c r="FW176" s="78"/>
      <c r="FX176" s="78"/>
      <c r="FY176" s="78"/>
      <c r="FZ176" s="78"/>
      <c r="GA176" s="78"/>
      <c r="GB176" s="78"/>
      <c r="GC176" s="78"/>
      <c r="GD176" s="78"/>
      <c r="GE176" s="78"/>
      <c r="GF176" s="78"/>
      <c r="GG176" s="78"/>
      <c r="GH176" s="78"/>
      <c r="GI176" s="78"/>
      <c r="GJ176" s="78"/>
      <c r="GK176" s="78"/>
      <c r="GL176" s="78"/>
      <c r="GM176" s="78"/>
      <c r="GN176" s="78"/>
      <c r="GO176" s="78"/>
      <c r="GP176" s="78"/>
      <c r="GQ176" s="78"/>
      <c r="GR176" s="78"/>
      <c r="GS176" s="78"/>
      <c r="GT176" s="78"/>
      <c r="GU176" s="78"/>
      <c r="GV176" s="78"/>
      <c r="GW176" s="78"/>
      <c r="GX176" s="78"/>
      <c r="GY176" s="78"/>
      <c r="GZ176" s="78"/>
      <c r="HA176" s="78"/>
      <c r="HB176" s="78"/>
      <c r="HC176" s="78"/>
      <c r="HD176" s="78"/>
      <c r="HE176" s="78"/>
      <c r="HF176" s="78"/>
      <c r="HG176" s="78"/>
      <c r="HH176" s="78"/>
      <c r="HI176" s="78"/>
      <c r="HJ176" s="78"/>
      <c r="HK176" s="78"/>
    </row>
    <row r="177" spans="1:219" ht="15" customHeight="1">
      <c r="A177" s="149">
        <v>6</v>
      </c>
      <c r="B177" s="176" t="str">
        <f>VLOOKUP(Ruimtestaat[[#This Row],[Code]],Locaties[[Code]:[Locatie]],2,FALSE)</f>
        <v>OBS La Res Noord</v>
      </c>
      <c r="C177" s="176" t="str">
        <f>VLOOKUP(Ruimtestaat[[#This Row],[Code]],Locaties[[#All],[Code]:[Adres]],4,FALSE)</f>
        <v>Schietbaanweg 30</v>
      </c>
      <c r="D177" s="176" t="str">
        <f>VLOOKUP(Ruimtestaat[[#This Row],[Code]],Locaties[[#All],[Code]:[Postcode]],5,FALSE)</f>
        <v>7521 DB</v>
      </c>
      <c r="E177" s="176" t="str">
        <f>VLOOKUP(Ruimtestaat[[#This Row],[Code]],Locaties[#All],6,FALSE)</f>
        <v>Enschede</v>
      </c>
      <c r="F177" s="149"/>
      <c r="G177" s="149"/>
      <c r="H177" s="99" t="s">
        <v>1717</v>
      </c>
      <c r="I177" s="183" t="s">
        <v>1686</v>
      </c>
      <c r="J177" s="99">
        <v>16</v>
      </c>
      <c r="K177" s="183" t="str">
        <f>VLOOKUP(Ruimtestaat[[#This Row],[Ruimte code]],Ruimtegroepen[[#All],[Code]:[Ruimte omschrijving]],2,FALSE)</f>
        <v>Leslokalen</v>
      </c>
      <c r="L177" s="149" t="s">
        <v>100</v>
      </c>
      <c r="M177" s="301" t="s">
        <v>1697</v>
      </c>
      <c r="N177" s="177">
        <v>49.9</v>
      </c>
      <c r="O177" s="177"/>
      <c r="P177" s="178" t="str">
        <f>VLOOKUP(Ruimtestaat[[#This Row],[Ruimte code]],Ruimtegroepen[],4,FALSE)</f>
        <v>Le</v>
      </c>
      <c r="Q177" s="149"/>
      <c r="R177" s="149"/>
      <c r="S177" s="149">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7" s="149">
        <f>IF(S177&gt;0,VLOOKUP($J177,Ruimtegroepen[],3,FALSE)*VLOOKUP($L177,Vloersoorten[],3,FALSE)*VLOOKUP($R177,Frequenties[],3,FALSE)*VLOOKUP($A177,Locaties[],3,FALSE),0)</f>
        <v>0</v>
      </c>
      <c r="U177" s="149">
        <f>Ruimtestaat[[#This Row],[Uitvoeringen werkdagen]]*Ruimtestaat[[#This Row],[Oppervlak (netto)]]</f>
        <v>0</v>
      </c>
      <c r="V177" s="179">
        <f>IF(T177&gt;0,Ruimtestaat[[#This Row],[Prest. (m2 /jaar) werkdagen]]/Ruimtestaat[[#This Row],[Norm (m2/uur) werkdagen]],0)</f>
        <v>0</v>
      </c>
      <c r="W177" s="180">
        <f>Ruimtestaat[[#This Row],[uren / jaar werkdagen]]*Tariefsopbouw!$E$35</f>
        <v>0</v>
      </c>
      <c r="X177" s="149"/>
      <c r="Y177" s="149">
        <f>IF(Ruimtestaat[[#This Row],[Frequentie weekend]]&gt;0,VALUE(LEFT(X177,1))*Q177,0)</f>
        <v>0</v>
      </c>
      <c r="Z177" s="148">
        <f>IF($Y177&gt;0,VLOOKUP($J177,Ruimtegroepen[],3,FALSE)*VLOOKUP($L177,Vloersoorten[],3,FALSE)*VLOOKUP($X177,Frequenties[],3,FALSE)*VLOOKUP(#REF!,Locaties[],3,FALSE),0)</f>
        <v>0</v>
      </c>
      <c r="AA177" s="148">
        <f>Ruimtestaat[[#This Row],[Uitvoeringen weekend]]*Ruimtestaat[[#This Row],[Oppervlak (netto)]]</f>
        <v>0</v>
      </c>
      <c r="AB177" s="148">
        <f>IF(Z177&gt;0,Ruimtestaat[[#This Row],[Prest. (m2 /jaar) weekend]]/Ruimtestaat[[#This Row],[Norm (m2/uur) weekend]],0)</f>
        <v>0</v>
      </c>
      <c r="AC177" s="180">
        <f>Ruimtestaat[[#This Row],[uren / jaar weekend]]*Tariefsopbouw!$D$40</f>
        <v>0</v>
      </c>
      <c r="AD177" s="179">
        <f>Ruimtestaat[[#This Row],[Prest. (m2 /jaar) weekend]]+Ruimtestaat[[#This Row],[Prest. (m2 /jaar) werkdagen]]</f>
        <v>0</v>
      </c>
      <c r="AE177" s="179">
        <f>Ruimtestaat[[#This Row],[uren / jaar weekend]]+Ruimtestaat[[#This Row],[uren / jaar werkdagen]]</f>
        <v>0</v>
      </c>
      <c r="AF177" s="174">
        <f>Ruimtestaat[[#This Row],[kosten / jaar weekend]]+Ruimtestaat[[#This Row],[kosten / jaar werkdagen]]</f>
        <v>0</v>
      </c>
      <c r="AG177" s="174"/>
      <c r="AH177" s="181" t="str">
        <f>IF(Ruimtestaat[[#This Row],[Frequentie werkdagen]]="","",_xlfn.CONCAT(Ruimtestaat[[#This Row],[Ruimte code]],"-",Ruimtestaat[[#This Row],[Frequentie werkdagen]]," ",Ruimtestaat[[#This Row],[Vloer code]]))</f>
        <v/>
      </c>
      <c r="AI177" s="185" t="str">
        <f>_xlfn.IFNA(VLOOKUP($AH177,Programma!$F$3:$G$1101,2,0),"")</f>
        <v/>
      </c>
      <c r="AJ177" s="185" t="str">
        <f>_xlfn.IFNA(VLOOKUP($AH177,Programma!$F$3:$H$1101,3,0),"")</f>
        <v/>
      </c>
      <c r="AK177" s="185" t="str">
        <f>_xlfn.IFNA(VLOOKUP($AH177,Programma!$F$3:$I$1101,4,0),"")</f>
        <v/>
      </c>
      <c r="AL177" s="185" t="str">
        <f>_xlfn.IFNA(VLOOKUP($AH177,Programma!$F$3:$J$1101,5,0),"")</f>
        <v/>
      </c>
      <c r="AM177" s="185" t="str">
        <f>_xlfn.IFNA(VLOOKUP($AH177,Programma!$F$3:$K$1101,6,0),"")</f>
        <v/>
      </c>
      <c r="AN177" s="185" t="str">
        <f>_xlfn.IFNA(VLOOKUP($AH177,Programma!$F$3:$L$1101,7,0),"")</f>
        <v/>
      </c>
      <c r="AO177" s="185" t="str">
        <f>_xlfn.IFNA(VLOOKUP($AH177,Programma!$F$3:$M$1101,8,0),"")</f>
        <v/>
      </c>
      <c r="AP177" s="185" t="str">
        <f>_xlfn.IFNA(VLOOKUP($AH177,Programma!$F$3:$N$1101,9,0),"")</f>
        <v/>
      </c>
      <c r="AQ177" s="185" t="str">
        <f>_xlfn.IFNA(VLOOKUP($AH177,Programma!$F$3:$O$1101,10,0),"")</f>
        <v/>
      </c>
      <c r="AR177" s="185" t="str">
        <f>_xlfn.IFNA(VLOOKUP($AH177,Programma!$F$3:$P$1101,11,0),"")</f>
        <v/>
      </c>
      <c r="AS177" s="185" t="str">
        <f>_xlfn.IFNA(VLOOKUP($AH177,Programma!$F$3:$Q$1101,12,0),"")</f>
        <v/>
      </c>
      <c r="AT177" s="185" t="str">
        <f>_xlfn.IFNA(VLOOKUP($AH177,Programma!$F$3:$R$1101,13,0),"")</f>
        <v/>
      </c>
      <c r="AU177" s="185" t="str">
        <f>_xlfn.IFNA(VLOOKUP($AH177,Programma!$F$3:$S$1101,14,0),"")</f>
        <v/>
      </c>
      <c r="AV177" s="185" t="str">
        <f>_xlfn.IFNA(VLOOKUP($AH177,Programma!$F$3:$T$1101,15,0),"")</f>
        <v/>
      </c>
      <c r="AW177" s="185" t="str">
        <f>_xlfn.IFNA(VLOOKUP($AH177,Programma!$F$3:$U$1101,16,0),"")</f>
        <v/>
      </c>
      <c r="AX177" s="185" t="str">
        <f>_xlfn.IFNA(VLOOKUP($AH177,Programma!$F$3:$V$1101,17,0),"")</f>
        <v/>
      </c>
      <c r="AY177" s="185" t="str">
        <f>_xlfn.IFNA(VLOOKUP($AH177,Programma!$F$3:$W$1101,18,0),"")</f>
        <v/>
      </c>
      <c r="AZ177" s="185" t="str">
        <f>_xlfn.IFNA(VLOOKUP($AH177,Programma!$F$3:$X$1101,19,0),"")</f>
        <v/>
      </c>
      <c r="BA177" s="185" t="str">
        <f>_xlfn.IFNA(VLOOKUP($AH177,Programma!$F$3:$Y$1101,20,0),"")</f>
        <v/>
      </c>
      <c r="BB177" s="182"/>
      <c r="BC177" s="181" t="str">
        <f>IF(Ruimtestaat[[#This Row],[Frequentie weekend]]="","",_xlfn.CONCAT(Ruimtestaat[[#This Row],[Ruimte code]],"-",Ruimtestaat[[#This Row],[Frequentie weekend]]," ",Ruimtestaat[[#This Row],[Vloer code]]))</f>
        <v/>
      </c>
      <c r="BD177" s="185" t="str">
        <f>_xlfn.IFNA(VLOOKUP($BC177,Programma!$F$3:$G$1101,2,0),"")</f>
        <v/>
      </c>
      <c r="BE177" s="185" t="str">
        <f>_xlfn.IFNA(VLOOKUP($BC177,Programma!$F$3:$H$1101,3,0),"")</f>
        <v/>
      </c>
      <c r="BF177" s="185" t="str">
        <f>_xlfn.IFNA(VLOOKUP($BC177,Programma!$F$3:$I$1101,4,0),"")</f>
        <v/>
      </c>
      <c r="BG177" s="185" t="str">
        <f>_xlfn.IFNA(VLOOKUP($BC177,Programma!$F$3:$J$1101,5,0),"")</f>
        <v/>
      </c>
      <c r="BH177" s="185" t="str">
        <f>_xlfn.IFNA(VLOOKUP($BC177,Programma!$F$3:$K$1101,6,0),"")</f>
        <v/>
      </c>
      <c r="BI177" s="185" t="str">
        <f>_xlfn.IFNA(VLOOKUP($BC177,Programma!$F$3:$L$1101,7,0),"")</f>
        <v/>
      </c>
      <c r="BJ177" s="185" t="str">
        <f>_xlfn.IFNA(VLOOKUP($BC177,Programma!$F$3:$M$1101,8,0),"")</f>
        <v/>
      </c>
      <c r="BK177" s="185" t="str">
        <f>_xlfn.IFNA(VLOOKUP($BC177,Programma!$F$3:$N$1101,9,0),"")</f>
        <v/>
      </c>
      <c r="BL177" s="185" t="str">
        <f>_xlfn.IFNA(VLOOKUP($BC177,Programma!$F$3:$O$1101,10,0),"")</f>
        <v/>
      </c>
      <c r="BM177" s="185" t="str">
        <f>_xlfn.IFNA(VLOOKUP($BC177,Programma!$F$3:$P$1101,11,0),"")</f>
        <v/>
      </c>
      <c r="BN177" s="185" t="str">
        <f>_xlfn.IFNA(VLOOKUP($BC177,Programma!$F$3:$Q$1101,12,0),"")</f>
        <v/>
      </c>
      <c r="BO177" s="185" t="str">
        <f>_xlfn.IFNA(VLOOKUP($BC177,Programma!$F$3:$R$1101,13,0),"")</f>
        <v/>
      </c>
      <c r="BP177" s="185" t="str">
        <f>_xlfn.IFNA(VLOOKUP($BC177,Programma!$F$3:$S$1101,14,0),"")</f>
        <v/>
      </c>
      <c r="BQ177" s="185" t="str">
        <f>_xlfn.IFNA(VLOOKUP($BC177,Programma!$F$3:$T$1101,15,0),"")</f>
        <v/>
      </c>
      <c r="BR177" s="185" t="str">
        <f>_xlfn.IFNA(VLOOKUP($BC177,Programma!$F$3:$U$1101,16,0),"")</f>
        <v/>
      </c>
      <c r="BS177" s="185" t="str">
        <f>_xlfn.IFNA(VLOOKUP($BC177,Programma!$F$3:$V$1101,17,0),"")</f>
        <v/>
      </c>
      <c r="BT177" s="185" t="str">
        <f>_xlfn.IFNA(VLOOKUP($BC177,Programma!$F$3:$W$1101,18,0),"")</f>
        <v/>
      </c>
      <c r="BU177" s="185" t="str">
        <f>_xlfn.IFNA(VLOOKUP($BC177,Programma!$F$3:$X$1101,19,0),"")</f>
        <v/>
      </c>
      <c r="BV177" s="185" t="str">
        <f>_xlfn.IFNA(VLOOKUP($BC177,Programma!$F$3:$Y$1101,20,0),"")</f>
        <v/>
      </c>
      <c r="BW177" s="78"/>
      <c r="BX177" s="78"/>
      <c r="BY177" s="78"/>
      <c r="BZ177" s="78"/>
      <c r="CA177" s="78"/>
      <c r="CB177" s="78"/>
      <c r="CC177" s="78"/>
      <c r="CD177" s="78"/>
      <c r="CE177" s="78"/>
      <c r="CF177" s="78"/>
      <c r="CG177" s="78"/>
      <c r="CH177" s="78"/>
      <c r="CI177" s="78"/>
      <c r="CJ177" s="78"/>
      <c r="CK177" s="78"/>
      <c r="CL177" s="78"/>
      <c r="CM177" s="78"/>
      <c r="CN177" s="78"/>
      <c r="CO177" s="78"/>
      <c r="CP177" s="78"/>
      <c r="CQ177" s="78"/>
      <c r="CR177" s="78"/>
      <c r="CS177" s="78"/>
      <c r="CT177" s="78"/>
      <c r="CU177" s="78"/>
      <c r="CV177" s="78"/>
      <c r="CW177" s="78"/>
      <c r="CX177" s="78"/>
      <c r="CY177" s="78"/>
      <c r="CZ177" s="78"/>
      <c r="DA177" s="78"/>
      <c r="DB177" s="78"/>
      <c r="DC177" s="78"/>
      <c r="DD177" s="78"/>
      <c r="DE177" s="78"/>
      <c r="DF177" s="78"/>
      <c r="DG177" s="78"/>
      <c r="DH177" s="78"/>
      <c r="DI177" s="78"/>
      <c r="DJ177" s="78"/>
      <c r="DK177" s="78"/>
      <c r="DL177" s="78"/>
      <c r="DM177" s="78"/>
      <c r="DN177" s="78"/>
      <c r="DO177" s="78"/>
      <c r="DP177" s="78"/>
      <c r="DQ177" s="78"/>
      <c r="DR177" s="78"/>
      <c r="DS177" s="78"/>
      <c r="DT177" s="78"/>
      <c r="DU177" s="78"/>
      <c r="DV177" s="78"/>
      <c r="DW177" s="78"/>
      <c r="DX177" s="78"/>
      <c r="DY177" s="78"/>
      <c r="DZ177" s="78"/>
      <c r="EA177" s="78"/>
      <c r="EB177" s="78"/>
      <c r="EC177" s="78"/>
      <c r="ED177" s="78"/>
      <c r="EE177" s="78"/>
      <c r="EF177" s="78"/>
      <c r="EG177" s="78"/>
      <c r="EH177" s="78"/>
      <c r="EI177" s="78"/>
      <c r="EJ177" s="78"/>
      <c r="EK177" s="78"/>
      <c r="EL177" s="78"/>
      <c r="EM177" s="78"/>
      <c r="EN177" s="78"/>
      <c r="EO177" s="78"/>
      <c r="EP177" s="78"/>
      <c r="EQ177" s="78"/>
      <c r="ER177" s="78"/>
      <c r="ES177" s="78"/>
      <c r="ET177" s="78"/>
      <c r="EU177" s="78"/>
      <c r="EV177" s="78"/>
      <c r="EW177" s="78"/>
      <c r="EX177" s="78"/>
      <c r="EY177" s="78"/>
      <c r="EZ177" s="78"/>
      <c r="FA177" s="78"/>
      <c r="FB177" s="78"/>
      <c r="FC177" s="78"/>
      <c r="FD177" s="78"/>
      <c r="FE177" s="78"/>
      <c r="FF177" s="78"/>
      <c r="FG177" s="78"/>
      <c r="FH177" s="78"/>
      <c r="FI177" s="78"/>
      <c r="FJ177" s="78"/>
      <c r="FK177" s="78"/>
      <c r="FL177" s="78"/>
      <c r="FM177" s="78"/>
      <c r="FN177" s="78"/>
      <c r="FO177" s="78"/>
      <c r="FP177" s="78"/>
      <c r="FQ177" s="78"/>
      <c r="FR177" s="78"/>
      <c r="FS177" s="78"/>
      <c r="FT177" s="78"/>
      <c r="FU177" s="78"/>
      <c r="FV177" s="78"/>
      <c r="FW177" s="78"/>
      <c r="FX177" s="78"/>
      <c r="FY177" s="78"/>
      <c r="FZ177" s="78"/>
      <c r="GA177" s="78"/>
      <c r="GB177" s="78"/>
      <c r="GC177" s="78"/>
      <c r="GD177" s="78"/>
      <c r="GE177" s="78"/>
      <c r="GF177" s="78"/>
      <c r="GG177" s="78"/>
      <c r="GH177" s="78"/>
      <c r="GI177" s="78"/>
      <c r="GJ177" s="78"/>
      <c r="GK177" s="78"/>
      <c r="GL177" s="78"/>
      <c r="GM177" s="78"/>
      <c r="GN177" s="78"/>
      <c r="GO177" s="78"/>
      <c r="GP177" s="78"/>
      <c r="GQ177" s="78"/>
      <c r="GR177" s="78"/>
      <c r="GS177" s="78"/>
      <c r="GT177" s="78"/>
      <c r="GU177" s="78"/>
      <c r="GV177" s="78"/>
      <c r="GW177" s="78"/>
      <c r="GX177" s="78"/>
      <c r="GY177" s="78"/>
      <c r="GZ177" s="78"/>
      <c r="HA177" s="78"/>
      <c r="HB177" s="78"/>
      <c r="HC177" s="78"/>
      <c r="HD177" s="78"/>
      <c r="HE177" s="78"/>
      <c r="HF177" s="78"/>
      <c r="HG177" s="78"/>
      <c r="HH177" s="78"/>
      <c r="HI177" s="78"/>
      <c r="HJ177" s="78"/>
      <c r="HK177" s="78"/>
    </row>
    <row r="178" spans="1:219" ht="15" customHeight="1">
      <c r="A178" s="149">
        <v>6</v>
      </c>
      <c r="B178" s="176" t="str">
        <f>VLOOKUP(Ruimtestaat[[#This Row],[Code]],Locaties[[Code]:[Locatie]],2,FALSE)</f>
        <v>OBS La Res Noord</v>
      </c>
      <c r="C178" s="176" t="str">
        <f>VLOOKUP(Ruimtestaat[[#This Row],[Code]],Locaties[[#All],[Code]:[Adres]],4,FALSE)</f>
        <v>Schietbaanweg 30</v>
      </c>
      <c r="D178" s="176" t="str">
        <f>VLOOKUP(Ruimtestaat[[#This Row],[Code]],Locaties[[#All],[Code]:[Postcode]],5,FALSE)</f>
        <v>7521 DB</v>
      </c>
      <c r="E178" s="176" t="str">
        <f>VLOOKUP(Ruimtestaat[[#This Row],[Code]],Locaties[#All],6,FALSE)</f>
        <v>Enschede</v>
      </c>
      <c r="F178" s="149"/>
      <c r="G178" s="149"/>
      <c r="H178" s="99" t="s">
        <v>1718</v>
      </c>
      <c r="I178" s="183" t="s">
        <v>1884</v>
      </c>
      <c r="J178" s="99">
        <v>2</v>
      </c>
      <c r="K178" s="183" t="str">
        <f>VLOOKUP(Ruimtestaat[[#This Row],[Ruimte code]],Ruimtegroepen[[#All],[Code]:[Ruimte omschrijving]],2,FALSE)</f>
        <v>Kantoren</v>
      </c>
      <c r="L178" s="149" t="s">
        <v>99</v>
      </c>
      <c r="M178" s="301" t="s">
        <v>36</v>
      </c>
      <c r="N178" s="177">
        <v>19.899999999999999</v>
      </c>
      <c r="O178" s="177"/>
      <c r="P178" s="178" t="str">
        <f>VLOOKUP(Ruimtestaat[[#This Row],[Ruimte code]],Ruimtegroepen[],4,FALSE)</f>
        <v>Bu</v>
      </c>
      <c r="Q178" s="149"/>
      <c r="R178" s="149"/>
      <c r="S178" s="149">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8" s="149">
        <f>IF(S178&gt;0,VLOOKUP($J178,Ruimtegroepen[],3,FALSE)*VLOOKUP($L178,Vloersoorten[],3,FALSE)*VLOOKUP($R178,Frequenties[],3,FALSE)*VLOOKUP($A178,Locaties[],3,FALSE),0)</f>
        <v>0</v>
      </c>
      <c r="U178" s="149">
        <f>Ruimtestaat[[#This Row],[Uitvoeringen werkdagen]]*Ruimtestaat[[#This Row],[Oppervlak (netto)]]</f>
        <v>0</v>
      </c>
      <c r="V178" s="179">
        <f>IF(T178&gt;0,Ruimtestaat[[#This Row],[Prest. (m2 /jaar) werkdagen]]/Ruimtestaat[[#This Row],[Norm (m2/uur) werkdagen]],0)</f>
        <v>0</v>
      </c>
      <c r="W178" s="180">
        <f>Ruimtestaat[[#This Row],[uren / jaar werkdagen]]*Tariefsopbouw!$E$35</f>
        <v>0</v>
      </c>
      <c r="X178" s="149"/>
      <c r="Y178" s="149">
        <f>IF(Ruimtestaat[[#This Row],[Frequentie weekend]]&gt;0,VALUE(LEFT(X178,1))*Q178,0)</f>
        <v>0</v>
      </c>
      <c r="Z178" s="148">
        <f>IF($Y178&gt;0,VLOOKUP($J178,Ruimtegroepen[],3,FALSE)*VLOOKUP($L178,Vloersoorten[],3,FALSE)*VLOOKUP($X178,Frequenties[],3,FALSE)*VLOOKUP(#REF!,Locaties[],3,FALSE),0)</f>
        <v>0</v>
      </c>
      <c r="AA178" s="148">
        <f>Ruimtestaat[[#This Row],[Uitvoeringen weekend]]*Ruimtestaat[[#This Row],[Oppervlak (netto)]]</f>
        <v>0</v>
      </c>
      <c r="AB178" s="148">
        <f>IF(Z178&gt;0,Ruimtestaat[[#This Row],[Prest. (m2 /jaar) weekend]]/Ruimtestaat[[#This Row],[Norm (m2/uur) weekend]],0)</f>
        <v>0</v>
      </c>
      <c r="AC178" s="180">
        <f>Ruimtestaat[[#This Row],[uren / jaar weekend]]*Tariefsopbouw!$D$40</f>
        <v>0</v>
      </c>
      <c r="AD178" s="179">
        <f>Ruimtestaat[[#This Row],[Prest. (m2 /jaar) weekend]]+Ruimtestaat[[#This Row],[Prest. (m2 /jaar) werkdagen]]</f>
        <v>0</v>
      </c>
      <c r="AE178" s="179">
        <f>Ruimtestaat[[#This Row],[uren / jaar weekend]]+Ruimtestaat[[#This Row],[uren / jaar werkdagen]]</f>
        <v>0</v>
      </c>
      <c r="AF178" s="174">
        <f>Ruimtestaat[[#This Row],[kosten / jaar weekend]]+Ruimtestaat[[#This Row],[kosten / jaar werkdagen]]</f>
        <v>0</v>
      </c>
      <c r="AG178" s="174"/>
      <c r="AH178" s="181" t="str">
        <f>IF(Ruimtestaat[[#This Row],[Frequentie werkdagen]]="","",_xlfn.CONCAT(Ruimtestaat[[#This Row],[Ruimte code]],"-",Ruimtestaat[[#This Row],[Frequentie werkdagen]]," ",Ruimtestaat[[#This Row],[Vloer code]]))</f>
        <v/>
      </c>
      <c r="AI178" s="185" t="str">
        <f>_xlfn.IFNA(VLOOKUP($AH178,Programma!$F$3:$G$1101,2,0),"")</f>
        <v/>
      </c>
      <c r="AJ178" s="185" t="str">
        <f>_xlfn.IFNA(VLOOKUP($AH178,Programma!$F$3:$H$1101,3,0),"")</f>
        <v/>
      </c>
      <c r="AK178" s="185" t="str">
        <f>_xlfn.IFNA(VLOOKUP($AH178,Programma!$F$3:$I$1101,4,0),"")</f>
        <v/>
      </c>
      <c r="AL178" s="185" t="str">
        <f>_xlfn.IFNA(VLOOKUP($AH178,Programma!$F$3:$J$1101,5,0),"")</f>
        <v/>
      </c>
      <c r="AM178" s="185" t="str">
        <f>_xlfn.IFNA(VLOOKUP($AH178,Programma!$F$3:$K$1101,6,0),"")</f>
        <v/>
      </c>
      <c r="AN178" s="185" t="str">
        <f>_xlfn.IFNA(VLOOKUP($AH178,Programma!$F$3:$L$1101,7,0),"")</f>
        <v/>
      </c>
      <c r="AO178" s="185" t="str">
        <f>_xlfn.IFNA(VLOOKUP($AH178,Programma!$F$3:$M$1101,8,0),"")</f>
        <v/>
      </c>
      <c r="AP178" s="185" t="str">
        <f>_xlfn.IFNA(VLOOKUP($AH178,Programma!$F$3:$N$1101,9,0),"")</f>
        <v/>
      </c>
      <c r="AQ178" s="185" t="str">
        <f>_xlfn.IFNA(VLOOKUP($AH178,Programma!$F$3:$O$1101,10,0),"")</f>
        <v/>
      </c>
      <c r="AR178" s="185" t="str">
        <f>_xlfn.IFNA(VLOOKUP($AH178,Programma!$F$3:$P$1101,11,0),"")</f>
        <v/>
      </c>
      <c r="AS178" s="185" t="str">
        <f>_xlfn.IFNA(VLOOKUP($AH178,Programma!$F$3:$Q$1101,12,0),"")</f>
        <v/>
      </c>
      <c r="AT178" s="185" t="str">
        <f>_xlfn.IFNA(VLOOKUP($AH178,Programma!$F$3:$R$1101,13,0),"")</f>
        <v/>
      </c>
      <c r="AU178" s="185" t="str">
        <f>_xlfn.IFNA(VLOOKUP($AH178,Programma!$F$3:$S$1101,14,0),"")</f>
        <v/>
      </c>
      <c r="AV178" s="185" t="str">
        <f>_xlfn.IFNA(VLOOKUP($AH178,Programma!$F$3:$T$1101,15,0),"")</f>
        <v/>
      </c>
      <c r="AW178" s="185" t="str">
        <f>_xlfn.IFNA(VLOOKUP($AH178,Programma!$F$3:$U$1101,16,0),"")</f>
        <v/>
      </c>
      <c r="AX178" s="185" t="str">
        <f>_xlfn.IFNA(VLOOKUP($AH178,Programma!$F$3:$V$1101,17,0),"")</f>
        <v/>
      </c>
      <c r="AY178" s="185" t="str">
        <f>_xlfn.IFNA(VLOOKUP($AH178,Programma!$F$3:$W$1101,18,0),"")</f>
        <v/>
      </c>
      <c r="AZ178" s="185" t="str">
        <f>_xlfn.IFNA(VLOOKUP($AH178,Programma!$F$3:$X$1101,19,0),"")</f>
        <v/>
      </c>
      <c r="BA178" s="185" t="str">
        <f>_xlfn.IFNA(VLOOKUP($AH178,Programma!$F$3:$Y$1101,20,0),"")</f>
        <v/>
      </c>
      <c r="BB178" s="182"/>
      <c r="BC178" s="181" t="str">
        <f>IF(Ruimtestaat[[#This Row],[Frequentie weekend]]="","",_xlfn.CONCAT(Ruimtestaat[[#This Row],[Ruimte code]],"-",Ruimtestaat[[#This Row],[Frequentie weekend]]," ",Ruimtestaat[[#This Row],[Vloer code]]))</f>
        <v/>
      </c>
      <c r="BD178" s="185" t="str">
        <f>_xlfn.IFNA(VLOOKUP($BC178,Programma!$F$3:$G$1101,2,0),"")</f>
        <v/>
      </c>
      <c r="BE178" s="185" t="str">
        <f>_xlfn.IFNA(VLOOKUP($BC178,Programma!$F$3:$H$1101,3,0),"")</f>
        <v/>
      </c>
      <c r="BF178" s="185" t="str">
        <f>_xlfn.IFNA(VLOOKUP($BC178,Programma!$F$3:$I$1101,4,0),"")</f>
        <v/>
      </c>
      <c r="BG178" s="185" t="str">
        <f>_xlfn.IFNA(VLOOKUP($BC178,Programma!$F$3:$J$1101,5,0),"")</f>
        <v/>
      </c>
      <c r="BH178" s="185" t="str">
        <f>_xlfn.IFNA(VLOOKUP($BC178,Programma!$F$3:$K$1101,6,0),"")</f>
        <v/>
      </c>
      <c r="BI178" s="185" t="str">
        <f>_xlfn.IFNA(VLOOKUP($BC178,Programma!$F$3:$L$1101,7,0),"")</f>
        <v/>
      </c>
      <c r="BJ178" s="185" t="str">
        <f>_xlfn.IFNA(VLOOKUP($BC178,Programma!$F$3:$M$1101,8,0),"")</f>
        <v/>
      </c>
      <c r="BK178" s="185" t="str">
        <f>_xlfn.IFNA(VLOOKUP($BC178,Programma!$F$3:$N$1101,9,0),"")</f>
        <v/>
      </c>
      <c r="BL178" s="185" t="str">
        <f>_xlfn.IFNA(VLOOKUP($BC178,Programma!$F$3:$O$1101,10,0),"")</f>
        <v/>
      </c>
      <c r="BM178" s="185" t="str">
        <f>_xlfn.IFNA(VLOOKUP($BC178,Programma!$F$3:$P$1101,11,0),"")</f>
        <v/>
      </c>
      <c r="BN178" s="185" t="str">
        <f>_xlfn.IFNA(VLOOKUP($BC178,Programma!$F$3:$Q$1101,12,0),"")</f>
        <v/>
      </c>
      <c r="BO178" s="185" t="str">
        <f>_xlfn.IFNA(VLOOKUP($BC178,Programma!$F$3:$R$1101,13,0),"")</f>
        <v/>
      </c>
      <c r="BP178" s="185" t="str">
        <f>_xlfn.IFNA(VLOOKUP($BC178,Programma!$F$3:$S$1101,14,0),"")</f>
        <v/>
      </c>
      <c r="BQ178" s="185" t="str">
        <f>_xlfn.IFNA(VLOOKUP($BC178,Programma!$F$3:$T$1101,15,0),"")</f>
        <v/>
      </c>
      <c r="BR178" s="185" t="str">
        <f>_xlfn.IFNA(VLOOKUP($BC178,Programma!$F$3:$U$1101,16,0),"")</f>
        <v/>
      </c>
      <c r="BS178" s="185" t="str">
        <f>_xlfn.IFNA(VLOOKUP($BC178,Programma!$F$3:$V$1101,17,0),"")</f>
        <v/>
      </c>
      <c r="BT178" s="185" t="str">
        <f>_xlfn.IFNA(VLOOKUP($BC178,Programma!$F$3:$W$1101,18,0),"")</f>
        <v/>
      </c>
      <c r="BU178" s="185" t="str">
        <f>_xlfn.IFNA(VLOOKUP($BC178,Programma!$F$3:$X$1101,19,0),"")</f>
        <v/>
      </c>
      <c r="BV178" s="185" t="str">
        <f>_xlfn.IFNA(VLOOKUP($BC178,Programma!$F$3:$Y$1101,20,0),"")</f>
        <v/>
      </c>
      <c r="BW178" s="78"/>
      <c r="BX178" s="78"/>
      <c r="BY178" s="78"/>
      <c r="BZ178" s="78"/>
      <c r="CA178" s="78"/>
      <c r="CB178" s="78"/>
      <c r="CC178" s="78"/>
      <c r="CD178" s="78"/>
      <c r="CE178" s="78"/>
      <c r="CF178" s="78"/>
      <c r="CG178" s="78"/>
      <c r="CH178" s="78"/>
      <c r="CI178" s="78"/>
      <c r="CJ178" s="78"/>
      <c r="CK178" s="78"/>
      <c r="CL178" s="78"/>
      <c r="CM178" s="78"/>
      <c r="CN178" s="78"/>
      <c r="CO178" s="78"/>
      <c r="CP178" s="78"/>
      <c r="CQ178" s="78"/>
      <c r="CR178" s="78"/>
      <c r="CS178" s="78"/>
      <c r="CT178" s="78"/>
      <c r="CU178" s="78"/>
      <c r="CV178" s="78"/>
      <c r="CW178" s="78"/>
      <c r="CX178" s="78"/>
      <c r="CY178" s="78"/>
      <c r="CZ178" s="78"/>
      <c r="DA178" s="78"/>
      <c r="DB178" s="78"/>
      <c r="DC178" s="78"/>
      <c r="DD178" s="78"/>
      <c r="DE178" s="78"/>
      <c r="DF178" s="78"/>
      <c r="DG178" s="78"/>
      <c r="DH178" s="78"/>
      <c r="DI178" s="78"/>
      <c r="DJ178" s="78"/>
      <c r="DK178" s="78"/>
      <c r="DL178" s="78"/>
      <c r="DM178" s="78"/>
      <c r="DN178" s="78"/>
      <c r="DO178" s="78"/>
      <c r="DP178" s="78"/>
      <c r="DQ178" s="78"/>
      <c r="DR178" s="78"/>
      <c r="DS178" s="78"/>
      <c r="DT178" s="78"/>
      <c r="DU178" s="78"/>
      <c r="DV178" s="78"/>
      <c r="DW178" s="78"/>
      <c r="DX178" s="78"/>
      <c r="DY178" s="78"/>
      <c r="DZ178" s="78"/>
      <c r="EA178" s="78"/>
      <c r="EB178" s="78"/>
      <c r="EC178" s="78"/>
      <c r="ED178" s="78"/>
      <c r="EE178" s="78"/>
      <c r="EF178" s="78"/>
      <c r="EG178" s="78"/>
      <c r="EH178" s="78"/>
      <c r="EI178" s="78"/>
      <c r="EJ178" s="78"/>
      <c r="EK178" s="78"/>
      <c r="EL178" s="78"/>
      <c r="EM178" s="78"/>
      <c r="EN178" s="78"/>
      <c r="EO178" s="78"/>
      <c r="EP178" s="78"/>
      <c r="EQ178" s="78"/>
      <c r="ER178" s="78"/>
      <c r="ES178" s="78"/>
      <c r="ET178" s="78"/>
      <c r="EU178" s="78"/>
      <c r="EV178" s="78"/>
      <c r="EW178" s="78"/>
      <c r="EX178" s="78"/>
      <c r="EY178" s="78"/>
      <c r="EZ178" s="78"/>
      <c r="FA178" s="78"/>
      <c r="FB178" s="78"/>
      <c r="FC178" s="78"/>
      <c r="FD178" s="78"/>
      <c r="FE178" s="78"/>
      <c r="FF178" s="78"/>
      <c r="FG178" s="78"/>
      <c r="FH178" s="78"/>
      <c r="FI178" s="78"/>
      <c r="FJ178" s="78"/>
      <c r="FK178" s="78"/>
      <c r="FL178" s="78"/>
      <c r="FM178" s="78"/>
      <c r="FN178" s="78"/>
      <c r="FO178" s="78"/>
      <c r="FP178" s="78"/>
      <c r="FQ178" s="78"/>
      <c r="FR178" s="78"/>
      <c r="FS178" s="78"/>
      <c r="FT178" s="78"/>
      <c r="FU178" s="78"/>
      <c r="FV178" s="78"/>
      <c r="FW178" s="78"/>
      <c r="FX178" s="78"/>
      <c r="FY178" s="78"/>
      <c r="FZ178" s="78"/>
      <c r="GA178" s="78"/>
      <c r="GB178" s="78"/>
      <c r="GC178" s="78"/>
      <c r="GD178" s="78"/>
      <c r="GE178" s="78"/>
      <c r="GF178" s="78"/>
      <c r="GG178" s="78"/>
      <c r="GH178" s="78"/>
      <c r="GI178" s="78"/>
      <c r="GJ178" s="78"/>
      <c r="GK178" s="78"/>
      <c r="GL178" s="78"/>
      <c r="GM178" s="78"/>
      <c r="GN178" s="78"/>
      <c r="GO178" s="78"/>
      <c r="GP178" s="78"/>
      <c r="GQ178" s="78"/>
      <c r="GR178" s="78"/>
      <c r="GS178" s="78"/>
      <c r="GT178" s="78"/>
      <c r="GU178" s="78"/>
      <c r="GV178" s="78"/>
      <c r="GW178" s="78"/>
      <c r="GX178" s="78"/>
      <c r="GY178" s="78"/>
      <c r="GZ178" s="78"/>
      <c r="HA178" s="78"/>
      <c r="HB178" s="78"/>
      <c r="HC178" s="78"/>
      <c r="HD178" s="78"/>
      <c r="HE178" s="78"/>
      <c r="HF178" s="78"/>
      <c r="HG178" s="78"/>
      <c r="HH178" s="78"/>
      <c r="HI178" s="78"/>
      <c r="HJ178" s="78"/>
      <c r="HK178" s="78"/>
    </row>
    <row r="179" spans="1:219" ht="15" customHeight="1">
      <c r="A179" s="149">
        <v>6</v>
      </c>
      <c r="B179" s="176" t="str">
        <f>VLOOKUP(Ruimtestaat[[#This Row],[Code]],Locaties[[Code]:[Locatie]],2,FALSE)</f>
        <v>OBS La Res Noord</v>
      </c>
      <c r="C179" s="176" t="str">
        <f>VLOOKUP(Ruimtestaat[[#This Row],[Code]],Locaties[[#All],[Code]:[Adres]],4,FALSE)</f>
        <v>Schietbaanweg 30</v>
      </c>
      <c r="D179" s="176" t="str">
        <f>VLOOKUP(Ruimtestaat[[#This Row],[Code]],Locaties[[#All],[Code]:[Postcode]],5,FALSE)</f>
        <v>7521 DB</v>
      </c>
      <c r="E179" s="176" t="str">
        <f>VLOOKUP(Ruimtestaat[[#This Row],[Code]],Locaties[#All],6,FALSE)</f>
        <v>Enschede</v>
      </c>
      <c r="F179" s="149"/>
      <c r="G179" s="149"/>
      <c r="H179" s="99" t="s">
        <v>1733</v>
      </c>
      <c r="I179" s="183" t="s">
        <v>1725</v>
      </c>
      <c r="J179" s="99">
        <v>2</v>
      </c>
      <c r="K179" s="183" t="str">
        <f>VLOOKUP(Ruimtestaat[[#This Row],[Ruimte code]],Ruimtegroepen[[#All],[Code]:[Ruimte omschrijving]],2,FALSE)</f>
        <v>Kantoren</v>
      </c>
      <c r="L179" s="149" t="s">
        <v>99</v>
      </c>
      <c r="M179" s="301" t="s">
        <v>36</v>
      </c>
      <c r="N179" s="177">
        <v>12.1</v>
      </c>
      <c r="O179" s="177"/>
      <c r="P179" s="178" t="str">
        <f>VLOOKUP(Ruimtestaat[[#This Row],[Ruimte code]],Ruimtegroepen[],4,FALSE)</f>
        <v>Bu</v>
      </c>
      <c r="Q179" s="149"/>
      <c r="R179" s="149"/>
      <c r="S179" s="149">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9" s="149">
        <f>IF(S179&gt;0,VLOOKUP($J179,Ruimtegroepen[],3,FALSE)*VLOOKUP($L179,Vloersoorten[],3,FALSE)*VLOOKUP($R179,Frequenties[],3,FALSE)*VLOOKUP($A179,Locaties[],3,FALSE),0)</f>
        <v>0</v>
      </c>
      <c r="U179" s="149">
        <f>Ruimtestaat[[#This Row],[Uitvoeringen werkdagen]]*Ruimtestaat[[#This Row],[Oppervlak (netto)]]</f>
        <v>0</v>
      </c>
      <c r="V179" s="179">
        <f>IF(T179&gt;0,Ruimtestaat[[#This Row],[Prest. (m2 /jaar) werkdagen]]/Ruimtestaat[[#This Row],[Norm (m2/uur) werkdagen]],0)</f>
        <v>0</v>
      </c>
      <c r="W179" s="180">
        <f>Ruimtestaat[[#This Row],[uren / jaar werkdagen]]*Tariefsopbouw!$E$35</f>
        <v>0</v>
      </c>
      <c r="X179" s="149"/>
      <c r="Y179" s="149">
        <f>IF(Ruimtestaat[[#This Row],[Frequentie weekend]]&gt;0,VALUE(LEFT(X179,1))*Q179,0)</f>
        <v>0</v>
      </c>
      <c r="Z179" s="148">
        <f>IF($Y179&gt;0,VLOOKUP($J179,Ruimtegroepen[],3,FALSE)*VLOOKUP($L179,Vloersoorten[],3,FALSE)*VLOOKUP($X179,Frequenties[],3,FALSE)*VLOOKUP(#REF!,Locaties[],3,FALSE),0)</f>
        <v>0</v>
      </c>
      <c r="AA179" s="148">
        <f>Ruimtestaat[[#This Row],[Uitvoeringen weekend]]*Ruimtestaat[[#This Row],[Oppervlak (netto)]]</f>
        <v>0</v>
      </c>
      <c r="AB179" s="148">
        <f>IF(Z179&gt;0,Ruimtestaat[[#This Row],[Prest. (m2 /jaar) weekend]]/Ruimtestaat[[#This Row],[Norm (m2/uur) weekend]],0)</f>
        <v>0</v>
      </c>
      <c r="AC179" s="180">
        <f>Ruimtestaat[[#This Row],[uren / jaar weekend]]*Tariefsopbouw!$D$40</f>
        <v>0</v>
      </c>
      <c r="AD179" s="179">
        <f>Ruimtestaat[[#This Row],[Prest. (m2 /jaar) weekend]]+Ruimtestaat[[#This Row],[Prest. (m2 /jaar) werkdagen]]</f>
        <v>0</v>
      </c>
      <c r="AE179" s="179">
        <f>Ruimtestaat[[#This Row],[uren / jaar weekend]]+Ruimtestaat[[#This Row],[uren / jaar werkdagen]]</f>
        <v>0</v>
      </c>
      <c r="AF179" s="174">
        <f>Ruimtestaat[[#This Row],[kosten / jaar weekend]]+Ruimtestaat[[#This Row],[kosten / jaar werkdagen]]</f>
        <v>0</v>
      </c>
      <c r="AG179" s="174"/>
      <c r="AH179" s="181" t="str">
        <f>IF(Ruimtestaat[[#This Row],[Frequentie werkdagen]]="","",_xlfn.CONCAT(Ruimtestaat[[#This Row],[Ruimte code]],"-",Ruimtestaat[[#This Row],[Frequentie werkdagen]]," ",Ruimtestaat[[#This Row],[Vloer code]]))</f>
        <v/>
      </c>
      <c r="AI179" s="185" t="str">
        <f>_xlfn.IFNA(VLOOKUP($AH179,Programma!$F$3:$G$1101,2,0),"")</f>
        <v/>
      </c>
      <c r="AJ179" s="185" t="str">
        <f>_xlfn.IFNA(VLOOKUP($AH179,Programma!$F$3:$H$1101,3,0),"")</f>
        <v/>
      </c>
      <c r="AK179" s="185" t="str">
        <f>_xlfn.IFNA(VLOOKUP($AH179,Programma!$F$3:$I$1101,4,0),"")</f>
        <v/>
      </c>
      <c r="AL179" s="185" t="str">
        <f>_xlfn.IFNA(VLOOKUP($AH179,Programma!$F$3:$J$1101,5,0),"")</f>
        <v/>
      </c>
      <c r="AM179" s="185" t="str">
        <f>_xlfn.IFNA(VLOOKUP($AH179,Programma!$F$3:$K$1101,6,0),"")</f>
        <v/>
      </c>
      <c r="AN179" s="185" t="str">
        <f>_xlfn.IFNA(VLOOKUP($AH179,Programma!$F$3:$L$1101,7,0),"")</f>
        <v/>
      </c>
      <c r="AO179" s="185" t="str">
        <f>_xlfn.IFNA(VLOOKUP($AH179,Programma!$F$3:$M$1101,8,0),"")</f>
        <v/>
      </c>
      <c r="AP179" s="185" t="str">
        <f>_xlfn.IFNA(VLOOKUP($AH179,Programma!$F$3:$N$1101,9,0),"")</f>
        <v/>
      </c>
      <c r="AQ179" s="185" t="str">
        <f>_xlfn.IFNA(VLOOKUP($AH179,Programma!$F$3:$O$1101,10,0),"")</f>
        <v/>
      </c>
      <c r="AR179" s="185" t="str">
        <f>_xlfn.IFNA(VLOOKUP($AH179,Programma!$F$3:$P$1101,11,0),"")</f>
        <v/>
      </c>
      <c r="AS179" s="185" t="str">
        <f>_xlfn.IFNA(VLOOKUP($AH179,Programma!$F$3:$Q$1101,12,0),"")</f>
        <v/>
      </c>
      <c r="AT179" s="185" t="str">
        <f>_xlfn.IFNA(VLOOKUP($AH179,Programma!$F$3:$R$1101,13,0),"")</f>
        <v/>
      </c>
      <c r="AU179" s="185" t="str">
        <f>_xlfn.IFNA(VLOOKUP($AH179,Programma!$F$3:$S$1101,14,0),"")</f>
        <v/>
      </c>
      <c r="AV179" s="185" t="str">
        <f>_xlfn.IFNA(VLOOKUP($AH179,Programma!$F$3:$T$1101,15,0),"")</f>
        <v/>
      </c>
      <c r="AW179" s="185" t="str">
        <f>_xlfn.IFNA(VLOOKUP($AH179,Programma!$F$3:$U$1101,16,0),"")</f>
        <v/>
      </c>
      <c r="AX179" s="185" t="str">
        <f>_xlfn.IFNA(VLOOKUP($AH179,Programma!$F$3:$V$1101,17,0),"")</f>
        <v/>
      </c>
      <c r="AY179" s="185" t="str">
        <f>_xlfn.IFNA(VLOOKUP($AH179,Programma!$F$3:$W$1101,18,0),"")</f>
        <v/>
      </c>
      <c r="AZ179" s="185" t="str">
        <f>_xlfn.IFNA(VLOOKUP($AH179,Programma!$F$3:$X$1101,19,0),"")</f>
        <v/>
      </c>
      <c r="BA179" s="185" t="str">
        <f>_xlfn.IFNA(VLOOKUP($AH179,Programma!$F$3:$Y$1101,20,0),"")</f>
        <v/>
      </c>
      <c r="BB179" s="182"/>
      <c r="BC179" s="181" t="str">
        <f>IF(Ruimtestaat[[#This Row],[Frequentie weekend]]="","",_xlfn.CONCAT(Ruimtestaat[[#This Row],[Ruimte code]],"-",Ruimtestaat[[#This Row],[Frequentie weekend]]," ",Ruimtestaat[[#This Row],[Vloer code]]))</f>
        <v/>
      </c>
      <c r="BD179" s="185" t="str">
        <f>_xlfn.IFNA(VLOOKUP($BC179,Programma!$F$3:$G$1101,2,0),"")</f>
        <v/>
      </c>
      <c r="BE179" s="185" t="str">
        <f>_xlfn.IFNA(VLOOKUP($BC179,Programma!$F$3:$H$1101,3,0),"")</f>
        <v/>
      </c>
      <c r="BF179" s="185" t="str">
        <f>_xlfn.IFNA(VLOOKUP($BC179,Programma!$F$3:$I$1101,4,0),"")</f>
        <v/>
      </c>
      <c r="BG179" s="185" t="str">
        <f>_xlfn.IFNA(VLOOKUP($BC179,Programma!$F$3:$J$1101,5,0),"")</f>
        <v/>
      </c>
      <c r="BH179" s="185" t="str">
        <f>_xlfn.IFNA(VLOOKUP($BC179,Programma!$F$3:$K$1101,6,0),"")</f>
        <v/>
      </c>
      <c r="BI179" s="185" t="str">
        <f>_xlfn.IFNA(VLOOKUP($BC179,Programma!$F$3:$L$1101,7,0),"")</f>
        <v/>
      </c>
      <c r="BJ179" s="185" t="str">
        <f>_xlfn.IFNA(VLOOKUP($BC179,Programma!$F$3:$M$1101,8,0),"")</f>
        <v/>
      </c>
      <c r="BK179" s="185" t="str">
        <f>_xlfn.IFNA(VLOOKUP($BC179,Programma!$F$3:$N$1101,9,0),"")</f>
        <v/>
      </c>
      <c r="BL179" s="185" t="str">
        <f>_xlfn.IFNA(VLOOKUP($BC179,Programma!$F$3:$O$1101,10,0),"")</f>
        <v/>
      </c>
      <c r="BM179" s="185" t="str">
        <f>_xlfn.IFNA(VLOOKUP($BC179,Programma!$F$3:$P$1101,11,0),"")</f>
        <v/>
      </c>
      <c r="BN179" s="185" t="str">
        <f>_xlfn.IFNA(VLOOKUP($BC179,Programma!$F$3:$Q$1101,12,0),"")</f>
        <v/>
      </c>
      <c r="BO179" s="185" t="str">
        <f>_xlfn.IFNA(VLOOKUP($BC179,Programma!$F$3:$R$1101,13,0),"")</f>
        <v/>
      </c>
      <c r="BP179" s="185" t="str">
        <f>_xlfn.IFNA(VLOOKUP($BC179,Programma!$F$3:$S$1101,14,0),"")</f>
        <v/>
      </c>
      <c r="BQ179" s="185" t="str">
        <f>_xlfn.IFNA(VLOOKUP($BC179,Programma!$F$3:$T$1101,15,0),"")</f>
        <v/>
      </c>
      <c r="BR179" s="185" t="str">
        <f>_xlfn.IFNA(VLOOKUP($BC179,Programma!$F$3:$U$1101,16,0),"")</f>
        <v/>
      </c>
      <c r="BS179" s="185" t="str">
        <f>_xlfn.IFNA(VLOOKUP($BC179,Programma!$F$3:$V$1101,17,0),"")</f>
        <v/>
      </c>
      <c r="BT179" s="185" t="str">
        <f>_xlfn.IFNA(VLOOKUP($BC179,Programma!$F$3:$W$1101,18,0),"")</f>
        <v/>
      </c>
      <c r="BU179" s="185" t="str">
        <f>_xlfn.IFNA(VLOOKUP($BC179,Programma!$F$3:$X$1101,19,0),"")</f>
        <v/>
      </c>
      <c r="BV179" s="185" t="str">
        <f>_xlfn.IFNA(VLOOKUP($BC179,Programma!$F$3:$Y$1101,20,0),"")</f>
        <v/>
      </c>
      <c r="BW179" s="78"/>
      <c r="BX179" s="78"/>
      <c r="BY179" s="78"/>
      <c r="BZ179" s="78"/>
      <c r="CA179" s="78"/>
      <c r="CB179" s="78"/>
      <c r="CC179" s="78"/>
      <c r="CD179" s="78"/>
      <c r="CE179" s="78"/>
      <c r="CF179" s="78"/>
      <c r="CG179" s="78"/>
      <c r="CH179" s="78"/>
      <c r="CI179" s="78"/>
      <c r="CJ179" s="78"/>
      <c r="CK179" s="78"/>
      <c r="CL179" s="78"/>
      <c r="CM179" s="78"/>
      <c r="CN179" s="78"/>
      <c r="CO179" s="78"/>
      <c r="CP179" s="78"/>
      <c r="CQ179" s="78"/>
      <c r="CR179" s="78"/>
      <c r="CS179" s="78"/>
      <c r="CT179" s="78"/>
      <c r="CU179" s="78"/>
      <c r="CV179" s="78"/>
      <c r="CW179" s="78"/>
      <c r="CX179" s="78"/>
      <c r="CY179" s="78"/>
      <c r="CZ179" s="78"/>
      <c r="DA179" s="78"/>
      <c r="DB179" s="78"/>
      <c r="DC179" s="78"/>
      <c r="DD179" s="78"/>
      <c r="DE179" s="78"/>
      <c r="DF179" s="78"/>
      <c r="DG179" s="78"/>
      <c r="DH179" s="78"/>
      <c r="DI179" s="78"/>
      <c r="DJ179" s="78"/>
      <c r="DK179" s="78"/>
      <c r="DL179" s="78"/>
      <c r="DM179" s="78"/>
      <c r="DN179" s="78"/>
      <c r="DO179" s="78"/>
      <c r="DP179" s="78"/>
      <c r="DQ179" s="78"/>
      <c r="DR179" s="78"/>
      <c r="DS179" s="78"/>
      <c r="DT179" s="78"/>
      <c r="DU179" s="78"/>
      <c r="DV179" s="78"/>
      <c r="DW179" s="78"/>
      <c r="DX179" s="78"/>
      <c r="DY179" s="78"/>
      <c r="DZ179" s="78"/>
      <c r="EA179" s="78"/>
      <c r="EB179" s="78"/>
      <c r="EC179" s="78"/>
      <c r="ED179" s="78"/>
      <c r="EE179" s="78"/>
      <c r="EF179" s="78"/>
      <c r="EG179" s="78"/>
      <c r="EH179" s="78"/>
      <c r="EI179" s="78"/>
      <c r="EJ179" s="78"/>
      <c r="EK179" s="78"/>
      <c r="EL179" s="78"/>
      <c r="EM179" s="78"/>
      <c r="EN179" s="78"/>
      <c r="EO179" s="78"/>
      <c r="EP179" s="78"/>
      <c r="EQ179" s="78"/>
      <c r="ER179" s="78"/>
      <c r="ES179" s="78"/>
      <c r="ET179" s="78"/>
      <c r="EU179" s="78"/>
      <c r="EV179" s="78"/>
      <c r="EW179" s="78"/>
      <c r="EX179" s="78"/>
      <c r="EY179" s="78"/>
      <c r="EZ179" s="78"/>
      <c r="FA179" s="78"/>
      <c r="FB179" s="78"/>
      <c r="FC179" s="78"/>
      <c r="FD179" s="78"/>
      <c r="FE179" s="78"/>
      <c r="FF179" s="78"/>
      <c r="FG179" s="78"/>
      <c r="FH179" s="78"/>
      <c r="FI179" s="78"/>
      <c r="FJ179" s="78"/>
      <c r="FK179" s="78"/>
      <c r="FL179" s="78"/>
      <c r="FM179" s="78"/>
      <c r="FN179" s="78"/>
      <c r="FO179" s="78"/>
      <c r="FP179" s="78"/>
      <c r="FQ179" s="78"/>
      <c r="FR179" s="78"/>
      <c r="FS179" s="78"/>
      <c r="FT179" s="78"/>
      <c r="FU179" s="78"/>
      <c r="FV179" s="78"/>
      <c r="FW179" s="78"/>
      <c r="FX179" s="78"/>
      <c r="FY179" s="78"/>
      <c r="FZ179" s="78"/>
      <c r="GA179" s="78"/>
      <c r="GB179" s="78"/>
      <c r="GC179" s="78"/>
      <c r="GD179" s="78"/>
      <c r="GE179" s="78"/>
      <c r="GF179" s="78"/>
      <c r="GG179" s="78"/>
      <c r="GH179" s="78"/>
      <c r="GI179" s="78"/>
      <c r="GJ179" s="78"/>
      <c r="GK179" s="78"/>
      <c r="GL179" s="78"/>
      <c r="GM179" s="78"/>
      <c r="GN179" s="78"/>
      <c r="GO179" s="78"/>
      <c r="GP179" s="78"/>
      <c r="GQ179" s="78"/>
      <c r="GR179" s="78"/>
      <c r="GS179" s="78"/>
      <c r="GT179" s="78"/>
      <c r="GU179" s="78"/>
      <c r="GV179" s="78"/>
      <c r="GW179" s="78"/>
      <c r="GX179" s="78"/>
      <c r="GY179" s="78"/>
      <c r="GZ179" s="78"/>
      <c r="HA179" s="78"/>
      <c r="HB179" s="78"/>
      <c r="HC179" s="78"/>
      <c r="HD179" s="78"/>
      <c r="HE179" s="78"/>
      <c r="HF179" s="78"/>
      <c r="HG179" s="78"/>
      <c r="HH179" s="78"/>
      <c r="HI179" s="78"/>
      <c r="HJ179" s="78"/>
      <c r="HK179" s="78"/>
    </row>
    <row r="180" spans="1:219" ht="15" customHeight="1">
      <c r="A180" s="149">
        <v>6</v>
      </c>
      <c r="B180" s="176" t="str">
        <f>VLOOKUP(Ruimtestaat[[#This Row],[Code]],Locaties[[Code]:[Locatie]],2,FALSE)</f>
        <v>OBS La Res Noord</v>
      </c>
      <c r="C180" s="176" t="str">
        <f>VLOOKUP(Ruimtestaat[[#This Row],[Code]],Locaties[[#All],[Code]:[Adres]],4,FALSE)</f>
        <v>Schietbaanweg 30</v>
      </c>
      <c r="D180" s="176" t="str">
        <f>VLOOKUP(Ruimtestaat[[#This Row],[Code]],Locaties[[#All],[Code]:[Postcode]],5,FALSE)</f>
        <v>7521 DB</v>
      </c>
      <c r="E180" s="176" t="str">
        <f>VLOOKUP(Ruimtestaat[[#This Row],[Code]],Locaties[#All],6,FALSE)</f>
        <v>Enschede</v>
      </c>
      <c r="F180" s="149"/>
      <c r="G180" s="149"/>
      <c r="H180" s="99" t="s">
        <v>1734</v>
      </c>
      <c r="I180" s="183" t="s">
        <v>1684</v>
      </c>
      <c r="J180" s="99">
        <v>5</v>
      </c>
      <c r="K180" s="183" t="str">
        <f>VLOOKUP(Ruimtestaat[[#This Row],[Ruimte code]],Ruimtegroepen[[#All],[Code]:[Ruimte omschrijving]],2,FALSE)</f>
        <v>Sanitair</v>
      </c>
      <c r="L180" s="149" t="s">
        <v>101</v>
      </c>
      <c r="M180" s="301" t="s">
        <v>119</v>
      </c>
      <c r="N180" s="177">
        <v>4.9000000000000004</v>
      </c>
      <c r="O180" s="177"/>
      <c r="P180" s="178" t="str">
        <f>VLOOKUP(Ruimtestaat[[#This Row],[Ruimte code]],Ruimtegroepen[],4,FALSE)</f>
        <v>Sa</v>
      </c>
      <c r="Q180" s="149"/>
      <c r="R180" s="149"/>
      <c r="S180" s="149">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0" s="149">
        <f>IF(S180&gt;0,VLOOKUP($J180,Ruimtegroepen[],3,FALSE)*VLOOKUP($L180,Vloersoorten[],3,FALSE)*VLOOKUP($R180,Frequenties[],3,FALSE)*VLOOKUP($A180,Locaties[],3,FALSE),0)</f>
        <v>0</v>
      </c>
      <c r="U180" s="149">
        <f>Ruimtestaat[[#This Row],[Uitvoeringen werkdagen]]*Ruimtestaat[[#This Row],[Oppervlak (netto)]]</f>
        <v>0</v>
      </c>
      <c r="V180" s="179">
        <f>IF(T180&gt;0,Ruimtestaat[[#This Row],[Prest. (m2 /jaar) werkdagen]]/Ruimtestaat[[#This Row],[Norm (m2/uur) werkdagen]],0)</f>
        <v>0</v>
      </c>
      <c r="W180" s="180">
        <f>Ruimtestaat[[#This Row],[uren / jaar werkdagen]]*Tariefsopbouw!$E$35</f>
        <v>0</v>
      </c>
      <c r="X180" s="149"/>
      <c r="Y180" s="149">
        <f>IF(Ruimtestaat[[#This Row],[Frequentie weekend]]&gt;0,VALUE(LEFT(X180,1))*Q180,0)</f>
        <v>0</v>
      </c>
      <c r="Z180" s="148">
        <f>IF($Y180&gt;0,VLOOKUP($J180,Ruimtegroepen[],3,FALSE)*VLOOKUP($L180,Vloersoorten[],3,FALSE)*VLOOKUP($X180,Frequenties[],3,FALSE)*VLOOKUP(#REF!,Locaties[],3,FALSE),0)</f>
        <v>0</v>
      </c>
      <c r="AA180" s="148">
        <f>Ruimtestaat[[#This Row],[Uitvoeringen weekend]]*Ruimtestaat[[#This Row],[Oppervlak (netto)]]</f>
        <v>0</v>
      </c>
      <c r="AB180" s="148">
        <f>IF(Z180&gt;0,Ruimtestaat[[#This Row],[Prest. (m2 /jaar) weekend]]/Ruimtestaat[[#This Row],[Norm (m2/uur) weekend]],0)</f>
        <v>0</v>
      </c>
      <c r="AC180" s="180">
        <f>Ruimtestaat[[#This Row],[uren / jaar weekend]]*Tariefsopbouw!$D$40</f>
        <v>0</v>
      </c>
      <c r="AD180" s="179">
        <f>Ruimtestaat[[#This Row],[Prest. (m2 /jaar) weekend]]+Ruimtestaat[[#This Row],[Prest. (m2 /jaar) werkdagen]]</f>
        <v>0</v>
      </c>
      <c r="AE180" s="179">
        <f>Ruimtestaat[[#This Row],[uren / jaar weekend]]+Ruimtestaat[[#This Row],[uren / jaar werkdagen]]</f>
        <v>0</v>
      </c>
      <c r="AF180" s="174">
        <f>Ruimtestaat[[#This Row],[kosten / jaar weekend]]+Ruimtestaat[[#This Row],[kosten / jaar werkdagen]]</f>
        <v>0</v>
      </c>
      <c r="AG180" s="174"/>
      <c r="AH180" s="181" t="str">
        <f>IF(Ruimtestaat[[#This Row],[Frequentie werkdagen]]="","",_xlfn.CONCAT(Ruimtestaat[[#This Row],[Ruimte code]],"-",Ruimtestaat[[#This Row],[Frequentie werkdagen]]," ",Ruimtestaat[[#This Row],[Vloer code]]))</f>
        <v/>
      </c>
      <c r="AI180" s="185" t="str">
        <f>_xlfn.IFNA(VLOOKUP($AH180,Programma!$F$3:$G$1101,2,0),"")</f>
        <v/>
      </c>
      <c r="AJ180" s="185" t="str">
        <f>_xlfn.IFNA(VLOOKUP($AH180,Programma!$F$3:$H$1101,3,0),"")</f>
        <v/>
      </c>
      <c r="AK180" s="185" t="str">
        <f>_xlfn.IFNA(VLOOKUP($AH180,Programma!$F$3:$I$1101,4,0),"")</f>
        <v/>
      </c>
      <c r="AL180" s="185" t="str">
        <f>_xlfn.IFNA(VLOOKUP($AH180,Programma!$F$3:$J$1101,5,0),"")</f>
        <v/>
      </c>
      <c r="AM180" s="185" t="str">
        <f>_xlfn.IFNA(VLOOKUP($AH180,Programma!$F$3:$K$1101,6,0),"")</f>
        <v/>
      </c>
      <c r="AN180" s="185" t="str">
        <f>_xlfn.IFNA(VLOOKUP($AH180,Programma!$F$3:$L$1101,7,0),"")</f>
        <v/>
      </c>
      <c r="AO180" s="185" t="str">
        <f>_xlfn.IFNA(VLOOKUP($AH180,Programma!$F$3:$M$1101,8,0),"")</f>
        <v/>
      </c>
      <c r="AP180" s="185" t="str">
        <f>_xlfn.IFNA(VLOOKUP($AH180,Programma!$F$3:$N$1101,9,0),"")</f>
        <v/>
      </c>
      <c r="AQ180" s="185" t="str">
        <f>_xlfn.IFNA(VLOOKUP($AH180,Programma!$F$3:$O$1101,10,0),"")</f>
        <v/>
      </c>
      <c r="AR180" s="185" t="str">
        <f>_xlfn.IFNA(VLOOKUP($AH180,Programma!$F$3:$P$1101,11,0),"")</f>
        <v/>
      </c>
      <c r="AS180" s="185" t="str">
        <f>_xlfn.IFNA(VLOOKUP($AH180,Programma!$F$3:$Q$1101,12,0),"")</f>
        <v/>
      </c>
      <c r="AT180" s="185" t="str">
        <f>_xlfn.IFNA(VLOOKUP($AH180,Programma!$F$3:$R$1101,13,0),"")</f>
        <v/>
      </c>
      <c r="AU180" s="185" t="str">
        <f>_xlfn.IFNA(VLOOKUP($AH180,Programma!$F$3:$S$1101,14,0),"")</f>
        <v/>
      </c>
      <c r="AV180" s="185" t="str">
        <f>_xlfn.IFNA(VLOOKUP($AH180,Programma!$F$3:$T$1101,15,0),"")</f>
        <v/>
      </c>
      <c r="AW180" s="185" t="str">
        <f>_xlfn.IFNA(VLOOKUP($AH180,Programma!$F$3:$U$1101,16,0),"")</f>
        <v/>
      </c>
      <c r="AX180" s="185" t="str">
        <f>_xlfn.IFNA(VLOOKUP($AH180,Programma!$F$3:$V$1101,17,0),"")</f>
        <v/>
      </c>
      <c r="AY180" s="185" t="str">
        <f>_xlfn.IFNA(VLOOKUP($AH180,Programma!$F$3:$W$1101,18,0),"")</f>
        <v/>
      </c>
      <c r="AZ180" s="185" t="str">
        <f>_xlfn.IFNA(VLOOKUP($AH180,Programma!$F$3:$X$1101,19,0),"")</f>
        <v/>
      </c>
      <c r="BA180" s="185" t="str">
        <f>_xlfn.IFNA(VLOOKUP($AH180,Programma!$F$3:$Y$1101,20,0),"")</f>
        <v/>
      </c>
      <c r="BB180" s="182"/>
      <c r="BC180" s="181" t="str">
        <f>IF(Ruimtestaat[[#This Row],[Frequentie weekend]]="","",_xlfn.CONCAT(Ruimtestaat[[#This Row],[Ruimte code]],"-",Ruimtestaat[[#This Row],[Frequentie weekend]]," ",Ruimtestaat[[#This Row],[Vloer code]]))</f>
        <v/>
      </c>
      <c r="BD180" s="185" t="str">
        <f>_xlfn.IFNA(VLOOKUP($BC180,Programma!$F$3:$G$1101,2,0),"")</f>
        <v/>
      </c>
      <c r="BE180" s="185" t="str">
        <f>_xlfn.IFNA(VLOOKUP($BC180,Programma!$F$3:$H$1101,3,0),"")</f>
        <v/>
      </c>
      <c r="BF180" s="185" t="str">
        <f>_xlfn.IFNA(VLOOKUP($BC180,Programma!$F$3:$I$1101,4,0),"")</f>
        <v/>
      </c>
      <c r="BG180" s="185" t="str">
        <f>_xlfn.IFNA(VLOOKUP($BC180,Programma!$F$3:$J$1101,5,0),"")</f>
        <v/>
      </c>
      <c r="BH180" s="185" t="str">
        <f>_xlfn.IFNA(VLOOKUP($BC180,Programma!$F$3:$K$1101,6,0),"")</f>
        <v/>
      </c>
      <c r="BI180" s="185" t="str">
        <f>_xlfn.IFNA(VLOOKUP($BC180,Programma!$F$3:$L$1101,7,0),"")</f>
        <v/>
      </c>
      <c r="BJ180" s="185" t="str">
        <f>_xlfn.IFNA(VLOOKUP($BC180,Programma!$F$3:$M$1101,8,0),"")</f>
        <v/>
      </c>
      <c r="BK180" s="185" t="str">
        <f>_xlfn.IFNA(VLOOKUP($BC180,Programma!$F$3:$N$1101,9,0),"")</f>
        <v/>
      </c>
      <c r="BL180" s="185" t="str">
        <f>_xlfn.IFNA(VLOOKUP($BC180,Programma!$F$3:$O$1101,10,0),"")</f>
        <v/>
      </c>
      <c r="BM180" s="185" t="str">
        <f>_xlfn.IFNA(VLOOKUP($BC180,Programma!$F$3:$P$1101,11,0),"")</f>
        <v/>
      </c>
      <c r="BN180" s="185" t="str">
        <f>_xlfn.IFNA(VLOOKUP($BC180,Programma!$F$3:$Q$1101,12,0),"")</f>
        <v/>
      </c>
      <c r="BO180" s="185" t="str">
        <f>_xlfn.IFNA(VLOOKUP($BC180,Programma!$F$3:$R$1101,13,0),"")</f>
        <v/>
      </c>
      <c r="BP180" s="185" t="str">
        <f>_xlfn.IFNA(VLOOKUP($BC180,Programma!$F$3:$S$1101,14,0),"")</f>
        <v/>
      </c>
      <c r="BQ180" s="185" t="str">
        <f>_xlfn.IFNA(VLOOKUP($BC180,Programma!$F$3:$T$1101,15,0),"")</f>
        <v/>
      </c>
      <c r="BR180" s="185" t="str">
        <f>_xlfn.IFNA(VLOOKUP($BC180,Programma!$F$3:$U$1101,16,0),"")</f>
        <v/>
      </c>
      <c r="BS180" s="185" t="str">
        <f>_xlfn.IFNA(VLOOKUP($BC180,Programma!$F$3:$V$1101,17,0),"")</f>
        <v/>
      </c>
      <c r="BT180" s="185" t="str">
        <f>_xlfn.IFNA(VLOOKUP($BC180,Programma!$F$3:$W$1101,18,0),"")</f>
        <v/>
      </c>
      <c r="BU180" s="185" t="str">
        <f>_xlfn.IFNA(VLOOKUP($BC180,Programma!$F$3:$X$1101,19,0),"")</f>
        <v/>
      </c>
      <c r="BV180" s="185" t="str">
        <f>_xlfn.IFNA(VLOOKUP($BC180,Programma!$F$3:$Y$1101,20,0),"")</f>
        <v/>
      </c>
      <c r="BW180" s="78"/>
      <c r="BX180" s="78"/>
      <c r="BY180" s="78"/>
      <c r="BZ180" s="78"/>
      <c r="CA180" s="78"/>
      <c r="CB180" s="78"/>
      <c r="CC180" s="78"/>
      <c r="CD180" s="78"/>
      <c r="CE180" s="78"/>
      <c r="CF180" s="78"/>
      <c r="CG180" s="78"/>
      <c r="CH180" s="78"/>
      <c r="CI180" s="78"/>
      <c r="CJ180" s="78"/>
      <c r="CK180" s="78"/>
      <c r="CL180" s="78"/>
      <c r="CM180" s="78"/>
      <c r="CN180" s="78"/>
      <c r="CO180" s="78"/>
      <c r="CP180" s="78"/>
      <c r="CQ180" s="78"/>
      <c r="CR180" s="78"/>
      <c r="CS180" s="78"/>
      <c r="CT180" s="78"/>
      <c r="CU180" s="78"/>
      <c r="CV180" s="78"/>
      <c r="CW180" s="78"/>
      <c r="CX180" s="78"/>
      <c r="CY180" s="78"/>
      <c r="CZ180" s="78"/>
      <c r="DA180" s="78"/>
      <c r="DB180" s="78"/>
      <c r="DC180" s="78"/>
      <c r="DD180" s="78"/>
      <c r="DE180" s="78"/>
      <c r="DF180" s="78"/>
      <c r="DG180" s="78"/>
      <c r="DH180" s="78"/>
      <c r="DI180" s="78"/>
      <c r="DJ180" s="78"/>
      <c r="DK180" s="78"/>
      <c r="DL180" s="78"/>
      <c r="DM180" s="78"/>
      <c r="DN180" s="78"/>
      <c r="DO180" s="78"/>
      <c r="DP180" s="78"/>
      <c r="DQ180" s="78"/>
      <c r="DR180" s="78"/>
      <c r="DS180" s="78"/>
      <c r="DT180" s="78"/>
      <c r="DU180" s="78"/>
      <c r="DV180" s="78"/>
      <c r="DW180" s="78"/>
      <c r="DX180" s="78"/>
      <c r="DY180" s="78"/>
      <c r="DZ180" s="78"/>
      <c r="EA180" s="78"/>
      <c r="EB180" s="78"/>
      <c r="EC180" s="78"/>
      <c r="ED180" s="78"/>
      <c r="EE180" s="78"/>
      <c r="EF180" s="78"/>
      <c r="EG180" s="78"/>
      <c r="EH180" s="78"/>
      <c r="EI180" s="78"/>
      <c r="EJ180" s="78"/>
      <c r="EK180" s="78"/>
      <c r="EL180" s="78"/>
      <c r="EM180" s="78"/>
      <c r="EN180" s="78"/>
      <c r="EO180" s="78"/>
      <c r="EP180" s="78"/>
      <c r="EQ180" s="78"/>
      <c r="ER180" s="78"/>
      <c r="ES180" s="78"/>
      <c r="ET180" s="78"/>
      <c r="EU180" s="78"/>
      <c r="EV180" s="78"/>
      <c r="EW180" s="78"/>
      <c r="EX180" s="78"/>
      <c r="EY180" s="78"/>
      <c r="EZ180" s="78"/>
      <c r="FA180" s="78"/>
      <c r="FB180" s="78"/>
      <c r="FC180" s="78"/>
      <c r="FD180" s="78"/>
      <c r="FE180" s="78"/>
      <c r="FF180" s="78"/>
      <c r="FG180" s="78"/>
      <c r="FH180" s="78"/>
      <c r="FI180" s="78"/>
      <c r="FJ180" s="78"/>
      <c r="FK180" s="78"/>
      <c r="FL180" s="78"/>
      <c r="FM180" s="78"/>
      <c r="FN180" s="78"/>
      <c r="FO180" s="78"/>
      <c r="FP180" s="78"/>
      <c r="FQ180" s="78"/>
      <c r="FR180" s="78"/>
      <c r="FS180" s="78"/>
      <c r="FT180" s="78"/>
      <c r="FU180" s="78"/>
      <c r="FV180" s="78"/>
      <c r="FW180" s="78"/>
      <c r="FX180" s="78"/>
      <c r="FY180" s="78"/>
      <c r="FZ180" s="78"/>
      <c r="GA180" s="78"/>
      <c r="GB180" s="78"/>
      <c r="GC180" s="78"/>
      <c r="GD180" s="78"/>
      <c r="GE180" s="78"/>
      <c r="GF180" s="78"/>
      <c r="GG180" s="78"/>
      <c r="GH180" s="78"/>
      <c r="GI180" s="78"/>
      <c r="GJ180" s="78"/>
      <c r="GK180" s="78"/>
      <c r="GL180" s="78"/>
      <c r="GM180" s="78"/>
      <c r="GN180" s="78"/>
      <c r="GO180" s="78"/>
      <c r="GP180" s="78"/>
      <c r="GQ180" s="78"/>
      <c r="GR180" s="78"/>
      <c r="GS180" s="78"/>
      <c r="GT180" s="78"/>
      <c r="GU180" s="78"/>
      <c r="GV180" s="78"/>
      <c r="GW180" s="78"/>
      <c r="GX180" s="78"/>
      <c r="GY180" s="78"/>
      <c r="GZ180" s="78"/>
      <c r="HA180" s="78"/>
      <c r="HB180" s="78"/>
      <c r="HC180" s="78"/>
      <c r="HD180" s="78"/>
      <c r="HE180" s="78"/>
      <c r="HF180" s="78"/>
      <c r="HG180" s="78"/>
      <c r="HH180" s="78"/>
      <c r="HI180" s="78"/>
      <c r="HJ180" s="78"/>
      <c r="HK180" s="78"/>
    </row>
    <row r="181" spans="1:219" ht="15" customHeight="1">
      <c r="A181" s="149">
        <v>6</v>
      </c>
      <c r="B181" s="176" t="str">
        <f>VLOOKUP(Ruimtestaat[[#This Row],[Code]],Locaties[[Code]:[Locatie]],2,FALSE)</f>
        <v>OBS La Res Noord</v>
      </c>
      <c r="C181" s="176" t="str">
        <f>VLOOKUP(Ruimtestaat[[#This Row],[Code]],Locaties[[#All],[Code]:[Adres]],4,FALSE)</f>
        <v>Schietbaanweg 30</v>
      </c>
      <c r="D181" s="176" t="str">
        <f>VLOOKUP(Ruimtestaat[[#This Row],[Code]],Locaties[[#All],[Code]:[Postcode]],5,FALSE)</f>
        <v>7521 DB</v>
      </c>
      <c r="E181" s="176" t="str">
        <f>VLOOKUP(Ruimtestaat[[#This Row],[Code]],Locaties[#All],6,FALSE)</f>
        <v>Enschede</v>
      </c>
      <c r="F181" s="149"/>
      <c r="G181" s="149"/>
      <c r="H181" s="99" t="s">
        <v>1735</v>
      </c>
      <c r="I181" s="183" t="s">
        <v>1885</v>
      </c>
      <c r="J181" s="99">
        <v>2</v>
      </c>
      <c r="K181" s="183" t="str">
        <f>VLOOKUP(Ruimtestaat[[#This Row],[Ruimte code]],Ruimtegroepen[[#All],[Code]:[Ruimte omschrijving]],2,FALSE)</f>
        <v>Kantoren</v>
      </c>
      <c r="L181" s="149" t="s">
        <v>99</v>
      </c>
      <c r="M181" s="301" t="s">
        <v>36</v>
      </c>
      <c r="N181" s="177">
        <v>32.4</v>
      </c>
      <c r="O181" s="177"/>
      <c r="P181" s="178" t="str">
        <f>VLOOKUP(Ruimtestaat[[#This Row],[Ruimte code]],Ruimtegroepen[],4,FALSE)</f>
        <v>Bu</v>
      </c>
      <c r="Q181" s="149"/>
      <c r="R181" s="149"/>
      <c r="S181" s="149">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1" s="149">
        <f>IF(S181&gt;0,VLOOKUP($J181,Ruimtegroepen[],3,FALSE)*VLOOKUP($L181,Vloersoorten[],3,FALSE)*VLOOKUP($R181,Frequenties[],3,FALSE)*VLOOKUP($A181,Locaties[],3,FALSE),0)</f>
        <v>0</v>
      </c>
      <c r="U181" s="149">
        <f>Ruimtestaat[[#This Row],[Uitvoeringen werkdagen]]*Ruimtestaat[[#This Row],[Oppervlak (netto)]]</f>
        <v>0</v>
      </c>
      <c r="V181" s="179">
        <f>IF(T181&gt;0,Ruimtestaat[[#This Row],[Prest. (m2 /jaar) werkdagen]]/Ruimtestaat[[#This Row],[Norm (m2/uur) werkdagen]],0)</f>
        <v>0</v>
      </c>
      <c r="W181" s="180">
        <f>Ruimtestaat[[#This Row],[uren / jaar werkdagen]]*Tariefsopbouw!$E$35</f>
        <v>0</v>
      </c>
      <c r="X181" s="149"/>
      <c r="Y181" s="149">
        <f>IF(Ruimtestaat[[#This Row],[Frequentie weekend]]&gt;0,VALUE(LEFT(X181,1))*Q181,0)</f>
        <v>0</v>
      </c>
      <c r="Z181" s="148">
        <f>IF($Y181&gt;0,VLOOKUP($J181,Ruimtegroepen[],3,FALSE)*VLOOKUP($L181,Vloersoorten[],3,FALSE)*VLOOKUP($X181,Frequenties[],3,FALSE)*VLOOKUP(#REF!,Locaties[],3,FALSE),0)</f>
        <v>0</v>
      </c>
      <c r="AA181" s="148">
        <f>Ruimtestaat[[#This Row],[Uitvoeringen weekend]]*Ruimtestaat[[#This Row],[Oppervlak (netto)]]</f>
        <v>0</v>
      </c>
      <c r="AB181" s="148">
        <f>IF(Z181&gt;0,Ruimtestaat[[#This Row],[Prest. (m2 /jaar) weekend]]/Ruimtestaat[[#This Row],[Norm (m2/uur) weekend]],0)</f>
        <v>0</v>
      </c>
      <c r="AC181" s="180">
        <f>Ruimtestaat[[#This Row],[uren / jaar weekend]]*Tariefsopbouw!$D$40</f>
        <v>0</v>
      </c>
      <c r="AD181" s="179">
        <f>Ruimtestaat[[#This Row],[Prest. (m2 /jaar) weekend]]+Ruimtestaat[[#This Row],[Prest. (m2 /jaar) werkdagen]]</f>
        <v>0</v>
      </c>
      <c r="AE181" s="179">
        <f>Ruimtestaat[[#This Row],[uren / jaar weekend]]+Ruimtestaat[[#This Row],[uren / jaar werkdagen]]</f>
        <v>0</v>
      </c>
      <c r="AF181" s="174">
        <f>Ruimtestaat[[#This Row],[kosten / jaar weekend]]+Ruimtestaat[[#This Row],[kosten / jaar werkdagen]]</f>
        <v>0</v>
      </c>
      <c r="AG181" s="174"/>
      <c r="AH181" s="181" t="str">
        <f>IF(Ruimtestaat[[#This Row],[Frequentie werkdagen]]="","",_xlfn.CONCAT(Ruimtestaat[[#This Row],[Ruimte code]],"-",Ruimtestaat[[#This Row],[Frequentie werkdagen]]," ",Ruimtestaat[[#This Row],[Vloer code]]))</f>
        <v/>
      </c>
      <c r="AI181" s="185" t="str">
        <f>_xlfn.IFNA(VLOOKUP($AH181,Programma!$F$3:$G$1101,2,0),"")</f>
        <v/>
      </c>
      <c r="AJ181" s="185" t="str">
        <f>_xlfn.IFNA(VLOOKUP($AH181,Programma!$F$3:$H$1101,3,0),"")</f>
        <v/>
      </c>
      <c r="AK181" s="185" t="str">
        <f>_xlfn.IFNA(VLOOKUP($AH181,Programma!$F$3:$I$1101,4,0),"")</f>
        <v/>
      </c>
      <c r="AL181" s="185" t="str">
        <f>_xlfn.IFNA(VLOOKUP($AH181,Programma!$F$3:$J$1101,5,0),"")</f>
        <v/>
      </c>
      <c r="AM181" s="185" t="str">
        <f>_xlfn.IFNA(VLOOKUP($AH181,Programma!$F$3:$K$1101,6,0),"")</f>
        <v/>
      </c>
      <c r="AN181" s="185" t="str">
        <f>_xlfn.IFNA(VLOOKUP($AH181,Programma!$F$3:$L$1101,7,0),"")</f>
        <v/>
      </c>
      <c r="AO181" s="185" t="str">
        <f>_xlfn.IFNA(VLOOKUP($AH181,Programma!$F$3:$M$1101,8,0),"")</f>
        <v/>
      </c>
      <c r="AP181" s="185" t="str">
        <f>_xlfn.IFNA(VLOOKUP($AH181,Programma!$F$3:$N$1101,9,0),"")</f>
        <v/>
      </c>
      <c r="AQ181" s="185" t="str">
        <f>_xlfn.IFNA(VLOOKUP($AH181,Programma!$F$3:$O$1101,10,0),"")</f>
        <v/>
      </c>
      <c r="AR181" s="185" t="str">
        <f>_xlfn.IFNA(VLOOKUP($AH181,Programma!$F$3:$P$1101,11,0),"")</f>
        <v/>
      </c>
      <c r="AS181" s="185" t="str">
        <f>_xlfn.IFNA(VLOOKUP($AH181,Programma!$F$3:$Q$1101,12,0),"")</f>
        <v/>
      </c>
      <c r="AT181" s="185" t="str">
        <f>_xlfn.IFNA(VLOOKUP($AH181,Programma!$F$3:$R$1101,13,0),"")</f>
        <v/>
      </c>
      <c r="AU181" s="185" t="str">
        <f>_xlfn.IFNA(VLOOKUP($AH181,Programma!$F$3:$S$1101,14,0),"")</f>
        <v/>
      </c>
      <c r="AV181" s="185" t="str">
        <f>_xlfn.IFNA(VLOOKUP($AH181,Programma!$F$3:$T$1101,15,0),"")</f>
        <v/>
      </c>
      <c r="AW181" s="185" t="str">
        <f>_xlfn.IFNA(VLOOKUP($AH181,Programma!$F$3:$U$1101,16,0),"")</f>
        <v/>
      </c>
      <c r="AX181" s="185" t="str">
        <f>_xlfn.IFNA(VLOOKUP($AH181,Programma!$F$3:$V$1101,17,0),"")</f>
        <v/>
      </c>
      <c r="AY181" s="185" t="str">
        <f>_xlfn.IFNA(VLOOKUP($AH181,Programma!$F$3:$W$1101,18,0),"")</f>
        <v/>
      </c>
      <c r="AZ181" s="185" t="str">
        <f>_xlfn.IFNA(VLOOKUP($AH181,Programma!$F$3:$X$1101,19,0),"")</f>
        <v/>
      </c>
      <c r="BA181" s="185" t="str">
        <f>_xlfn.IFNA(VLOOKUP($AH181,Programma!$F$3:$Y$1101,20,0),"")</f>
        <v/>
      </c>
      <c r="BB181" s="182"/>
      <c r="BC181" s="181" t="str">
        <f>IF(Ruimtestaat[[#This Row],[Frequentie weekend]]="","",_xlfn.CONCAT(Ruimtestaat[[#This Row],[Ruimte code]],"-",Ruimtestaat[[#This Row],[Frequentie weekend]]," ",Ruimtestaat[[#This Row],[Vloer code]]))</f>
        <v/>
      </c>
      <c r="BD181" s="185" t="str">
        <f>_xlfn.IFNA(VLOOKUP($BC181,Programma!$F$3:$G$1101,2,0),"")</f>
        <v/>
      </c>
      <c r="BE181" s="185" t="str">
        <f>_xlfn.IFNA(VLOOKUP($BC181,Programma!$F$3:$H$1101,3,0),"")</f>
        <v/>
      </c>
      <c r="BF181" s="185" t="str">
        <f>_xlfn.IFNA(VLOOKUP($BC181,Programma!$F$3:$I$1101,4,0),"")</f>
        <v/>
      </c>
      <c r="BG181" s="185" t="str">
        <f>_xlfn.IFNA(VLOOKUP($BC181,Programma!$F$3:$J$1101,5,0),"")</f>
        <v/>
      </c>
      <c r="BH181" s="185" t="str">
        <f>_xlfn.IFNA(VLOOKUP($BC181,Programma!$F$3:$K$1101,6,0),"")</f>
        <v/>
      </c>
      <c r="BI181" s="185" t="str">
        <f>_xlfn.IFNA(VLOOKUP($BC181,Programma!$F$3:$L$1101,7,0),"")</f>
        <v/>
      </c>
      <c r="BJ181" s="185" t="str">
        <f>_xlfn.IFNA(VLOOKUP($BC181,Programma!$F$3:$M$1101,8,0),"")</f>
        <v/>
      </c>
      <c r="BK181" s="185" t="str">
        <f>_xlfn.IFNA(VLOOKUP($BC181,Programma!$F$3:$N$1101,9,0),"")</f>
        <v/>
      </c>
      <c r="BL181" s="185" t="str">
        <f>_xlfn.IFNA(VLOOKUP($BC181,Programma!$F$3:$O$1101,10,0),"")</f>
        <v/>
      </c>
      <c r="BM181" s="185" t="str">
        <f>_xlfn.IFNA(VLOOKUP($BC181,Programma!$F$3:$P$1101,11,0),"")</f>
        <v/>
      </c>
      <c r="BN181" s="185" t="str">
        <f>_xlfn.IFNA(VLOOKUP($BC181,Programma!$F$3:$Q$1101,12,0),"")</f>
        <v/>
      </c>
      <c r="BO181" s="185" t="str">
        <f>_xlfn.IFNA(VLOOKUP($BC181,Programma!$F$3:$R$1101,13,0),"")</f>
        <v/>
      </c>
      <c r="BP181" s="185" t="str">
        <f>_xlfn.IFNA(VLOOKUP($BC181,Programma!$F$3:$S$1101,14,0),"")</f>
        <v/>
      </c>
      <c r="BQ181" s="185" t="str">
        <f>_xlfn.IFNA(VLOOKUP($BC181,Programma!$F$3:$T$1101,15,0),"")</f>
        <v/>
      </c>
      <c r="BR181" s="185" t="str">
        <f>_xlfn.IFNA(VLOOKUP($BC181,Programma!$F$3:$U$1101,16,0),"")</f>
        <v/>
      </c>
      <c r="BS181" s="185" t="str">
        <f>_xlfn.IFNA(VLOOKUP($BC181,Programma!$F$3:$V$1101,17,0),"")</f>
        <v/>
      </c>
      <c r="BT181" s="185" t="str">
        <f>_xlfn.IFNA(VLOOKUP($BC181,Programma!$F$3:$W$1101,18,0),"")</f>
        <v/>
      </c>
      <c r="BU181" s="185" t="str">
        <f>_xlfn.IFNA(VLOOKUP($BC181,Programma!$F$3:$X$1101,19,0),"")</f>
        <v/>
      </c>
      <c r="BV181" s="185" t="str">
        <f>_xlfn.IFNA(VLOOKUP($BC181,Programma!$F$3:$Y$1101,20,0),"")</f>
        <v/>
      </c>
      <c r="BW181" s="78"/>
      <c r="BX181" s="78"/>
      <c r="BY181" s="78"/>
      <c r="BZ181" s="78"/>
      <c r="CA181" s="78"/>
      <c r="CB181" s="78"/>
      <c r="CC181" s="78"/>
      <c r="CD181" s="78"/>
      <c r="CE181" s="78"/>
      <c r="CF181" s="78"/>
      <c r="CG181" s="78"/>
      <c r="CH181" s="78"/>
      <c r="CI181" s="78"/>
      <c r="CJ181" s="78"/>
      <c r="CK181" s="78"/>
      <c r="CL181" s="78"/>
      <c r="CM181" s="78"/>
      <c r="CN181" s="78"/>
      <c r="CO181" s="78"/>
      <c r="CP181" s="78"/>
      <c r="CQ181" s="78"/>
      <c r="CR181" s="78"/>
      <c r="CS181" s="78"/>
      <c r="CT181" s="78"/>
      <c r="CU181" s="78"/>
      <c r="CV181" s="78"/>
      <c r="CW181" s="78"/>
      <c r="CX181" s="78"/>
      <c r="CY181" s="78"/>
      <c r="CZ181" s="78"/>
      <c r="DA181" s="78"/>
      <c r="DB181" s="78"/>
      <c r="DC181" s="78"/>
      <c r="DD181" s="78"/>
      <c r="DE181" s="78"/>
      <c r="DF181" s="78"/>
      <c r="DG181" s="78"/>
      <c r="DH181" s="78"/>
      <c r="DI181" s="78"/>
      <c r="DJ181" s="78"/>
      <c r="DK181" s="78"/>
      <c r="DL181" s="78"/>
      <c r="DM181" s="78"/>
      <c r="DN181" s="78"/>
      <c r="DO181" s="78"/>
      <c r="DP181" s="78"/>
      <c r="DQ181" s="78"/>
      <c r="DR181" s="78"/>
      <c r="DS181" s="78"/>
      <c r="DT181" s="78"/>
      <c r="DU181" s="78"/>
      <c r="DV181" s="78"/>
      <c r="DW181" s="78"/>
      <c r="DX181" s="78"/>
      <c r="DY181" s="78"/>
      <c r="DZ181" s="78"/>
      <c r="EA181" s="78"/>
      <c r="EB181" s="78"/>
      <c r="EC181" s="78"/>
      <c r="ED181" s="78"/>
      <c r="EE181" s="78"/>
      <c r="EF181" s="78"/>
      <c r="EG181" s="78"/>
      <c r="EH181" s="78"/>
      <c r="EI181" s="78"/>
      <c r="EJ181" s="78"/>
      <c r="EK181" s="78"/>
      <c r="EL181" s="78"/>
      <c r="EM181" s="78"/>
      <c r="EN181" s="78"/>
      <c r="EO181" s="78"/>
      <c r="EP181" s="78"/>
      <c r="EQ181" s="78"/>
      <c r="ER181" s="78"/>
      <c r="ES181" s="78"/>
      <c r="ET181" s="78"/>
      <c r="EU181" s="78"/>
      <c r="EV181" s="78"/>
      <c r="EW181" s="78"/>
      <c r="EX181" s="78"/>
      <c r="EY181" s="78"/>
      <c r="EZ181" s="78"/>
      <c r="FA181" s="78"/>
      <c r="FB181" s="78"/>
      <c r="FC181" s="78"/>
      <c r="FD181" s="78"/>
      <c r="FE181" s="78"/>
      <c r="FF181" s="78"/>
      <c r="FG181" s="78"/>
      <c r="FH181" s="78"/>
      <c r="FI181" s="78"/>
      <c r="FJ181" s="78"/>
      <c r="FK181" s="78"/>
      <c r="FL181" s="78"/>
      <c r="FM181" s="78"/>
      <c r="FN181" s="78"/>
      <c r="FO181" s="78"/>
      <c r="FP181" s="78"/>
      <c r="FQ181" s="78"/>
      <c r="FR181" s="78"/>
      <c r="FS181" s="78"/>
      <c r="FT181" s="78"/>
      <c r="FU181" s="78"/>
      <c r="FV181" s="78"/>
      <c r="FW181" s="78"/>
      <c r="FX181" s="78"/>
      <c r="FY181" s="78"/>
      <c r="FZ181" s="78"/>
      <c r="GA181" s="78"/>
      <c r="GB181" s="78"/>
      <c r="GC181" s="78"/>
      <c r="GD181" s="78"/>
      <c r="GE181" s="78"/>
      <c r="GF181" s="78"/>
      <c r="GG181" s="78"/>
      <c r="GH181" s="78"/>
      <c r="GI181" s="78"/>
      <c r="GJ181" s="78"/>
      <c r="GK181" s="78"/>
      <c r="GL181" s="78"/>
      <c r="GM181" s="78"/>
      <c r="GN181" s="78"/>
      <c r="GO181" s="78"/>
      <c r="GP181" s="78"/>
      <c r="GQ181" s="78"/>
      <c r="GR181" s="78"/>
      <c r="GS181" s="78"/>
      <c r="GT181" s="78"/>
      <c r="GU181" s="78"/>
      <c r="GV181" s="78"/>
      <c r="GW181" s="78"/>
      <c r="GX181" s="78"/>
      <c r="GY181" s="78"/>
      <c r="GZ181" s="78"/>
      <c r="HA181" s="78"/>
      <c r="HB181" s="78"/>
      <c r="HC181" s="78"/>
      <c r="HD181" s="78"/>
      <c r="HE181" s="78"/>
      <c r="HF181" s="78"/>
      <c r="HG181" s="78"/>
      <c r="HH181" s="78"/>
      <c r="HI181" s="78"/>
      <c r="HJ181" s="78"/>
      <c r="HK181" s="78"/>
    </row>
    <row r="182" spans="1:219" ht="15" customHeight="1">
      <c r="A182" s="149">
        <v>6</v>
      </c>
      <c r="B182" s="176" t="str">
        <f>VLOOKUP(Ruimtestaat[[#This Row],[Code]],Locaties[[Code]:[Locatie]],2,FALSE)</f>
        <v>OBS La Res Noord</v>
      </c>
      <c r="C182" s="176" t="str">
        <f>VLOOKUP(Ruimtestaat[[#This Row],[Code]],Locaties[[#All],[Code]:[Adres]],4,FALSE)</f>
        <v>Schietbaanweg 30</v>
      </c>
      <c r="D182" s="176" t="str">
        <f>VLOOKUP(Ruimtestaat[[#This Row],[Code]],Locaties[[#All],[Code]:[Postcode]],5,FALSE)</f>
        <v>7521 DB</v>
      </c>
      <c r="E182" s="176" t="str">
        <f>VLOOKUP(Ruimtestaat[[#This Row],[Code]],Locaties[#All],6,FALSE)</f>
        <v>Enschede</v>
      </c>
      <c r="F182" s="149"/>
      <c r="G182" s="149"/>
      <c r="H182" s="99" t="s">
        <v>1736</v>
      </c>
      <c r="I182" s="183" t="s">
        <v>1683</v>
      </c>
      <c r="J182" s="99">
        <v>20</v>
      </c>
      <c r="K182" s="183" t="str">
        <f>VLOOKUP(Ruimtestaat[[#This Row],[Ruimte code]],Ruimtegroepen[[#All],[Code]:[Ruimte omschrijving]],2,FALSE)</f>
        <v>Niet in Onderhoud</v>
      </c>
      <c r="L182" s="149" t="s">
        <v>100</v>
      </c>
      <c r="M182" s="301" t="s">
        <v>1697</v>
      </c>
      <c r="N182" s="177"/>
      <c r="O182" s="177">
        <v>14</v>
      </c>
      <c r="P182" s="178">
        <f>VLOOKUP(Ruimtestaat[[#This Row],[Ruimte code]],Ruimtegroepen[],4,FALSE)</f>
        <v>0</v>
      </c>
      <c r="Q182" s="149"/>
      <c r="R182" s="149"/>
      <c r="S182" s="149">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2" s="149">
        <f>IF(S182&gt;0,VLOOKUP($J182,Ruimtegroepen[],3,FALSE)*VLOOKUP($L182,Vloersoorten[],3,FALSE)*VLOOKUP($R182,Frequenties[],3,FALSE)*VLOOKUP($A182,Locaties[],3,FALSE),0)</f>
        <v>0</v>
      </c>
      <c r="U182" s="149">
        <f>Ruimtestaat[[#This Row],[Uitvoeringen werkdagen]]*Ruimtestaat[[#This Row],[Oppervlak (netto)]]</f>
        <v>0</v>
      </c>
      <c r="V182" s="179">
        <f>IF(T182&gt;0,Ruimtestaat[[#This Row],[Prest. (m2 /jaar) werkdagen]]/Ruimtestaat[[#This Row],[Norm (m2/uur) werkdagen]],0)</f>
        <v>0</v>
      </c>
      <c r="W182" s="180">
        <f>Ruimtestaat[[#This Row],[uren / jaar werkdagen]]*Tariefsopbouw!$E$35</f>
        <v>0</v>
      </c>
      <c r="X182" s="149"/>
      <c r="Y182" s="149">
        <f>IF(Ruimtestaat[[#This Row],[Frequentie weekend]]&gt;0,VALUE(LEFT(X182,1))*Q182,0)</f>
        <v>0</v>
      </c>
      <c r="Z182" s="148">
        <f>IF($Y182&gt;0,VLOOKUP($J182,Ruimtegroepen[],3,FALSE)*VLOOKUP($L182,Vloersoorten[],3,FALSE)*VLOOKUP($X182,Frequenties[],3,FALSE)*VLOOKUP(#REF!,Locaties[],3,FALSE),0)</f>
        <v>0</v>
      </c>
      <c r="AA182" s="148">
        <f>Ruimtestaat[[#This Row],[Uitvoeringen weekend]]*Ruimtestaat[[#This Row],[Oppervlak (netto)]]</f>
        <v>0</v>
      </c>
      <c r="AB182" s="148">
        <f>IF(Z182&gt;0,Ruimtestaat[[#This Row],[Prest. (m2 /jaar) weekend]]/Ruimtestaat[[#This Row],[Norm (m2/uur) weekend]],0)</f>
        <v>0</v>
      </c>
      <c r="AC182" s="180">
        <f>Ruimtestaat[[#This Row],[uren / jaar weekend]]*Tariefsopbouw!$D$40</f>
        <v>0</v>
      </c>
      <c r="AD182" s="179">
        <f>Ruimtestaat[[#This Row],[Prest. (m2 /jaar) weekend]]+Ruimtestaat[[#This Row],[Prest. (m2 /jaar) werkdagen]]</f>
        <v>0</v>
      </c>
      <c r="AE182" s="179">
        <f>Ruimtestaat[[#This Row],[uren / jaar weekend]]+Ruimtestaat[[#This Row],[uren / jaar werkdagen]]</f>
        <v>0</v>
      </c>
      <c r="AF182" s="174">
        <f>Ruimtestaat[[#This Row],[kosten / jaar weekend]]+Ruimtestaat[[#This Row],[kosten / jaar werkdagen]]</f>
        <v>0</v>
      </c>
      <c r="AG182" s="174"/>
      <c r="AH182" s="181" t="str">
        <f>IF(Ruimtestaat[[#This Row],[Frequentie werkdagen]]="","",_xlfn.CONCAT(Ruimtestaat[[#This Row],[Ruimte code]],"-",Ruimtestaat[[#This Row],[Frequentie werkdagen]]," ",Ruimtestaat[[#This Row],[Vloer code]]))</f>
        <v/>
      </c>
      <c r="AI182" s="185" t="str">
        <f>_xlfn.IFNA(VLOOKUP($AH182,Programma!$F$3:$G$1101,2,0),"")</f>
        <v/>
      </c>
      <c r="AJ182" s="185" t="str">
        <f>_xlfn.IFNA(VLOOKUP($AH182,Programma!$F$3:$H$1101,3,0),"")</f>
        <v/>
      </c>
      <c r="AK182" s="185" t="str">
        <f>_xlfn.IFNA(VLOOKUP($AH182,Programma!$F$3:$I$1101,4,0),"")</f>
        <v/>
      </c>
      <c r="AL182" s="185" t="str">
        <f>_xlfn.IFNA(VLOOKUP($AH182,Programma!$F$3:$J$1101,5,0),"")</f>
        <v/>
      </c>
      <c r="AM182" s="185" t="str">
        <f>_xlfn.IFNA(VLOOKUP($AH182,Programma!$F$3:$K$1101,6,0),"")</f>
        <v/>
      </c>
      <c r="AN182" s="185" t="str">
        <f>_xlfn.IFNA(VLOOKUP($AH182,Programma!$F$3:$L$1101,7,0),"")</f>
        <v/>
      </c>
      <c r="AO182" s="185" t="str">
        <f>_xlfn.IFNA(VLOOKUP($AH182,Programma!$F$3:$M$1101,8,0),"")</f>
        <v/>
      </c>
      <c r="AP182" s="185" t="str">
        <f>_xlfn.IFNA(VLOOKUP($AH182,Programma!$F$3:$N$1101,9,0),"")</f>
        <v/>
      </c>
      <c r="AQ182" s="185" t="str">
        <f>_xlfn.IFNA(VLOOKUP($AH182,Programma!$F$3:$O$1101,10,0),"")</f>
        <v/>
      </c>
      <c r="AR182" s="185" t="str">
        <f>_xlfn.IFNA(VLOOKUP($AH182,Programma!$F$3:$P$1101,11,0),"")</f>
        <v/>
      </c>
      <c r="AS182" s="185" t="str">
        <f>_xlfn.IFNA(VLOOKUP($AH182,Programma!$F$3:$Q$1101,12,0),"")</f>
        <v/>
      </c>
      <c r="AT182" s="185" t="str">
        <f>_xlfn.IFNA(VLOOKUP($AH182,Programma!$F$3:$R$1101,13,0),"")</f>
        <v/>
      </c>
      <c r="AU182" s="185" t="str">
        <f>_xlfn.IFNA(VLOOKUP($AH182,Programma!$F$3:$S$1101,14,0),"")</f>
        <v/>
      </c>
      <c r="AV182" s="185" t="str">
        <f>_xlfn.IFNA(VLOOKUP($AH182,Programma!$F$3:$T$1101,15,0),"")</f>
        <v/>
      </c>
      <c r="AW182" s="185" t="str">
        <f>_xlfn.IFNA(VLOOKUP($AH182,Programma!$F$3:$U$1101,16,0),"")</f>
        <v/>
      </c>
      <c r="AX182" s="185" t="str">
        <f>_xlfn.IFNA(VLOOKUP($AH182,Programma!$F$3:$V$1101,17,0),"")</f>
        <v/>
      </c>
      <c r="AY182" s="185" t="str">
        <f>_xlfn.IFNA(VLOOKUP($AH182,Programma!$F$3:$W$1101,18,0),"")</f>
        <v/>
      </c>
      <c r="AZ182" s="185" t="str">
        <f>_xlfn.IFNA(VLOOKUP($AH182,Programma!$F$3:$X$1101,19,0),"")</f>
        <v/>
      </c>
      <c r="BA182" s="185" t="str">
        <f>_xlfn.IFNA(VLOOKUP($AH182,Programma!$F$3:$Y$1101,20,0),"")</f>
        <v/>
      </c>
      <c r="BB182" s="182"/>
      <c r="BC182" s="181" t="str">
        <f>IF(Ruimtestaat[[#This Row],[Frequentie weekend]]="","",_xlfn.CONCAT(Ruimtestaat[[#This Row],[Ruimte code]],"-",Ruimtestaat[[#This Row],[Frequentie weekend]]," ",Ruimtestaat[[#This Row],[Vloer code]]))</f>
        <v/>
      </c>
      <c r="BD182" s="185" t="str">
        <f>_xlfn.IFNA(VLOOKUP($BC182,Programma!$F$3:$G$1101,2,0),"")</f>
        <v/>
      </c>
      <c r="BE182" s="185" t="str">
        <f>_xlfn.IFNA(VLOOKUP($BC182,Programma!$F$3:$H$1101,3,0),"")</f>
        <v/>
      </c>
      <c r="BF182" s="185" t="str">
        <f>_xlfn.IFNA(VLOOKUP($BC182,Programma!$F$3:$I$1101,4,0),"")</f>
        <v/>
      </c>
      <c r="BG182" s="185" t="str">
        <f>_xlfn.IFNA(VLOOKUP($BC182,Programma!$F$3:$J$1101,5,0),"")</f>
        <v/>
      </c>
      <c r="BH182" s="185" t="str">
        <f>_xlfn.IFNA(VLOOKUP($BC182,Programma!$F$3:$K$1101,6,0),"")</f>
        <v/>
      </c>
      <c r="BI182" s="185" t="str">
        <f>_xlfn.IFNA(VLOOKUP($BC182,Programma!$F$3:$L$1101,7,0),"")</f>
        <v/>
      </c>
      <c r="BJ182" s="185" t="str">
        <f>_xlfn.IFNA(VLOOKUP($BC182,Programma!$F$3:$M$1101,8,0),"")</f>
        <v/>
      </c>
      <c r="BK182" s="185" t="str">
        <f>_xlfn.IFNA(VLOOKUP($BC182,Programma!$F$3:$N$1101,9,0),"")</f>
        <v/>
      </c>
      <c r="BL182" s="185" t="str">
        <f>_xlfn.IFNA(VLOOKUP($BC182,Programma!$F$3:$O$1101,10,0),"")</f>
        <v/>
      </c>
      <c r="BM182" s="185" t="str">
        <f>_xlfn.IFNA(VLOOKUP($BC182,Programma!$F$3:$P$1101,11,0),"")</f>
        <v/>
      </c>
      <c r="BN182" s="185" t="str">
        <f>_xlfn.IFNA(VLOOKUP($BC182,Programma!$F$3:$Q$1101,12,0),"")</f>
        <v/>
      </c>
      <c r="BO182" s="185" t="str">
        <f>_xlfn.IFNA(VLOOKUP($BC182,Programma!$F$3:$R$1101,13,0),"")</f>
        <v/>
      </c>
      <c r="BP182" s="185" t="str">
        <f>_xlfn.IFNA(VLOOKUP($BC182,Programma!$F$3:$S$1101,14,0),"")</f>
        <v/>
      </c>
      <c r="BQ182" s="185" t="str">
        <f>_xlfn.IFNA(VLOOKUP($BC182,Programma!$F$3:$T$1101,15,0),"")</f>
        <v/>
      </c>
      <c r="BR182" s="185" t="str">
        <f>_xlfn.IFNA(VLOOKUP($BC182,Programma!$F$3:$U$1101,16,0),"")</f>
        <v/>
      </c>
      <c r="BS182" s="185" t="str">
        <f>_xlfn.IFNA(VLOOKUP($BC182,Programma!$F$3:$V$1101,17,0),"")</f>
        <v/>
      </c>
      <c r="BT182" s="185" t="str">
        <f>_xlfn.IFNA(VLOOKUP($BC182,Programma!$F$3:$W$1101,18,0),"")</f>
        <v/>
      </c>
      <c r="BU182" s="185" t="str">
        <f>_xlfn.IFNA(VLOOKUP($BC182,Programma!$F$3:$X$1101,19,0),"")</f>
        <v/>
      </c>
      <c r="BV182" s="185" t="str">
        <f>_xlfn.IFNA(VLOOKUP($BC182,Programma!$F$3:$Y$1101,20,0),"")</f>
        <v/>
      </c>
      <c r="BW182" s="78"/>
      <c r="BX182" s="78"/>
      <c r="BY182" s="78"/>
      <c r="BZ182" s="78"/>
      <c r="CA182" s="78"/>
      <c r="CB182" s="78"/>
      <c r="CC182" s="78"/>
      <c r="CD182" s="78"/>
      <c r="CE182" s="78"/>
      <c r="CF182" s="78"/>
      <c r="CG182" s="78"/>
      <c r="CH182" s="78"/>
      <c r="CI182" s="78"/>
      <c r="CJ182" s="78"/>
      <c r="CK182" s="78"/>
      <c r="CL182" s="78"/>
      <c r="CM182" s="78"/>
      <c r="CN182" s="78"/>
      <c r="CO182" s="78"/>
      <c r="CP182" s="78"/>
      <c r="CQ182" s="78"/>
      <c r="CR182" s="78"/>
      <c r="CS182" s="78"/>
      <c r="CT182" s="78"/>
      <c r="CU182" s="78"/>
      <c r="CV182" s="78"/>
      <c r="CW182" s="78"/>
      <c r="CX182" s="78"/>
      <c r="CY182" s="78"/>
      <c r="CZ182" s="78"/>
      <c r="DA182" s="78"/>
      <c r="DB182" s="78"/>
      <c r="DC182" s="78"/>
      <c r="DD182" s="78"/>
      <c r="DE182" s="78"/>
      <c r="DF182" s="78"/>
      <c r="DG182" s="78"/>
      <c r="DH182" s="78"/>
      <c r="DI182" s="78"/>
      <c r="DJ182" s="78"/>
      <c r="DK182" s="78"/>
      <c r="DL182" s="78"/>
      <c r="DM182" s="78"/>
      <c r="DN182" s="78"/>
      <c r="DO182" s="78"/>
      <c r="DP182" s="78"/>
      <c r="DQ182" s="78"/>
      <c r="DR182" s="78"/>
      <c r="DS182" s="78"/>
      <c r="DT182" s="78"/>
      <c r="DU182" s="78"/>
      <c r="DV182" s="78"/>
      <c r="DW182" s="78"/>
      <c r="DX182" s="78"/>
      <c r="DY182" s="78"/>
      <c r="DZ182" s="78"/>
      <c r="EA182" s="78"/>
      <c r="EB182" s="78"/>
      <c r="EC182" s="78"/>
      <c r="ED182" s="78"/>
      <c r="EE182" s="78"/>
      <c r="EF182" s="78"/>
      <c r="EG182" s="78"/>
      <c r="EH182" s="78"/>
      <c r="EI182" s="78"/>
      <c r="EJ182" s="78"/>
      <c r="EK182" s="78"/>
      <c r="EL182" s="78"/>
      <c r="EM182" s="78"/>
      <c r="EN182" s="78"/>
      <c r="EO182" s="78"/>
      <c r="EP182" s="78"/>
      <c r="EQ182" s="78"/>
      <c r="ER182" s="78"/>
      <c r="ES182" s="78"/>
      <c r="ET182" s="78"/>
      <c r="EU182" s="78"/>
      <c r="EV182" s="78"/>
      <c r="EW182" s="78"/>
      <c r="EX182" s="78"/>
      <c r="EY182" s="78"/>
      <c r="EZ182" s="78"/>
      <c r="FA182" s="78"/>
      <c r="FB182" s="78"/>
      <c r="FC182" s="78"/>
      <c r="FD182" s="78"/>
      <c r="FE182" s="78"/>
      <c r="FF182" s="78"/>
      <c r="FG182" s="78"/>
      <c r="FH182" s="78"/>
      <c r="FI182" s="78"/>
      <c r="FJ182" s="78"/>
      <c r="FK182" s="78"/>
      <c r="FL182" s="78"/>
      <c r="FM182" s="78"/>
      <c r="FN182" s="78"/>
      <c r="FO182" s="78"/>
      <c r="FP182" s="78"/>
      <c r="FQ182" s="78"/>
      <c r="FR182" s="78"/>
      <c r="FS182" s="78"/>
      <c r="FT182" s="78"/>
      <c r="FU182" s="78"/>
      <c r="FV182" s="78"/>
      <c r="FW182" s="78"/>
      <c r="FX182" s="78"/>
      <c r="FY182" s="78"/>
      <c r="FZ182" s="78"/>
      <c r="GA182" s="78"/>
      <c r="GB182" s="78"/>
      <c r="GC182" s="78"/>
      <c r="GD182" s="78"/>
      <c r="GE182" s="78"/>
      <c r="GF182" s="78"/>
      <c r="GG182" s="78"/>
      <c r="GH182" s="78"/>
      <c r="GI182" s="78"/>
      <c r="GJ182" s="78"/>
      <c r="GK182" s="78"/>
      <c r="GL182" s="78"/>
      <c r="GM182" s="78"/>
      <c r="GN182" s="78"/>
      <c r="GO182" s="78"/>
      <c r="GP182" s="78"/>
      <c r="GQ182" s="78"/>
      <c r="GR182" s="78"/>
      <c r="GS182" s="78"/>
      <c r="GT182" s="78"/>
      <c r="GU182" s="78"/>
      <c r="GV182" s="78"/>
      <c r="GW182" s="78"/>
      <c r="GX182" s="78"/>
      <c r="GY182" s="78"/>
      <c r="GZ182" s="78"/>
      <c r="HA182" s="78"/>
      <c r="HB182" s="78"/>
      <c r="HC182" s="78"/>
      <c r="HD182" s="78"/>
      <c r="HE182" s="78"/>
      <c r="HF182" s="78"/>
      <c r="HG182" s="78"/>
      <c r="HH182" s="78"/>
      <c r="HI182" s="78"/>
      <c r="HJ182" s="78"/>
      <c r="HK182" s="78"/>
    </row>
    <row r="183" spans="1:219" ht="15" customHeight="1">
      <c r="A183" s="149">
        <v>6</v>
      </c>
      <c r="B183" s="176" t="str">
        <f>VLOOKUP(Ruimtestaat[[#This Row],[Code]],Locaties[[Code]:[Locatie]],2,FALSE)</f>
        <v>OBS La Res Noord</v>
      </c>
      <c r="C183" s="176" t="str">
        <f>VLOOKUP(Ruimtestaat[[#This Row],[Code]],Locaties[[#All],[Code]:[Adres]],4,FALSE)</f>
        <v>Schietbaanweg 30</v>
      </c>
      <c r="D183" s="176" t="str">
        <f>VLOOKUP(Ruimtestaat[[#This Row],[Code]],Locaties[[#All],[Code]:[Postcode]],5,FALSE)</f>
        <v>7521 DB</v>
      </c>
      <c r="E183" s="176" t="str">
        <f>VLOOKUP(Ruimtestaat[[#This Row],[Code]],Locaties[#All],6,FALSE)</f>
        <v>Enschede</v>
      </c>
      <c r="F183" s="149"/>
      <c r="G183" s="149"/>
      <c r="H183" s="99" t="s">
        <v>1868</v>
      </c>
      <c r="I183" s="183" t="s">
        <v>1683</v>
      </c>
      <c r="J183" s="99">
        <v>20</v>
      </c>
      <c r="K183" s="183" t="str">
        <f>VLOOKUP(Ruimtestaat[[#This Row],[Ruimte code]],Ruimtegroepen[[#All],[Code]:[Ruimte omschrijving]],2,FALSE)</f>
        <v>Niet in Onderhoud</v>
      </c>
      <c r="L183" s="149" t="s">
        <v>101</v>
      </c>
      <c r="M183" s="301" t="s">
        <v>1698</v>
      </c>
      <c r="N183" s="177"/>
      <c r="O183" s="177">
        <v>9</v>
      </c>
      <c r="P183" s="178">
        <f>VLOOKUP(Ruimtestaat[[#This Row],[Ruimte code]],Ruimtegroepen[],4,FALSE)</f>
        <v>0</v>
      </c>
      <c r="Q183" s="149"/>
      <c r="R183" s="149"/>
      <c r="S183" s="149">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3" s="149">
        <f>IF(S183&gt;0,VLOOKUP($J183,Ruimtegroepen[],3,FALSE)*VLOOKUP($L183,Vloersoorten[],3,FALSE)*VLOOKUP($R183,Frequenties[],3,FALSE)*VLOOKUP($A183,Locaties[],3,FALSE),0)</f>
        <v>0</v>
      </c>
      <c r="U183" s="149">
        <f>Ruimtestaat[[#This Row],[Uitvoeringen werkdagen]]*Ruimtestaat[[#This Row],[Oppervlak (netto)]]</f>
        <v>0</v>
      </c>
      <c r="V183" s="179">
        <f>IF(T183&gt;0,Ruimtestaat[[#This Row],[Prest. (m2 /jaar) werkdagen]]/Ruimtestaat[[#This Row],[Norm (m2/uur) werkdagen]],0)</f>
        <v>0</v>
      </c>
      <c r="W183" s="180">
        <f>Ruimtestaat[[#This Row],[uren / jaar werkdagen]]*Tariefsopbouw!$E$35</f>
        <v>0</v>
      </c>
      <c r="X183" s="149"/>
      <c r="Y183" s="149">
        <f>IF(Ruimtestaat[[#This Row],[Frequentie weekend]]&gt;0,VALUE(LEFT(X183,1))*Q183,0)</f>
        <v>0</v>
      </c>
      <c r="Z183" s="148">
        <f>IF($Y183&gt;0,VLOOKUP($J183,Ruimtegroepen[],3,FALSE)*VLOOKUP($L183,Vloersoorten[],3,FALSE)*VLOOKUP($X183,Frequenties[],3,FALSE)*VLOOKUP(#REF!,Locaties[],3,FALSE),0)</f>
        <v>0</v>
      </c>
      <c r="AA183" s="148">
        <f>Ruimtestaat[[#This Row],[Uitvoeringen weekend]]*Ruimtestaat[[#This Row],[Oppervlak (netto)]]</f>
        <v>0</v>
      </c>
      <c r="AB183" s="148">
        <f>IF(Z183&gt;0,Ruimtestaat[[#This Row],[Prest. (m2 /jaar) weekend]]/Ruimtestaat[[#This Row],[Norm (m2/uur) weekend]],0)</f>
        <v>0</v>
      </c>
      <c r="AC183" s="180">
        <f>Ruimtestaat[[#This Row],[uren / jaar weekend]]*Tariefsopbouw!$D$40</f>
        <v>0</v>
      </c>
      <c r="AD183" s="179">
        <f>Ruimtestaat[[#This Row],[Prest. (m2 /jaar) weekend]]+Ruimtestaat[[#This Row],[Prest. (m2 /jaar) werkdagen]]</f>
        <v>0</v>
      </c>
      <c r="AE183" s="179">
        <f>Ruimtestaat[[#This Row],[uren / jaar weekend]]+Ruimtestaat[[#This Row],[uren / jaar werkdagen]]</f>
        <v>0</v>
      </c>
      <c r="AF183" s="174">
        <f>Ruimtestaat[[#This Row],[kosten / jaar weekend]]+Ruimtestaat[[#This Row],[kosten / jaar werkdagen]]</f>
        <v>0</v>
      </c>
      <c r="AG183" s="174"/>
      <c r="AH183" s="181" t="str">
        <f>IF(Ruimtestaat[[#This Row],[Frequentie werkdagen]]="","",_xlfn.CONCAT(Ruimtestaat[[#This Row],[Ruimte code]],"-",Ruimtestaat[[#This Row],[Frequentie werkdagen]]," ",Ruimtestaat[[#This Row],[Vloer code]]))</f>
        <v/>
      </c>
      <c r="AI183" s="185" t="str">
        <f>_xlfn.IFNA(VLOOKUP($AH183,Programma!$F$3:$G$1101,2,0),"")</f>
        <v/>
      </c>
      <c r="AJ183" s="185" t="str">
        <f>_xlfn.IFNA(VLOOKUP($AH183,Programma!$F$3:$H$1101,3,0),"")</f>
        <v/>
      </c>
      <c r="AK183" s="185" t="str">
        <f>_xlfn.IFNA(VLOOKUP($AH183,Programma!$F$3:$I$1101,4,0),"")</f>
        <v/>
      </c>
      <c r="AL183" s="185" t="str">
        <f>_xlfn.IFNA(VLOOKUP($AH183,Programma!$F$3:$J$1101,5,0),"")</f>
        <v/>
      </c>
      <c r="AM183" s="185" t="str">
        <f>_xlfn.IFNA(VLOOKUP($AH183,Programma!$F$3:$K$1101,6,0),"")</f>
        <v/>
      </c>
      <c r="AN183" s="185" t="str">
        <f>_xlfn.IFNA(VLOOKUP($AH183,Programma!$F$3:$L$1101,7,0),"")</f>
        <v/>
      </c>
      <c r="AO183" s="185" t="str">
        <f>_xlfn.IFNA(VLOOKUP($AH183,Programma!$F$3:$M$1101,8,0),"")</f>
        <v/>
      </c>
      <c r="AP183" s="185" t="str">
        <f>_xlfn.IFNA(VLOOKUP($AH183,Programma!$F$3:$N$1101,9,0),"")</f>
        <v/>
      </c>
      <c r="AQ183" s="185" t="str">
        <f>_xlfn.IFNA(VLOOKUP($AH183,Programma!$F$3:$O$1101,10,0),"")</f>
        <v/>
      </c>
      <c r="AR183" s="185" t="str">
        <f>_xlfn.IFNA(VLOOKUP($AH183,Programma!$F$3:$P$1101,11,0),"")</f>
        <v/>
      </c>
      <c r="AS183" s="185" t="str">
        <f>_xlfn.IFNA(VLOOKUP($AH183,Programma!$F$3:$Q$1101,12,0),"")</f>
        <v/>
      </c>
      <c r="AT183" s="185" t="str">
        <f>_xlfn.IFNA(VLOOKUP($AH183,Programma!$F$3:$R$1101,13,0),"")</f>
        <v/>
      </c>
      <c r="AU183" s="185" t="str">
        <f>_xlfn.IFNA(VLOOKUP($AH183,Programma!$F$3:$S$1101,14,0),"")</f>
        <v/>
      </c>
      <c r="AV183" s="185" t="str">
        <f>_xlfn.IFNA(VLOOKUP($AH183,Programma!$F$3:$T$1101,15,0),"")</f>
        <v/>
      </c>
      <c r="AW183" s="185" t="str">
        <f>_xlfn.IFNA(VLOOKUP($AH183,Programma!$F$3:$U$1101,16,0),"")</f>
        <v/>
      </c>
      <c r="AX183" s="185" t="str">
        <f>_xlfn.IFNA(VLOOKUP($AH183,Programma!$F$3:$V$1101,17,0),"")</f>
        <v/>
      </c>
      <c r="AY183" s="185" t="str">
        <f>_xlfn.IFNA(VLOOKUP($AH183,Programma!$F$3:$W$1101,18,0),"")</f>
        <v/>
      </c>
      <c r="AZ183" s="185" t="str">
        <f>_xlfn.IFNA(VLOOKUP($AH183,Programma!$F$3:$X$1101,19,0),"")</f>
        <v/>
      </c>
      <c r="BA183" s="185" t="str">
        <f>_xlfn.IFNA(VLOOKUP($AH183,Programma!$F$3:$Y$1101,20,0),"")</f>
        <v/>
      </c>
      <c r="BB183" s="182"/>
      <c r="BC183" s="181" t="str">
        <f>IF(Ruimtestaat[[#This Row],[Frequentie weekend]]="","",_xlfn.CONCAT(Ruimtestaat[[#This Row],[Ruimte code]],"-",Ruimtestaat[[#This Row],[Frequentie weekend]]," ",Ruimtestaat[[#This Row],[Vloer code]]))</f>
        <v/>
      </c>
      <c r="BD183" s="185" t="str">
        <f>_xlfn.IFNA(VLOOKUP($BC183,Programma!$F$3:$G$1101,2,0),"")</f>
        <v/>
      </c>
      <c r="BE183" s="185" t="str">
        <f>_xlfn.IFNA(VLOOKUP($BC183,Programma!$F$3:$H$1101,3,0),"")</f>
        <v/>
      </c>
      <c r="BF183" s="185" t="str">
        <f>_xlfn.IFNA(VLOOKUP($BC183,Programma!$F$3:$I$1101,4,0),"")</f>
        <v/>
      </c>
      <c r="BG183" s="185" t="str">
        <f>_xlfn.IFNA(VLOOKUP($BC183,Programma!$F$3:$J$1101,5,0),"")</f>
        <v/>
      </c>
      <c r="BH183" s="185" t="str">
        <f>_xlfn.IFNA(VLOOKUP($BC183,Programma!$F$3:$K$1101,6,0),"")</f>
        <v/>
      </c>
      <c r="BI183" s="185" t="str">
        <f>_xlfn.IFNA(VLOOKUP($BC183,Programma!$F$3:$L$1101,7,0),"")</f>
        <v/>
      </c>
      <c r="BJ183" s="185" t="str">
        <f>_xlfn.IFNA(VLOOKUP($BC183,Programma!$F$3:$M$1101,8,0),"")</f>
        <v/>
      </c>
      <c r="BK183" s="185" t="str">
        <f>_xlfn.IFNA(VLOOKUP($BC183,Programma!$F$3:$N$1101,9,0),"")</f>
        <v/>
      </c>
      <c r="BL183" s="185" t="str">
        <f>_xlfn.IFNA(VLOOKUP($BC183,Programma!$F$3:$O$1101,10,0),"")</f>
        <v/>
      </c>
      <c r="BM183" s="185" t="str">
        <f>_xlfn.IFNA(VLOOKUP($BC183,Programma!$F$3:$P$1101,11,0),"")</f>
        <v/>
      </c>
      <c r="BN183" s="185" t="str">
        <f>_xlfn.IFNA(VLOOKUP($BC183,Programma!$F$3:$Q$1101,12,0),"")</f>
        <v/>
      </c>
      <c r="BO183" s="185" t="str">
        <f>_xlfn.IFNA(VLOOKUP($BC183,Programma!$F$3:$R$1101,13,0),"")</f>
        <v/>
      </c>
      <c r="BP183" s="185" t="str">
        <f>_xlfn.IFNA(VLOOKUP($BC183,Programma!$F$3:$S$1101,14,0),"")</f>
        <v/>
      </c>
      <c r="BQ183" s="185" t="str">
        <f>_xlfn.IFNA(VLOOKUP($BC183,Programma!$F$3:$T$1101,15,0),"")</f>
        <v/>
      </c>
      <c r="BR183" s="185" t="str">
        <f>_xlfn.IFNA(VLOOKUP($BC183,Programma!$F$3:$U$1101,16,0),"")</f>
        <v/>
      </c>
      <c r="BS183" s="185" t="str">
        <f>_xlfn.IFNA(VLOOKUP($BC183,Programma!$F$3:$V$1101,17,0),"")</f>
        <v/>
      </c>
      <c r="BT183" s="185" t="str">
        <f>_xlfn.IFNA(VLOOKUP($BC183,Programma!$F$3:$W$1101,18,0),"")</f>
        <v/>
      </c>
      <c r="BU183" s="185" t="str">
        <f>_xlfn.IFNA(VLOOKUP($BC183,Programma!$F$3:$X$1101,19,0),"")</f>
        <v/>
      </c>
      <c r="BV183" s="185" t="str">
        <f>_xlfn.IFNA(VLOOKUP($BC183,Programma!$F$3:$Y$1101,20,0),"")</f>
        <v/>
      </c>
      <c r="BW183" s="78"/>
      <c r="BX183" s="78"/>
      <c r="BY183" s="78"/>
      <c r="BZ183" s="78"/>
      <c r="CA183" s="78"/>
      <c r="CB183" s="78"/>
      <c r="CC183" s="78"/>
      <c r="CD183" s="78"/>
      <c r="CE183" s="78"/>
      <c r="CF183" s="78"/>
      <c r="CG183" s="78"/>
      <c r="CH183" s="78"/>
      <c r="CI183" s="78"/>
      <c r="CJ183" s="78"/>
      <c r="CK183" s="78"/>
      <c r="CL183" s="78"/>
      <c r="CM183" s="78"/>
      <c r="CN183" s="78"/>
      <c r="CO183" s="78"/>
      <c r="CP183" s="78"/>
      <c r="CQ183" s="78"/>
      <c r="CR183" s="78"/>
      <c r="CS183" s="78"/>
      <c r="CT183" s="78"/>
      <c r="CU183" s="78"/>
      <c r="CV183" s="78"/>
      <c r="CW183" s="78"/>
      <c r="CX183" s="78"/>
      <c r="CY183" s="78"/>
      <c r="CZ183" s="78"/>
      <c r="DA183" s="78"/>
      <c r="DB183" s="78"/>
      <c r="DC183" s="78"/>
      <c r="DD183" s="78"/>
      <c r="DE183" s="78"/>
      <c r="DF183" s="78"/>
      <c r="DG183" s="78"/>
      <c r="DH183" s="78"/>
      <c r="DI183" s="78"/>
      <c r="DJ183" s="78"/>
      <c r="DK183" s="78"/>
      <c r="DL183" s="78"/>
      <c r="DM183" s="78"/>
      <c r="DN183" s="78"/>
      <c r="DO183" s="78"/>
      <c r="DP183" s="78"/>
      <c r="DQ183" s="78"/>
      <c r="DR183" s="78"/>
      <c r="DS183" s="78"/>
      <c r="DT183" s="78"/>
      <c r="DU183" s="78"/>
      <c r="DV183" s="78"/>
      <c r="DW183" s="78"/>
      <c r="DX183" s="78"/>
      <c r="DY183" s="78"/>
      <c r="DZ183" s="78"/>
      <c r="EA183" s="78"/>
      <c r="EB183" s="78"/>
      <c r="EC183" s="78"/>
      <c r="ED183" s="78"/>
      <c r="EE183" s="78"/>
      <c r="EF183" s="78"/>
      <c r="EG183" s="78"/>
      <c r="EH183" s="78"/>
      <c r="EI183" s="78"/>
      <c r="EJ183" s="78"/>
      <c r="EK183" s="78"/>
      <c r="EL183" s="78"/>
      <c r="EM183" s="78"/>
      <c r="EN183" s="78"/>
      <c r="EO183" s="78"/>
      <c r="EP183" s="78"/>
      <c r="EQ183" s="78"/>
      <c r="ER183" s="78"/>
      <c r="ES183" s="78"/>
      <c r="ET183" s="78"/>
      <c r="EU183" s="78"/>
      <c r="EV183" s="78"/>
      <c r="EW183" s="78"/>
      <c r="EX183" s="78"/>
      <c r="EY183" s="78"/>
      <c r="EZ183" s="78"/>
      <c r="FA183" s="78"/>
      <c r="FB183" s="78"/>
      <c r="FC183" s="78"/>
      <c r="FD183" s="78"/>
      <c r="FE183" s="78"/>
      <c r="FF183" s="78"/>
      <c r="FG183" s="78"/>
      <c r="FH183" s="78"/>
      <c r="FI183" s="78"/>
      <c r="FJ183" s="78"/>
      <c r="FK183" s="78"/>
      <c r="FL183" s="78"/>
      <c r="FM183" s="78"/>
      <c r="FN183" s="78"/>
      <c r="FO183" s="78"/>
      <c r="FP183" s="78"/>
      <c r="FQ183" s="78"/>
      <c r="FR183" s="78"/>
      <c r="FS183" s="78"/>
      <c r="FT183" s="78"/>
      <c r="FU183" s="78"/>
      <c r="FV183" s="78"/>
      <c r="FW183" s="78"/>
      <c r="FX183" s="78"/>
      <c r="FY183" s="78"/>
      <c r="FZ183" s="78"/>
      <c r="GA183" s="78"/>
      <c r="GB183" s="78"/>
      <c r="GC183" s="78"/>
      <c r="GD183" s="78"/>
      <c r="GE183" s="78"/>
      <c r="GF183" s="78"/>
      <c r="GG183" s="78"/>
      <c r="GH183" s="78"/>
      <c r="GI183" s="78"/>
      <c r="GJ183" s="78"/>
      <c r="GK183" s="78"/>
      <c r="GL183" s="78"/>
      <c r="GM183" s="78"/>
      <c r="GN183" s="78"/>
      <c r="GO183" s="78"/>
      <c r="GP183" s="78"/>
      <c r="GQ183" s="78"/>
      <c r="GR183" s="78"/>
      <c r="GS183" s="78"/>
      <c r="GT183" s="78"/>
      <c r="GU183" s="78"/>
      <c r="GV183" s="78"/>
      <c r="GW183" s="78"/>
      <c r="GX183" s="78"/>
      <c r="GY183" s="78"/>
      <c r="GZ183" s="78"/>
      <c r="HA183" s="78"/>
      <c r="HB183" s="78"/>
      <c r="HC183" s="78"/>
      <c r="HD183" s="78"/>
      <c r="HE183" s="78"/>
      <c r="HF183" s="78"/>
      <c r="HG183" s="78"/>
      <c r="HH183" s="78"/>
      <c r="HI183" s="78"/>
      <c r="HJ183" s="78"/>
      <c r="HK183" s="78"/>
    </row>
    <row r="184" spans="1:219" ht="15" customHeight="1">
      <c r="A184" s="149">
        <v>6</v>
      </c>
      <c r="B184" s="176" t="str">
        <f>VLOOKUP(Ruimtestaat[[#This Row],[Code]],Locaties[[Code]:[Locatie]],2,FALSE)</f>
        <v>OBS La Res Noord</v>
      </c>
      <c r="C184" s="176" t="str">
        <f>VLOOKUP(Ruimtestaat[[#This Row],[Code]],Locaties[[#All],[Code]:[Adres]],4,FALSE)</f>
        <v>Schietbaanweg 30</v>
      </c>
      <c r="D184" s="176" t="str">
        <f>VLOOKUP(Ruimtestaat[[#This Row],[Code]],Locaties[[#All],[Code]:[Postcode]],5,FALSE)</f>
        <v>7521 DB</v>
      </c>
      <c r="E184" s="176" t="str">
        <f>VLOOKUP(Ruimtestaat[[#This Row],[Code]],Locaties[#All],6,FALSE)</f>
        <v>Enschede</v>
      </c>
      <c r="F184" s="149"/>
      <c r="G184" s="149"/>
      <c r="H184" s="99" t="s">
        <v>1737</v>
      </c>
      <c r="I184" s="183" t="s">
        <v>1683</v>
      </c>
      <c r="J184" s="99">
        <v>20</v>
      </c>
      <c r="K184" s="183" t="str">
        <f>VLOOKUP(Ruimtestaat[[#This Row],[Ruimte code]],Ruimtegroepen[[#All],[Code]:[Ruimte omschrijving]],2,FALSE)</f>
        <v>Niet in Onderhoud</v>
      </c>
      <c r="L184" s="149" t="s">
        <v>100</v>
      </c>
      <c r="M184" s="301" t="s">
        <v>1697</v>
      </c>
      <c r="N184" s="177"/>
      <c r="O184" s="177">
        <v>18</v>
      </c>
      <c r="P184" s="178">
        <f>VLOOKUP(Ruimtestaat[[#This Row],[Ruimte code]],Ruimtegroepen[],4,FALSE)</f>
        <v>0</v>
      </c>
      <c r="Q184" s="149"/>
      <c r="R184" s="149"/>
      <c r="S184" s="149">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4" s="149">
        <f>IF(S184&gt;0,VLOOKUP($J184,Ruimtegroepen[],3,FALSE)*VLOOKUP($L184,Vloersoorten[],3,FALSE)*VLOOKUP($R184,Frequenties[],3,FALSE)*VLOOKUP($A184,Locaties[],3,FALSE),0)</f>
        <v>0</v>
      </c>
      <c r="U184" s="149">
        <f>Ruimtestaat[[#This Row],[Uitvoeringen werkdagen]]*Ruimtestaat[[#This Row],[Oppervlak (netto)]]</f>
        <v>0</v>
      </c>
      <c r="V184" s="179">
        <f>IF(T184&gt;0,Ruimtestaat[[#This Row],[Prest. (m2 /jaar) werkdagen]]/Ruimtestaat[[#This Row],[Norm (m2/uur) werkdagen]],0)</f>
        <v>0</v>
      </c>
      <c r="W184" s="180">
        <f>Ruimtestaat[[#This Row],[uren / jaar werkdagen]]*Tariefsopbouw!$E$35</f>
        <v>0</v>
      </c>
      <c r="X184" s="149"/>
      <c r="Y184" s="149">
        <f>IF(Ruimtestaat[[#This Row],[Frequentie weekend]]&gt;0,VALUE(LEFT(X184,1))*Q184,0)</f>
        <v>0</v>
      </c>
      <c r="Z184" s="148">
        <f>IF($Y184&gt;0,VLOOKUP($J184,Ruimtegroepen[],3,FALSE)*VLOOKUP($L184,Vloersoorten[],3,FALSE)*VLOOKUP($X184,Frequenties[],3,FALSE)*VLOOKUP(#REF!,Locaties[],3,FALSE),0)</f>
        <v>0</v>
      </c>
      <c r="AA184" s="148">
        <f>Ruimtestaat[[#This Row],[Uitvoeringen weekend]]*Ruimtestaat[[#This Row],[Oppervlak (netto)]]</f>
        <v>0</v>
      </c>
      <c r="AB184" s="148">
        <f>IF(Z184&gt;0,Ruimtestaat[[#This Row],[Prest. (m2 /jaar) weekend]]/Ruimtestaat[[#This Row],[Norm (m2/uur) weekend]],0)</f>
        <v>0</v>
      </c>
      <c r="AC184" s="180">
        <f>Ruimtestaat[[#This Row],[uren / jaar weekend]]*Tariefsopbouw!$D$40</f>
        <v>0</v>
      </c>
      <c r="AD184" s="179">
        <f>Ruimtestaat[[#This Row],[Prest. (m2 /jaar) weekend]]+Ruimtestaat[[#This Row],[Prest. (m2 /jaar) werkdagen]]</f>
        <v>0</v>
      </c>
      <c r="AE184" s="179">
        <f>Ruimtestaat[[#This Row],[uren / jaar weekend]]+Ruimtestaat[[#This Row],[uren / jaar werkdagen]]</f>
        <v>0</v>
      </c>
      <c r="AF184" s="174">
        <f>Ruimtestaat[[#This Row],[kosten / jaar weekend]]+Ruimtestaat[[#This Row],[kosten / jaar werkdagen]]</f>
        <v>0</v>
      </c>
      <c r="AG184" s="174"/>
      <c r="AH184" s="181" t="str">
        <f>IF(Ruimtestaat[[#This Row],[Frequentie werkdagen]]="","",_xlfn.CONCAT(Ruimtestaat[[#This Row],[Ruimte code]],"-",Ruimtestaat[[#This Row],[Frequentie werkdagen]]," ",Ruimtestaat[[#This Row],[Vloer code]]))</f>
        <v/>
      </c>
      <c r="AI184" s="185" t="str">
        <f>_xlfn.IFNA(VLOOKUP($AH184,Programma!$F$3:$G$1101,2,0),"")</f>
        <v/>
      </c>
      <c r="AJ184" s="185" t="str">
        <f>_xlfn.IFNA(VLOOKUP($AH184,Programma!$F$3:$H$1101,3,0),"")</f>
        <v/>
      </c>
      <c r="AK184" s="185" t="str">
        <f>_xlfn.IFNA(VLOOKUP($AH184,Programma!$F$3:$I$1101,4,0),"")</f>
        <v/>
      </c>
      <c r="AL184" s="185" t="str">
        <f>_xlfn.IFNA(VLOOKUP($AH184,Programma!$F$3:$J$1101,5,0),"")</f>
        <v/>
      </c>
      <c r="AM184" s="185" t="str">
        <f>_xlfn.IFNA(VLOOKUP($AH184,Programma!$F$3:$K$1101,6,0),"")</f>
        <v/>
      </c>
      <c r="AN184" s="185" t="str">
        <f>_xlfn.IFNA(VLOOKUP($AH184,Programma!$F$3:$L$1101,7,0),"")</f>
        <v/>
      </c>
      <c r="AO184" s="185" t="str">
        <f>_xlfn.IFNA(VLOOKUP($AH184,Programma!$F$3:$M$1101,8,0),"")</f>
        <v/>
      </c>
      <c r="AP184" s="185" t="str">
        <f>_xlfn.IFNA(VLOOKUP($AH184,Programma!$F$3:$N$1101,9,0),"")</f>
        <v/>
      </c>
      <c r="AQ184" s="185" t="str">
        <f>_xlfn.IFNA(VLOOKUP($AH184,Programma!$F$3:$O$1101,10,0),"")</f>
        <v/>
      </c>
      <c r="AR184" s="185" t="str">
        <f>_xlfn.IFNA(VLOOKUP($AH184,Programma!$F$3:$P$1101,11,0),"")</f>
        <v/>
      </c>
      <c r="AS184" s="185" t="str">
        <f>_xlfn.IFNA(VLOOKUP($AH184,Programma!$F$3:$Q$1101,12,0),"")</f>
        <v/>
      </c>
      <c r="AT184" s="185" t="str">
        <f>_xlfn.IFNA(VLOOKUP($AH184,Programma!$F$3:$R$1101,13,0),"")</f>
        <v/>
      </c>
      <c r="AU184" s="185" t="str">
        <f>_xlfn.IFNA(VLOOKUP($AH184,Programma!$F$3:$S$1101,14,0),"")</f>
        <v/>
      </c>
      <c r="AV184" s="185" t="str">
        <f>_xlfn.IFNA(VLOOKUP($AH184,Programma!$F$3:$T$1101,15,0),"")</f>
        <v/>
      </c>
      <c r="AW184" s="185" t="str">
        <f>_xlfn.IFNA(VLOOKUP($AH184,Programma!$F$3:$U$1101,16,0),"")</f>
        <v/>
      </c>
      <c r="AX184" s="185" t="str">
        <f>_xlfn.IFNA(VLOOKUP($AH184,Programma!$F$3:$V$1101,17,0),"")</f>
        <v/>
      </c>
      <c r="AY184" s="185" t="str">
        <f>_xlfn.IFNA(VLOOKUP($AH184,Programma!$F$3:$W$1101,18,0),"")</f>
        <v/>
      </c>
      <c r="AZ184" s="185" t="str">
        <f>_xlfn.IFNA(VLOOKUP($AH184,Programma!$F$3:$X$1101,19,0),"")</f>
        <v/>
      </c>
      <c r="BA184" s="185" t="str">
        <f>_xlfn.IFNA(VLOOKUP($AH184,Programma!$F$3:$Y$1101,20,0),"")</f>
        <v/>
      </c>
      <c r="BB184" s="182"/>
      <c r="BC184" s="181" t="str">
        <f>IF(Ruimtestaat[[#This Row],[Frequentie weekend]]="","",_xlfn.CONCAT(Ruimtestaat[[#This Row],[Ruimte code]],"-",Ruimtestaat[[#This Row],[Frequentie weekend]]," ",Ruimtestaat[[#This Row],[Vloer code]]))</f>
        <v/>
      </c>
      <c r="BD184" s="185" t="str">
        <f>_xlfn.IFNA(VLOOKUP($BC184,Programma!$F$3:$G$1101,2,0),"")</f>
        <v/>
      </c>
      <c r="BE184" s="185" t="str">
        <f>_xlfn.IFNA(VLOOKUP($BC184,Programma!$F$3:$H$1101,3,0),"")</f>
        <v/>
      </c>
      <c r="BF184" s="185" t="str">
        <f>_xlfn.IFNA(VLOOKUP($BC184,Programma!$F$3:$I$1101,4,0),"")</f>
        <v/>
      </c>
      <c r="BG184" s="185" t="str">
        <f>_xlfn.IFNA(VLOOKUP($BC184,Programma!$F$3:$J$1101,5,0),"")</f>
        <v/>
      </c>
      <c r="BH184" s="185" t="str">
        <f>_xlfn.IFNA(VLOOKUP($BC184,Programma!$F$3:$K$1101,6,0),"")</f>
        <v/>
      </c>
      <c r="BI184" s="185" t="str">
        <f>_xlfn.IFNA(VLOOKUP($BC184,Programma!$F$3:$L$1101,7,0),"")</f>
        <v/>
      </c>
      <c r="BJ184" s="185" t="str">
        <f>_xlfn.IFNA(VLOOKUP($BC184,Programma!$F$3:$M$1101,8,0),"")</f>
        <v/>
      </c>
      <c r="BK184" s="185" t="str">
        <f>_xlfn.IFNA(VLOOKUP($BC184,Programma!$F$3:$N$1101,9,0),"")</f>
        <v/>
      </c>
      <c r="BL184" s="185" t="str">
        <f>_xlfn.IFNA(VLOOKUP($BC184,Programma!$F$3:$O$1101,10,0),"")</f>
        <v/>
      </c>
      <c r="BM184" s="185" t="str">
        <f>_xlfn.IFNA(VLOOKUP($BC184,Programma!$F$3:$P$1101,11,0),"")</f>
        <v/>
      </c>
      <c r="BN184" s="185" t="str">
        <f>_xlfn.IFNA(VLOOKUP($BC184,Programma!$F$3:$Q$1101,12,0),"")</f>
        <v/>
      </c>
      <c r="BO184" s="185" t="str">
        <f>_xlfn.IFNA(VLOOKUP($BC184,Programma!$F$3:$R$1101,13,0),"")</f>
        <v/>
      </c>
      <c r="BP184" s="185" t="str">
        <f>_xlfn.IFNA(VLOOKUP($BC184,Programma!$F$3:$S$1101,14,0),"")</f>
        <v/>
      </c>
      <c r="BQ184" s="185" t="str">
        <f>_xlfn.IFNA(VLOOKUP($BC184,Programma!$F$3:$T$1101,15,0),"")</f>
        <v/>
      </c>
      <c r="BR184" s="185" t="str">
        <f>_xlfn.IFNA(VLOOKUP($BC184,Programma!$F$3:$U$1101,16,0),"")</f>
        <v/>
      </c>
      <c r="BS184" s="185" t="str">
        <f>_xlfn.IFNA(VLOOKUP($BC184,Programma!$F$3:$V$1101,17,0),"")</f>
        <v/>
      </c>
      <c r="BT184" s="185" t="str">
        <f>_xlfn.IFNA(VLOOKUP($BC184,Programma!$F$3:$W$1101,18,0),"")</f>
        <v/>
      </c>
      <c r="BU184" s="185" t="str">
        <f>_xlfn.IFNA(VLOOKUP($BC184,Programma!$F$3:$X$1101,19,0),"")</f>
        <v/>
      </c>
      <c r="BV184" s="185" t="str">
        <f>_xlfn.IFNA(VLOOKUP($BC184,Programma!$F$3:$Y$1101,20,0),"")</f>
        <v/>
      </c>
      <c r="BW184" s="78"/>
      <c r="BX184" s="78"/>
      <c r="BY184" s="78"/>
      <c r="BZ184" s="78"/>
      <c r="CA184" s="78"/>
      <c r="CB184" s="78"/>
      <c r="CC184" s="78"/>
      <c r="CD184" s="78"/>
      <c r="CE184" s="78"/>
      <c r="CF184" s="78"/>
      <c r="CG184" s="78"/>
      <c r="CH184" s="78"/>
      <c r="CI184" s="78"/>
      <c r="CJ184" s="78"/>
      <c r="CK184" s="78"/>
      <c r="CL184" s="78"/>
      <c r="CM184" s="78"/>
      <c r="CN184" s="78"/>
      <c r="CO184" s="78"/>
      <c r="CP184" s="78"/>
      <c r="CQ184" s="78"/>
      <c r="CR184" s="78"/>
      <c r="CS184" s="78"/>
      <c r="CT184" s="78"/>
      <c r="CU184" s="78"/>
      <c r="CV184" s="78"/>
      <c r="CW184" s="78"/>
      <c r="CX184" s="78"/>
      <c r="CY184" s="78"/>
      <c r="CZ184" s="78"/>
      <c r="DA184" s="78"/>
      <c r="DB184" s="78"/>
      <c r="DC184" s="78"/>
      <c r="DD184" s="78"/>
      <c r="DE184" s="78"/>
      <c r="DF184" s="78"/>
      <c r="DG184" s="78"/>
      <c r="DH184" s="78"/>
      <c r="DI184" s="78"/>
      <c r="DJ184" s="78"/>
      <c r="DK184" s="78"/>
      <c r="DL184" s="78"/>
      <c r="DM184" s="78"/>
      <c r="DN184" s="78"/>
      <c r="DO184" s="78"/>
      <c r="DP184" s="78"/>
      <c r="DQ184" s="78"/>
      <c r="DR184" s="78"/>
      <c r="DS184" s="78"/>
      <c r="DT184" s="78"/>
      <c r="DU184" s="78"/>
      <c r="DV184" s="78"/>
      <c r="DW184" s="78"/>
      <c r="DX184" s="78"/>
      <c r="DY184" s="78"/>
      <c r="DZ184" s="78"/>
      <c r="EA184" s="78"/>
      <c r="EB184" s="78"/>
      <c r="EC184" s="78"/>
      <c r="ED184" s="78"/>
      <c r="EE184" s="78"/>
      <c r="EF184" s="78"/>
      <c r="EG184" s="78"/>
      <c r="EH184" s="78"/>
      <c r="EI184" s="78"/>
      <c r="EJ184" s="78"/>
      <c r="EK184" s="78"/>
      <c r="EL184" s="78"/>
      <c r="EM184" s="78"/>
      <c r="EN184" s="78"/>
      <c r="EO184" s="78"/>
      <c r="EP184" s="78"/>
      <c r="EQ184" s="78"/>
      <c r="ER184" s="78"/>
      <c r="ES184" s="78"/>
      <c r="ET184" s="78"/>
      <c r="EU184" s="78"/>
      <c r="EV184" s="78"/>
      <c r="EW184" s="78"/>
      <c r="EX184" s="78"/>
      <c r="EY184" s="78"/>
      <c r="EZ184" s="78"/>
      <c r="FA184" s="78"/>
      <c r="FB184" s="78"/>
      <c r="FC184" s="78"/>
      <c r="FD184" s="78"/>
      <c r="FE184" s="78"/>
      <c r="FF184" s="78"/>
      <c r="FG184" s="78"/>
      <c r="FH184" s="78"/>
      <c r="FI184" s="78"/>
      <c r="FJ184" s="78"/>
      <c r="FK184" s="78"/>
      <c r="FL184" s="78"/>
      <c r="FM184" s="78"/>
      <c r="FN184" s="78"/>
      <c r="FO184" s="78"/>
      <c r="FP184" s="78"/>
      <c r="FQ184" s="78"/>
      <c r="FR184" s="78"/>
      <c r="FS184" s="78"/>
      <c r="FT184" s="78"/>
      <c r="FU184" s="78"/>
      <c r="FV184" s="78"/>
      <c r="FW184" s="78"/>
      <c r="FX184" s="78"/>
      <c r="FY184" s="78"/>
      <c r="FZ184" s="78"/>
      <c r="GA184" s="78"/>
      <c r="GB184" s="78"/>
      <c r="GC184" s="78"/>
      <c r="GD184" s="78"/>
      <c r="GE184" s="78"/>
      <c r="GF184" s="78"/>
      <c r="GG184" s="78"/>
      <c r="GH184" s="78"/>
      <c r="GI184" s="78"/>
      <c r="GJ184" s="78"/>
      <c r="GK184" s="78"/>
      <c r="GL184" s="78"/>
      <c r="GM184" s="78"/>
      <c r="GN184" s="78"/>
      <c r="GO184" s="78"/>
      <c r="GP184" s="78"/>
      <c r="GQ184" s="78"/>
      <c r="GR184" s="78"/>
      <c r="GS184" s="78"/>
      <c r="GT184" s="78"/>
      <c r="GU184" s="78"/>
      <c r="GV184" s="78"/>
      <c r="GW184" s="78"/>
      <c r="GX184" s="78"/>
      <c r="GY184" s="78"/>
      <c r="GZ184" s="78"/>
      <c r="HA184" s="78"/>
      <c r="HB184" s="78"/>
      <c r="HC184" s="78"/>
      <c r="HD184" s="78"/>
      <c r="HE184" s="78"/>
      <c r="HF184" s="78"/>
      <c r="HG184" s="78"/>
      <c r="HH184" s="78"/>
      <c r="HI184" s="78"/>
      <c r="HJ184" s="78"/>
      <c r="HK184" s="78"/>
    </row>
    <row r="185" spans="1:219" ht="15" customHeight="1">
      <c r="A185" s="149">
        <v>6</v>
      </c>
      <c r="B185" s="176" t="str">
        <f>VLOOKUP(Ruimtestaat[[#This Row],[Code]],Locaties[[Code]:[Locatie]],2,FALSE)</f>
        <v>OBS La Res Noord</v>
      </c>
      <c r="C185" s="176" t="str">
        <f>VLOOKUP(Ruimtestaat[[#This Row],[Code]],Locaties[[#All],[Code]:[Adres]],4,FALSE)</f>
        <v>Schietbaanweg 30</v>
      </c>
      <c r="D185" s="176" t="str">
        <f>VLOOKUP(Ruimtestaat[[#This Row],[Code]],Locaties[[#All],[Code]:[Postcode]],5,FALSE)</f>
        <v>7521 DB</v>
      </c>
      <c r="E185" s="176" t="str">
        <f>VLOOKUP(Ruimtestaat[[#This Row],[Code]],Locaties[#All],6,FALSE)</f>
        <v>Enschede</v>
      </c>
      <c r="F185" s="149"/>
      <c r="G185" s="149"/>
      <c r="H185" s="99" t="s">
        <v>1739</v>
      </c>
      <c r="I185" s="183" t="s">
        <v>1702</v>
      </c>
      <c r="J185" s="99">
        <v>10</v>
      </c>
      <c r="K185" s="183" t="str">
        <f>VLOOKUP(Ruimtestaat[[#This Row],[Ruimte code]],Ruimtegroepen[[#All],[Code]:[Ruimte omschrijving]],2,FALSE)</f>
        <v>Trappenhuizen/lift</v>
      </c>
      <c r="L185" s="149" t="s">
        <v>101</v>
      </c>
      <c r="M185" s="301" t="s">
        <v>1698</v>
      </c>
      <c r="N185" s="177">
        <v>4.0999999999999996</v>
      </c>
      <c r="O185" s="177"/>
      <c r="P185" s="178" t="str">
        <f>VLOOKUP(Ruimtestaat[[#This Row],[Ruimte code]],Ruimtegroepen[],4,FALSE)</f>
        <v>Ve</v>
      </c>
      <c r="Q185" s="149"/>
      <c r="R185" s="149"/>
      <c r="S185" s="149">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5" s="149">
        <f>IF(S185&gt;0,VLOOKUP($J185,Ruimtegroepen[],3,FALSE)*VLOOKUP($L185,Vloersoorten[],3,FALSE)*VLOOKUP($R185,Frequenties[],3,FALSE)*VLOOKUP($A185,Locaties[],3,FALSE),0)</f>
        <v>0</v>
      </c>
      <c r="U185" s="149">
        <f>Ruimtestaat[[#This Row],[Uitvoeringen werkdagen]]*Ruimtestaat[[#This Row],[Oppervlak (netto)]]</f>
        <v>0</v>
      </c>
      <c r="V185" s="179">
        <f>IF(T185&gt;0,Ruimtestaat[[#This Row],[Prest. (m2 /jaar) werkdagen]]/Ruimtestaat[[#This Row],[Norm (m2/uur) werkdagen]],0)</f>
        <v>0</v>
      </c>
      <c r="W185" s="180">
        <f>Ruimtestaat[[#This Row],[uren / jaar werkdagen]]*Tariefsopbouw!$E$35</f>
        <v>0</v>
      </c>
      <c r="X185" s="149"/>
      <c r="Y185" s="149">
        <f>IF(Ruimtestaat[[#This Row],[Frequentie weekend]]&gt;0,VALUE(LEFT(X185,1))*Q185,0)</f>
        <v>0</v>
      </c>
      <c r="Z185" s="148">
        <f>IF($Y185&gt;0,VLOOKUP($J185,Ruimtegroepen[],3,FALSE)*VLOOKUP($L185,Vloersoorten[],3,FALSE)*VLOOKUP($X185,Frequenties[],3,FALSE)*VLOOKUP(#REF!,Locaties[],3,FALSE),0)</f>
        <v>0</v>
      </c>
      <c r="AA185" s="148">
        <f>Ruimtestaat[[#This Row],[Uitvoeringen weekend]]*Ruimtestaat[[#This Row],[Oppervlak (netto)]]</f>
        <v>0</v>
      </c>
      <c r="AB185" s="148">
        <f>IF(Z185&gt;0,Ruimtestaat[[#This Row],[Prest. (m2 /jaar) weekend]]/Ruimtestaat[[#This Row],[Norm (m2/uur) weekend]],0)</f>
        <v>0</v>
      </c>
      <c r="AC185" s="180">
        <f>Ruimtestaat[[#This Row],[uren / jaar weekend]]*Tariefsopbouw!$D$40</f>
        <v>0</v>
      </c>
      <c r="AD185" s="179">
        <f>Ruimtestaat[[#This Row],[Prest. (m2 /jaar) weekend]]+Ruimtestaat[[#This Row],[Prest. (m2 /jaar) werkdagen]]</f>
        <v>0</v>
      </c>
      <c r="AE185" s="179">
        <f>Ruimtestaat[[#This Row],[uren / jaar weekend]]+Ruimtestaat[[#This Row],[uren / jaar werkdagen]]</f>
        <v>0</v>
      </c>
      <c r="AF185" s="174">
        <f>Ruimtestaat[[#This Row],[kosten / jaar weekend]]+Ruimtestaat[[#This Row],[kosten / jaar werkdagen]]</f>
        <v>0</v>
      </c>
      <c r="AG185" s="174"/>
      <c r="AH185" s="181" t="str">
        <f>IF(Ruimtestaat[[#This Row],[Frequentie werkdagen]]="","",_xlfn.CONCAT(Ruimtestaat[[#This Row],[Ruimte code]],"-",Ruimtestaat[[#This Row],[Frequentie werkdagen]]," ",Ruimtestaat[[#This Row],[Vloer code]]))</f>
        <v/>
      </c>
      <c r="AI185" s="185" t="str">
        <f>_xlfn.IFNA(VLOOKUP($AH185,Programma!$F$3:$G$1101,2,0),"")</f>
        <v/>
      </c>
      <c r="AJ185" s="185" t="str">
        <f>_xlfn.IFNA(VLOOKUP($AH185,Programma!$F$3:$H$1101,3,0),"")</f>
        <v/>
      </c>
      <c r="AK185" s="185" t="str">
        <f>_xlfn.IFNA(VLOOKUP($AH185,Programma!$F$3:$I$1101,4,0),"")</f>
        <v/>
      </c>
      <c r="AL185" s="185" t="str">
        <f>_xlfn.IFNA(VLOOKUP($AH185,Programma!$F$3:$J$1101,5,0),"")</f>
        <v/>
      </c>
      <c r="AM185" s="185" t="str">
        <f>_xlfn.IFNA(VLOOKUP($AH185,Programma!$F$3:$K$1101,6,0),"")</f>
        <v/>
      </c>
      <c r="AN185" s="185" t="str">
        <f>_xlfn.IFNA(VLOOKUP($AH185,Programma!$F$3:$L$1101,7,0),"")</f>
        <v/>
      </c>
      <c r="AO185" s="185" t="str">
        <f>_xlfn.IFNA(VLOOKUP($AH185,Programma!$F$3:$M$1101,8,0),"")</f>
        <v/>
      </c>
      <c r="AP185" s="185" t="str">
        <f>_xlfn.IFNA(VLOOKUP($AH185,Programma!$F$3:$N$1101,9,0),"")</f>
        <v/>
      </c>
      <c r="AQ185" s="185" t="str">
        <f>_xlfn.IFNA(VLOOKUP($AH185,Programma!$F$3:$O$1101,10,0),"")</f>
        <v/>
      </c>
      <c r="AR185" s="185" t="str">
        <f>_xlfn.IFNA(VLOOKUP($AH185,Programma!$F$3:$P$1101,11,0),"")</f>
        <v/>
      </c>
      <c r="AS185" s="185" t="str">
        <f>_xlfn.IFNA(VLOOKUP($AH185,Programma!$F$3:$Q$1101,12,0),"")</f>
        <v/>
      </c>
      <c r="AT185" s="185" t="str">
        <f>_xlfn.IFNA(VLOOKUP($AH185,Programma!$F$3:$R$1101,13,0),"")</f>
        <v/>
      </c>
      <c r="AU185" s="185" t="str">
        <f>_xlfn.IFNA(VLOOKUP($AH185,Programma!$F$3:$S$1101,14,0),"")</f>
        <v/>
      </c>
      <c r="AV185" s="185" t="str">
        <f>_xlfn.IFNA(VLOOKUP($AH185,Programma!$F$3:$T$1101,15,0),"")</f>
        <v/>
      </c>
      <c r="AW185" s="185" t="str">
        <f>_xlfn.IFNA(VLOOKUP($AH185,Programma!$F$3:$U$1101,16,0),"")</f>
        <v/>
      </c>
      <c r="AX185" s="185" t="str">
        <f>_xlfn.IFNA(VLOOKUP($AH185,Programma!$F$3:$V$1101,17,0),"")</f>
        <v/>
      </c>
      <c r="AY185" s="185" t="str">
        <f>_xlfn.IFNA(VLOOKUP($AH185,Programma!$F$3:$W$1101,18,0),"")</f>
        <v/>
      </c>
      <c r="AZ185" s="185" t="str">
        <f>_xlfn.IFNA(VLOOKUP($AH185,Programma!$F$3:$X$1101,19,0),"")</f>
        <v/>
      </c>
      <c r="BA185" s="185" t="str">
        <f>_xlfn.IFNA(VLOOKUP($AH185,Programma!$F$3:$Y$1101,20,0),"")</f>
        <v/>
      </c>
      <c r="BB185" s="182"/>
      <c r="BC185" s="181" t="str">
        <f>IF(Ruimtestaat[[#This Row],[Frequentie weekend]]="","",_xlfn.CONCAT(Ruimtestaat[[#This Row],[Ruimte code]],"-",Ruimtestaat[[#This Row],[Frequentie weekend]]," ",Ruimtestaat[[#This Row],[Vloer code]]))</f>
        <v/>
      </c>
      <c r="BD185" s="185" t="str">
        <f>_xlfn.IFNA(VLOOKUP($BC185,Programma!$F$3:$G$1101,2,0),"")</f>
        <v/>
      </c>
      <c r="BE185" s="185" t="str">
        <f>_xlfn.IFNA(VLOOKUP($BC185,Programma!$F$3:$H$1101,3,0),"")</f>
        <v/>
      </c>
      <c r="BF185" s="185" t="str">
        <f>_xlfn.IFNA(VLOOKUP($BC185,Programma!$F$3:$I$1101,4,0),"")</f>
        <v/>
      </c>
      <c r="BG185" s="185" t="str">
        <f>_xlfn.IFNA(VLOOKUP($BC185,Programma!$F$3:$J$1101,5,0),"")</f>
        <v/>
      </c>
      <c r="BH185" s="185" t="str">
        <f>_xlfn.IFNA(VLOOKUP($BC185,Programma!$F$3:$K$1101,6,0),"")</f>
        <v/>
      </c>
      <c r="BI185" s="185" t="str">
        <f>_xlfn.IFNA(VLOOKUP($BC185,Programma!$F$3:$L$1101,7,0),"")</f>
        <v/>
      </c>
      <c r="BJ185" s="185" t="str">
        <f>_xlfn.IFNA(VLOOKUP($BC185,Programma!$F$3:$M$1101,8,0),"")</f>
        <v/>
      </c>
      <c r="BK185" s="185" t="str">
        <f>_xlfn.IFNA(VLOOKUP($BC185,Programma!$F$3:$N$1101,9,0),"")</f>
        <v/>
      </c>
      <c r="BL185" s="185" t="str">
        <f>_xlfn.IFNA(VLOOKUP($BC185,Programma!$F$3:$O$1101,10,0),"")</f>
        <v/>
      </c>
      <c r="BM185" s="185" t="str">
        <f>_xlfn.IFNA(VLOOKUP($BC185,Programma!$F$3:$P$1101,11,0),"")</f>
        <v/>
      </c>
      <c r="BN185" s="185" t="str">
        <f>_xlfn.IFNA(VLOOKUP($BC185,Programma!$F$3:$Q$1101,12,0),"")</f>
        <v/>
      </c>
      <c r="BO185" s="185" t="str">
        <f>_xlfn.IFNA(VLOOKUP($BC185,Programma!$F$3:$R$1101,13,0),"")</f>
        <v/>
      </c>
      <c r="BP185" s="185" t="str">
        <f>_xlfn.IFNA(VLOOKUP($BC185,Programma!$F$3:$S$1101,14,0),"")</f>
        <v/>
      </c>
      <c r="BQ185" s="185" t="str">
        <f>_xlfn.IFNA(VLOOKUP($BC185,Programma!$F$3:$T$1101,15,0),"")</f>
        <v/>
      </c>
      <c r="BR185" s="185" t="str">
        <f>_xlfn.IFNA(VLOOKUP($BC185,Programma!$F$3:$U$1101,16,0),"")</f>
        <v/>
      </c>
      <c r="BS185" s="185" t="str">
        <f>_xlfn.IFNA(VLOOKUP($BC185,Programma!$F$3:$V$1101,17,0),"")</f>
        <v/>
      </c>
      <c r="BT185" s="185" t="str">
        <f>_xlfn.IFNA(VLOOKUP($BC185,Programma!$F$3:$W$1101,18,0),"")</f>
        <v/>
      </c>
      <c r="BU185" s="185" t="str">
        <f>_xlfn.IFNA(VLOOKUP($BC185,Programma!$F$3:$X$1101,19,0),"")</f>
        <v/>
      </c>
      <c r="BV185" s="185" t="str">
        <f>_xlfn.IFNA(VLOOKUP($BC185,Programma!$F$3:$Y$1101,20,0),"")</f>
        <v/>
      </c>
      <c r="BW185" s="78"/>
      <c r="BX185" s="78"/>
      <c r="BY185" s="78"/>
      <c r="BZ185" s="78"/>
      <c r="CA185" s="78"/>
      <c r="CB185" s="78"/>
      <c r="CC185" s="78"/>
      <c r="CD185" s="78"/>
      <c r="CE185" s="78"/>
      <c r="CF185" s="78"/>
      <c r="CG185" s="78"/>
      <c r="CH185" s="78"/>
      <c r="CI185" s="78"/>
      <c r="CJ185" s="78"/>
      <c r="CK185" s="78"/>
      <c r="CL185" s="78"/>
      <c r="CM185" s="78"/>
      <c r="CN185" s="78"/>
      <c r="CO185" s="78"/>
      <c r="CP185" s="78"/>
      <c r="CQ185" s="78"/>
      <c r="CR185" s="78"/>
      <c r="CS185" s="78"/>
      <c r="CT185" s="78"/>
      <c r="CU185" s="78"/>
      <c r="CV185" s="78"/>
      <c r="CW185" s="78"/>
      <c r="CX185" s="78"/>
      <c r="CY185" s="78"/>
      <c r="CZ185" s="78"/>
      <c r="DA185" s="78"/>
      <c r="DB185" s="78"/>
      <c r="DC185" s="78"/>
      <c r="DD185" s="78"/>
      <c r="DE185" s="78"/>
      <c r="DF185" s="78"/>
      <c r="DG185" s="78"/>
      <c r="DH185" s="78"/>
      <c r="DI185" s="78"/>
      <c r="DJ185" s="78"/>
      <c r="DK185" s="78"/>
      <c r="DL185" s="78"/>
      <c r="DM185" s="78"/>
      <c r="DN185" s="78"/>
      <c r="DO185" s="78"/>
      <c r="DP185" s="78"/>
      <c r="DQ185" s="78"/>
      <c r="DR185" s="78"/>
      <c r="DS185" s="78"/>
      <c r="DT185" s="78"/>
      <c r="DU185" s="78"/>
      <c r="DV185" s="78"/>
      <c r="DW185" s="78"/>
      <c r="DX185" s="78"/>
      <c r="DY185" s="78"/>
      <c r="DZ185" s="78"/>
      <c r="EA185" s="78"/>
      <c r="EB185" s="78"/>
      <c r="EC185" s="78"/>
      <c r="ED185" s="78"/>
      <c r="EE185" s="78"/>
      <c r="EF185" s="78"/>
      <c r="EG185" s="78"/>
      <c r="EH185" s="78"/>
      <c r="EI185" s="78"/>
      <c r="EJ185" s="78"/>
      <c r="EK185" s="78"/>
      <c r="EL185" s="78"/>
      <c r="EM185" s="78"/>
      <c r="EN185" s="78"/>
      <c r="EO185" s="78"/>
      <c r="EP185" s="78"/>
      <c r="EQ185" s="78"/>
      <c r="ER185" s="78"/>
      <c r="ES185" s="78"/>
      <c r="ET185" s="78"/>
      <c r="EU185" s="78"/>
      <c r="EV185" s="78"/>
      <c r="EW185" s="78"/>
      <c r="EX185" s="78"/>
      <c r="EY185" s="78"/>
      <c r="EZ185" s="78"/>
      <c r="FA185" s="78"/>
      <c r="FB185" s="78"/>
      <c r="FC185" s="78"/>
      <c r="FD185" s="78"/>
      <c r="FE185" s="78"/>
      <c r="FF185" s="78"/>
      <c r="FG185" s="78"/>
      <c r="FH185" s="78"/>
      <c r="FI185" s="78"/>
      <c r="FJ185" s="78"/>
      <c r="FK185" s="78"/>
      <c r="FL185" s="78"/>
      <c r="FM185" s="78"/>
      <c r="FN185" s="78"/>
      <c r="FO185" s="78"/>
      <c r="FP185" s="78"/>
      <c r="FQ185" s="78"/>
      <c r="FR185" s="78"/>
      <c r="FS185" s="78"/>
      <c r="FT185" s="78"/>
      <c r="FU185" s="78"/>
      <c r="FV185" s="78"/>
      <c r="FW185" s="78"/>
      <c r="FX185" s="78"/>
      <c r="FY185" s="78"/>
      <c r="FZ185" s="78"/>
      <c r="GA185" s="78"/>
      <c r="GB185" s="78"/>
      <c r="GC185" s="78"/>
      <c r="GD185" s="78"/>
      <c r="GE185" s="78"/>
      <c r="GF185" s="78"/>
      <c r="GG185" s="78"/>
      <c r="GH185" s="78"/>
      <c r="GI185" s="78"/>
      <c r="GJ185" s="78"/>
      <c r="GK185" s="78"/>
      <c r="GL185" s="78"/>
      <c r="GM185" s="78"/>
      <c r="GN185" s="78"/>
      <c r="GO185" s="78"/>
      <c r="GP185" s="78"/>
      <c r="GQ185" s="78"/>
      <c r="GR185" s="78"/>
      <c r="GS185" s="78"/>
      <c r="GT185" s="78"/>
      <c r="GU185" s="78"/>
      <c r="GV185" s="78"/>
      <c r="GW185" s="78"/>
      <c r="GX185" s="78"/>
      <c r="GY185" s="78"/>
      <c r="GZ185" s="78"/>
      <c r="HA185" s="78"/>
      <c r="HB185" s="78"/>
      <c r="HC185" s="78"/>
      <c r="HD185" s="78"/>
      <c r="HE185" s="78"/>
      <c r="HF185" s="78"/>
      <c r="HG185" s="78"/>
      <c r="HH185" s="78"/>
      <c r="HI185" s="78"/>
      <c r="HJ185" s="78"/>
      <c r="HK185" s="78"/>
    </row>
    <row r="186" spans="1:219" ht="15" customHeight="1">
      <c r="A186" s="149">
        <v>6</v>
      </c>
      <c r="B186" s="176" t="str">
        <f>VLOOKUP(Ruimtestaat[[#This Row],[Code]],Locaties[[Code]:[Locatie]],2,FALSE)</f>
        <v>OBS La Res Noord</v>
      </c>
      <c r="C186" s="176" t="str">
        <f>VLOOKUP(Ruimtestaat[[#This Row],[Code]],Locaties[[#All],[Code]:[Adres]],4,FALSE)</f>
        <v>Schietbaanweg 30</v>
      </c>
      <c r="D186" s="176" t="str">
        <f>VLOOKUP(Ruimtestaat[[#This Row],[Code]],Locaties[[#All],[Code]:[Postcode]],5,FALSE)</f>
        <v>7521 DB</v>
      </c>
      <c r="E186" s="176" t="str">
        <f>VLOOKUP(Ruimtestaat[[#This Row],[Code]],Locaties[#All],6,FALSE)</f>
        <v>Enschede</v>
      </c>
      <c r="F186" s="149"/>
      <c r="G186" s="149"/>
      <c r="H186" s="99" t="s">
        <v>1740</v>
      </c>
      <c r="I186" s="183" t="s">
        <v>1685</v>
      </c>
      <c r="J186" s="99">
        <v>20</v>
      </c>
      <c r="K186" s="183" t="str">
        <f>VLOOKUP(Ruimtestaat[[#This Row],[Ruimte code]],Ruimtegroepen[[#All],[Code]:[Ruimte omschrijving]],2,FALSE)</f>
        <v>Niet in Onderhoud</v>
      </c>
      <c r="L186" s="149" t="s">
        <v>101</v>
      </c>
      <c r="M186" s="301" t="s">
        <v>119</v>
      </c>
      <c r="N186" s="177"/>
      <c r="O186" s="177">
        <v>4</v>
      </c>
      <c r="P186" s="178">
        <f>VLOOKUP(Ruimtestaat[[#This Row],[Ruimte code]],Ruimtegroepen[],4,FALSE)</f>
        <v>0</v>
      </c>
      <c r="Q186" s="149"/>
      <c r="R186" s="149"/>
      <c r="S186" s="149">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6" s="149">
        <f>IF(S186&gt;0,VLOOKUP($J186,Ruimtegroepen[],3,FALSE)*VLOOKUP($L186,Vloersoorten[],3,FALSE)*VLOOKUP($R186,Frequenties[],3,FALSE)*VLOOKUP($A186,Locaties[],3,FALSE),0)</f>
        <v>0</v>
      </c>
      <c r="U186" s="149">
        <f>Ruimtestaat[[#This Row],[Uitvoeringen werkdagen]]*Ruimtestaat[[#This Row],[Oppervlak (netto)]]</f>
        <v>0</v>
      </c>
      <c r="V186" s="179">
        <f>IF(T186&gt;0,Ruimtestaat[[#This Row],[Prest. (m2 /jaar) werkdagen]]/Ruimtestaat[[#This Row],[Norm (m2/uur) werkdagen]],0)</f>
        <v>0</v>
      </c>
      <c r="W186" s="180">
        <f>Ruimtestaat[[#This Row],[uren / jaar werkdagen]]*Tariefsopbouw!$E$35</f>
        <v>0</v>
      </c>
      <c r="X186" s="149"/>
      <c r="Y186" s="149">
        <f>IF(Ruimtestaat[[#This Row],[Frequentie weekend]]&gt;0,VALUE(LEFT(X186,1))*Q186,0)</f>
        <v>0</v>
      </c>
      <c r="Z186" s="148">
        <f>IF($Y186&gt;0,VLOOKUP($J186,Ruimtegroepen[],3,FALSE)*VLOOKUP($L186,Vloersoorten[],3,FALSE)*VLOOKUP($X186,Frequenties[],3,FALSE)*VLOOKUP(#REF!,Locaties[],3,FALSE),0)</f>
        <v>0</v>
      </c>
      <c r="AA186" s="148">
        <f>Ruimtestaat[[#This Row],[Uitvoeringen weekend]]*Ruimtestaat[[#This Row],[Oppervlak (netto)]]</f>
        <v>0</v>
      </c>
      <c r="AB186" s="148">
        <f>IF(Z186&gt;0,Ruimtestaat[[#This Row],[Prest. (m2 /jaar) weekend]]/Ruimtestaat[[#This Row],[Norm (m2/uur) weekend]],0)</f>
        <v>0</v>
      </c>
      <c r="AC186" s="180">
        <f>Ruimtestaat[[#This Row],[uren / jaar weekend]]*Tariefsopbouw!$D$40</f>
        <v>0</v>
      </c>
      <c r="AD186" s="179">
        <f>Ruimtestaat[[#This Row],[Prest. (m2 /jaar) weekend]]+Ruimtestaat[[#This Row],[Prest. (m2 /jaar) werkdagen]]</f>
        <v>0</v>
      </c>
      <c r="AE186" s="179">
        <f>Ruimtestaat[[#This Row],[uren / jaar weekend]]+Ruimtestaat[[#This Row],[uren / jaar werkdagen]]</f>
        <v>0</v>
      </c>
      <c r="AF186" s="174">
        <f>Ruimtestaat[[#This Row],[kosten / jaar weekend]]+Ruimtestaat[[#This Row],[kosten / jaar werkdagen]]</f>
        <v>0</v>
      </c>
      <c r="AG186" s="174"/>
      <c r="AH186" s="181" t="str">
        <f>IF(Ruimtestaat[[#This Row],[Frequentie werkdagen]]="","",_xlfn.CONCAT(Ruimtestaat[[#This Row],[Ruimte code]],"-",Ruimtestaat[[#This Row],[Frequentie werkdagen]]," ",Ruimtestaat[[#This Row],[Vloer code]]))</f>
        <v/>
      </c>
      <c r="AI186" s="185" t="str">
        <f>_xlfn.IFNA(VLOOKUP($AH186,Programma!$F$3:$G$1101,2,0),"")</f>
        <v/>
      </c>
      <c r="AJ186" s="185" t="str">
        <f>_xlfn.IFNA(VLOOKUP($AH186,Programma!$F$3:$H$1101,3,0),"")</f>
        <v/>
      </c>
      <c r="AK186" s="185" t="str">
        <f>_xlfn.IFNA(VLOOKUP($AH186,Programma!$F$3:$I$1101,4,0),"")</f>
        <v/>
      </c>
      <c r="AL186" s="185" t="str">
        <f>_xlfn.IFNA(VLOOKUP($AH186,Programma!$F$3:$J$1101,5,0),"")</f>
        <v/>
      </c>
      <c r="AM186" s="185" t="str">
        <f>_xlfn.IFNA(VLOOKUP($AH186,Programma!$F$3:$K$1101,6,0),"")</f>
        <v/>
      </c>
      <c r="AN186" s="185" t="str">
        <f>_xlfn.IFNA(VLOOKUP($AH186,Programma!$F$3:$L$1101,7,0),"")</f>
        <v/>
      </c>
      <c r="AO186" s="185" t="str">
        <f>_xlfn.IFNA(VLOOKUP($AH186,Programma!$F$3:$M$1101,8,0),"")</f>
        <v/>
      </c>
      <c r="AP186" s="185" t="str">
        <f>_xlfn.IFNA(VLOOKUP($AH186,Programma!$F$3:$N$1101,9,0),"")</f>
        <v/>
      </c>
      <c r="AQ186" s="185" t="str">
        <f>_xlfn.IFNA(VLOOKUP($AH186,Programma!$F$3:$O$1101,10,0),"")</f>
        <v/>
      </c>
      <c r="AR186" s="185" t="str">
        <f>_xlfn.IFNA(VLOOKUP($AH186,Programma!$F$3:$P$1101,11,0),"")</f>
        <v/>
      </c>
      <c r="AS186" s="185" t="str">
        <f>_xlfn.IFNA(VLOOKUP($AH186,Programma!$F$3:$Q$1101,12,0),"")</f>
        <v/>
      </c>
      <c r="AT186" s="185" t="str">
        <f>_xlfn.IFNA(VLOOKUP($AH186,Programma!$F$3:$R$1101,13,0),"")</f>
        <v/>
      </c>
      <c r="AU186" s="185" t="str">
        <f>_xlfn.IFNA(VLOOKUP($AH186,Programma!$F$3:$S$1101,14,0),"")</f>
        <v/>
      </c>
      <c r="AV186" s="185" t="str">
        <f>_xlfn.IFNA(VLOOKUP($AH186,Programma!$F$3:$T$1101,15,0),"")</f>
        <v/>
      </c>
      <c r="AW186" s="185" t="str">
        <f>_xlfn.IFNA(VLOOKUP($AH186,Programma!$F$3:$U$1101,16,0),"")</f>
        <v/>
      </c>
      <c r="AX186" s="185" t="str">
        <f>_xlfn.IFNA(VLOOKUP($AH186,Programma!$F$3:$V$1101,17,0),"")</f>
        <v/>
      </c>
      <c r="AY186" s="185" t="str">
        <f>_xlfn.IFNA(VLOOKUP($AH186,Programma!$F$3:$W$1101,18,0),"")</f>
        <v/>
      </c>
      <c r="AZ186" s="185" t="str">
        <f>_xlfn.IFNA(VLOOKUP($AH186,Programma!$F$3:$X$1101,19,0),"")</f>
        <v/>
      </c>
      <c r="BA186" s="185" t="str">
        <f>_xlfn.IFNA(VLOOKUP($AH186,Programma!$F$3:$Y$1101,20,0),"")</f>
        <v/>
      </c>
      <c r="BB186" s="182"/>
      <c r="BC186" s="181" t="str">
        <f>IF(Ruimtestaat[[#This Row],[Frequentie weekend]]="","",_xlfn.CONCAT(Ruimtestaat[[#This Row],[Ruimte code]],"-",Ruimtestaat[[#This Row],[Frequentie weekend]]," ",Ruimtestaat[[#This Row],[Vloer code]]))</f>
        <v/>
      </c>
      <c r="BD186" s="185" t="str">
        <f>_xlfn.IFNA(VLOOKUP($BC186,Programma!$F$3:$G$1101,2,0),"")</f>
        <v/>
      </c>
      <c r="BE186" s="185" t="str">
        <f>_xlfn.IFNA(VLOOKUP($BC186,Programma!$F$3:$H$1101,3,0),"")</f>
        <v/>
      </c>
      <c r="BF186" s="185" t="str">
        <f>_xlfn.IFNA(VLOOKUP($BC186,Programma!$F$3:$I$1101,4,0),"")</f>
        <v/>
      </c>
      <c r="BG186" s="185" t="str">
        <f>_xlfn.IFNA(VLOOKUP($BC186,Programma!$F$3:$J$1101,5,0),"")</f>
        <v/>
      </c>
      <c r="BH186" s="185" t="str">
        <f>_xlfn.IFNA(VLOOKUP($BC186,Programma!$F$3:$K$1101,6,0),"")</f>
        <v/>
      </c>
      <c r="BI186" s="185" t="str">
        <f>_xlfn.IFNA(VLOOKUP($BC186,Programma!$F$3:$L$1101,7,0),"")</f>
        <v/>
      </c>
      <c r="BJ186" s="185" t="str">
        <f>_xlfn.IFNA(VLOOKUP($BC186,Programma!$F$3:$M$1101,8,0),"")</f>
        <v/>
      </c>
      <c r="BK186" s="185" t="str">
        <f>_xlfn.IFNA(VLOOKUP($BC186,Programma!$F$3:$N$1101,9,0),"")</f>
        <v/>
      </c>
      <c r="BL186" s="185" t="str">
        <f>_xlfn.IFNA(VLOOKUP($BC186,Programma!$F$3:$O$1101,10,0),"")</f>
        <v/>
      </c>
      <c r="BM186" s="185" t="str">
        <f>_xlfn.IFNA(VLOOKUP($BC186,Programma!$F$3:$P$1101,11,0),"")</f>
        <v/>
      </c>
      <c r="BN186" s="185" t="str">
        <f>_xlfn.IFNA(VLOOKUP($BC186,Programma!$F$3:$Q$1101,12,0),"")</f>
        <v/>
      </c>
      <c r="BO186" s="185" t="str">
        <f>_xlfn.IFNA(VLOOKUP($BC186,Programma!$F$3:$R$1101,13,0),"")</f>
        <v/>
      </c>
      <c r="BP186" s="185" t="str">
        <f>_xlfn.IFNA(VLOOKUP($BC186,Programma!$F$3:$S$1101,14,0),"")</f>
        <v/>
      </c>
      <c r="BQ186" s="185" t="str">
        <f>_xlfn.IFNA(VLOOKUP($BC186,Programma!$F$3:$T$1101,15,0),"")</f>
        <v/>
      </c>
      <c r="BR186" s="185" t="str">
        <f>_xlfn.IFNA(VLOOKUP($BC186,Programma!$F$3:$U$1101,16,0),"")</f>
        <v/>
      </c>
      <c r="BS186" s="185" t="str">
        <f>_xlfn.IFNA(VLOOKUP($BC186,Programma!$F$3:$V$1101,17,0),"")</f>
        <v/>
      </c>
      <c r="BT186" s="185" t="str">
        <f>_xlfn.IFNA(VLOOKUP($BC186,Programma!$F$3:$W$1101,18,0),"")</f>
        <v/>
      </c>
      <c r="BU186" s="185" t="str">
        <f>_xlfn.IFNA(VLOOKUP($BC186,Programma!$F$3:$X$1101,19,0),"")</f>
        <v/>
      </c>
      <c r="BV186" s="185" t="str">
        <f>_xlfn.IFNA(VLOOKUP($BC186,Programma!$F$3:$Y$1101,20,0),"")</f>
        <v/>
      </c>
      <c r="BW186" s="78"/>
      <c r="BX186" s="78"/>
      <c r="BY186" s="78"/>
      <c r="BZ186" s="78"/>
      <c r="CA186" s="78"/>
      <c r="CB186" s="78"/>
      <c r="CC186" s="78"/>
      <c r="CD186" s="78"/>
      <c r="CE186" s="78"/>
      <c r="CF186" s="78"/>
      <c r="CG186" s="78"/>
      <c r="CH186" s="78"/>
      <c r="CI186" s="78"/>
      <c r="CJ186" s="78"/>
      <c r="CK186" s="78"/>
      <c r="CL186" s="78"/>
      <c r="CM186" s="78"/>
      <c r="CN186" s="78"/>
      <c r="CO186" s="78"/>
      <c r="CP186" s="78"/>
      <c r="CQ186" s="78"/>
      <c r="CR186" s="78"/>
      <c r="CS186" s="78"/>
      <c r="CT186" s="78"/>
      <c r="CU186" s="78"/>
      <c r="CV186" s="78"/>
      <c r="CW186" s="78"/>
      <c r="CX186" s="78"/>
      <c r="CY186" s="78"/>
      <c r="CZ186" s="78"/>
      <c r="DA186" s="78"/>
      <c r="DB186" s="78"/>
      <c r="DC186" s="78"/>
      <c r="DD186" s="78"/>
      <c r="DE186" s="78"/>
      <c r="DF186" s="78"/>
      <c r="DG186" s="78"/>
      <c r="DH186" s="78"/>
      <c r="DI186" s="78"/>
      <c r="DJ186" s="78"/>
      <c r="DK186" s="78"/>
      <c r="DL186" s="78"/>
      <c r="DM186" s="78"/>
      <c r="DN186" s="78"/>
      <c r="DO186" s="78"/>
      <c r="DP186" s="78"/>
      <c r="DQ186" s="78"/>
      <c r="DR186" s="78"/>
      <c r="DS186" s="78"/>
      <c r="DT186" s="78"/>
      <c r="DU186" s="78"/>
      <c r="DV186" s="78"/>
      <c r="DW186" s="78"/>
      <c r="DX186" s="78"/>
      <c r="DY186" s="78"/>
      <c r="DZ186" s="78"/>
      <c r="EA186" s="78"/>
      <c r="EB186" s="78"/>
      <c r="EC186" s="78"/>
      <c r="ED186" s="78"/>
      <c r="EE186" s="78"/>
      <c r="EF186" s="78"/>
      <c r="EG186" s="78"/>
      <c r="EH186" s="78"/>
      <c r="EI186" s="78"/>
      <c r="EJ186" s="78"/>
      <c r="EK186" s="78"/>
      <c r="EL186" s="78"/>
      <c r="EM186" s="78"/>
      <c r="EN186" s="78"/>
      <c r="EO186" s="78"/>
      <c r="EP186" s="78"/>
      <c r="EQ186" s="78"/>
      <c r="ER186" s="78"/>
      <c r="ES186" s="78"/>
      <c r="ET186" s="78"/>
      <c r="EU186" s="78"/>
      <c r="EV186" s="78"/>
      <c r="EW186" s="78"/>
      <c r="EX186" s="78"/>
      <c r="EY186" s="78"/>
      <c r="EZ186" s="78"/>
      <c r="FA186" s="78"/>
      <c r="FB186" s="78"/>
      <c r="FC186" s="78"/>
      <c r="FD186" s="78"/>
      <c r="FE186" s="78"/>
      <c r="FF186" s="78"/>
      <c r="FG186" s="78"/>
      <c r="FH186" s="78"/>
      <c r="FI186" s="78"/>
      <c r="FJ186" s="78"/>
      <c r="FK186" s="78"/>
      <c r="FL186" s="78"/>
      <c r="FM186" s="78"/>
      <c r="FN186" s="78"/>
      <c r="FO186" s="78"/>
      <c r="FP186" s="78"/>
      <c r="FQ186" s="78"/>
      <c r="FR186" s="78"/>
      <c r="FS186" s="78"/>
      <c r="FT186" s="78"/>
      <c r="FU186" s="78"/>
      <c r="FV186" s="78"/>
      <c r="FW186" s="78"/>
      <c r="FX186" s="78"/>
      <c r="FY186" s="78"/>
      <c r="FZ186" s="78"/>
      <c r="GA186" s="78"/>
      <c r="GB186" s="78"/>
      <c r="GC186" s="78"/>
      <c r="GD186" s="78"/>
      <c r="GE186" s="78"/>
      <c r="GF186" s="78"/>
      <c r="GG186" s="78"/>
      <c r="GH186" s="78"/>
      <c r="GI186" s="78"/>
      <c r="GJ186" s="78"/>
      <c r="GK186" s="78"/>
      <c r="GL186" s="78"/>
      <c r="GM186" s="78"/>
      <c r="GN186" s="78"/>
      <c r="GO186" s="78"/>
      <c r="GP186" s="78"/>
      <c r="GQ186" s="78"/>
      <c r="GR186" s="78"/>
      <c r="GS186" s="78"/>
      <c r="GT186" s="78"/>
      <c r="GU186" s="78"/>
      <c r="GV186" s="78"/>
      <c r="GW186" s="78"/>
      <c r="GX186" s="78"/>
      <c r="GY186" s="78"/>
      <c r="GZ186" s="78"/>
      <c r="HA186" s="78"/>
      <c r="HB186" s="78"/>
      <c r="HC186" s="78"/>
      <c r="HD186" s="78"/>
      <c r="HE186" s="78"/>
      <c r="HF186" s="78"/>
      <c r="HG186" s="78"/>
      <c r="HH186" s="78"/>
      <c r="HI186" s="78"/>
      <c r="HJ186" s="78"/>
      <c r="HK186" s="78"/>
    </row>
    <row r="187" spans="1:219" ht="15" customHeight="1">
      <c r="A187" s="149">
        <v>6</v>
      </c>
      <c r="B187" s="176" t="str">
        <f>VLOOKUP(Ruimtestaat[[#This Row],[Code]],Locaties[[Code]:[Locatie]],2,FALSE)</f>
        <v>OBS La Res Noord</v>
      </c>
      <c r="C187" s="176" t="str">
        <f>VLOOKUP(Ruimtestaat[[#This Row],[Code]],Locaties[[#All],[Code]:[Adres]],4,FALSE)</f>
        <v>Schietbaanweg 30</v>
      </c>
      <c r="D187" s="176" t="str">
        <f>VLOOKUP(Ruimtestaat[[#This Row],[Code]],Locaties[[#All],[Code]:[Postcode]],5,FALSE)</f>
        <v>7521 DB</v>
      </c>
      <c r="E187" s="176" t="str">
        <f>VLOOKUP(Ruimtestaat[[#This Row],[Code]],Locaties[#All],6,FALSE)</f>
        <v>Enschede</v>
      </c>
      <c r="F187" s="149"/>
      <c r="G187" s="149"/>
      <c r="H187" s="99" t="s">
        <v>1741</v>
      </c>
      <c r="I187" s="183" t="s">
        <v>1728</v>
      </c>
      <c r="J187" s="99">
        <v>12</v>
      </c>
      <c r="K187" s="183" t="str">
        <f>VLOOKUP(Ruimtestaat[[#This Row],[Ruimte code]],Ruimtegroepen[[#All],[Code]:[Ruimte omschrijving]],2,FALSE)</f>
        <v>Kantine/Aula</v>
      </c>
      <c r="L187" s="149" t="s">
        <v>100</v>
      </c>
      <c r="M187" s="301" t="s">
        <v>1697</v>
      </c>
      <c r="N187" s="177">
        <v>158.9</v>
      </c>
      <c r="O187" s="177"/>
      <c r="P187" s="178" t="str">
        <f>VLOOKUP(Ruimtestaat[[#This Row],[Ruimte code]],Ruimtegroepen[],4,FALSE)</f>
        <v>Ve</v>
      </c>
      <c r="Q187" s="149"/>
      <c r="R187" s="149"/>
      <c r="S187" s="149">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7" s="149">
        <f>IF(S187&gt;0,VLOOKUP($J187,Ruimtegroepen[],3,FALSE)*VLOOKUP($L187,Vloersoorten[],3,FALSE)*VLOOKUP($R187,Frequenties[],3,FALSE)*VLOOKUP($A187,Locaties[],3,FALSE),0)</f>
        <v>0</v>
      </c>
      <c r="U187" s="149">
        <f>Ruimtestaat[[#This Row],[Uitvoeringen werkdagen]]*Ruimtestaat[[#This Row],[Oppervlak (netto)]]</f>
        <v>0</v>
      </c>
      <c r="V187" s="179">
        <f>IF(T187&gt;0,Ruimtestaat[[#This Row],[Prest. (m2 /jaar) werkdagen]]/Ruimtestaat[[#This Row],[Norm (m2/uur) werkdagen]],0)</f>
        <v>0</v>
      </c>
      <c r="W187" s="180">
        <f>Ruimtestaat[[#This Row],[uren / jaar werkdagen]]*Tariefsopbouw!$E$35</f>
        <v>0</v>
      </c>
      <c r="X187" s="149"/>
      <c r="Y187" s="149">
        <f>IF(Ruimtestaat[[#This Row],[Frequentie weekend]]&gt;0,VALUE(LEFT(X187,1))*Q187,0)</f>
        <v>0</v>
      </c>
      <c r="Z187" s="148">
        <f>IF($Y187&gt;0,VLOOKUP($J187,Ruimtegroepen[],3,FALSE)*VLOOKUP($L187,Vloersoorten[],3,FALSE)*VLOOKUP($X187,Frequenties[],3,FALSE)*VLOOKUP(#REF!,Locaties[],3,FALSE),0)</f>
        <v>0</v>
      </c>
      <c r="AA187" s="148">
        <f>Ruimtestaat[[#This Row],[Uitvoeringen weekend]]*Ruimtestaat[[#This Row],[Oppervlak (netto)]]</f>
        <v>0</v>
      </c>
      <c r="AB187" s="148">
        <f>IF(Z187&gt;0,Ruimtestaat[[#This Row],[Prest. (m2 /jaar) weekend]]/Ruimtestaat[[#This Row],[Norm (m2/uur) weekend]],0)</f>
        <v>0</v>
      </c>
      <c r="AC187" s="180">
        <f>Ruimtestaat[[#This Row],[uren / jaar weekend]]*Tariefsopbouw!$D$40</f>
        <v>0</v>
      </c>
      <c r="AD187" s="179">
        <f>Ruimtestaat[[#This Row],[Prest. (m2 /jaar) weekend]]+Ruimtestaat[[#This Row],[Prest. (m2 /jaar) werkdagen]]</f>
        <v>0</v>
      </c>
      <c r="AE187" s="179">
        <f>Ruimtestaat[[#This Row],[uren / jaar weekend]]+Ruimtestaat[[#This Row],[uren / jaar werkdagen]]</f>
        <v>0</v>
      </c>
      <c r="AF187" s="174">
        <f>Ruimtestaat[[#This Row],[kosten / jaar weekend]]+Ruimtestaat[[#This Row],[kosten / jaar werkdagen]]</f>
        <v>0</v>
      </c>
      <c r="AG187" s="174"/>
      <c r="AH187" s="181" t="str">
        <f>IF(Ruimtestaat[[#This Row],[Frequentie werkdagen]]="","",_xlfn.CONCAT(Ruimtestaat[[#This Row],[Ruimte code]],"-",Ruimtestaat[[#This Row],[Frequentie werkdagen]]," ",Ruimtestaat[[#This Row],[Vloer code]]))</f>
        <v/>
      </c>
      <c r="AI187" s="185" t="str">
        <f>_xlfn.IFNA(VLOOKUP($AH187,Programma!$F$3:$G$1101,2,0),"")</f>
        <v/>
      </c>
      <c r="AJ187" s="185" t="str">
        <f>_xlfn.IFNA(VLOOKUP($AH187,Programma!$F$3:$H$1101,3,0),"")</f>
        <v/>
      </c>
      <c r="AK187" s="185" t="str">
        <f>_xlfn.IFNA(VLOOKUP($AH187,Programma!$F$3:$I$1101,4,0),"")</f>
        <v/>
      </c>
      <c r="AL187" s="185" t="str">
        <f>_xlfn.IFNA(VLOOKUP($AH187,Programma!$F$3:$J$1101,5,0),"")</f>
        <v/>
      </c>
      <c r="AM187" s="185" t="str">
        <f>_xlfn.IFNA(VLOOKUP($AH187,Programma!$F$3:$K$1101,6,0),"")</f>
        <v/>
      </c>
      <c r="AN187" s="185" t="str">
        <f>_xlfn.IFNA(VLOOKUP($AH187,Programma!$F$3:$L$1101,7,0),"")</f>
        <v/>
      </c>
      <c r="AO187" s="185" t="str">
        <f>_xlfn.IFNA(VLOOKUP($AH187,Programma!$F$3:$M$1101,8,0),"")</f>
        <v/>
      </c>
      <c r="AP187" s="185" t="str">
        <f>_xlfn.IFNA(VLOOKUP($AH187,Programma!$F$3:$N$1101,9,0),"")</f>
        <v/>
      </c>
      <c r="AQ187" s="185" t="str">
        <f>_xlfn.IFNA(VLOOKUP($AH187,Programma!$F$3:$O$1101,10,0),"")</f>
        <v/>
      </c>
      <c r="AR187" s="185" t="str">
        <f>_xlfn.IFNA(VLOOKUP($AH187,Programma!$F$3:$P$1101,11,0),"")</f>
        <v/>
      </c>
      <c r="AS187" s="185" t="str">
        <f>_xlfn.IFNA(VLOOKUP($AH187,Programma!$F$3:$Q$1101,12,0),"")</f>
        <v/>
      </c>
      <c r="AT187" s="185" t="str">
        <f>_xlfn.IFNA(VLOOKUP($AH187,Programma!$F$3:$R$1101,13,0),"")</f>
        <v/>
      </c>
      <c r="AU187" s="185" t="str">
        <f>_xlfn.IFNA(VLOOKUP($AH187,Programma!$F$3:$S$1101,14,0),"")</f>
        <v/>
      </c>
      <c r="AV187" s="185" t="str">
        <f>_xlfn.IFNA(VLOOKUP($AH187,Programma!$F$3:$T$1101,15,0),"")</f>
        <v/>
      </c>
      <c r="AW187" s="185" t="str">
        <f>_xlfn.IFNA(VLOOKUP($AH187,Programma!$F$3:$U$1101,16,0),"")</f>
        <v/>
      </c>
      <c r="AX187" s="185" t="str">
        <f>_xlfn.IFNA(VLOOKUP($AH187,Programma!$F$3:$V$1101,17,0),"")</f>
        <v/>
      </c>
      <c r="AY187" s="185" t="str">
        <f>_xlfn.IFNA(VLOOKUP($AH187,Programma!$F$3:$W$1101,18,0),"")</f>
        <v/>
      </c>
      <c r="AZ187" s="185" t="str">
        <f>_xlfn.IFNA(VLOOKUP($AH187,Programma!$F$3:$X$1101,19,0),"")</f>
        <v/>
      </c>
      <c r="BA187" s="185" t="str">
        <f>_xlfn.IFNA(VLOOKUP($AH187,Programma!$F$3:$Y$1101,20,0),"")</f>
        <v/>
      </c>
      <c r="BB187" s="182"/>
      <c r="BC187" s="181" t="str">
        <f>IF(Ruimtestaat[[#This Row],[Frequentie weekend]]="","",_xlfn.CONCAT(Ruimtestaat[[#This Row],[Ruimte code]],"-",Ruimtestaat[[#This Row],[Frequentie weekend]]," ",Ruimtestaat[[#This Row],[Vloer code]]))</f>
        <v/>
      </c>
      <c r="BD187" s="185" t="str">
        <f>_xlfn.IFNA(VLOOKUP($BC187,Programma!$F$3:$G$1101,2,0),"")</f>
        <v/>
      </c>
      <c r="BE187" s="185" t="str">
        <f>_xlfn.IFNA(VLOOKUP($BC187,Programma!$F$3:$H$1101,3,0),"")</f>
        <v/>
      </c>
      <c r="BF187" s="185" t="str">
        <f>_xlfn.IFNA(VLOOKUP($BC187,Programma!$F$3:$I$1101,4,0),"")</f>
        <v/>
      </c>
      <c r="BG187" s="185" t="str">
        <f>_xlfn.IFNA(VLOOKUP($BC187,Programma!$F$3:$J$1101,5,0),"")</f>
        <v/>
      </c>
      <c r="BH187" s="185" t="str">
        <f>_xlfn.IFNA(VLOOKUP($BC187,Programma!$F$3:$K$1101,6,0),"")</f>
        <v/>
      </c>
      <c r="BI187" s="185" t="str">
        <f>_xlfn.IFNA(VLOOKUP($BC187,Programma!$F$3:$L$1101,7,0),"")</f>
        <v/>
      </c>
      <c r="BJ187" s="185" t="str">
        <f>_xlfn.IFNA(VLOOKUP($BC187,Programma!$F$3:$M$1101,8,0),"")</f>
        <v/>
      </c>
      <c r="BK187" s="185" t="str">
        <f>_xlfn.IFNA(VLOOKUP($BC187,Programma!$F$3:$N$1101,9,0),"")</f>
        <v/>
      </c>
      <c r="BL187" s="185" t="str">
        <f>_xlfn.IFNA(VLOOKUP($BC187,Programma!$F$3:$O$1101,10,0),"")</f>
        <v/>
      </c>
      <c r="BM187" s="185" t="str">
        <f>_xlfn.IFNA(VLOOKUP($BC187,Programma!$F$3:$P$1101,11,0),"")</f>
        <v/>
      </c>
      <c r="BN187" s="185" t="str">
        <f>_xlfn.IFNA(VLOOKUP($BC187,Programma!$F$3:$Q$1101,12,0),"")</f>
        <v/>
      </c>
      <c r="BO187" s="185" t="str">
        <f>_xlfn.IFNA(VLOOKUP($BC187,Programma!$F$3:$R$1101,13,0),"")</f>
        <v/>
      </c>
      <c r="BP187" s="185" t="str">
        <f>_xlfn.IFNA(VLOOKUP($BC187,Programma!$F$3:$S$1101,14,0),"")</f>
        <v/>
      </c>
      <c r="BQ187" s="185" t="str">
        <f>_xlfn.IFNA(VLOOKUP($BC187,Programma!$F$3:$T$1101,15,0),"")</f>
        <v/>
      </c>
      <c r="BR187" s="185" t="str">
        <f>_xlfn.IFNA(VLOOKUP($BC187,Programma!$F$3:$U$1101,16,0),"")</f>
        <v/>
      </c>
      <c r="BS187" s="185" t="str">
        <f>_xlfn.IFNA(VLOOKUP($BC187,Programma!$F$3:$V$1101,17,0),"")</f>
        <v/>
      </c>
      <c r="BT187" s="185" t="str">
        <f>_xlfn.IFNA(VLOOKUP($BC187,Programma!$F$3:$W$1101,18,0),"")</f>
        <v/>
      </c>
      <c r="BU187" s="185" t="str">
        <f>_xlfn.IFNA(VLOOKUP($BC187,Programma!$F$3:$X$1101,19,0),"")</f>
        <v/>
      </c>
      <c r="BV187" s="185" t="str">
        <f>_xlfn.IFNA(VLOOKUP($BC187,Programma!$F$3:$Y$1101,20,0),"")</f>
        <v/>
      </c>
      <c r="BW187" s="78"/>
      <c r="BX187" s="78"/>
      <c r="BY187" s="78"/>
      <c r="BZ187" s="78"/>
      <c r="CA187" s="78"/>
      <c r="CB187" s="78"/>
      <c r="CC187" s="78"/>
      <c r="CD187" s="78"/>
      <c r="CE187" s="78"/>
      <c r="CF187" s="78"/>
      <c r="CG187" s="78"/>
      <c r="CH187" s="78"/>
      <c r="CI187" s="78"/>
      <c r="CJ187" s="78"/>
      <c r="CK187" s="78"/>
      <c r="CL187" s="78"/>
      <c r="CM187" s="78"/>
      <c r="CN187" s="78"/>
      <c r="CO187" s="78"/>
      <c r="CP187" s="78"/>
      <c r="CQ187" s="78"/>
      <c r="CR187" s="78"/>
      <c r="CS187" s="78"/>
      <c r="CT187" s="78"/>
      <c r="CU187" s="78"/>
      <c r="CV187" s="78"/>
      <c r="CW187" s="78"/>
      <c r="CX187" s="78"/>
      <c r="CY187" s="78"/>
      <c r="CZ187" s="78"/>
      <c r="DA187" s="78"/>
      <c r="DB187" s="78"/>
      <c r="DC187" s="78"/>
      <c r="DD187" s="78"/>
      <c r="DE187" s="78"/>
      <c r="DF187" s="78"/>
      <c r="DG187" s="78"/>
      <c r="DH187" s="78"/>
      <c r="DI187" s="78"/>
      <c r="DJ187" s="78"/>
      <c r="DK187" s="78"/>
      <c r="DL187" s="78"/>
      <c r="DM187" s="78"/>
      <c r="DN187" s="78"/>
      <c r="DO187" s="78"/>
      <c r="DP187" s="78"/>
      <c r="DQ187" s="78"/>
      <c r="DR187" s="78"/>
      <c r="DS187" s="78"/>
      <c r="DT187" s="78"/>
      <c r="DU187" s="78"/>
      <c r="DV187" s="78"/>
      <c r="DW187" s="78"/>
      <c r="DX187" s="78"/>
      <c r="DY187" s="78"/>
      <c r="DZ187" s="78"/>
      <c r="EA187" s="78"/>
      <c r="EB187" s="78"/>
      <c r="EC187" s="78"/>
      <c r="ED187" s="78"/>
      <c r="EE187" s="78"/>
      <c r="EF187" s="78"/>
      <c r="EG187" s="78"/>
      <c r="EH187" s="78"/>
      <c r="EI187" s="78"/>
      <c r="EJ187" s="78"/>
      <c r="EK187" s="78"/>
      <c r="EL187" s="78"/>
      <c r="EM187" s="78"/>
      <c r="EN187" s="78"/>
      <c r="EO187" s="78"/>
      <c r="EP187" s="78"/>
      <c r="EQ187" s="78"/>
      <c r="ER187" s="78"/>
      <c r="ES187" s="78"/>
      <c r="ET187" s="78"/>
      <c r="EU187" s="78"/>
      <c r="EV187" s="78"/>
      <c r="EW187" s="78"/>
      <c r="EX187" s="78"/>
      <c r="EY187" s="78"/>
      <c r="EZ187" s="78"/>
      <c r="FA187" s="78"/>
      <c r="FB187" s="78"/>
      <c r="FC187" s="78"/>
      <c r="FD187" s="78"/>
      <c r="FE187" s="78"/>
      <c r="FF187" s="78"/>
      <c r="FG187" s="78"/>
      <c r="FH187" s="78"/>
      <c r="FI187" s="78"/>
      <c r="FJ187" s="78"/>
      <c r="FK187" s="78"/>
      <c r="FL187" s="78"/>
      <c r="FM187" s="78"/>
      <c r="FN187" s="78"/>
      <c r="FO187" s="78"/>
      <c r="FP187" s="78"/>
      <c r="FQ187" s="78"/>
      <c r="FR187" s="78"/>
      <c r="FS187" s="78"/>
      <c r="FT187" s="78"/>
      <c r="FU187" s="78"/>
      <c r="FV187" s="78"/>
      <c r="FW187" s="78"/>
      <c r="FX187" s="78"/>
      <c r="FY187" s="78"/>
      <c r="FZ187" s="78"/>
      <c r="GA187" s="78"/>
      <c r="GB187" s="78"/>
      <c r="GC187" s="78"/>
      <c r="GD187" s="78"/>
      <c r="GE187" s="78"/>
      <c r="GF187" s="78"/>
      <c r="GG187" s="78"/>
      <c r="GH187" s="78"/>
      <c r="GI187" s="78"/>
      <c r="GJ187" s="78"/>
      <c r="GK187" s="78"/>
      <c r="GL187" s="78"/>
      <c r="GM187" s="78"/>
      <c r="GN187" s="78"/>
      <c r="GO187" s="78"/>
      <c r="GP187" s="78"/>
      <c r="GQ187" s="78"/>
      <c r="GR187" s="78"/>
      <c r="GS187" s="78"/>
      <c r="GT187" s="78"/>
      <c r="GU187" s="78"/>
      <c r="GV187" s="78"/>
      <c r="GW187" s="78"/>
      <c r="GX187" s="78"/>
      <c r="GY187" s="78"/>
      <c r="GZ187" s="78"/>
      <c r="HA187" s="78"/>
      <c r="HB187" s="78"/>
      <c r="HC187" s="78"/>
      <c r="HD187" s="78"/>
      <c r="HE187" s="78"/>
      <c r="HF187" s="78"/>
      <c r="HG187" s="78"/>
      <c r="HH187" s="78"/>
      <c r="HI187" s="78"/>
      <c r="HJ187" s="78"/>
      <c r="HK187" s="78"/>
    </row>
    <row r="188" spans="1:219" ht="15" customHeight="1">
      <c r="A188" s="149">
        <v>6</v>
      </c>
      <c r="B188" s="176" t="str">
        <f>VLOOKUP(Ruimtestaat[[#This Row],[Code]],Locaties[[Code]:[Locatie]],2,FALSE)</f>
        <v>OBS La Res Noord</v>
      </c>
      <c r="C188" s="176" t="str">
        <f>VLOOKUP(Ruimtestaat[[#This Row],[Code]],Locaties[[#All],[Code]:[Adres]],4,FALSE)</f>
        <v>Schietbaanweg 30</v>
      </c>
      <c r="D188" s="176" t="str">
        <f>VLOOKUP(Ruimtestaat[[#This Row],[Code]],Locaties[[#All],[Code]:[Postcode]],5,FALSE)</f>
        <v>7521 DB</v>
      </c>
      <c r="E188" s="176" t="str">
        <f>VLOOKUP(Ruimtestaat[[#This Row],[Code]],Locaties[#All],6,FALSE)</f>
        <v>Enschede</v>
      </c>
      <c r="F188" s="149"/>
      <c r="G188" s="149"/>
      <c r="H188" s="99" t="s">
        <v>1744</v>
      </c>
      <c r="I188" s="183" t="s">
        <v>1729</v>
      </c>
      <c r="J188" s="99">
        <v>1</v>
      </c>
      <c r="K188" s="183" t="str">
        <f>VLOOKUP(Ruimtestaat[[#This Row],[Ruimte code]],Ruimtegroepen[[#All],[Code]:[Ruimte omschrijving]],2,FALSE)</f>
        <v>Magazijnen/bergingen</v>
      </c>
      <c r="L188" s="149" t="s">
        <v>100</v>
      </c>
      <c r="M188" s="301" t="s">
        <v>1697</v>
      </c>
      <c r="N188" s="177">
        <v>5.8</v>
      </c>
      <c r="O188" s="177"/>
      <c r="P188" s="178" t="str">
        <f>VLOOKUP(Ruimtestaat[[#This Row],[Ruimte code]],Ruimtegroepen[],4,FALSE)</f>
        <v>Ve</v>
      </c>
      <c r="Q188" s="149"/>
      <c r="R188" s="149"/>
      <c r="S188" s="149">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8" s="149">
        <f>IF(S188&gt;0,VLOOKUP($J188,Ruimtegroepen[],3,FALSE)*VLOOKUP($L188,Vloersoorten[],3,FALSE)*VLOOKUP($R188,Frequenties[],3,FALSE)*VLOOKUP($A188,Locaties[],3,FALSE),0)</f>
        <v>0</v>
      </c>
      <c r="U188" s="149">
        <f>Ruimtestaat[[#This Row],[Uitvoeringen werkdagen]]*Ruimtestaat[[#This Row],[Oppervlak (netto)]]</f>
        <v>0</v>
      </c>
      <c r="V188" s="179">
        <f>IF(T188&gt;0,Ruimtestaat[[#This Row],[Prest. (m2 /jaar) werkdagen]]/Ruimtestaat[[#This Row],[Norm (m2/uur) werkdagen]],0)</f>
        <v>0</v>
      </c>
      <c r="W188" s="180">
        <f>Ruimtestaat[[#This Row],[uren / jaar werkdagen]]*Tariefsopbouw!$E$35</f>
        <v>0</v>
      </c>
      <c r="X188" s="149"/>
      <c r="Y188" s="149">
        <f>IF(Ruimtestaat[[#This Row],[Frequentie weekend]]&gt;0,VALUE(LEFT(X188,1))*Q188,0)</f>
        <v>0</v>
      </c>
      <c r="Z188" s="148">
        <f>IF($Y188&gt;0,VLOOKUP($J188,Ruimtegroepen[],3,FALSE)*VLOOKUP($L188,Vloersoorten[],3,FALSE)*VLOOKUP($X188,Frequenties[],3,FALSE)*VLOOKUP(#REF!,Locaties[],3,FALSE),0)</f>
        <v>0</v>
      </c>
      <c r="AA188" s="148">
        <f>Ruimtestaat[[#This Row],[Uitvoeringen weekend]]*Ruimtestaat[[#This Row],[Oppervlak (netto)]]</f>
        <v>0</v>
      </c>
      <c r="AB188" s="148">
        <f>IF(Z188&gt;0,Ruimtestaat[[#This Row],[Prest. (m2 /jaar) weekend]]/Ruimtestaat[[#This Row],[Norm (m2/uur) weekend]],0)</f>
        <v>0</v>
      </c>
      <c r="AC188" s="180">
        <f>Ruimtestaat[[#This Row],[uren / jaar weekend]]*Tariefsopbouw!$D$40</f>
        <v>0</v>
      </c>
      <c r="AD188" s="179">
        <f>Ruimtestaat[[#This Row],[Prest. (m2 /jaar) weekend]]+Ruimtestaat[[#This Row],[Prest. (m2 /jaar) werkdagen]]</f>
        <v>0</v>
      </c>
      <c r="AE188" s="179">
        <f>Ruimtestaat[[#This Row],[uren / jaar weekend]]+Ruimtestaat[[#This Row],[uren / jaar werkdagen]]</f>
        <v>0</v>
      </c>
      <c r="AF188" s="174">
        <f>Ruimtestaat[[#This Row],[kosten / jaar weekend]]+Ruimtestaat[[#This Row],[kosten / jaar werkdagen]]</f>
        <v>0</v>
      </c>
      <c r="AG188" s="174"/>
      <c r="AH188" s="181" t="str">
        <f>IF(Ruimtestaat[[#This Row],[Frequentie werkdagen]]="","",_xlfn.CONCAT(Ruimtestaat[[#This Row],[Ruimte code]],"-",Ruimtestaat[[#This Row],[Frequentie werkdagen]]," ",Ruimtestaat[[#This Row],[Vloer code]]))</f>
        <v/>
      </c>
      <c r="AI188" s="185" t="str">
        <f>_xlfn.IFNA(VLOOKUP($AH188,Programma!$F$3:$G$1101,2,0),"")</f>
        <v/>
      </c>
      <c r="AJ188" s="185" t="str">
        <f>_xlfn.IFNA(VLOOKUP($AH188,Programma!$F$3:$H$1101,3,0),"")</f>
        <v/>
      </c>
      <c r="AK188" s="185" t="str">
        <f>_xlfn.IFNA(VLOOKUP($AH188,Programma!$F$3:$I$1101,4,0),"")</f>
        <v/>
      </c>
      <c r="AL188" s="185" t="str">
        <f>_xlfn.IFNA(VLOOKUP($AH188,Programma!$F$3:$J$1101,5,0),"")</f>
        <v/>
      </c>
      <c r="AM188" s="185" t="str">
        <f>_xlfn.IFNA(VLOOKUP($AH188,Programma!$F$3:$K$1101,6,0),"")</f>
        <v/>
      </c>
      <c r="AN188" s="185" t="str">
        <f>_xlfn.IFNA(VLOOKUP($AH188,Programma!$F$3:$L$1101,7,0),"")</f>
        <v/>
      </c>
      <c r="AO188" s="185" t="str">
        <f>_xlfn.IFNA(VLOOKUP($AH188,Programma!$F$3:$M$1101,8,0),"")</f>
        <v/>
      </c>
      <c r="AP188" s="185" t="str">
        <f>_xlfn.IFNA(VLOOKUP($AH188,Programma!$F$3:$N$1101,9,0),"")</f>
        <v/>
      </c>
      <c r="AQ188" s="185" t="str">
        <f>_xlfn.IFNA(VLOOKUP($AH188,Programma!$F$3:$O$1101,10,0),"")</f>
        <v/>
      </c>
      <c r="AR188" s="185" t="str">
        <f>_xlfn.IFNA(VLOOKUP($AH188,Programma!$F$3:$P$1101,11,0),"")</f>
        <v/>
      </c>
      <c r="AS188" s="185" t="str">
        <f>_xlfn.IFNA(VLOOKUP($AH188,Programma!$F$3:$Q$1101,12,0),"")</f>
        <v/>
      </c>
      <c r="AT188" s="185" t="str">
        <f>_xlfn.IFNA(VLOOKUP($AH188,Programma!$F$3:$R$1101,13,0),"")</f>
        <v/>
      </c>
      <c r="AU188" s="185" t="str">
        <f>_xlfn.IFNA(VLOOKUP($AH188,Programma!$F$3:$S$1101,14,0),"")</f>
        <v/>
      </c>
      <c r="AV188" s="185" t="str">
        <f>_xlfn.IFNA(VLOOKUP($AH188,Programma!$F$3:$T$1101,15,0),"")</f>
        <v/>
      </c>
      <c r="AW188" s="185" t="str">
        <f>_xlfn.IFNA(VLOOKUP($AH188,Programma!$F$3:$U$1101,16,0),"")</f>
        <v/>
      </c>
      <c r="AX188" s="185" t="str">
        <f>_xlfn.IFNA(VLOOKUP($AH188,Programma!$F$3:$V$1101,17,0),"")</f>
        <v/>
      </c>
      <c r="AY188" s="185" t="str">
        <f>_xlfn.IFNA(VLOOKUP($AH188,Programma!$F$3:$W$1101,18,0),"")</f>
        <v/>
      </c>
      <c r="AZ188" s="185" t="str">
        <f>_xlfn.IFNA(VLOOKUP($AH188,Programma!$F$3:$X$1101,19,0),"")</f>
        <v/>
      </c>
      <c r="BA188" s="185" t="str">
        <f>_xlfn.IFNA(VLOOKUP($AH188,Programma!$F$3:$Y$1101,20,0),"")</f>
        <v/>
      </c>
      <c r="BB188" s="182"/>
      <c r="BC188" s="181" t="str">
        <f>IF(Ruimtestaat[[#This Row],[Frequentie weekend]]="","",_xlfn.CONCAT(Ruimtestaat[[#This Row],[Ruimte code]],"-",Ruimtestaat[[#This Row],[Frequentie weekend]]," ",Ruimtestaat[[#This Row],[Vloer code]]))</f>
        <v/>
      </c>
      <c r="BD188" s="185" t="str">
        <f>_xlfn.IFNA(VLOOKUP($BC188,Programma!$F$3:$G$1101,2,0),"")</f>
        <v/>
      </c>
      <c r="BE188" s="185" t="str">
        <f>_xlfn.IFNA(VLOOKUP($BC188,Programma!$F$3:$H$1101,3,0),"")</f>
        <v/>
      </c>
      <c r="BF188" s="185" t="str">
        <f>_xlfn.IFNA(VLOOKUP($BC188,Programma!$F$3:$I$1101,4,0),"")</f>
        <v/>
      </c>
      <c r="BG188" s="185" t="str">
        <f>_xlfn.IFNA(VLOOKUP($BC188,Programma!$F$3:$J$1101,5,0),"")</f>
        <v/>
      </c>
      <c r="BH188" s="185" t="str">
        <f>_xlfn.IFNA(VLOOKUP($BC188,Programma!$F$3:$K$1101,6,0),"")</f>
        <v/>
      </c>
      <c r="BI188" s="185" t="str">
        <f>_xlfn.IFNA(VLOOKUP($BC188,Programma!$F$3:$L$1101,7,0),"")</f>
        <v/>
      </c>
      <c r="BJ188" s="185" t="str">
        <f>_xlfn.IFNA(VLOOKUP($BC188,Programma!$F$3:$M$1101,8,0),"")</f>
        <v/>
      </c>
      <c r="BK188" s="185" t="str">
        <f>_xlfn.IFNA(VLOOKUP($BC188,Programma!$F$3:$N$1101,9,0),"")</f>
        <v/>
      </c>
      <c r="BL188" s="185" t="str">
        <f>_xlfn.IFNA(VLOOKUP($BC188,Programma!$F$3:$O$1101,10,0),"")</f>
        <v/>
      </c>
      <c r="BM188" s="185" t="str">
        <f>_xlfn.IFNA(VLOOKUP($BC188,Programma!$F$3:$P$1101,11,0),"")</f>
        <v/>
      </c>
      <c r="BN188" s="185" t="str">
        <f>_xlfn.IFNA(VLOOKUP($BC188,Programma!$F$3:$Q$1101,12,0),"")</f>
        <v/>
      </c>
      <c r="BO188" s="185" t="str">
        <f>_xlfn.IFNA(VLOOKUP($BC188,Programma!$F$3:$R$1101,13,0),"")</f>
        <v/>
      </c>
      <c r="BP188" s="185" t="str">
        <f>_xlfn.IFNA(VLOOKUP($BC188,Programma!$F$3:$S$1101,14,0),"")</f>
        <v/>
      </c>
      <c r="BQ188" s="185" t="str">
        <f>_xlfn.IFNA(VLOOKUP($BC188,Programma!$F$3:$T$1101,15,0),"")</f>
        <v/>
      </c>
      <c r="BR188" s="185" t="str">
        <f>_xlfn.IFNA(VLOOKUP($BC188,Programma!$F$3:$U$1101,16,0),"")</f>
        <v/>
      </c>
      <c r="BS188" s="185" t="str">
        <f>_xlfn.IFNA(VLOOKUP($BC188,Programma!$F$3:$V$1101,17,0),"")</f>
        <v/>
      </c>
      <c r="BT188" s="185" t="str">
        <f>_xlfn.IFNA(VLOOKUP($BC188,Programma!$F$3:$W$1101,18,0),"")</f>
        <v/>
      </c>
      <c r="BU188" s="185" t="str">
        <f>_xlfn.IFNA(VLOOKUP($BC188,Programma!$F$3:$X$1101,19,0),"")</f>
        <v/>
      </c>
      <c r="BV188" s="185" t="str">
        <f>_xlfn.IFNA(VLOOKUP($BC188,Programma!$F$3:$Y$1101,20,0),"")</f>
        <v/>
      </c>
      <c r="BW188" s="78"/>
      <c r="BX188" s="78"/>
      <c r="BY188" s="78"/>
      <c r="BZ188" s="78"/>
      <c r="CA188" s="78"/>
      <c r="CB188" s="78"/>
      <c r="CC188" s="78"/>
      <c r="CD188" s="78"/>
      <c r="CE188" s="78"/>
      <c r="CF188" s="78"/>
      <c r="CG188" s="78"/>
      <c r="CH188" s="78"/>
      <c r="CI188" s="78"/>
      <c r="CJ188" s="78"/>
      <c r="CK188" s="78"/>
      <c r="CL188" s="78"/>
      <c r="CM188" s="78"/>
      <c r="CN188" s="78"/>
      <c r="CO188" s="78"/>
      <c r="CP188" s="78"/>
      <c r="CQ188" s="78"/>
      <c r="CR188" s="78"/>
      <c r="CS188" s="78"/>
      <c r="CT188" s="78"/>
      <c r="CU188" s="78"/>
      <c r="CV188" s="78"/>
      <c r="CW188" s="78"/>
      <c r="CX188" s="78"/>
      <c r="CY188" s="78"/>
      <c r="CZ188" s="78"/>
      <c r="DA188" s="78"/>
      <c r="DB188" s="78"/>
      <c r="DC188" s="78"/>
      <c r="DD188" s="78"/>
      <c r="DE188" s="78"/>
      <c r="DF188" s="78"/>
      <c r="DG188" s="78"/>
      <c r="DH188" s="78"/>
      <c r="DI188" s="78"/>
      <c r="DJ188" s="78"/>
      <c r="DK188" s="78"/>
      <c r="DL188" s="78"/>
      <c r="DM188" s="78"/>
      <c r="DN188" s="78"/>
      <c r="DO188" s="78"/>
      <c r="DP188" s="78"/>
      <c r="DQ188" s="78"/>
      <c r="DR188" s="78"/>
      <c r="DS188" s="78"/>
      <c r="DT188" s="78"/>
      <c r="DU188" s="78"/>
      <c r="DV188" s="78"/>
      <c r="DW188" s="78"/>
      <c r="DX188" s="78"/>
      <c r="DY188" s="78"/>
      <c r="DZ188" s="78"/>
      <c r="EA188" s="78"/>
      <c r="EB188" s="78"/>
      <c r="EC188" s="78"/>
      <c r="ED188" s="78"/>
      <c r="EE188" s="78"/>
      <c r="EF188" s="78"/>
      <c r="EG188" s="78"/>
      <c r="EH188" s="78"/>
      <c r="EI188" s="78"/>
      <c r="EJ188" s="78"/>
      <c r="EK188" s="78"/>
      <c r="EL188" s="78"/>
      <c r="EM188" s="78"/>
      <c r="EN188" s="78"/>
      <c r="EO188" s="78"/>
      <c r="EP188" s="78"/>
      <c r="EQ188" s="78"/>
      <c r="ER188" s="78"/>
      <c r="ES188" s="78"/>
      <c r="ET188" s="78"/>
      <c r="EU188" s="78"/>
      <c r="EV188" s="78"/>
      <c r="EW188" s="78"/>
      <c r="EX188" s="78"/>
      <c r="EY188" s="78"/>
      <c r="EZ188" s="78"/>
      <c r="FA188" s="78"/>
      <c r="FB188" s="78"/>
      <c r="FC188" s="78"/>
      <c r="FD188" s="78"/>
      <c r="FE188" s="78"/>
      <c r="FF188" s="78"/>
      <c r="FG188" s="78"/>
      <c r="FH188" s="78"/>
      <c r="FI188" s="78"/>
      <c r="FJ188" s="78"/>
      <c r="FK188" s="78"/>
      <c r="FL188" s="78"/>
      <c r="FM188" s="78"/>
      <c r="FN188" s="78"/>
      <c r="FO188" s="78"/>
      <c r="FP188" s="78"/>
      <c r="FQ188" s="78"/>
      <c r="FR188" s="78"/>
      <c r="FS188" s="78"/>
      <c r="FT188" s="78"/>
      <c r="FU188" s="78"/>
      <c r="FV188" s="78"/>
      <c r="FW188" s="78"/>
      <c r="FX188" s="78"/>
      <c r="FY188" s="78"/>
      <c r="FZ188" s="78"/>
      <c r="GA188" s="78"/>
      <c r="GB188" s="78"/>
      <c r="GC188" s="78"/>
      <c r="GD188" s="78"/>
      <c r="GE188" s="78"/>
      <c r="GF188" s="78"/>
      <c r="GG188" s="78"/>
      <c r="GH188" s="78"/>
      <c r="GI188" s="78"/>
      <c r="GJ188" s="78"/>
      <c r="GK188" s="78"/>
      <c r="GL188" s="78"/>
      <c r="GM188" s="78"/>
      <c r="GN188" s="78"/>
      <c r="GO188" s="78"/>
      <c r="GP188" s="78"/>
      <c r="GQ188" s="78"/>
      <c r="GR188" s="78"/>
      <c r="GS188" s="78"/>
      <c r="GT188" s="78"/>
      <c r="GU188" s="78"/>
      <c r="GV188" s="78"/>
      <c r="GW188" s="78"/>
      <c r="GX188" s="78"/>
      <c r="GY188" s="78"/>
      <c r="GZ188" s="78"/>
      <c r="HA188" s="78"/>
      <c r="HB188" s="78"/>
      <c r="HC188" s="78"/>
      <c r="HD188" s="78"/>
      <c r="HE188" s="78"/>
      <c r="HF188" s="78"/>
      <c r="HG188" s="78"/>
      <c r="HH188" s="78"/>
      <c r="HI188" s="78"/>
      <c r="HJ188" s="78"/>
      <c r="HK188" s="78"/>
    </row>
    <row r="189" spans="1:219" ht="15" customHeight="1">
      <c r="A189" s="149">
        <v>6</v>
      </c>
      <c r="B189" s="176" t="str">
        <f>VLOOKUP(Ruimtestaat[[#This Row],[Code]],Locaties[[Code]:[Locatie]],2,FALSE)</f>
        <v>OBS La Res Noord</v>
      </c>
      <c r="C189" s="176" t="str">
        <f>VLOOKUP(Ruimtestaat[[#This Row],[Code]],Locaties[[#All],[Code]:[Adres]],4,FALSE)</f>
        <v>Schietbaanweg 30</v>
      </c>
      <c r="D189" s="176" t="str">
        <f>VLOOKUP(Ruimtestaat[[#This Row],[Code]],Locaties[[#All],[Code]:[Postcode]],5,FALSE)</f>
        <v>7521 DB</v>
      </c>
      <c r="E189" s="176" t="str">
        <f>VLOOKUP(Ruimtestaat[[#This Row],[Code]],Locaties[#All],6,FALSE)</f>
        <v>Enschede</v>
      </c>
      <c r="F189" s="149"/>
      <c r="G189" s="149"/>
      <c r="H189" s="99" t="s">
        <v>1745</v>
      </c>
      <c r="I189" s="183" t="s">
        <v>1690</v>
      </c>
      <c r="J189" s="99">
        <v>16</v>
      </c>
      <c r="K189" s="183" t="str">
        <f>VLOOKUP(Ruimtestaat[[#This Row],[Ruimte code]],Ruimtegroepen[[#All],[Code]:[Ruimte omschrijving]],2,FALSE)</f>
        <v>Leslokalen</v>
      </c>
      <c r="L189" s="149" t="s">
        <v>100</v>
      </c>
      <c r="M189" s="301" t="s">
        <v>1697</v>
      </c>
      <c r="N189" s="177">
        <v>85.1</v>
      </c>
      <c r="O189" s="177"/>
      <c r="P189" s="178" t="str">
        <f>VLOOKUP(Ruimtestaat[[#This Row],[Ruimte code]],Ruimtegroepen[],4,FALSE)</f>
        <v>Le</v>
      </c>
      <c r="Q189" s="149"/>
      <c r="R189" s="149"/>
      <c r="S189" s="149">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9" s="149">
        <f>IF(S189&gt;0,VLOOKUP($J189,Ruimtegroepen[],3,FALSE)*VLOOKUP($L189,Vloersoorten[],3,FALSE)*VLOOKUP($R189,Frequenties[],3,FALSE)*VLOOKUP($A189,Locaties[],3,FALSE),0)</f>
        <v>0</v>
      </c>
      <c r="U189" s="149">
        <f>Ruimtestaat[[#This Row],[Uitvoeringen werkdagen]]*Ruimtestaat[[#This Row],[Oppervlak (netto)]]</f>
        <v>0</v>
      </c>
      <c r="V189" s="179">
        <f>IF(T189&gt;0,Ruimtestaat[[#This Row],[Prest. (m2 /jaar) werkdagen]]/Ruimtestaat[[#This Row],[Norm (m2/uur) werkdagen]],0)</f>
        <v>0</v>
      </c>
      <c r="W189" s="180">
        <f>Ruimtestaat[[#This Row],[uren / jaar werkdagen]]*Tariefsopbouw!$E$35</f>
        <v>0</v>
      </c>
      <c r="X189" s="149"/>
      <c r="Y189" s="149">
        <f>IF(Ruimtestaat[[#This Row],[Frequentie weekend]]&gt;0,VALUE(LEFT(X189,1))*Q189,0)</f>
        <v>0</v>
      </c>
      <c r="Z189" s="148">
        <f>IF($Y189&gt;0,VLOOKUP($J189,Ruimtegroepen[],3,FALSE)*VLOOKUP($L189,Vloersoorten[],3,FALSE)*VLOOKUP($X189,Frequenties[],3,FALSE)*VLOOKUP(#REF!,Locaties[],3,FALSE),0)</f>
        <v>0</v>
      </c>
      <c r="AA189" s="148">
        <f>Ruimtestaat[[#This Row],[Uitvoeringen weekend]]*Ruimtestaat[[#This Row],[Oppervlak (netto)]]</f>
        <v>0</v>
      </c>
      <c r="AB189" s="148">
        <f>IF(Z189&gt;0,Ruimtestaat[[#This Row],[Prest. (m2 /jaar) weekend]]/Ruimtestaat[[#This Row],[Norm (m2/uur) weekend]],0)</f>
        <v>0</v>
      </c>
      <c r="AC189" s="180">
        <f>Ruimtestaat[[#This Row],[uren / jaar weekend]]*Tariefsopbouw!$D$40</f>
        <v>0</v>
      </c>
      <c r="AD189" s="179">
        <f>Ruimtestaat[[#This Row],[Prest. (m2 /jaar) weekend]]+Ruimtestaat[[#This Row],[Prest. (m2 /jaar) werkdagen]]</f>
        <v>0</v>
      </c>
      <c r="AE189" s="179">
        <f>Ruimtestaat[[#This Row],[uren / jaar weekend]]+Ruimtestaat[[#This Row],[uren / jaar werkdagen]]</f>
        <v>0</v>
      </c>
      <c r="AF189" s="174">
        <f>Ruimtestaat[[#This Row],[kosten / jaar weekend]]+Ruimtestaat[[#This Row],[kosten / jaar werkdagen]]</f>
        <v>0</v>
      </c>
      <c r="AG189" s="174"/>
      <c r="AH189" s="181" t="str">
        <f>IF(Ruimtestaat[[#This Row],[Frequentie werkdagen]]="","",_xlfn.CONCAT(Ruimtestaat[[#This Row],[Ruimte code]],"-",Ruimtestaat[[#This Row],[Frequentie werkdagen]]," ",Ruimtestaat[[#This Row],[Vloer code]]))</f>
        <v/>
      </c>
      <c r="AI189" s="185" t="str">
        <f>_xlfn.IFNA(VLOOKUP($AH189,Programma!$F$3:$G$1101,2,0),"")</f>
        <v/>
      </c>
      <c r="AJ189" s="185" t="str">
        <f>_xlfn.IFNA(VLOOKUP($AH189,Programma!$F$3:$H$1101,3,0),"")</f>
        <v/>
      </c>
      <c r="AK189" s="185" t="str">
        <f>_xlfn.IFNA(VLOOKUP($AH189,Programma!$F$3:$I$1101,4,0),"")</f>
        <v/>
      </c>
      <c r="AL189" s="185" t="str">
        <f>_xlfn.IFNA(VLOOKUP($AH189,Programma!$F$3:$J$1101,5,0),"")</f>
        <v/>
      </c>
      <c r="AM189" s="185" t="str">
        <f>_xlfn.IFNA(VLOOKUP($AH189,Programma!$F$3:$K$1101,6,0),"")</f>
        <v/>
      </c>
      <c r="AN189" s="185" t="str">
        <f>_xlfn.IFNA(VLOOKUP($AH189,Programma!$F$3:$L$1101,7,0),"")</f>
        <v/>
      </c>
      <c r="AO189" s="185" t="str">
        <f>_xlfn.IFNA(VLOOKUP($AH189,Programma!$F$3:$M$1101,8,0),"")</f>
        <v/>
      </c>
      <c r="AP189" s="185" t="str">
        <f>_xlfn.IFNA(VLOOKUP($AH189,Programma!$F$3:$N$1101,9,0),"")</f>
        <v/>
      </c>
      <c r="AQ189" s="185" t="str">
        <f>_xlfn.IFNA(VLOOKUP($AH189,Programma!$F$3:$O$1101,10,0),"")</f>
        <v/>
      </c>
      <c r="AR189" s="185" t="str">
        <f>_xlfn.IFNA(VLOOKUP($AH189,Programma!$F$3:$P$1101,11,0),"")</f>
        <v/>
      </c>
      <c r="AS189" s="185" t="str">
        <f>_xlfn.IFNA(VLOOKUP($AH189,Programma!$F$3:$Q$1101,12,0),"")</f>
        <v/>
      </c>
      <c r="AT189" s="185" t="str">
        <f>_xlfn.IFNA(VLOOKUP($AH189,Programma!$F$3:$R$1101,13,0),"")</f>
        <v/>
      </c>
      <c r="AU189" s="185" t="str">
        <f>_xlfn.IFNA(VLOOKUP($AH189,Programma!$F$3:$S$1101,14,0),"")</f>
        <v/>
      </c>
      <c r="AV189" s="185" t="str">
        <f>_xlfn.IFNA(VLOOKUP($AH189,Programma!$F$3:$T$1101,15,0),"")</f>
        <v/>
      </c>
      <c r="AW189" s="185" t="str">
        <f>_xlfn.IFNA(VLOOKUP($AH189,Programma!$F$3:$U$1101,16,0),"")</f>
        <v/>
      </c>
      <c r="AX189" s="185" t="str">
        <f>_xlfn.IFNA(VLOOKUP($AH189,Programma!$F$3:$V$1101,17,0),"")</f>
        <v/>
      </c>
      <c r="AY189" s="185" t="str">
        <f>_xlfn.IFNA(VLOOKUP($AH189,Programma!$F$3:$W$1101,18,0),"")</f>
        <v/>
      </c>
      <c r="AZ189" s="185" t="str">
        <f>_xlfn.IFNA(VLOOKUP($AH189,Programma!$F$3:$X$1101,19,0),"")</f>
        <v/>
      </c>
      <c r="BA189" s="185" t="str">
        <f>_xlfn.IFNA(VLOOKUP($AH189,Programma!$F$3:$Y$1101,20,0),"")</f>
        <v/>
      </c>
      <c r="BB189" s="182"/>
      <c r="BC189" s="181" t="str">
        <f>IF(Ruimtestaat[[#This Row],[Frequentie weekend]]="","",_xlfn.CONCAT(Ruimtestaat[[#This Row],[Ruimte code]],"-",Ruimtestaat[[#This Row],[Frequentie weekend]]," ",Ruimtestaat[[#This Row],[Vloer code]]))</f>
        <v/>
      </c>
      <c r="BD189" s="185" t="str">
        <f>_xlfn.IFNA(VLOOKUP($BC189,Programma!$F$3:$G$1101,2,0),"")</f>
        <v/>
      </c>
      <c r="BE189" s="185" t="str">
        <f>_xlfn.IFNA(VLOOKUP($BC189,Programma!$F$3:$H$1101,3,0),"")</f>
        <v/>
      </c>
      <c r="BF189" s="185" t="str">
        <f>_xlfn.IFNA(VLOOKUP($BC189,Programma!$F$3:$I$1101,4,0),"")</f>
        <v/>
      </c>
      <c r="BG189" s="185" t="str">
        <f>_xlfn.IFNA(VLOOKUP($BC189,Programma!$F$3:$J$1101,5,0),"")</f>
        <v/>
      </c>
      <c r="BH189" s="185" t="str">
        <f>_xlfn.IFNA(VLOOKUP($BC189,Programma!$F$3:$K$1101,6,0),"")</f>
        <v/>
      </c>
      <c r="BI189" s="185" t="str">
        <f>_xlfn.IFNA(VLOOKUP($BC189,Programma!$F$3:$L$1101,7,0),"")</f>
        <v/>
      </c>
      <c r="BJ189" s="185" t="str">
        <f>_xlfn.IFNA(VLOOKUP($BC189,Programma!$F$3:$M$1101,8,0),"")</f>
        <v/>
      </c>
      <c r="BK189" s="185" t="str">
        <f>_xlfn.IFNA(VLOOKUP($BC189,Programma!$F$3:$N$1101,9,0),"")</f>
        <v/>
      </c>
      <c r="BL189" s="185" t="str">
        <f>_xlfn.IFNA(VLOOKUP($BC189,Programma!$F$3:$O$1101,10,0),"")</f>
        <v/>
      </c>
      <c r="BM189" s="185" t="str">
        <f>_xlfn.IFNA(VLOOKUP($BC189,Programma!$F$3:$P$1101,11,0),"")</f>
        <v/>
      </c>
      <c r="BN189" s="185" t="str">
        <f>_xlfn.IFNA(VLOOKUP($BC189,Programma!$F$3:$Q$1101,12,0),"")</f>
        <v/>
      </c>
      <c r="BO189" s="185" t="str">
        <f>_xlfn.IFNA(VLOOKUP($BC189,Programma!$F$3:$R$1101,13,0),"")</f>
        <v/>
      </c>
      <c r="BP189" s="185" t="str">
        <f>_xlfn.IFNA(VLOOKUP($BC189,Programma!$F$3:$S$1101,14,0),"")</f>
        <v/>
      </c>
      <c r="BQ189" s="185" t="str">
        <f>_xlfn.IFNA(VLOOKUP($BC189,Programma!$F$3:$T$1101,15,0),"")</f>
        <v/>
      </c>
      <c r="BR189" s="185" t="str">
        <f>_xlfn.IFNA(VLOOKUP($BC189,Programma!$F$3:$U$1101,16,0),"")</f>
        <v/>
      </c>
      <c r="BS189" s="185" t="str">
        <f>_xlfn.IFNA(VLOOKUP($BC189,Programma!$F$3:$V$1101,17,0),"")</f>
        <v/>
      </c>
      <c r="BT189" s="185" t="str">
        <f>_xlfn.IFNA(VLOOKUP($BC189,Programma!$F$3:$W$1101,18,0),"")</f>
        <v/>
      </c>
      <c r="BU189" s="185" t="str">
        <f>_xlfn.IFNA(VLOOKUP($BC189,Programma!$F$3:$X$1101,19,0),"")</f>
        <v/>
      </c>
      <c r="BV189" s="185" t="str">
        <f>_xlfn.IFNA(VLOOKUP($BC189,Programma!$F$3:$Y$1101,20,0),"")</f>
        <v/>
      </c>
      <c r="BW189" s="78"/>
      <c r="BX189" s="78"/>
      <c r="BY189" s="78"/>
      <c r="BZ189" s="78"/>
      <c r="CA189" s="78"/>
      <c r="CB189" s="78"/>
      <c r="CC189" s="78"/>
      <c r="CD189" s="78"/>
      <c r="CE189" s="78"/>
      <c r="CF189" s="78"/>
      <c r="CG189" s="78"/>
      <c r="CH189" s="78"/>
      <c r="CI189" s="78"/>
      <c r="CJ189" s="78"/>
      <c r="CK189" s="78"/>
      <c r="CL189" s="78"/>
      <c r="CM189" s="78"/>
      <c r="CN189" s="78"/>
      <c r="CO189" s="78"/>
      <c r="CP189" s="78"/>
      <c r="CQ189" s="78"/>
      <c r="CR189" s="78"/>
      <c r="CS189" s="78"/>
      <c r="CT189" s="78"/>
      <c r="CU189" s="78"/>
      <c r="CV189" s="78"/>
      <c r="CW189" s="78"/>
      <c r="CX189" s="78"/>
      <c r="CY189" s="78"/>
      <c r="CZ189" s="78"/>
      <c r="DA189" s="78"/>
      <c r="DB189" s="78"/>
      <c r="DC189" s="78"/>
      <c r="DD189" s="78"/>
      <c r="DE189" s="78"/>
      <c r="DF189" s="78"/>
      <c r="DG189" s="78"/>
      <c r="DH189" s="78"/>
      <c r="DI189" s="78"/>
      <c r="DJ189" s="78"/>
      <c r="DK189" s="78"/>
      <c r="DL189" s="78"/>
      <c r="DM189" s="78"/>
      <c r="DN189" s="78"/>
      <c r="DO189" s="78"/>
      <c r="DP189" s="78"/>
      <c r="DQ189" s="78"/>
      <c r="DR189" s="78"/>
      <c r="DS189" s="78"/>
      <c r="DT189" s="78"/>
      <c r="DU189" s="78"/>
      <c r="DV189" s="78"/>
      <c r="DW189" s="78"/>
      <c r="DX189" s="78"/>
      <c r="DY189" s="78"/>
      <c r="DZ189" s="78"/>
      <c r="EA189" s="78"/>
      <c r="EB189" s="78"/>
      <c r="EC189" s="78"/>
      <c r="ED189" s="78"/>
      <c r="EE189" s="78"/>
      <c r="EF189" s="78"/>
      <c r="EG189" s="78"/>
      <c r="EH189" s="78"/>
      <c r="EI189" s="78"/>
      <c r="EJ189" s="78"/>
      <c r="EK189" s="78"/>
      <c r="EL189" s="78"/>
      <c r="EM189" s="78"/>
      <c r="EN189" s="78"/>
      <c r="EO189" s="78"/>
      <c r="EP189" s="78"/>
      <c r="EQ189" s="78"/>
      <c r="ER189" s="78"/>
      <c r="ES189" s="78"/>
      <c r="ET189" s="78"/>
      <c r="EU189" s="78"/>
      <c r="EV189" s="78"/>
      <c r="EW189" s="78"/>
      <c r="EX189" s="78"/>
      <c r="EY189" s="78"/>
      <c r="EZ189" s="78"/>
      <c r="FA189" s="78"/>
      <c r="FB189" s="78"/>
      <c r="FC189" s="78"/>
      <c r="FD189" s="78"/>
      <c r="FE189" s="78"/>
      <c r="FF189" s="78"/>
      <c r="FG189" s="78"/>
      <c r="FH189" s="78"/>
      <c r="FI189" s="78"/>
      <c r="FJ189" s="78"/>
      <c r="FK189" s="78"/>
      <c r="FL189" s="78"/>
      <c r="FM189" s="78"/>
      <c r="FN189" s="78"/>
      <c r="FO189" s="78"/>
      <c r="FP189" s="78"/>
      <c r="FQ189" s="78"/>
      <c r="FR189" s="78"/>
      <c r="FS189" s="78"/>
      <c r="FT189" s="78"/>
      <c r="FU189" s="78"/>
      <c r="FV189" s="78"/>
      <c r="FW189" s="78"/>
      <c r="FX189" s="78"/>
      <c r="FY189" s="78"/>
      <c r="FZ189" s="78"/>
      <c r="GA189" s="78"/>
      <c r="GB189" s="78"/>
      <c r="GC189" s="78"/>
      <c r="GD189" s="78"/>
      <c r="GE189" s="78"/>
      <c r="GF189" s="78"/>
      <c r="GG189" s="78"/>
      <c r="GH189" s="78"/>
      <c r="GI189" s="78"/>
      <c r="GJ189" s="78"/>
      <c r="GK189" s="78"/>
      <c r="GL189" s="78"/>
      <c r="GM189" s="78"/>
      <c r="GN189" s="78"/>
      <c r="GO189" s="78"/>
      <c r="GP189" s="78"/>
      <c r="GQ189" s="78"/>
      <c r="GR189" s="78"/>
      <c r="GS189" s="78"/>
      <c r="GT189" s="78"/>
      <c r="GU189" s="78"/>
      <c r="GV189" s="78"/>
      <c r="GW189" s="78"/>
      <c r="GX189" s="78"/>
      <c r="GY189" s="78"/>
      <c r="GZ189" s="78"/>
      <c r="HA189" s="78"/>
      <c r="HB189" s="78"/>
      <c r="HC189" s="78"/>
      <c r="HD189" s="78"/>
      <c r="HE189" s="78"/>
      <c r="HF189" s="78"/>
      <c r="HG189" s="78"/>
      <c r="HH189" s="78"/>
      <c r="HI189" s="78"/>
      <c r="HJ189" s="78"/>
      <c r="HK189" s="78"/>
    </row>
    <row r="190" spans="1:219" ht="15" customHeight="1">
      <c r="A190" s="149">
        <v>6</v>
      </c>
      <c r="B190" s="176" t="str">
        <f>VLOOKUP(Ruimtestaat[[#This Row],[Code]],Locaties[[Code]:[Locatie]],2,FALSE)</f>
        <v>OBS La Res Noord</v>
      </c>
      <c r="C190" s="176" t="str">
        <f>VLOOKUP(Ruimtestaat[[#This Row],[Code]],Locaties[[#All],[Code]:[Adres]],4,FALSE)</f>
        <v>Schietbaanweg 30</v>
      </c>
      <c r="D190" s="176" t="str">
        <f>VLOOKUP(Ruimtestaat[[#This Row],[Code]],Locaties[[#All],[Code]:[Postcode]],5,FALSE)</f>
        <v>7521 DB</v>
      </c>
      <c r="E190" s="176" t="str">
        <f>VLOOKUP(Ruimtestaat[[#This Row],[Code]],Locaties[#All],6,FALSE)</f>
        <v>Enschede</v>
      </c>
      <c r="F190" s="149"/>
      <c r="G190" s="149"/>
      <c r="H190" s="99" t="s">
        <v>1746</v>
      </c>
      <c r="I190" s="183" t="s">
        <v>1658</v>
      </c>
      <c r="J190" s="99">
        <v>6</v>
      </c>
      <c r="K190" s="183" t="str">
        <f>VLOOKUP(Ruimtestaat[[#This Row],[Ruimte code]],Ruimtegroepen[[#All],[Code]:[Ruimte omschrijving]],2,FALSE)</f>
        <v>Gangen/hallen</v>
      </c>
      <c r="L190" s="149" t="s">
        <v>100</v>
      </c>
      <c r="M190" s="301" t="s">
        <v>1697</v>
      </c>
      <c r="N190" s="177">
        <v>36.1</v>
      </c>
      <c r="O190" s="177"/>
      <c r="P190" s="178" t="str">
        <f>VLOOKUP(Ruimtestaat[[#This Row],[Ruimte code]],Ruimtegroepen[],4,FALSE)</f>
        <v>Ve</v>
      </c>
      <c r="Q190" s="149"/>
      <c r="R190" s="149"/>
      <c r="S190" s="149">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0" s="149">
        <f>IF(S190&gt;0,VLOOKUP($J190,Ruimtegroepen[],3,FALSE)*VLOOKUP($L190,Vloersoorten[],3,FALSE)*VLOOKUP($R190,Frequenties[],3,FALSE)*VLOOKUP($A190,Locaties[],3,FALSE),0)</f>
        <v>0</v>
      </c>
      <c r="U190" s="149">
        <f>Ruimtestaat[[#This Row],[Uitvoeringen werkdagen]]*Ruimtestaat[[#This Row],[Oppervlak (netto)]]</f>
        <v>0</v>
      </c>
      <c r="V190" s="179">
        <f>IF(T190&gt;0,Ruimtestaat[[#This Row],[Prest. (m2 /jaar) werkdagen]]/Ruimtestaat[[#This Row],[Norm (m2/uur) werkdagen]],0)</f>
        <v>0</v>
      </c>
      <c r="W190" s="180">
        <f>Ruimtestaat[[#This Row],[uren / jaar werkdagen]]*Tariefsopbouw!$E$35</f>
        <v>0</v>
      </c>
      <c r="X190" s="149"/>
      <c r="Y190" s="149">
        <f>IF(Ruimtestaat[[#This Row],[Frequentie weekend]]&gt;0,VALUE(LEFT(X190,1))*Q190,0)</f>
        <v>0</v>
      </c>
      <c r="Z190" s="148">
        <f>IF($Y190&gt;0,VLOOKUP($J190,Ruimtegroepen[],3,FALSE)*VLOOKUP($L190,Vloersoorten[],3,FALSE)*VLOOKUP($X190,Frequenties[],3,FALSE)*VLOOKUP(#REF!,Locaties[],3,FALSE),0)</f>
        <v>0</v>
      </c>
      <c r="AA190" s="148">
        <f>Ruimtestaat[[#This Row],[Uitvoeringen weekend]]*Ruimtestaat[[#This Row],[Oppervlak (netto)]]</f>
        <v>0</v>
      </c>
      <c r="AB190" s="148">
        <f>IF(Z190&gt;0,Ruimtestaat[[#This Row],[Prest. (m2 /jaar) weekend]]/Ruimtestaat[[#This Row],[Norm (m2/uur) weekend]],0)</f>
        <v>0</v>
      </c>
      <c r="AC190" s="180">
        <f>Ruimtestaat[[#This Row],[uren / jaar weekend]]*Tariefsopbouw!$D$40</f>
        <v>0</v>
      </c>
      <c r="AD190" s="179">
        <f>Ruimtestaat[[#This Row],[Prest. (m2 /jaar) weekend]]+Ruimtestaat[[#This Row],[Prest. (m2 /jaar) werkdagen]]</f>
        <v>0</v>
      </c>
      <c r="AE190" s="179">
        <f>Ruimtestaat[[#This Row],[uren / jaar weekend]]+Ruimtestaat[[#This Row],[uren / jaar werkdagen]]</f>
        <v>0</v>
      </c>
      <c r="AF190" s="174">
        <f>Ruimtestaat[[#This Row],[kosten / jaar weekend]]+Ruimtestaat[[#This Row],[kosten / jaar werkdagen]]</f>
        <v>0</v>
      </c>
      <c r="AG190" s="174"/>
      <c r="AH190" s="181" t="str">
        <f>IF(Ruimtestaat[[#This Row],[Frequentie werkdagen]]="","",_xlfn.CONCAT(Ruimtestaat[[#This Row],[Ruimte code]],"-",Ruimtestaat[[#This Row],[Frequentie werkdagen]]," ",Ruimtestaat[[#This Row],[Vloer code]]))</f>
        <v/>
      </c>
      <c r="AI190" s="185" t="str">
        <f>_xlfn.IFNA(VLOOKUP($AH190,Programma!$F$3:$G$1101,2,0),"")</f>
        <v/>
      </c>
      <c r="AJ190" s="185" t="str">
        <f>_xlfn.IFNA(VLOOKUP($AH190,Programma!$F$3:$H$1101,3,0),"")</f>
        <v/>
      </c>
      <c r="AK190" s="185" t="str">
        <f>_xlfn.IFNA(VLOOKUP($AH190,Programma!$F$3:$I$1101,4,0),"")</f>
        <v/>
      </c>
      <c r="AL190" s="185" t="str">
        <f>_xlfn.IFNA(VLOOKUP($AH190,Programma!$F$3:$J$1101,5,0),"")</f>
        <v/>
      </c>
      <c r="AM190" s="185" t="str">
        <f>_xlfn.IFNA(VLOOKUP($AH190,Programma!$F$3:$K$1101,6,0),"")</f>
        <v/>
      </c>
      <c r="AN190" s="185" t="str">
        <f>_xlfn.IFNA(VLOOKUP($AH190,Programma!$F$3:$L$1101,7,0),"")</f>
        <v/>
      </c>
      <c r="AO190" s="185" t="str">
        <f>_xlfn.IFNA(VLOOKUP($AH190,Programma!$F$3:$M$1101,8,0),"")</f>
        <v/>
      </c>
      <c r="AP190" s="185" t="str">
        <f>_xlfn.IFNA(VLOOKUP($AH190,Programma!$F$3:$N$1101,9,0),"")</f>
        <v/>
      </c>
      <c r="AQ190" s="185" t="str">
        <f>_xlfn.IFNA(VLOOKUP($AH190,Programma!$F$3:$O$1101,10,0),"")</f>
        <v/>
      </c>
      <c r="AR190" s="185" t="str">
        <f>_xlfn.IFNA(VLOOKUP($AH190,Programma!$F$3:$P$1101,11,0),"")</f>
        <v/>
      </c>
      <c r="AS190" s="185" t="str">
        <f>_xlfn.IFNA(VLOOKUP($AH190,Programma!$F$3:$Q$1101,12,0),"")</f>
        <v/>
      </c>
      <c r="AT190" s="185" t="str">
        <f>_xlfn.IFNA(VLOOKUP($AH190,Programma!$F$3:$R$1101,13,0),"")</f>
        <v/>
      </c>
      <c r="AU190" s="185" t="str">
        <f>_xlfn.IFNA(VLOOKUP($AH190,Programma!$F$3:$S$1101,14,0),"")</f>
        <v/>
      </c>
      <c r="AV190" s="185" t="str">
        <f>_xlfn.IFNA(VLOOKUP($AH190,Programma!$F$3:$T$1101,15,0),"")</f>
        <v/>
      </c>
      <c r="AW190" s="185" t="str">
        <f>_xlfn.IFNA(VLOOKUP($AH190,Programma!$F$3:$U$1101,16,0),"")</f>
        <v/>
      </c>
      <c r="AX190" s="185" t="str">
        <f>_xlfn.IFNA(VLOOKUP($AH190,Programma!$F$3:$V$1101,17,0),"")</f>
        <v/>
      </c>
      <c r="AY190" s="185" t="str">
        <f>_xlfn.IFNA(VLOOKUP($AH190,Programma!$F$3:$W$1101,18,0),"")</f>
        <v/>
      </c>
      <c r="AZ190" s="185" t="str">
        <f>_xlfn.IFNA(VLOOKUP($AH190,Programma!$F$3:$X$1101,19,0),"")</f>
        <v/>
      </c>
      <c r="BA190" s="185" t="str">
        <f>_xlfn.IFNA(VLOOKUP($AH190,Programma!$F$3:$Y$1101,20,0),"")</f>
        <v/>
      </c>
      <c r="BB190" s="182"/>
      <c r="BC190" s="181" t="str">
        <f>IF(Ruimtestaat[[#This Row],[Frequentie weekend]]="","",_xlfn.CONCAT(Ruimtestaat[[#This Row],[Ruimte code]],"-",Ruimtestaat[[#This Row],[Frequentie weekend]]," ",Ruimtestaat[[#This Row],[Vloer code]]))</f>
        <v/>
      </c>
      <c r="BD190" s="185" t="str">
        <f>_xlfn.IFNA(VLOOKUP($BC190,Programma!$F$3:$G$1101,2,0),"")</f>
        <v/>
      </c>
      <c r="BE190" s="185" t="str">
        <f>_xlfn.IFNA(VLOOKUP($BC190,Programma!$F$3:$H$1101,3,0),"")</f>
        <v/>
      </c>
      <c r="BF190" s="185" t="str">
        <f>_xlfn.IFNA(VLOOKUP($BC190,Programma!$F$3:$I$1101,4,0),"")</f>
        <v/>
      </c>
      <c r="BG190" s="185" t="str">
        <f>_xlfn.IFNA(VLOOKUP($BC190,Programma!$F$3:$J$1101,5,0),"")</f>
        <v/>
      </c>
      <c r="BH190" s="185" t="str">
        <f>_xlfn.IFNA(VLOOKUP($BC190,Programma!$F$3:$K$1101,6,0),"")</f>
        <v/>
      </c>
      <c r="BI190" s="185" t="str">
        <f>_xlfn.IFNA(VLOOKUP($BC190,Programma!$F$3:$L$1101,7,0),"")</f>
        <v/>
      </c>
      <c r="BJ190" s="185" t="str">
        <f>_xlfn.IFNA(VLOOKUP($BC190,Programma!$F$3:$M$1101,8,0),"")</f>
        <v/>
      </c>
      <c r="BK190" s="185" t="str">
        <f>_xlfn.IFNA(VLOOKUP($BC190,Programma!$F$3:$N$1101,9,0),"")</f>
        <v/>
      </c>
      <c r="BL190" s="185" t="str">
        <f>_xlfn.IFNA(VLOOKUP($BC190,Programma!$F$3:$O$1101,10,0),"")</f>
        <v/>
      </c>
      <c r="BM190" s="185" t="str">
        <f>_xlfn.IFNA(VLOOKUP($BC190,Programma!$F$3:$P$1101,11,0),"")</f>
        <v/>
      </c>
      <c r="BN190" s="185" t="str">
        <f>_xlfn.IFNA(VLOOKUP($BC190,Programma!$F$3:$Q$1101,12,0),"")</f>
        <v/>
      </c>
      <c r="BO190" s="185" t="str">
        <f>_xlfn.IFNA(VLOOKUP($BC190,Programma!$F$3:$R$1101,13,0),"")</f>
        <v/>
      </c>
      <c r="BP190" s="185" t="str">
        <f>_xlfn.IFNA(VLOOKUP($BC190,Programma!$F$3:$S$1101,14,0),"")</f>
        <v/>
      </c>
      <c r="BQ190" s="185" t="str">
        <f>_xlfn.IFNA(VLOOKUP($BC190,Programma!$F$3:$T$1101,15,0),"")</f>
        <v/>
      </c>
      <c r="BR190" s="185" t="str">
        <f>_xlfn.IFNA(VLOOKUP($BC190,Programma!$F$3:$U$1101,16,0),"")</f>
        <v/>
      </c>
      <c r="BS190" s="185" t="str">
        <f>_xlfn.IFNA(VLOOKUP($BC190,Programma!$F$3:$V$1101,17,0),"")</f>
        <v/>
      </c>
      <c r="BT190" s="185" t="str">
        <f>_xlfn.IFNA(VLOOKUP($BC190,Programma!$F$3:$W$1101,18,0),"")</f>
        <v/>
      </c>
      <c r="BU190" s="185" t="str">
        <f>_xlfn.IFNA(VLOOKUP($BC190,Programma!$F$3:$X$1101,19,0),"")</f>
        <v/>
      </c>
      <c r="BV190" s="185" t="str">
        <f>_xlfn.IFNA(VLOOKUP($BC190,Programma!$F$3:$Y$1101,20,0),"")</f>
        <v/>
      </c>
      <c r="BW190" s="78"/>
      <c r="BX190" s="78"/>
      <c r="BY190" s="78"/>
      <c r="BZ190" s="78"/>
      <c r="CA190" s="78"/>
      <c r="CB190" s="78"/>
      <c r="CC190" s="78"/>
      <c r="CD190" s="78"/>
      <c r="CE190" s="78"/>
      <c r="CF190" s="78"/>
      <c r="CG190" s="78"/>
      <c r="CH190" s="78"/>
      <c r="CI190" s="78"/>
      <c r="CJ190" s="78"/>
      <c r="CK190" s="78"/>
      <c r="CL190" s="78"/>
      <c r="CM190" s="78"/>
      <c r="CN190" s="78"/>
      <c r="CO190" s="78"/>
      <c r="CP190" s="78"/>
      <c r="CQ190" s="78"/>
      <c r="CR190" s="78"/>
      <c r="CS190" s="78"/>
      <c r="CT190" s="78"/>
      <c r="CU190" s="78"/>
      <c r="CV190" s="78"/>
      <c r="CW190" s="78"/>
      <c r="CX190" s="78"/>
      <c r="CY190" s="78"/>
      <c r="CZ190" s="78"/>
      <c r="DA190" s="78"/>
      <c r="DB190" s="78"/>
      <c r="DC190" s="78"/>
      <c r="DD190" s="78"/>
      <c r="DE190" s="78"/>
      <c r="DF190" s="78"/>
      <c r="DG190" s="78"/>
      <c r="DH190" s="78"/>
      <c r="DI190" s="78"/>
      <c r="DJ190" s="78"/>
      <c r="DK190" s="78"/>
      <c r="DL190" s="78"/>
      <c r="DM190" s="78"/>
      <c r="DN190" s="78"/>
      <c r="DO190" s="78"/>
      <c r="DP190" s="78"/>
      <c r="DQ190" s="78"/>
      <c r="DR190" s="78"/>
      <c r="DS190" s="78"/>
      <c r="DT190" s="78"/>
      <c r="DU190" s="78"/>
      <c r="DV190" s="78"/>
      <c r="DW190" s="78"/>
      <c r="DX190" s="78"/>
      <c r="DY190" s="78"/>
      <c r="DZ190" s="78"/>
      <c r="EA190" s="78"/>
      <c r="EB190" s="78"/>
      <c r="EC190" s="78"/>
      <c r="ED190" s="78"/>
      <c r="EE190" s="78"/>
      <c r="EF190" s="78"/>
      <c r="EG190" s="78"/>
      <c r="EH190" s="78"/>
      <c r="EI190" s="78"/>
      <c r="EJ190" s="78"/>
      <c r="EK190" s="78"/>
      <c r="EL190" s="78"/>
      <c r="EM190" s="78"/>
      <c r="EN190" s="78"/>
      <c r="EO190" s="78"/>
      <c r="EP190" s="78"/>
      <c r="EQ190" s="78"/>
      <c r="ER190" s="78"/>
      <c r="ES190" s="78"/>
      <c r="ET190" s="78"/>
      <c r="EU190" s="78"/>
      <c r="EV190" s="78"/>
      <c r="EW190" s="78"/>
      <c r="EX190" s="78"/>
      <c r="EY190" s="78"/>
      <c r="EZ190" s="78"/>
      <c r="FA190" s="78"/>
      <c r="FB190" s="78"/>
      <c r="FC190" s="78"/>
      <c r="FD190" s="78"/>
      <c r="FE190" s="78"/>
      <c r="FF190" s="78"/>
      <c r="FG190" s="78"/>
      <c r="FH190" s="78"/>
      <c r="FI190" s="78"/>
      <c r="FJ190" s="78"/>
      <c r="FK190" s="78"/>
      <c r="FL190" s="78"/>
      <c r="FM190" s="78"/>
      <c r="FN190" s="78"/>
      <c r="FO190" s="78"/>
      <c r="FP190" s="78"/>
      <c r="FQ190" s="78"/>
      <c r="FR190" s="78"/>
      <c r="FS190" s="78"/>
      <c r="FT190" s="78"/>
      <c r="FU190" s="78"/>
      <c r="FV190" s="78"/>
      <c r="FW190" s="78"/>
      <c r="FX190" s="78"/>
      <c r="FY190" s="78"/>
      <c r="FZ190" s="78"/>
      <c r="GA190" s="78"/>
      <c r="GB190" s="78"/>
      <c r="GC190" s="78"/>
      <c r="GD190" s="78"/>
      <c r="GE190" s="78"/>
      <c r="GF190" s="78"/>
      <c r="GG190" s="78"/>
      <c r="GH190" s="78"/>
      <c r="GI190" s="78"/>
      <c r="GJ190" s="78"/>
      <c r="GK190" s="78"/>
      <c r="GL190" s="78"/>
      <c r="GM190" s="78"/>
      <c r="GN190" s="78"/>
      <c r="GO190" s="78"/>
      <c r="GP190" s="78"/>
      <c r="GQ190" s="78"/>
      <c r="GR190" s="78"/>
      <c r="GS190" s="78"/>
      <c r="GT190" s="78"/>
      <c r="GU190" s="78"/>
      <c r="GV190" s="78"/>
      <c r="GW190" s="78"/>
      <c r="GX190" s="78"/>
      <c r="GY190" s="78"/>
      <c r="GZ190" s="78"/>
      <c r="HA190" s="78"/>
      <c r="HB190" s="78"/>
      <c r="HC190" s="78"/>
      <c r="HD190" s="78"/>
      <c r="HE190" s="78"/>
      <c r="HF190" s="78"/>
      <c r="HG190" s="78"/>
      <c r="HH190" s="78"/>
      <c r="HI190" s="78"/>
      <c r="HJ190" s="78"/>
      <c r="HK190" s="78"/>
    </row>
    <row r="191" spans="1:219" ht="15" customHeight="1">
      <c r="A191" s="149">
        <v>6</v>
      </c>
      <c r="B191" s="176" t="str">
        <f>VLOOKUP(Ruimtestaat[[#This Row],[Code]],Locaties[[Code]:[Locatie]],2,FALSE)</f>
        <v>OBS La Res Noord</v>
      </c>
      <c r="C191" s="176" t="str">
        <f>VLOOKUP(Ruimtestaat[[#This Row],[Code]],Locaties[[#All],[Code]:[Adres]],4,FALSE)</f>
        <v>Schietbaanweg 30</v>
      </c>
      <c r="D191" s="176" t="str">
        <f>VLOOKUP(Ruimtestaat[[#This Row],[Code]],Locaties[[#All],[Code]:[Postcode]],5,FALSE)</f>
        <v>7521 DB</v>
      </c>
      <c r="E191" s="176" t="str">
        <f>VLOOKUP(Ruimtestaat[[#This Row],[Code]],Locaties[#All],6,FALSE)</f>
        <v>Enschede</v>
      </c>
      <c r="F191" s="149"/>
      <c r="G191" s="149"/>
      <c r="H191" s="99" t="s">
        <v>1747</v>
      </c>
      <c r="I191" s="183" t="s">
        <v>1886</v>
      </c>
      <c r="J191" s="99">
        <v>20</v>
      </c>
      <c r="K191" s="183" t="str">
        <f>VLOOKUP(Ruimtestaat[[#This Row],[Ruimte code]],Ruimtegroepen[[#All],[Code]:[Ruimte omschrijving]],2,FALSE)</f>
        <v>Niet in Onderhoud</v>
      </c>
      <c r="L191" s="149" t="s">
        <v>101</v>
      </c>
      <c r="M191" s="301" t="s">
        <v>1698</v>
      </c>
      <c r="N191" s="177"/>
      <c r="O191" s="177">
        <v>8</v>
      </c>
      <c r="P191" s="178">
        <f>VLOOKUP(Ruimtestaat[[#This Row],[Ruimte code]],Ruimtegroepen[],4,FALSE)</f>
        <v>0</v>
      </c>
      <c r="Q191" s="149"/>
      <c r="R191" s="149"/>
      <c r="S191" s="149">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1" s="149">
        <f>IF(S191&gt;0,VLOOKUP($J191,Ruimtegroepen[],3,FALSE)*VLOOKUP($L191,Vloersoorten[],3,FALSE)*VLOOKUP($R191,Frequenties[],3,FALSE)*VLOOKUP($A191,Locaties[],3,FALSE),0)</f>
        <v>0</v>
      </c>
      <c r="U191" s="149">
        <f>Ruimtestaat[[#This Row],[Uitvoeringen werkdagen]]*Ruimtestaat[[#This Row],[Oppervlak (netto)]]</f>
        <v>0</v>
      </c>
      <c r="V191" s="179">
        <f>IF(T191&gt;0,Ruimtestaat[[#This Row],[Prest. (m2 /jaar) werkdagen]]/Ruimtestaat[[#This Row],[Norm (m2/uur) werkdagen]],0)</f>
        <v>0</v>
      </c>
      <c r="W191" s="180">
        <f>Ruimtestaat[[#This Row],[uren / jaar werkdagen]]*Tariefsopbouw!$E$35</f>
        <v>0</v>
      </c>
      <c r="X191" s="149"/>
      <c r="Y191" s="149">
        <f>IF(Ruimtestaat[[#This Row],[Frequentie weekend]]&gt;0,VALUE(LEFT(X191,1))*Q191,0)</f>
        <v>0</v>
      </c>
      <c r="Z191" s="148">
        <f>IF($Y191&gt;0,VLOOKUP($J191,Ruimtegroepen[],3,FALSE)*VLOOKUP($L191,Vloersoorten[],3,FALSE)*VLOOKUP($X191,Frequenties[],3,FALSE)*VLOOKUP(#REF!,Locaties[],3,FALSE),0)</f>
        <v>0</v>
      </c>
      <c r="AA191" s="148">
        <f>Ruimtestaat[[#This Row],[Uitvoeringen weekend]]*Ruimtestaat[[#This Row],[Oppervlak (netto)]]</f>
        <v>0</v>
      </c>
      <c r="AB191" s="148">
        <f>IF(Z191&gt;0,Ruimtestaat[[#This Row],[Prest. (m2 /jaar) weekend]]/Ruimtestaat[[#This Row],[Norm (m2/uur) weekend]],0)</f>
        <v>0</v>
      </c>
      <c r="AC191" s="180">
        <f>Ruimtestaat[[#This Row],[uren / jaar weekend]]*Tariefsopbouw!$D$40</f>
        <v>0</v>
      </c>
      <c r="AD191" s="179">
        <f>Ruimtestaat[[#This Row],[Prest. (m2 /jaar) weekend]]+Ruimtestaat[[#This Row],[Prest. (m2 /jaar) werkdagen]]</f>
        <v>0</v>
      </c>
      <c r="AE191" s="179">
        <f>Ruimtestaat[[#This Row],[uren / jaar weekend]]+Ruimtestaat[[#This Row],[uren / jaar werkdagen]]</f>
        <v>0</v>
      </c>
      <c r="AF191" s="174">
        <f>Ruimtestaat[[#This Row],[kosten / jaar weekend]]+Ruimtestaat[[#This Row],[kosten / jaar werkdagen]]</f>
        <v>0</v>
      </c>
      <c r="AG191" s="174"/>
      <c r="AH191" s="181" t="str">
        <f>IF(Ruimtestaat[[#This Row],[Frequentie werkdagen]]="","",_xlfn.CONCAT(Ruimtestaat[[#This Row],[Ruimte code]],"-",Ruimtestaat[[#This Row],[Frequentie werkdagen]]," ",Ruimtestaat[[#This Row],[Vloer code]]))</f>
        <v/>
      </c>
      <c r="AI191" s="185" t="str">
        <f>_xlfn.IFNA(VLOOKUP($AH191,Programma!$F$3:$G$1101,2,0),"")</f>
        <v/>
      </c>
      <c r="AJ191" s="185" t="str">
        <f>_xlfn.IFNA(VLOOKUP($AH191,Programma!$F$3:$H$1101,3,0),"")</f>
        <v/>
      </c>
      <c r="AK191" s="185" t="str">
        <f>_xlfn.IFNA(VLOOKUP($AH191,Programma!$F$3:$I$1101,4,0),"")</f>
        <v/>
      </c>
      <c r="AL191" s="185" t="str">
        <f>_xlfn.IFNA(VLOOKUP($AH191,Programma!$F$3:$J$1101,5,0),"")</f>
        <v/>
      </c>
      <c r="AM191" s="185" t="str">
        <f>_xlfn.IFNA(VLOOKUP($AH191,Programma!$F$3:$K$1101,6,0),"")</f>
        <v/>
      </c>
      <c r="AN191" s="185" t="str">
        <f>_xlfn.IFNA(VLOOKUP($AH191,Programma!$F$3:$L$1101,7,0),"")</f>
        <v/>
      </c>
      <c r="AO191" s="185" t="str">
        <f>_xlfn.IFNA(VLOOKUP($AH191,Programma!$F$3:$M$1101,8,0),"")</f>
        <v/>
      </c>
      <c r="AP191" s="185" t="str">
        <f>_xlfn.IFNA(VLOOKUP($AH191,Programma!$F$3:$N$1101,9,0),"")</f>
        <v/>
      </c>
      <c r="AQ191" s="185" t="str">
        <f>_xlfn.IFNA(VLOOKUP($AH191,Programma!$F$3:$O$1101,10,0),"")</f>
        <v/>
      </c>
      <c r="AR191" s="185" t="str">
        <f>_xlfn.IFNA(VLOOKUP($AH191,Programma!$F$3:$P$1101,11,0),"")</f>
        <v/>
      </c>
      <c r="AS191" s="185" t="str">
        <f>_xlfn.IFNA(VLOOKUP($AH191,Programma!$F$3:$Q$1101,12,0),"")</f>
        <v/>
      </c>
      <c r="AT191" s="185" t="str">
        <f>_xlfn.IFNA(VLOOKUP($AH191,Programma!$F$3:$R$1101,13,0),"")</f>
        <v/>
      </c>
      <c r="AU191" s="185" t="str">
        <f>_xlfn.IFNA(VLOOKUP($AH191,Programma!$F$3:$S$1101,14,0),"")</f>
        <v/>
      </c>
      <c r="AV191" s="185" t="str">
        <f>_xlfn.IFNA(VLOOKUP($AH191,Programma!$F$3:$T$1101,15,0),"")</f>
        <v/>
      </c>
      <c r="AW191" s="185" t="str">
        <f>_xlfn.IFNA(VLOOKUP($AH191,Programma!$F$3:$U$1101,16,0),"")</f>
        <v/>
      </c>
      <c r="AX191" s="185" t="str">
        <f>_xlfn.IFNA(VLOOKUP($AH191,Programma!$F$3:$V$1101,17,0),"")</f>
        <v/>
      </c>
      <c r="AY191" s="185" t="str">
        <f>_xlfn.IFNA(VLOOKUP($AH191,Programma!$F$3:$W$1101,18,0),"")</f>
        <v/>
      </c>
      <c r="AZ191" s="185" t="str">
        <f>_xlfn.IFNA(VLOOKUP($AH191,Programma!$F$3:$X$1101,19,0),"")</f>
        <v/>
      </c>
      <c r="BA191" s="185" t="str">
        <f>_xlfn.IFNA(VLOOKUP($AH191,Programma!$F$3:$Y$1101,20,0),"")</f>
        <v/>
      </c>
      <c r="BB191" s="182"/>
      <c r="BC191" s="181" t="str">
        <f>IF(Ruimtestaat[[#This Row],[Frequentie weekend]]="","",_xlfn.CONCAT(Ruimtestaat[[#This Row],[Ruimte code]],"-",Ruimtestaat[[#This Row],[Frequentie weekend]]," ",Ruimtestaat[[#This Row],[Vloer code]]))</f>
        <v/>
      </c>
      <c r="BD191" s="185" t="str">
        <f>_xlfn.IFNA(VLOOKUP($BC191,Programma!$F$3:$G$1101,2,0),"")</f>
        <v/>
      </c>
      <c r="BE191" s="185" t="str">
        <f>_xlfn.IFNA(VLOOKUP($BC191,Programma!$F$3:$H$1101,3,0),"")</f>
        <v/>
      </c>
      <c r="BF191" s="185" t="str">
        <f>_xlfn.IFNA(VLOOKUP($BC191,Programma!$F$3:$I$1101,4,0),"")</f>
        <v/>
      </c>
      <c r="BG191" s="185" t="str">
        <f>_xlfn.IFNA(VLOOKUP($BC191,Programma!$F$3:$J$1101,5,0),"")</f>
        <v/>
      </c>
      <c r="BH191" s="185" t="str">
        <f>_xlfn.IFNA(VLOOKUP($BC191,Programma!$F$3:$K$1101,6,0),"")</f>
        <v/>
      </c>
      <c r="BI191" s="185" t="str">
        <f>_xlfn.IFNA(VLOOKUP($BC191,Programma!$F$3:$L$1101,7,0),"")</f>
        <v/>
      </c>
      <c r="BJ191" s="185" t="str">
        <f>_xlfn.IFNA(VLOOKUP($BC191,Programma!$F$3:$M$1101,8,0),"")</f>
        <v/>
      </c>
      <c r="BK191" s="185" t="str">
        <f>_xlfn.IFNA(VLOOKUP($BC191,Programma!$F$3:$N$1101,9,0),"")</f>
        <v/>
      </c>
      <c r="BL191" s="185" t="str">
        <f>_xlfn.IFNA(VLOOKUP($BC191,Programma!$F$3:$O$1101,10,0),"")</f>
        <v/>
      </c>
      <c r="BM191" s="185" t="str">
        <f>_xlfn.IFNA(VLOOKUP($BC191,Programma!$F$3:$P$1101,11,0),"")</f>
        <v/>
      </c>
      <c r="BN191" s="185" t="str">
        <f>_xlfn.IFNA(VLOOKUP($BC191,Programma!$F$3:$Q$1101,12,0),"")</f>
        <v/>
      </c>
      <c r="BO191" s="185" t="str">
        <f>_xlfn.IFNA(VLOOKUP($BC191,Programma!$F$3:$R$1101,13,0),"")</f>
        <v/>
      </c>
      <c r="BP191" s="185" t="str">
        <f>_xlfn.IFNA(VLOOKUP($BC191,Programma!$F$3:$S$1101,14,0),"")</f>
        <v/>
      </c>
      <c r="BQ191" s="185" t="str">
        <f>_xlfn.IFNA(VLOOKUP($BC191,Programma!$F$3:$T$1101,15,0),"")</f>
        <v/>
      </c>
      <c r="BR191" s="185" t="str">
        <f>_xlfn.IFNA(VLOOKUP($BC191,Programma!$F$3:$U$1101,16,0),"")</f>
        <v/>
      </c>
      <c r="BS191" s="185" t="str">
        <f>_xlfn.IFNA(VLOOKUP($BC191,Programma!$F$3:$V$1101,17,0),"")</f>
        <v/>
      </c>
      <c r="BT191" s="185" t="str">
        <f>_xlfn.IFNA(VLOOKUP($BC191,Programma!$F$3:$W$1101,18,0),"")</f>
        <v/>
      </c>
      <c r="BU191" s="185" t="str">
        <f>_xlfn.IFNA(VLOOKUP($BC191,Programma!$F$3:$X$1101,19,0),"")</f>
        <v/>
      </c>
      <c r="BV191" s="185" t="str">
        <f>_xlfn.IFNA(VLOOKUP($BC191,Programma!$F$3:$Y$1101,20,0),"")</f>
        <v/>
      </c>
      <c r="BW191" s="78"/>
      <c r="BX191" s="78"/>
      <c r="BY191" s="78"/>
      <c r="BZ191" s="78"/>
      <c r="CA191" s="78"/>
      <c r="CB191" s="78"/>
      <c r="CC191" s="78"/>
      <c r="CD191" s="78"/>
      <c r="CE191" s="78"/>
      <c r="CF191" s="78"/>
      <c r="CG191" s="78"/>
      <c r="CH191" s="78"/>
      <c r="CI191" s="78"/>
      <c r="CJ191" s="78"/>
      <c r="CK191" s="78"/>
      <c r="CL191" s="78"/>
      <c r="CM191" s="78"/>
      <c r="CN191" s="78"/>
      <c r="CO191" s="78"/>
      <c r="CP191" s="78"/>
      <c r="CQ191" s="78"/>
      <c r="CR191" s="78"/>
      <c r="CS191" s="78"/>
      <c r="CT191" s="78"/>
      <c r="CU191" s="78"/>
      <c r="CV191" s="78"/>
      <c r="CW191" s="78"/>
      <c r="CX191" s="78"/>
      <c r="CY191" s="78"/>
      <c r="CZ191" s="78"/>
      <c r="DA191" s="78"/>
      <c r="DB191" s="78"/>
      <c r="DC191" s="78"/>
      <c r="DD191" s="78"/>
      <c r="DE191" s="78"/>
      <c r="DF191" s="78"/>
      <c r="DG191" s="78"/>
      <c r="DH191" s="78"/>
      <c r="DI191" s="78"/>
      <c r="DJ191" s="78"/>
      <c r="DK191" s="78"/>
      <c r="DL191" s="78"/>
      <c r="DM191" s="78"/>
      <c r="DN191" s="78"/>
      <c r="DO191" s="78"/>
      <c r="DP191" s="78"/>
      <c r="DQ191" s="78"/>
      <c r="DR191" s="78"/>
      <c r="DS191" s="78"/>
      <c r="DT191" s="78"/>
      <c r="DU191" s="78"/>
      <c r="DV191" s="78"/>
      <c r="DW191" s="78"/>
      <c r="DX191" s="78"/>
      <c r="DY191" s="78"/>
      <c r="DZ191" s="78"/>
      <c r="EA191" s="78"/>
      <c r="EB191" s="78"/>
      <c r="EC191" s="78"/>
      <c r="ED191" s="78"/>
      <c r="EE191" s="78"/>
      <c r="EF191" s="78"/>
      <c r="EG191" s="78"/>
      <c r="EH191" s="78"/>
      <c r="EI191" s="78"/>
      <c r="EJ191" s="78"/>
      <c r="EK191" s="78"/>
      <c r="EL191" s="78"/>
      <c r="EM191" s="78"/>
      <c r="EN191" s="78"/>
      <c r="EO191" s="78"/>
      <c r="EP191" s="78"/>
      <c r="EQ191" s="78"/>
      <c r="ER191" s="78"/>
      <c r="ES191" s="78"/>
      <c r="ET191" s="78"/>
      <c r="EU191" s="78"/>
      <c r="EV191" s="78"/>
      <c r="EW191" s="78"/>
      <c r="EX191" s="78"/>
      <c r="EY191" s="78"/>
      <c r="EZ191" s="78"/>
      <c r="FA191" s="78"/>
      <c r="FB191" s="78"/>
      <c r="FC191" s="78"/>
      <c r="FD191" s="78"/>
      <c r="FE191" s="78"/>
      <c r="FF191" s="78"/>
      <c r="FG191" s="78"/>
      <c r="FH191" s="78"/>
      <c r="FI191" s="78"/>
      <c r="FJ191" s="78"/>
      <c r="FK191" s="78"/>
      <c r="FL191" s="78"/>
      <c r="FM191" s="78"/>
      <c r="FN191" s="78"/>
      <c r="FO191" s="78"/>
      <c r="FP191" s="78"/>
      <c r="FQ191" s="78"/>
      <c r="FR191" s="78"/>
      <c r="FS191" s="78"/>
      <c r="FT191" s="78"/>
      <c r="FU191" s="78"/>
      <c r="FV191" s="78"/>
      <c r="FW191" s="78"/>
      <c r="FX191" s="78"/>
      <c r="FY191" s="78"/>
      <c r="FZ191" s="78"/>
      <c r="GA191" s="78"/>
      <c r="GB191" s="78"/>
      <c r="GC191" s="78"/>
      <c r="GD191" s="78"/>
      <c r="GE191" s="78"/>
      <c r="GF191" s="78"/>
      <c r="GG191" s="78"/>
      <c r="GH191" s="78"/>
      <c r="GI191" s="78"/>
      <c r="GJ191" s="78"/>
      <c r="GK191" s="78"/>
      <c r="GL191" s="78"/>
      <c r="GM191" s="78"/>
      <c r="GN191" s="78"/>
      <c r="GO191" s="78"/>
      <c r="GP191" s="78"/>
      <c r="GQ191" s="78"/>
      <c r="GR191" s="78"/>
      <c r="GS191" s="78"/>
      <c r="GT191" s="78"/>
      <c r="GU191" s="78"/>
      <c r="GV191" s="78"/>
      <c r="GW191" s="78"/>
      <c r="GX191" s="78"/>
      <c r="GY191" s="78"/>
      <c r="GZ191" s="78"/>
      <c r="HA191" s="78"/>
      <c r="HB191" s="78"/>
      <c r="HC191" s="78"/>
      <c r="HD191" s="78"/>
      <c r="HE191" s="78"/>
      <c r="HF191" s="78"/>
      <c r="HG191" s="78"/>
      <c r="HH191" s="78"/>
      <c r="HI191" s="78"/>
      <c r="HJ191" s="78"/>
      <c r="HK191" s="78"/>
    </row>
    <row r="192" spans="1:219" ht="15" customHeight="1">
      <c r="A192" s="149">
        <v>6</v>
      </c>
      <c r="B192" s="176" t="str">
        <f>VLOOKUP(Ruimtestaat[[#This Row],[Code]],Locaties[[Code]:[Locatie]],2,FALSE)</f>
        <v>OBS La Res Noord</v>
      </c>
      <c r="C192" s="176" t="str">
        <f>VLOOKUP(Ruimtestaat[[#This Row],[Code]],Locaties[[#All],[Code]:[Adres]],4,FALSE)</f>
        <v>Schietbaanweg 30</v>
      </c>
      <c r="D192" s="176" t="str">
        <f>VLOOKUP(Ruimtestaat[[#This Row],[Code]],Locaties[[#All],[Code]:[Postcode]],5,FALSE)</f>
        <v>7521 DB</v>
      </c>
      <c r="E192" s="176" t="str">
        <f>VLOOKUP(Ruimtestaat[[#This Row],[Code]],Locaties[#All],6,FALSE)</f>
        <v>Enschede</v>
      </c>
      <c r="F192" s="149"/>
      <c r="G192" s="149"/>
      <c r="H192" s="99" t="s">
        <v>1748</v>
      </c>
      <c r="I192" s="183" t="s">
        <v>1722</v>
      </c>
      <c r="J192" s="99">
        <v>20</v>
      </c>
      <c r="K192" s="183" t="str">
        <f>VLOOKUP(Ruimtestaat[[#This Row],[Ruimte code]],Ruimtegroepen[[#All],[Code]:[Ruimte omschrijving]],2,FALSE)</f>
        <v>Niet in Onderhoud</v>
      </c>
      <c r="L192" s="149" t="s">
        <v>101</v>
      </c>
      <c r="M192" s="301" t="s">
        <v>1698</v>
      </c>
      <c r="N192" s="177"/>
      <c r="O192" s="177">
        <v>1</v>
      </c>
      <c r="P192" s="178">
        <f>VLOOKUP(Ruimtestaat[[#This Row],[Ruimte code]],Ruimtegroepen[],4,FALSE)</f>
        <v>0</v>
      </c>
      <c r="Q192" s="149"/>
      <c r="R192" s="149"/>
      <c r="S192" s="149">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2" s="149">
        <f>IF(S192&gt;0,VLOOKUP($J192,Ruimtegroepen[],3,FALSE)*VLOOKUP($L192,Vloersoorten[],3,FALSE)*VLOOKUP($R192,Frequenties[],3,FALSE)*VLOOKUP($A192,Locaties[],3,FALSE),0)</f>
        <v>0</v>
      </c>
      <c r="U192" s="149">
        <f>Ruimtestaat[[#This Row],[Uitvoeringen werkdagen]]*Ruimtestaat[[#This Row],[Oppervlak (netto)]]</f>
        <v>0</v>
      </c>
      <c r="V192" s="179">
        <f>IF(T192&gt;0,Ruimtestaat[[#This Row],[Prest. (m2 /jaar) werkdagen]]/Ruimtestaat[[#This Row],[Norm (m2/uur) werkdagen]],0)</f>
        <v>0</v>
      </c>
      <c r="W192" s="180">
        <f>Ruimtestaat[[#This Row],[uren / jaar werkdagen]]*Tariefsopbouw!$E$35</f>
        <v>0</v>
      </c>
      <c r="X192" s="149"/>
      <c r="Y192" s="149">
        <f>IF(Ruimtestaat[[#This Row],[Frequentie weekend]]&gt;0,VALUE(LEFT(X192,1))*Q192,0)</f>
        <v>0</v>
      </c>
      <c r="Z192" s="148">
        <f>IF($Y192&gt;0,VLOOKUP($J192,Ruimtegroepen[],3,FALSE)*VLOOKUP($L192,Vloersoorten[],3,FALSE)*VLOOKUP($X192,Frequenties[],3,FALSE)*VLOOKUP(#REF!,Locaties[],3,FALSE),0)</f>
        <v>0</v>
      </c>
      <c r="AA192" s="148">
        <f>Ruimtestaat[[#This Row],[Uitvoeringen weekend]]*Ruimtestaat[[#This Row],[Oppervlak (netto)]]</f>
        <v>0</v>
      </c>
      <c r="AB192" s="148">
        <f>IF(Z192&gt;0,Ruimtestaat[[#This Row],[Prest. (m2 /jaar) weekend]]/Ruimtestaat[[#This Row],[Norm (m2/uur) weekend]],0)</f>
        <v>0</v>
      </c>
      <c r="AC192" s="180">
        <f>Ruimtestaat[[#This Row],[uren / jaar weekend]]*Tariefsopbouw!$D$40</f>
        <v>0</v>
      </c>
      <c r="AD192" s="179">
        <f>Ruimtestaat[[#This Row],[Prest. (m2 /jaar) weekend]]+Ruimtestaat[[#This Row],[Prest. (m2 /jaar) werkdagen]]</f>
        <v>0</v>
      </c>
      <c r="AE192" s="179">
        <f>Ruimtestaat[[#This Row],[uren / jaar weekend]]+Ruimtestaat[[#This Row],[uren / jaar werkdagen]]</f>
        <v>0</v>
      </c>
      <c r="AF192" s="174">
        <f>Ruimtestaat[[#This Row],[kosten / jaar weekend]]+Ruimtestaat[[#This Row],[kosten / jaar werkdagen]]</f>
        <v>0</v>
      </c>
      <c r="AG192" s="174"/>
      <c r="AH192" s="181" t="str">
        <f>IF(Ruimtestaat[[#This Row],[Frequentie werkdagen]]="","",_xlfn.CONCAT(Ruimtestaat[[#This Row],[Ruimte code]],"-",Ruimtestaat[[#This Row],[Frequentie werkdagen]]," ",Ruimtestaat[[#This Row],[Vloer code]]))</f>
        <v/>
      </c>
      <c r="AI192" s="185" t="str">
        <f>_xlfn.IFNA(VLOOKUP($AH192,Programma!$F$3:$G$1101,2,0),"")</f>
        <v/>
      </c>
      <c r="AJ192" s="185" t="str">
        <f>_xlfn.IFNA(VLOOKUP($AH192,Programma!$F$3:$H$1101,3,0),"")</f>
        <v/>
      </c>
      <c r="AK192" s="185" t="str">
        <f>_xlfn.IFNA(VLOOKUP($AH192,Programma!$F$3:$I$1101,4,0),"")</f>
        <v/>
      </c>
      <c r="AL192" s="185" t="str">
        <f>_xlfn.IFNA(VLOOKUP($AH192,Programma!$F$3:$J$1101,5,0),"")</f>
        <v/>
      </c>
      <c r="AM192" s="185" t="str">
        <f>_xlfn.IFNA(VLOOKUP($AH192,Programma!$F$3:$K$1101,6,0),"")</f>
        <v/>
      </c>
      <c r="AN192" s="185" t="str">
        <f>_xlfn.IFNA(VLOOKUP($AH192,Programma!$F$3:$L$1101,7,0),"")</f>
        <v/>
      </c>
      <c r="AO192" s="185" t="str">
        <f>_xlfn.IFNA(VLOOKUP($AH192,Programma!$F$3:$M$1101,8,0),"")</f>
        <v/>
      </c>
      <c r="AP192" s="185" t="str">
        <f>_xlfn.IFNA(VLOOKUP($AH192,Programma!$F$3:$N$1101,9,0),"")</f>
        <v/>
      </c>
      <c r="AQ192" s="185" t="str">
        <f>_xlfn.IFNA(VLOOKUP($AH192,Programma!$F$3:$O$1101,10,0),"")</f>
        <v/>
      </c>
      <c r="AR192" s="185" t="str">
        <f>_xlfn.IFNA(VLOOKUP($AH192,Programma!$F$3:$P$1101,11,0),"")</f>
        <v/>
      </c>
      <c r="AS192" s="185" t="str">
        <f>_xlfn.IFNA(VLOOKUP($AH192,Programma!$F$3:$Q$1101,12,0),"")</f>
        <v/>
      </c>
      <c r="AT192" s="185" t="str">
        <f>_xlfn.IFNA(VLOOKUP($AH192,Programma!$F$3:$R$1101,13,0),"")</f>
        <v/>
      </c>
      <c r="AU192" s="185" t="str">
        <f>_xlfn.IFNA(VLOOKUP($AH192,Programma!$F$3:$S$1101,14,0),"")</f>
        <v/>
      </c>
      <c r="AV192" s="185" t="str">
        <f>_xlfn.IFNA(VLOOKUP($AH192,Programma!$F$3:$T$1101,15,0),"")</f>
        <v/>
      </c>
      <c r="AW192" s="185" t="str">
        <f>_xlfn.IFNA(VLOOKUP($AH192,Programma!$F$3:$U$1101,16,0),"")</f>
        <v/>
      </c>
      <c r="AX192" s="185" t="str">
        <f>_xlfn.IFNA(VLOOKUP($AH192,Programma!$F$3:$V$1101,17,0),"")</f>
        <v/>
      </c>
      <c r="AY192" s="185" t="str">
        <f>_xlfn.IFNA(VLOOKUP($AH192,Programma!$F$3:$W$1101,18,0),"")</f>
        <v/>
      </c>
      <c r="AZ192" s="185" t="str">
        <f>_xlfn.IFNA(VLOOKUP($AH192,Programma!$F$3:$X$1101,19,0),"")</f>
        <v/>
      </c>
      <c r="BA192" s="185" t="str">
        <f>_xlfn.IFNA(VLOOKUP($AH192,Programma!$F$3:$Y$1101,20,0),"")</f>
        <v/>
      </c>
      <c r="BB192" s="182"/>
      <c r="BC192" s="181" t="str">
        <f>IF(Ruimtestaat[[#This Row],[Frequentie weekend]]="","",_xlfn.CONCAT(Ruimtestaat[[#This Row],[Ruimte code]],"-",Ruimtestaat[[#This Row],[Frequentie weekend]]," ",Ruimtestaat[[#This Row],[Vloer code]]))</f>
        <v/>
      </c>
      <c r="BD192" s="185" t="str">
        <f>_xlfn.IFNA(VLOOKUP($BC192,Programma!$F$3:$G$1101,2,0),"")</f>
        <v/>
      </c>
      <c r="BE192" s="185" t="str">
        <f>_xlfn.IFNA(VLOOKUP($BC192,Programma!$F$3:$H$1101,3,0),"")</f>
        <v/>
      </c>
      <c r="BF192" s="185" t="str">
        <f>_xlfn.IFNA(VLOOKUP($BC192,Programma!$F$3:$I$1101,4,0),"")</f>
        <v/>
      </c>
      <c r="BG192" s="185" t="str">
        <f>_xlfn.IFNA(VLOOKUP($BC192,Programma!$F$3:$J$1101,5,0),"")</f>
        <v/>
      </c>
      <c r="BH192" s="185" t="str">
        <f>_xlfn.IFNA(VLOOKUP($BC192,Programma!$F$3:$K$1101,6,0),"")</f>
        <v/>
      </c>
      <c r="BI192" s="185" t="str">
        <f>_xlfn.IFNA(VLOOKUP($BC192,Programma!$F$3:$L$1101,7,0),"")</f>
        <v/>
      </c>
      <c r="BJ192" s="185" t="str">
        <f>_xlfn.IFNA(VLOOKUP($BC192,Programma!$F$3:$M$1101,8,0),"")</f>
        <v/>
      </c>
      <c r="BK192" s="185" t="str">
        <f>_xlfn.IFNA(VLOOKUP($BC192,Programma!$F$3:$N$1101,9,0),"")</f>
        <v/>
      </c>
      <c r="BL192" s="185" t="str">
        <f>_xlfn.IFNA(VLOOKUP($BC192,Programma!$F$3:$O$1101,10,0),"")</f>
        <v/>
      </c>
      <c r="BM192" s="185" t="str">
        <f>_xlfn.IFNA(VLOOKUP($BC192,Programma!$F$3:$P$1101,11,0),"")</f>
        <v/>
      </c>
      <c r="BN192" s="185" t="str">
        <f>_xlfn.IFNA(VLOOKUP($BC192,Programma!$F$3:$Q$1101,12,0),"")</f>
        <v/>
      </c>
      <c r="BO192" s="185" t="str">
        <f>_xlfn.IFNA(VLOOKUP($BC192,Programma!$F$3:$R$1101,13,0),"")</f>
        <v/>
      </c>
      <c r="BP192" s="185" t="str">
        <f>_xlfn.IFNA(VLOOKUP($BC192,Programma!$F$3:$S$1101,14,0),"")</f>
        <v/>
      </c>
      <c r="BQ192" s="185" t="str">
        <f>_xlfn.IFNA(VLOOKUP($BC192,Programma!$F$3:$T$1101,15,0),"")</f>
        <v/>
      </c>
      <c r="BR192" s="185" t="str">
        <f>_xlfn.IFNA(VLOOKUP($BC192,Programma!$F$3:$U$1101,16,0),"")</f>
        <v/>
      </c>
      <c r="BS192" s="185" t="str">
        <f>_xlfn.IFNA(VLOOKUP($BC192,Programma!$F$3:$V$1101,17,0),"")</f>
        <v/>
      </c>
      <c r="BT192" s="185" t="str">
        <f>_xlfn.IFNA(VLOOKUP($BC192,Programma!$F$3:$W$1101,18,0),"")</f>
        <v/>
      </c>
      <c r="BU192" s="185" t="str">
        <f>_xlfn.IFNA(VLOOKUP($BC192,Programma!$F$3:$X$1101,19,0),"")</f>
        <v/>
      </c>
      <c r="BV192" s="185" t="str">
        <f>_xlfn.IFNA(VLOOKUP($BC192,Programma!$F$3:$Y$1101,20,0),"")</f>
        <v/>
      </c>
      <c r="BW192" s="78"/>
      <c r="BX192" s="78"/>
      <c r="BY192" s="78"/>
      <c r="BZ192" s="78"/>
      <c r="CA192" s="78"/>
      <c r="CB192" s="78"/>
      <c r="CC192" s="78"/>
      <c r="CD192" s="78"/>
      <c r="CE192" s="78"/>
      <c r="CF192" s="78"/>
      <c r="CG192" s="78"/>
      <c r="CH192" s="78"/>
      <c r="CI192" s="78"/>
      <c r="CJ192" s="78"/>
      <c r="CK192" s="78"/>
      <c r="CL192" s="78"/>
      <c r="CM192" s="78"/>
      <c r="CN192" s="78"/>
      <c r="CO192" s="78"/>
      <c r="CP192" s="78"/>
      <c r="CQ192" s="78"/>
      <c r="CR192" s="78"/>
      <c r="CS192" s="78"/>
      <c r="CT192" s="78"/>
      <c r="CU192" s="78"/>
      <c r="CV192" s="78"/>
      <c r="CW192" s="78"/>
      <c r="CX192" s="78"/>
      <c r="CY192" s="78"/>
      <c r="CZ192" s="78"/>
      <c r="DA192" s="78"/>
      <c r="DB192" s="78"/>
      <c r="DC192" s="78"/>
      <c r="DD192" s="78"/>
      <c r="DE192" s="78"/>
      <c r="DF192" s="78"/>
      <c r="DG192" s="78"/>
      <c r="DH192" s="78"/>
      <c r="DI192" s="78"/>
      <c r="DJ192" s="78"/>
      <c r="DK192" s="78"/>
      <c r="DL192" s="78"/>
      <c r="DM192" s="78"/>
      <c r="DN192" s="78"/>
      <c r="DO192" s="78"/>
      <c r="DP192" s="78"/>
      <c r="DQ192" s="78"/>
      <c r="DR192" s="78"/>
      <c r="DS192" s="78"/>
      <c r="DT192" s="78"/>
      <c r="DU192" s="78"/>
      <c r="DV192" s="78"/>
      <c r="DW192" s="78"/>
      <c r="DX192" s="78"/>
      <c r="DY192" s="78"/>
      <c r="DZ192" s="78"/>
      <c r="EA192" s="78"/>
      <c r="EB192" s="78"/>
      <c r="EC192" s="78"/>
      <c r="ED192" s="78"/>
      <c r="EE192" s="78"/>
      <c r="EF192" s="78"/>
      <c r="EG192" s="78"/>
      <c r="EH192" s="78"/>
      <c r="EI192" s="78"/>
      <c r="EJ192" s="78"/>
      <c r="EK192" s="78"/>
      <c r="EL192" s="78"/>
      <c r="EM192" s="78"/>
      <c r="EN192" s="78"/>
      <c r="EO192" s="78"/>
      <c r="EP192" s="78"/>
      <c r="EQ192" s="78"/>
      <c r="ER192" s="78"/>
      <c r="ES192" s="78"/>
      <c r="ET192" s="78"/>
      <c r="EU192" s="78"/>
      <c r="EV192" s="78"/>
      <c r="EW192" s="78"/>
      <c r="EX192" s="78"/>
      <c r="EY192" s="78"/>
      <c r="EZ192" s="78"/>
      <c r="FA192" s="78"/>
      <c r="FB192" s="78"/>
      <c r="FC192" s="78"/>
      <c r="FD192" s="78"/>
      <c r="FE192" s="78"/>
      <c r="FF192" s="78"/>
      <c r="FG192" s="78"/>
      <c r="FH192" s="78"/>
      <c r="FI192" s="78"/>
      <c r="FJ192" s="78"/>
      <c r="FK192" s="78"/>
      <c r="FL192" s="78"/>
      <c r="FM192" s="78"/>
      <c r="FN192" s="78"/>
      <c r="FO192" s="78"/>
      <c r="FP192" s="78"/>
      <c r="FQ192" s="78"/>
      <c r="FR192" s="78"/>
      <c r="FS192" s="78"/>
      <c r="FT192" s="78"/>
      <c r="FU192" s="78"/>
      <c r="FV192" s="78"/>
      <c r="FW192" s="78"/>
      <c r="FX192" s="78"/>
      <c r="FY192" s="78"/>
      <c r="FZ192" s="78"/>
      <c r="GA192" s="78"/>
      <c r="GB192" s="78"/>
      <c r="GC192" s="78"/>
      <c r="GD192" s="78"/>
      <c r="GE192" s="78"/>
      <c r="GF192" s="78"/>
      <c r="GG192" s="78"/>
      <c r="GH192" s="78"/>
      <c r="GI192" s="78"/>
      <c r="GJ192" s="78"/>
      <c r="GK192" s="78"/>
      <c r="GL192" s="78"/>
      <c r="GM192" s="78"/>
      <c r="GN192" s="78"/>
      <c r="GO192" s="78"/>
      <c r="GP192" s="78"/>
      <c r="GQ192" s="78"/>
      <c r="GR192" s="78"/>
      <c r="GS192" s="78"/>
      <c r="GT192" s="78"/>
      <c r="GU192" s="78"/>
      <c r="GV192" s="78"/>
      <c r="GW192" s="78"/>
      <c r="GX192" s="78"/>
      <c r="GY192" s="78"/>
      <c r="GZ192" s="78"/>
      <c r="HA192" s="78"/>
      <c r="HB192" s="78"/>
      <c r="HC192" s="78"/>
      <c r="HD192" s="78"/>
      <c r="HE192" s="78"/>
      <c r="HF192" s="78"/>
      <c r="HG192" s="78"/>
      <c r="HH192" s="78"/>
      <c r="HI192" s="78"/>
      <c r="HJ192" s="78"/>
      <c r="HK192" s="78"/>
    </row>
    <row r="193" spans="1:219" ht="15" customHeight="1">
      <c r="A193" s="149">
        <v>6</v>
      </c>
      <c r="B193" s="176" t="str">
        <f>VLOOKUP(Ruimtestaat[[#This Row],[Code]],Locaties[[Code]:[Locatie]],2,FALSE)</f>
        <v>OBS La Res Noord</v>
      </c>
      <c r="C193" s="176" t="str">
        <f>VLOOKUP(Ruimtestaat[[#This Row],[Code]],Locaties[[#All],[Code]:[Adres]],4,FALSE)</f>
        <v>Schietbaanweg 30</v>
      </c>
      <c r="D193" s="176" t="str">
        <f>VLOOKUP(Ruimtestaat[[#This Row],[Code]],Locaties[[#All],[Code]:[Postcode]],5,FALSE)</f>
        <v>7521 DB</v>
      </c>
      <c r="E193" s="176" t="str">
        <f>VLOOKUP(Ruimtestaat[[#This Row],[Code]],Locaties[#All],6,FALSE)</f>
        <v>Enschede</v>
      </c>
      <c r="F193" s="149"/>
      <c r="G193" s="149"/>
      <c r="H193" s="99" t="s">
        <v>1761</v>
      </c>
      <c r="I193" s="183" t="s">
        <v>38</v>
      </c>
      <c r="J193" s="99">
        <v>7</v>
      </c>
      <c r="K193" s="183" t="str">
        <f>VLOOKUP(Ruimtestaat[[#This Row],[Ruimte code]],Ruimtegroepen[[#All],[Code]:[Ruimte omschrijving]],2,FALSE)</f>
        <v>Entree</v>
      </c>
      <c r="L193" s="149" t="s">
        <v>99</v>
      </c>
      <c r="M193" s="301" t="s">
        <v>36</v>
      </c>
      <c r="N193" s="177">
        <v>4.3</v>
      </c>
      <c r="O193" s="177"/>
      <c r="P193" s="178" t="str">
        <f>VLOOKUP(Ruimtestaat[[#This Row],[Ruimte code]],Ruimtegroepen[],4,FALSE)</f>
        <v>Ve</v>
      </c>
      <c r="Q193" s="149"/>
      <c r="R193" s="149"/>
      <c r="S193" s="149">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3" s="149">
        <f>IF(S193&gt;0,VLOOKUP($J193,Ruimtegroepen[],3,FALSE)*VLOOKUP($L193,Vloersoorten[],3,FALSE)*VLOOKUP($R193,Frequenties[],3,FALSE)*VLOOKUP($A193,Locaties[],3,FALSE),0)</f>
        <v>0</v>
      </c>
      <c r="U193" s="149">
        <f>Ruimtestaat[[#This Row],[Uitvoeringen werkdagen]]*Ruimtestaat[[#This Row],[Oppervlak (netto)]]</f>
        <v>0</v>
      </c>
      <c r="V193" s="179">
        <f>IF(T193&gt;0,Ruimtestaat[[#This Row],[Prest. (m2 /jaar) werkdagen]]/Ruimtestaat[[#This Row],[Norm (m2/uur) werkdagen]],0)</f>
        <v>0</v>
      </c>
      <c r="W193" s="180">
        <f>Ruimtestaat[[#This Row],[uren / jaar werkdagen]]*Tariefsopbouw!$E$35</f>
        <v>0</v>
      </c>
      <c r="X193" s="149"/>
      <c r="Y193" s="149">
        <f>IF(Ruimtestaat[[#This Row],[Frequentie weekend]]&gt;0,VALUE(LEFT(X193,1))*Q193,0)</f>
        <v>0</v>
      </c>
      <c r="Z193" s="148">
        <f>IF($Y193&gt;0,VLOOKUP($J193,Ruimtegroepen[],3,FALSE)*VLOOKUP($L193,Vloersoorten[],3,FALSE)*VLOOKUP($X193,Frequenties[],3,FALSE)*VLOOKUP(#REF!,Locaties[],3,FALSE),0)</f>
        <v>0</v>
      </c>
      <c r="AA193" s="148">
        <f>Ruimtestaat[[#This Row],[Uitvoeringen weekend]]*Ruimtestaat[[#This Row],[Oppervlak (netto)]]</f>
        <v>0</v>
      </c>
      <c r="AB193" s="148">
        <f>IF(Z193&gt;0,Ruimtestaat[[#This Row],[Prest. (m2 /jaar) weekend]]/Ruimtestaat[[#This Row],[Norm (m2/uur) weekend]],0)</f>
        <v>0</v>
      </c>
      <c r="AC193" s="180">
        <f>Ruimtestaat[[#This Row],[uren / jaar weekend]]*Tariefsopbouw!$D$40</f>
        <v>0</v>
      </c>
      <c r="AD193" s="179">
        <f>Ruimtestaat[[#This Row],[Prest. (m2 /jaar) weekend]]+Ruimtestaat[[#This Row],[Prest. (m2 /jaar) werkdagen]]</f>
        <v>0</v>
      </c>
      <c r="AE193" s="179">
        <f>Ruimtestaat[[#This Row],[uren / jaar weekend]]+Ruimtestaat[[#This Row],[uren / jaar werkdagen]]</f>
        <v>0</v>
      </c>
      <c r="AF193" s="174">
        <f>Ruimtestaat[[#This Row],[kosten / jaar weekend]]+Ruimtestaat[[#This Row],[kosten / jaar werkdagen]]</f>
        <v>0</v>
      </c>
      <c r="AG193" s="174"/>
      <c r="AH193" s="181" t="str">
        <f>IF(Ruimtestaat[[#This Row],[Frequentie werkdagen]]="","",_xlfn.CONCAT(Ruimtestaat[[#This Row],[Ruimte code]],"-",Ruimtestaat[[#This Row],[Frequentie werkdagen]]," ",Ruimtestaat[[#This Row],[Vloer code]]))</f>
        <v/>
      </c>
      <c r="AI193" s="185" t="str">
        <f>_xlfn.IFNA(VLOOKUP($AH193,Programma!$F$3:$G$1101,2,0),"")</f>
        <v/>
      </c>
      <c r="AJ193" s="185" t="str">
        <f>_xlfn.IFNA(VLOOKUP($AH193,Programma!$F$3:$H$1101,3,0),"")</f>
        <v/>
      </c>
      <c r="AK193" s="185" t="str">
        <f>_xlfn.IFNA(VLOOKUP($AH193,Programma!$F$3:$I$1101,4,0),"")</f>
        <v/>
      </c>
      <c r="AL193" s="185" t="str">
        <f>_xlfn.IFNA(VLOOKUP($AH193,Programma!$F$3:$J$1101,5,0),"")</f>
        <v/>
      </c>
      <c r="AM193" s="185" t="str">
        <f>_xlfn.IFNA(VLOOKUP($AH193,Programma!$F$3:$K$1101,6,0),"")</f>
        <v/>
      </c>
      <c r="AN193" s="185" t="str">
        <f>_xlfn.IFNA(VLOOKUP($AH193,Programma!$F$3:$L$1101,7,0),"")</f>
        <v/>
      </c>
      <c r="AO193" s="185" t="str">
        <f>_xlfn.IFNA(VLOOKUP($AH193,Programma!$F$3:$M$1101,8,0),"")</f>
        <v/>
      </c>
      <c r="AP193" s="185" t="str">
        <f>_xlfn.IFNA(VLOOKUP($AH193,Programma!$F$3:$N$1101,9,0),"")</f>
        <v/>
      </c>
      <c r="AQ193" s="185" t="str">
        <f>_xlfn.IFNA(VLOOKUP($AH193,Programma!$F$3:$O$1101,10,0),"")</f>
        <v/>
      </c>
      <c r="AR193" s="185" t="str">
        <f>_xlfn.IFNA(VLOOKUP($AH193,Programma!$F$3:$P$1101,11,0),"")</f>
        <v/>
      </c>
      <c r="AS193" s="185" t="str">
        <f>_xlfn.IFNA(VLOOKUP($AH193,Programma!$F$3:$Q$1101,12,0),"")</f>
        <v/>
      </c>
      <c r="AT193" s="185" t="str">
        <f>_xlfn.IFNA(VLOOKUP($AH193,Programma!$F$3:$R$1101,13,0),"")</f>
        <v/>
      </c>
      <c r="AU193" s="185" t="str">
        <f>_xlfn.IFNA(VLOOKUP($AH193,Programma!$F$3:$S$1101,14,0),"")</f>
        <v/>
      </c>
      <c r="AV193" s="185" t="str">
        <f>_xlfn.IFNA(VLOOKUP($AH193,Programma!$F$3:$T$1101,15,0),"")</f>
        <v/>
      </c>
      <c r="AW193" s="185" t="str">
        <f>_xlfn.IFNA(VLOOKUP($AH193,Programma!$F$3:$U$1101,16,0),"")</f>
        <v/>
      </c>
      <c r="AX193" s="185" t="str">
        <f>_xlfn.IFNA(VLOOKUP($AH193,Programma!$F$3:$V$1101,17,0),"")</f>
        <v/>
      </c>
      <c r="AY193" s="185" t="str">
        <f>_xlfn.IFNA(VLOOKUP($AH193,Programma!$F$3:$W$1101,18,0),"")</f>
        <v/>
      </c>
      <c r="AZ193" s="185" t="str">
        <f>_xlfn.IFNA(VLOOKUP($AH193,Programma!$F$3:$X$1101,19,0),"")</f>
        <v/>
      </c>
      <c r="BA193" s="185" t="str">
        <f>_xlfn.IFNA(VLOOKUP($AH193,Programma!$F$3:$Y$1101,20,0),"")</f>
        <v/>
      </c>
      <c r="BB193" s="182"/>
      <c r="BC193" s="181" t="str">
        <f>IF(Ruimtestaat[[#This Row],[Frequentie weekend]]="","",_xlfn.CONCAT(Ruimtestaat[[#This Row],[Ruimte code]],"-",Ruimtestaat[[#This Row],[Frequentie weekend]]," ",Ruimtestaat[[#This Row],[Vloer code]]))</f>
        <v/>
      </c>
      <c r="BD193" s="185" t="str">
        <f>_xlfn.IFNA(VLOOKUP($BC193,Programma!$F$3:$G$1101,2,0),"")</f>
        <v/>
      </c>
      <c r="BE193" s="185" t="str">
        <f>_xlfn.IFNA(VLOOKUP($BC193,Programma!$F$3:$H$1101,3,0),"")</f>
        <v/>
      </c>
      <c r="BF193" s="185" t="str">
        <f>_xlfn.IFNA(VLOOKUP($BC193,Programma!$F$3:$I$1101,4,0),"")</f>
        <v/>
      </c>
      <c r="BG193" s="185" t="str">
        <f>_xlfn.IFNA(VLOOKUP($BC193,Programma!$F$3:$J$1101,5,0),"")</f>
        <v/>
      </c>
      <c r="BH193" s="185" t="str">
        <f>_xlfn.IFNA(VLOOKUP($BC193,Programma!$F$3:$K$1101,6,0),"")</f>
        <v/>
      </c>
      <c r="BI193" s="185" t="str">
        <f>_xlfn.IFNA(VLOOKUP($BC193,Programma!$F$3:$L$1101,7,0),"")</f>
        <v/>
      </c>
      <c r="BJ193" s="185" t="str">
        <f>_xlfn.IFNA(VLOOKUP($BC193,Programma!$F$3:$M$1101,8,0),"")</f>
        <v/>
      </c>
      <c r="BK193" s="185" t="str">
        <f>_xlfn.IFNA(VLOOKUP($BC193,Programma!$F$3:$N$1101,9,0),"")</f>
        <v/>
      </c>
      <c r="BL193" s="185" t="str">
        <f>_xlfn.IFNA(VLOOKUP($BC193,Programma!$F$3:$O$1101,10,0),"")</f>
        <v/>
      </c>
      <c r="BM193" s="185" t="str">
        <f>_xlfn.IFNA(VLOOKUP($BC193,Programma!$F$3:$P$1101,11,0),"")</f>
        <v/>
      </c>
      <c r="BN193" s="185" t="str">
        <f>_xlfn.IFNA(VLOOKUP($BC193,Programma!$F$3:$Q$1101,12,0),"")</f>
        <v/>
      </c>
      <c r="BO193" s="185" t="str">
        <f>_xlfn.IFNA(VLOOKUP($BC193,Programma!$F$3:$R$1101,13,0),"")</f>
        <v/>
      </c>
      <c r="BP193" s="185" t="str">
        <f>_xlfn.IFNA(VLOOKUP($BC193,Programma!$F$3:$S$1101,14,0),"")</f>
        <v/>
      </c>
      <c r="BQ193" s="185" t="str">
        <f>_xlfn.IFNA(VLOOKUP($BC193,Programma!$F$3:$T$1101,15,0),"")</f>
        <v/>
      </c>
      <c r="BR193" s="185" t="str">
        <f>_xlfn.IFNA(VLOOKUP($BC193,Programma!$F$3:$U$1101,16,0),"")</f>
        <v/>
      </c>
      <c r="BS193" s="185" t="str">
        <f>_xlfn.IFNA(VLOOKUP($BC193,Programma!$F$3:$V$1101,17,0),"")</f>
        <v/>
      </c>
      <c r="BT193" s="185" t="str">
        <f>_xlfn.IFNA(VLOOKUP($BC193,Programma!$F$3:$W$1101,18,0),"")</f>
        <v/>
      </c>
      <c r="BU193" s="185" t="str">
        <f>_xlfn.IFNA(VLOOKUP($BC193,Programma!$F$3:$X$1101,19,0),"")</f>
        <v/>
      </c>
      <c r="BV193" s="185" t="str">
        <f>_xlfn.IFNA(VLOOKUP($BC193,Programma!$F$3:$Y$1101,20,0),"")</f>
        <v/>
      </c>
      <c r="BW193" s="78"/>
      <c r="BX193" s="78"/>
      <c r="BY193" s="78"/>
      <c r="BZ193" s="78"/>
      <c r="CA193" s="78"/>
      <c r="CB193" s="78"/>
      <c r="CC193" s="78"/>
      <c r="CD193" s="78"/>
      <c r="CE193" s="78"/>
      <c r="CF193" s="78"/>
      <c r="CG193" s="78"/>
      <c r="CH193" s="78"/>
      <c r="CI193" s="78"/>
      <c r="CJ193" s="78"/>
      <c r="CK193" s="78"/>
      <c r="CL193" s="78"/>
      <c r="CM193" s="78"/>
      <c r="CN193" s="78"/>
      <c r="CO193" s="78"/>
      <c r="CP193" s="78"/>
      <c r="CQ193" s="78"/>
      <c r="CR193" s="78"/>
      <c r="CS193" s="78"/>
      <c r="CT193" s="78"/>
      <c r="CU193" s="78"/>
      <c r="CV193" s="78"/>
      <c r="CW193" s="78"/>
      <c r="CX193" s="78"/>
      <c r="CY193" s="78"/>
      <c r="CZ193" s="78"/>
      <c r="DA193" s="78"/>
      <c r="DB193" s="78"/>
      <c r="DC193" s="78"/>
      <c r="DD193" s="78"/>
      <c r="DE193" s="78"/>
      <c r="DF193" s="78"/>
      <c r="DG193" s="78"/>
      <c r="DH193" s="78"/>
      <c r="DI193" s="78"/>
      <c r="DJ193" s="78"/>
      <c r="DK193" s="78"/>
      <c r="DL193" s="78"/>
      <c r="DM193" s="78"/>
      <c r="DN193" s="78"/>
      <c r="DO193" s="78"/>
      <c r="DP193" s="78"/>
      <c r="DQ193" s="78"/>
      <c r="DR193" s="78"/>
      <c r="DS193" s="78"/>
      <c r="DT193" s="78"/>
      <c r="DU193" s="78"/>
      <c r="DV193" s="78"/>
      <c r="DW193" s="78"/>
      <c r="DX193" s="78"/>
      <c r="DY193" s="78"/>
      <c r="DZ193" s="78"/>
      <c r="EA193" s="78"/>
      <c r="EB193" s="78"/>
      <c r="EC193" s="78"/>
      <c r="ED193" s="78"/>
      <c r="EE193" s="78"/>
      <c r="EF193" s="78"/>
      <c r="EG193" s="78"/>
      <c r="EH193" s="78"/>
      <c r="EI193" s="78"/>
      <c r="EJ193" s="78"/>
      <c r="EK193" s="78"/>
      <c r="EL193" s="78"/>
      <c r="EM193" s="78"/>
      <c r="EN193" s="78"/>
      <c r="EO193" s="78"/>
      <c r="EP193" s="78"/>
      <c r="EQ193" s="78"/>
      <c r="ER193" s="78"/>
      <c r="ES193" s="78"/>
      <c r="ET193" s="78"/>
      <c r="EU193" s="78"/>
      <c r="EV193" s="78"/>
      <c r="EW193" s="78"/>
      <c r="EX193" s="78"/>
      <c r="EY193" s="78"/>
      <c r="EZ193" s="78"/>
      <c r="FA193" s="78"/>
      <c r="FB193" s="78"/>
      <c r="FC193" s="78"/>
      <c r="FD193" s="78"/>
      <c r="FE193" s="78"/>
      <c r="FF193" s="78"/>
      <c r="FG193" s="78"/>
      <c r="FH193" s="78"/>
      <c r="FI193" s="78"/>
      <c r="FJ193" s="78"/>
      <c r="FK193" s="78"/>
      <c r="FL193" s="78"/>
      <c r="FM193" s="78"/>
      <c r="FN193" s="78"/>
      <c r="FO193" s="78"/>
      <c r="FP193" s="78"/>
      <c r="FQ193" s="78"/>
      <c r="FR193" s="78"/>
      <c r="FS193" s="78"/>
      <c r="FT193" s="78"/>
      <c r="FU193" s="78"/>
      <c r="FV193" s="78"/>
      <c r="FW193" s="78"/>
      <c r="FX193" s="78"/>
      <c r="FY193" s="78"/>
      <c r="FZ193" s="78"/>
      <c r="GA193" s="78"/>
      <c r="GB193" s="78"/>
      <c r="GC193" s="78"/>
      <c r="GD193" s="78"/>
      <c r="GE193" s="78"/>
      <c r="GF193" s="78"/>
      <c r="GG193" s="78"/>
      <c r="GH193" s="78"/>
      <c r="GI193" s="78"/>
      <c r="GJ193" s="78"/>
      <c r="GK193" s="78"/>
      <c r="GL193" s="78"/>
      <c r="GM193" s="78"/>
      <c r="GN193" s="78"/>
      <c r="GO193" s="78"/>
      <c r="GP193" s="78"/>
      <c r="GQ193" s="78"/>
      <c r="GR193" s="78"/>
      <c r="GS193" s="78"/>
      <c r="GT193" s="78"/>
      <c r="GU193" s="78"/>
      <c r="GV193" s="78"/>
      <c r="GW193" s="78"/>
      <c r="GX193" s="78"/>
      <c r="GY193" s="78"/>
      <c r="GZ193" s="78"/>
      <c r="HA193" s="78"/>
      <c r="HB193" s="78"/>
      <c r="HC193" s="78"/>
      <c r="HD193" s="78"/>
      <c r="HE193" s="78"/>
      <c r="HF193" s="78"/>
      <c r="HG193" s="78"/>
      <c r="HH193" s="78"/>
      <c r="HI193" s="78"/>
      <c r="HJ193" s="78"/>
      <c r="HK193" s="78"/>
    </row>
    <row r="194" spans="1:219" ht="15" customHeight="1">
      <c r="A194" s="149">
        <v>6</v>
      </c>
      <c r="B194" s="176" t="str">
        <f>VLOOKUP(Ruimtestaat[[#This Row],[Code]],Locaties[[Code]:[Locatie]],2,FALSE)</f>
        <v>OBS La Res Noord</v>
      </c>
      <c r="C194" s="176" t="str">
        <f>VLOOKUP(Ruimtestaat[[#This Row],[Code]],Locaties[[#All],[Code]:[Adres]],4,FALSE)</f>
        <v>Schietbaanweg 30</v>
      </c>
      <c r="D194" s="176" t="str">
        <f>VLOOKUP(Ruimtestaat[[#This Row],[Code]],Locaties[[#All],[Code]:[Postcode]],5,FALSE)</f>
        <v>7521 DB</v>
      </c>
      <c r="E194" s="176" t="str">
        <f>VLOOKUP(Ruimtestaat[[#This Row],[Code]],Locaties[#All],6,FALSE)</f>
        <v>Enschede</v>
      </c>
      <c r="F194" s="149"/>
      <c r="G194" s="149"/>
      <c r="H194" s="99" t="s">
        <v>1763</v>
      </c>
      <c r="I194" s="183" t="s">
        <v>1722</v>
      </c>
      <c r="J194" s="99">
        <v>20</v>
      </c>
      <c r="K194" s="183" t="str">
        <f>VLOOKUP(Ruimtestaat[[#This Row],[Ruimte code]],Ruimtegroepen[[#All],[Code]:[Ruimte omschrijving]],2,FALSE)</f>
        <v>Niet in Onderhoud</v>
      </c>
      <c r="L194" s="149" t="s">
        <v>101</v>
      </c>
      <c r="M194" s="301" t="s">
        <v>1698</v>
      </c>
      <c r="N194" s="177"/>
      <c r="O194" s="177">
        <v>2</v>
      </c>
      <c r="P194" s="178">
        <f>VLOOKUP(Ruimtestaat[[#This Row],[Ruimte code]],Ruimtegroepen[],4,FALSE)</f>
        <v>0</v>
      </c>
      <c r="Q194" s="149"/>
      <c r="R194" s="149"/>
      <c r="S194" s="149">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4" s="149">
        <f>IF(S194&gt;0,VLOOKUP($J194,Ruimtegroepen[],3,FALSE)*VLOOKUP($L194,Vloersoorten[],3,FALSE)*VLOOKUP($R194,Frequenties[],3,FALSE)*VLOOKUP($A194,Locaties[],3,FALSE),0)</f>
        <v>0</v>
      </c>
      <c r="U194" s="149">
        <f>Ruimtestaat[[#This Row],[Uitvoeringen werkdagen]]*Ruimtestaat[[#This Row],[Oppervlak (netto)]]</f>
        <v>0</v>
      </c>
      <c r="V194" s="179">
        <f>IF(T194&gt;0,Ruimtestaat[[#This Row],[Prest. (m2 /jaar) werkdagen]]/Ruimtestaat[[#This Row],[Norm (m2/uur) werkdagen]],0)</f>
        <v>0</v>
      </c>
      <c r="W194" s="180">
        <f>Ruimtestaat[[#This Row],[uren / jaar werkdagen]]*Tariefsopbouw!$E$35</f>
        <v>0</v>
      </c>
      <c r="X194" s="149"/>
      <c r="Y194" s="149">
        <f>IF(Ruimtestaat[[#This Row],[Frequentie weekend]]&gt;0,VALUE(LEFT(X194,1))*Q194,0)</f>
        <v>0</v>
      </c>
      <c r="Z194" s="148">
        <f>IF($Y194&gt;0,VLOOKUP($J194,Ruimtegroepen[],3,FALSE)*VLOOKUP($L194,Vloersoorten[],3,FALSE)*VLOOKUP($X194,Frequenties[],3,FALSE)*VLOOKUP(#REF!,Locaties[],3,FALSE),0)</f>
        <v>0</v>
      </c>
      <c r="AA194" s="148">
        <f>Ruimtestaat[[#This Row],[Uitvoeringen weekend]]*Ruimtestaat[[#This Row],[Oppervlak (netto)]]</f>
        <v>0</v>
      </c>
      <c r="AB194" s="148">
        <f>IF(Z194&gt;0,Ruimtestaat[[#This Row],[Prest. (m2 /jaar) weekend]]/Ruimtestaat[[#This Row],[Norm (m2/uur) weekend]],0)</f>
        <v>0</v>
      </c>
      <c r="AC194" s="180">
        <f>Ruimtestaat[[#This Row],[uren / jaar weekend]]*Tariefsopbouw!$D$40</f>
        <v>0</v>
      </c>
      <c r="AD194" s="179">
        <f>Ruimtestaat[[#This Row],[Prest. (m2 /jaar) weekend]]+Ruimtestaat[[#This Row],[Prest. (m2 /jaar) werkdagen]]</f>
        <v>0</v>
      </c>
      <c r="AE194" s="179">
        <f>Ruimtestaat[[#This Row],[uren / jaar weekend]]+Ruimtestaat[[#This Row],[uren / jaar werkdagen]]</f>
        <v>0</v>
      </c>
      <c r="AF194" s="174">
        <f>Ruimtestaat[[#This Row],[kosten / jaar weekend]]+Ruimtestaat[[#This Row],[kosten / jaar werkdagen]]</f>
        <v>0</v>
      </c>
      <c r="AG194" s="174"/>
      <c r="AH194" s="181" t="str">
        <f>IF(Ruimtestaat[[#This Row],[Frequentie werkdagen]]="","",_xlfn.CONCAT(Ruimtestaat[[#This Row],[Ruimte code]],"-",Ruimtestaat[[#This Row],[Frequentie werkdagen]]," ",Ruimtestaat[[#This Row],[Vloer code]]))</f>
        <v/>
      </c>
      <c r="AI194" s="185" t="str">
        <f>_xlfn.IFNA(VLOOKUP($AH194,Programma!$F$3:$G$1101,2,0),"")</f>
        <v/>
      </c>
      <c r="AJ194" s="185" t="str">
        <f>_xlfn.IFNA(VLOOKUP($AH194,Programma!$F$3:$H$1101,3,0),"")</f>
        <v/>
      </c>
      <c r="AK194" s="185" t="str">
        <f>_xlfn.IFNA(VLOOKUP($AH194,Programma!$F$3:$I$1101,4,0),"")</f>
        <v/>
      </c>
      <c r="AL194" s="185" t="str">
        <f>_xlfn.IFNA(VLOOKUP($AH194,Programma!$F$3:$J$1101,5,0),"")</f>
        <v/>
      </c>
      <c r="AM194" s="185" t="str">
        <f>_xlfn.IFNA(VLOOKUP($AH194,Programma!$F$3:$K$1101,6,0),"")</f>
        <v/>
      </c>
      <c r="AN194" s="185" t="str">
        <f>_xlfn.IFNA(VLOOKUP($AH194,Programma!$F$3:$L$1101,7,0),"")</f>
        <v/>
      </c>
      <c r="AO194" s="185" t="str">
        <f>_xlfn.IFNA(VLOOKUP($AH194,Programma!$F$3:$M$1101,8,0),"")</f>
        <v/>
      </c>
      <c r="AP194" s="185" t="str">
        <f>_xlfn.IFNA(VLOOKUP($AH194,Programma!$F$3:$N$1101,9,0),"")</f>
        <v/>
      </c>
      <c r="AQ194" s="185" t="str">
        <f>_xlfn.IFNA(VLOOKUP($AH194,Programma!$F$3:$O$1101,10,0),"")</f>
        <v/>
      </c>
      <c r="AR194" s="185" t="str">
        <f>_xlfn.IFNA(VLOOKUP($AH194,Programma!$F$3:$P$1101,11,0),"")</f>
        <v/>
      </c>
      <c r="AS194" s="185" t="str">
        <f>_xlfn.IFNA(VLOOKUP($AH194,Programma!$F$3:$Q$1101,12,0),"")</f>
        <v/>
      </c>
      <c r="AT194" s="185" t="str">
        <f>_xlfn.IFNA(VLOOKUP($AH194,Programma!$F$3:$R$1101,13,0),"")</f>
        <v/>
      </c>
      <c r="AU194" s="185" t="str">
        <f>_xlfn.IFNA(VLOOKUP($AH194,Programma!$F$3:$S$1101,14,0),"")</f>
        <v/>
      </c>
      <c r="AV194" s="185" t="str">
        <f>_xlfn.IFNA(VLOOKUP($AH194,Programma!$F$3:$T$1101,15,0),"")</f>
        <v/>
      </c>
      <c r="AW194" s="185" t="str">
        <f>_xlfn.IFNA(VLOOKUP($AH194,Programma!$F$3:$U$1101,16,0),"")</f>
        <v/>
      </c>
      <c r="AX194" s="185" t="str">
        <f>_xlfn.IFNA(VLOOKUP($AH194,Programma!$F$3:$V$1101,17,0),"")</f>
        <v/>
      </c>
      <c r="AY194" s="185" t="str">
        <f>_xlfn.IFNA(VLOOKUP($AH194,Programma!$F$3:$W$1101,18,0),"")</f>
        <v/>
      </c>
      <c r="AZ194" s="185" t="str">
        <f>_xlfn.IFNA(VLOOKUP($AH194,Programma!$F$3:$X$1101,19,0),"")</f>
        <v/>
      </c>
      <c r="BA194" s="185" t="str">
        <f>_xlfn.IFNA(VLOOKUP($AH194,Programma!$F$3:$Y$1101,20,0),"")</f>
        <v/>
      </c>
      <c r="BB194" s="182"/>
      <c r="BC194" s="181" t="str">
        <f>IF(Ruimtestaat[[#This Row],[Frequentie weekend]]="","",_xlfn.CONCAT(Ruimtestaat[[#This Row],[Ruimte code]],"-",Ruimtestaat[[#This Row],[Frequentie weekend]]," ",Ruimtestaat[[#This Row],[Vloer code]]))</f>
        <v/>
      </c>
      <c r="BD194" s="185" t="str">
        <f>_xlfn.IFNA(VLOOKUP($BC194,Programma!$F$3:$G$1101,2,0),"")</f>
        <v/>
      </c>
      <c r="BE194" s="185" t="str">
        <f>_xlfn.IFNA(VLOOKUP($BC194,Programma!$F$3:$H$1101,3,0),"")</f>
        <v/>
      </c>
      <c r="BF194" s="185" t="str">
        <f>_xlfn.IFNA(VLOOKUP($BC194,Programma!$F$3:$I$1101,4,0),"")</f>
        <v/>
      </c>
      <c r="BG194" s="185" t="str">
        <f>_xlfn.IFNA(VLOOKUP($BC194,Programma!$F$3:$J$1101,5,0),"")</f>
        <v/>
      </c>
      <c r="BH194" s="185" t="str">
        <f>_xlfn.IFNA(VLOOKUP($BC194,Programma!$F$3:$K$1101,6,0),"")</f>
        <v/>
      </c>
      <c r="BI194" s="185" t="str">
        <f>_xlfn.IFNA(VLOOKUP($BC194,Programma!$F$3:$L$1101,7,0),"")</f>
        <v/>
      </c>
      <c r="BJ194" s="185" t="str">
        <f>_xlfn.IFNA(VLOOKUP($BC194,Programma!$F$3:$M$1101,8,0),"")</f>
        <v/>
      </c>
      <c r="BK194" s="185" t="str">
        <f>_xlfn.IFNA(VLOOKUP($BC194,Programma!$F$3:$N$1101,9,0),"")</f>
        <v/>
      </c>
      <c r="BL194" s="185" t="str">
        <f>_xlfn.IFNA(VLOOKUP($BC194,Programma!$F$3:$O$1101,10,0),"")</f>
        <v/>
      </c>
      <c r="BM194" s="185" t="str">
        <f>_xlfn.IFNA(VLOOKUP($BC194,Programma!$F$3:$P$1101,11,0),"")</f>
        <v/>
      </c>
      <c r="BN194" s="185" t="str">
        <f>_xlfn.IFNA(VLOOKUP($BC194,Programma!$F$3:$Q$1101,12,0),"")</f>
        <v/>
      </c>
      <c r="BO194" s="185" t="str">
        <f>_xlfn.IFNA(VLOOKUP($BC194,Programma!$F$3:$R$1101,13,0),"")</f>
        <v/>
      </c>
      <c r="BP194" s="185" t="str">
        <f>_xlfn.IFNA(VLOOKUP($BC194,Programma!$F$3:$S$1101,14,0),"")</f>
        <v/>
      </c>
      <c r="BQ194" s="185" t="str">
        <f>_xlfn.IFNA(VLOOKUP($BC194,Programma!$F$3:$T$1101,15,0),"")</f>
        <v/>
      </c>
      <c r="BR194" s="185" t="str">
        <f>_xlfn.IFNA(VLOOKUP($BC194,Programma!$F$3:$U$1101,16,0),"")</f>
        <v/>
      </c>
      <c r="BS194" s="185" t="str">
        <f>_xlfn.IFNA(VLOOKUP($BC194,Programma!$F$3:$V$1101,17,0),"")</f>
        <v/>
      </c>
      <c r="BT194" s="185" t="str">
        <f>_xlfn.IFNA(VLOOKUP($BC194,Programma!$F$3:$W$1101,18,0),"")</f>
        <v/>
      </c>
      <c r="BU194" s="185" t="str">
        <f>_xlfn.IFNA(VLOOKUP($BC194,Programma!$F$3:$X$1101,19,0),"")</f>
        <v/>
      </c>
      <c r="BV194" s="185" t="str">
        <f>_xlfn.IFNA(VLOOKUP($BC194,Programma!$F$3:$Y$1101,20,0),"")</f>
        <v/>
      </c>
      <c r="BW194" s="78"/>
      <c r="BX194" s="78"/>
      <c r="BY194" s="78"/>
      <c r="BZ194" s="78"/>
      <c r="CA194" s="78"/>
      <c r="CB194" s="78"/>
      <c r="CC194" s="78"/>
      <c r="CD194" s="78"/>
      <c r="CE194" s="78"/>
      <c r="CF194" s="78"/>
      <c r="CG194" s="78"/>
      <c r="CH194" s="78"/>
      <c r="CI194" s="78"/>
      <c r="CJ194" s="78"/>
      <c r="CK194" s="78"/>
      <c r="CL194" s="78"/>
      <c r="CM194" s="78"/>
      <c r="CN194" s="78"/>
      <c r="CO194" s="78"/>
      <c r="CP194" s="78"/>
      <c r="CQ194" s="78"/>
      <c r="CR194" s="78"/>
      <c r="CS194" s="78"/>
      <c r="CT194" s="78"/>
      <c r="CU194" s="78"/>
      <c r="CV194" s="78"/>
      <c r="CW194" s="78"/>
      <c r="CX194" s="78"/>
      <c r="CY194" s="78"/>
      <c r="CZ194" s="78"/>
      <c r="DA194" s="78"/>
      <c r="DB194" s="78"/>
      <c r="DC194" s="78"/>
      <c r="DD194" s="78"/>
      <c r="DE194" s="78"/>
      <c r="DF194" s="78"/>
      <c r="DG194" s="78"/>
      <c r="DH194" s="78"/>
      <c r="DI194" s="78"/>
      <c r="DJ194" s="78"/>
      <c r="DK194" s="78"/>
      <c r="DL194" s="78"/>
      <c r="DM194" s="78"/>
      <c r="DN194" s="78"/>
      <c r="DO194" s="78"/>
      <c r="DP194" s="78"/>
      <c r="DQ194" s="78"/>
      <c r="DR194" s="78"/>
      <c r="DS194" s="78"/>
      <c r="DT194" s="78"/>
      <c r="DU194" s="78"/>
      <c r="DV194" s="78"/>
      <c r="DW194" s="78"/>
      <c r="DX194" s="78"/>
      <c r="DY194" s="78"/>
      <c r="DZ194" s="78"/>
      <c r="EA194" s="78"/>
      <c r="EB194" s="78"/>
      <c r="EC194" s="78"/>
      <c r="ED194" s="78"/>
      <c r="EE194" s="78"/>
      <c r="EF194" s="78"/>
      <c r="EG194" s="78"/>
      <c r="EH194" s="78"/>
      <c r="EI194" s="78"/>
      <c r="EJ194" s="78"/>
      <c r="EK194" s="78"/>
      <c r="EL194" s="78"/>
      <c r="EM194" s="78"/>
      <c r="EN194" s="78"/>
      <c r="EO194" s="78"/>
      <c r="EP194" s="78"/>
      <c r="EQ194" s="78"/>
      <c r="ER194" s="78"/>
      <c r="ES194" s="78"/>
      <c r="ET194" s="78"/>
      <c r="EU194" s="78"/>
      <c r="EV194" s="78"/>
      <c r="EW194" s="78"/>
      <c r="EX194" s="78"/>
      <c r="EY194" s="78"/>
      <c r="EZ194" s="78"/>
      <c r="FA194" s="78"/>
      <c r="FB194" s="78"/>
      <c r="FC194" s="78"/>
      <c r="FD194" s="78"/>
      <c r="FE194" s="78"/>
      <c r="FF194" s="78"/>
      <c r="FG194" s="78"/>
      <c r="FH194" s="78"/>
      <c r="FI194" s="78"/>
      <c r="FJ194" s="78"/>
      <c r="FK194" s="78"/>
      <c r="FL194" s="78"/>
      <c r="FM194" s="78"/>
      <c r="FN194" s="78"/>
      <c r="FO194" s="78"/>
      <c r="FP194" s="78"/>
      <c r="FQ194" s="78"/>
      <c r="FR194" s="78"/>
      <c r="FS194" s="78"/>
      <c r="FT194" s="78"/>
      <c r="FU194" s="78"/>
      <c r="FV194" s="78"/>
      <c r="FW194" s="78"/>
      <c r="FX194" s="78"/>
      <c r="FY194" s="78"/>
      <c r="FZ194" s="78"/>
      <c r="GA194" s="78"/>
      <c r="GB194" s="78"/>
      <c r="GC194" s="78"/>
      <c r="GD194" s="78"/>
      <c r="GE194" s="78"/>
      <c r="GF194" s="78"/>
      <c r="GG194" s="78"/>
      <c r="GH194" s="78"/>
      <c r="GI194" s="78"/>
      <c r="GJ194" s="78"/>
      <c r="GK194" s="78"/>
      <c r="GL194" s="78"/>
      <c r="GM194" s="78"/>
      <c r="GN194" s="78"/>
      <c r="GO194" s="78"/>
      <c r="GP194" s="78"/>
      <c r="GQ194" s="78"/>
      <c r="GR194" s="78"/>
      <c r="GS194" s="78"/>
      <c r="GT194" s="78"/>
      <c r="GU194" s="78"/>
      <c r="GV194" s="78"/>
      <c r="GW194" s="78"/>
      <c r="GX194" s="78"/>
      <c r="GY194" s="78"/>
      <c r="GZ194" s="78"/>
      <c r="HA194" s="78"/>
      <c r="HB194" s="78"/>
      <c r="HC194" s="78"/>
      <c r="HD194" s="78"/>
      <c r="HE194" s="78"/>
      <c r="HF194" s="78"/>
      <c r="HG194" s="78"/>
      <c r="HH194" s="78"/>
      <c r="HI194" s="78"/>
      <c r="HJ194" s="78"/>
      <c r="HK194" s="78"/>
    </row>
    <row r="195" spans="1:219" ht="15" customHeight="1">
      <c r="A195" s="149">
        <v>6</v>
      </c>
      <c r="B195" s="176" t="str">
        <f>VLOOKUP(Ruimtestaat[[#This Row],[Code]],Locaties[[Code]:[Locatie]],2,FALSE)</f>
        <v>OBS La Res Noord</v>
      </c>
      <c r="C195" s="176" t="str">
        <f>VLOOKUP(Ruimtestaat[[#This Row],[Code]],Locaties[[#All],[Code]:[Adres]],4,FALSE)</f>
        <v>Schietbaanweg 30</v>
      </c>
      <c r="D195" s="176" t="str">
        <f>VLOOKUP(Ruimtestaat[[#This Row],[Code]],Locaties[[#All],[Code]:[Postcode]],5,FALSE)</f>
        <v>7521 DB</v>
      </c>
      <c r="E195" s="176" t="str">
        <f>VLOOKUP(Ruimtestaat[[#This Row],[Code]],Locaties[#All],6,FALSE)</f>
        <v>Enschede</v>
      </c>
      <c r="F195" s="149"/>
      <c r="G195" s="149"/>
      <c r="H195" s="99" t="s">
        <v>1764</v>
      </c>
      <c r="I195" s="183" t="s">
        <v>1684</v>
      </c>
      <c r="J195" s="99">
        <v>5</v>
      </c>
      <c r="K195" s="183" t="str">
        <f>VLOOKUP(Ruimtestaat[[#This Row],[Ruimte code]],Ruimtegroepen[[#All],[Code]:[Ruimte omschrijving]],2,FALSE)</f>
        <v>Sanitair</v>
      </c>
      <c r="L195" s="149" t="s">
        <v>101</v>
      </c>
      <c r="M195" s="301" t="s">
        <v>119</v>
      </c>
      <c r="N195" s="177">
        <v>11.3</v>
      </c>
      <c r="O195" s="177"/>
      <c r="P195" s="178" t="str">
        <f>VLOOKUP(Ruimtestaat[[#This Row],[Ruimte code]],Ruimtegroepen[],4,FALSE)</f>
        <v>Sa</v>
      </c>
      <c r="Q195" s="149"/>
      <c r="R195" s="149"/>
      <c r="S195" s="149">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5" s="149">
        <f>IF(S195&gt;0,VLOOKUP($J195,Ruimtegroepen[],3,FALSE)*VLOOKUP($L195,Vloersoorten[],3,FALSE)*VLOOKUP($R195,Frequenties[],3,FALSE)*VLOOKUP($A195,Locaties[],3,FALSE),0)</f>
        <v>0</v>
      </c>
      <c r="U195" s="149">
        <f>Ruimtestaat[[#This Row],[Uitvoeringen werkdagen]]*Ruimtestaat[[#This Row],[Oppervlak (netto)]]</f>
        <v>0</v>
      </c>
      <c r="V195" s="179">
        <f>IF(T195&gt;0,Ruimtestaat[[#This Row],[Prest. (m2 /jaar) werkdagen]]/Ruimtestaat[[#This Row],[Norm (m2/uur) werkdagen]],0)</f>
        <v>0</v>
      </c>
      <c r="W195" s="180">
        <f>Ruimtestaat[[#This Row],[uren / jaar werkdagen]]*Tariefsopbouw!$E$35</f>
        <v>0</v>
      </c>
      <c r="X195" s="149"/>
      <c r="Y195" s="149">
        <f>IF(Ruimtestaat[[#This Row],[Frequentie weekend]]&gt;0,VALUE(LEFT(X195,1))*Q195,0)</f>
        <v>0</v>
      </c>
      <c r="Z195" s="148">
        <f>IF($Y195&gt;0,VLOOKUP($J195,Ruimtegroepen[],3,FALSE)*VLOOKUP($L195,Vloersoorten[],3,FALSE)*VLOOKUP($X195,Frequenties[],3,FALSE)*VLOOKUP(#REF!,Locaties[],3,FALSE),0)</f>
        <v>0</v>
      </c>
      <c r="AA195" s="148">
        <f>Ruimtestaat[[#This Row],[Uitvoeringen weekend]]*Ruimtestaat[[#This Row],[Oppervlak (netto)]]</f>
        <v>0</v>
      </c>
      <c r="AB195" s="148">
        <f>IF(Z195&gt;0,Ruimtestaat[[#This Row],[Prest. (m2 /jaar) weekend]]/Ruimtestaat[[#This Row],[Norm (m2/uur) weekend]],0)</f>
        <v>0</v>
      </c>
      <c r="AC195" s="180">
        <f>Ruimtestaat[[#This Row],[uren / jaar weekend]]*Tariefsopbouw!$D$40</f>
        <v>0</v>
      </c>
      <c r="AD195" s="179">
        <f>Ruimtestaat[[#This Row],[Prest. (m2 /jaar) weekend]]+Ruimtestaat[[#This Row],[Prest. (m2 /jaar) werkdagen]]</f>
        <v>0</v>
      </c>
      <c r="AE195" s="179">
        <f>Ruimtestaat[[#This Row],[uren / jaar weekend]]+Ruimtestaat[[#This Row],[uren / jaar werkdagen]]</f>
        <v>0</v>
      </c>
      <c r="AF195" s="174">
        <f>Ruimtestaat[[#This Row],[kosten / jaar weekend]]+Ruimtestaat[[#This Row],[kosten / jaar werkdagen]]</f>
        <v>0</v>
      </c>
      <c r="AG195" s="174"/>
      <c r="AH195" s="181" t="str">
        <f>IF(Ruimtestaat[[#This Row],[Frequentie werkdagen]]="","",_xlfn.CONCAT(Ruimtestaat[[#This Row],[Ruimte code]],"-",Ruimtestaat[[#This Row],[Frequentie werkdagen]]," ",Ruimtestaat[[#This Row],[Vloer code]]))</f>
        <v/>
      </c>
      <c r="AI195" s="185" t="str">
        <f>_xlfn.IFNA(VLOOKUP($AH195,Programma!$F$3:$G$1101,2,0),"")</f>
        <v/>
      </c>
      <c r="AJ195" s="185" t="str">
        <f>_xlfn.IFNA(VLOOKUP($AH195,Programma!$F$3:$H$1101,3,0),"")</f>
        <v/>
      </c>
      <c r="AK195" s="185" t="str">
        <f>_xlfn.IFNA(VLOOKUP($AH195,Programma!$F$3:$I$1101,4,0),"")</f>
        <v/>
      </c>
      <c r="AL195" s="185" t="str">
        <f>_xlfn.IFNA(VLOOKUP($AH195,Programma!$F$3:$J$1101,5,0),"")</f>
        <v/>
      </c>
      <c r="AM195" s="185" t="str">
        <f>_xlfn.IFNA(VLOOKUP($AH195,Programma!$F$3:$K$1101,6,0),"")</f>
        <v/>
      </c>
      <c r="AN195" s="185" t="str">
        <f>_xlfn.IFNA(VLOOKUP($AH195,Programma!$F$3:$L$1101,7,0),"")</f>
        <v/>
      </c>
      <c r="AO195" s="185" t="str">
        <f>_xlfn.IFNA(VLOOKUP($AH195,Programma!$F$3:$M$1101,8,0),"")</f>
        <v/>
      </c>
      <c r="AP195" s="185" t="str">
        <f>_xlfn.IFNA(VLOOKUP($AH195,Programma!$F$3:$N$1101,9,0),"")</f>
        <v/>
      </c>
      <c r="AQ195" s="185" t="str">
        <f>_xlfn.IFNA(VLOOKUP($AH195,Programma!$F$3:$O$1101,10,0),"")</f>
        <v/>
      </c>
      <c r="AR195" s="185" t="str">
        <f>_xlfn.IFNA(VLOOKUP($AH195,Programma!$F$3:$P$1101,11,0),"")</f>
        <v/>
      </c>
      <c r="AS195" s="185" t="str">
        <f>_xlfn.IFNA(VLOOKUP($AH195,Programma!$F$3:$Q$1101,12,0),"")</f>
        <v/>
      </c>
      <c r="AT195" s="185" t="str">
        <f>_xlfn.IFNA(VLOOKUP($AH195,Programma!$F$3:$R$1101,13,0),"")</f>
        <v/>
      </c>
      <c r="AU195" s="185" t="str">
        <f>_xlfn.IFNA(VLOOKUP($AH195,Programma!$F$3:$S$1101,14,0),"")</f>
        <v/>
      </c>
      <c r="AV195" s="185" t="str">
        <f>_xlfn.IFNA(VLOOKUP($AH195,Programma!$F$3:$T$1101,15,0),"")</f>
        <v/>
      </c>
      <c r="AW195" s="185" t="str">
        <f>_xlfn.IFNA(VLOOKUP($AH195,Programma!$F$3:$U$1101,16,0),"")</f>
        <v/>
      </c>
      <c r="AX195" s="185" t="str">
        <f>_xlfn.IFNA(VLOOKUP($AH195,Programma!$F$3:$V$1101,17,0),"")</f>
        <v/>
      </c>
      <c r="AY195" s="185" t="str">
        <f>_xlfn.IFNA(VLOOKUP($AH195,Programma!$F$3:$W$1101,18,0),"")</f>
        <v/>
      </c>
      <c r="AZ195" s="185" t="str">
        <f>_xlfn.IFNA(VLOOKUP($AH195,Programma!$F$3:$X$1101,19,0),"")</f>
        <v/>
      </c>
      <c r="BA195" s="185" t="str">
        <f>_xlfn.IFNA(VLOOKUP($AH195,Programma!$F$3:$Y$1101,20,0),"")</f>
        <v/>
      </c>
      <c r="BB195" s="182"/>
      <c r="BC195" s="181" t="str">
        <f>IF(Ruimtestaat[[#This Row],[Frequentie weekend]]="","",_xlfn.CONCAT(Ruimtestaat[[#This Row],[Ruimte code]],"-",Ruimtestaat[[#This Row],[Frequentie weekend]]," ",Ruimtestaat[[#This Row],[Vloer code]]))</f>
        <v/>
      </c>
      <c r="BD195" s="185" t="str">
        <f>_xlfn.IFNA(VLOOKUP($BC195,Programma!$F$3:$G$1101,2,0),"")</f>
        <v/>
      </c>
      <c r="BE195" s="185" t="str">
        <f>_xlfn.IFNA(VLOOKUP($BC195,Programma!$F$3:$H$1101,3,0),"")</f>
        <v/>
      </c>
      <c r="BF195" s="185" t="str">
        <f>_xlfn.IFNA(VLOOKUP($BC195,Programma!$F$3:$I$1101,4,0),"")</f>
        <v/>
      </c>
      <c r="BG195" s="185" t="str">
        <f>_xlfn.IFNA(VLOOKUP($BC195,Programma!$F$3:$J$1101,5,0),"")</f>
        <v/>
      </c>
      <c r="BH195" s="185" t="str">
        <f>_xlfn.IFNA(VLOOKUP($BC195,Programma!$F$3:$K$1101,6,0),"")</f>
        <v/>
      </c>
      <c r="BI195" s="185" t="str">
        <f>_xlfn.IFNA(VLOOKUP($BC195,Programma!$F$3:$L$1101,7,0),"")</f>
        <v/>
      </c>
      <c r="BJ195" s="185" t="str">
        <f>_xlfn.IFNA(VLOOKUP($BC195,Programma!$F$3:$M$1101,8,0),"")</f>
        <v/>
      </c>
      <c r="BK195" s="185" t="str">
        <f>_xlfn.IFNA(VLOOKUP($BC195,Programma!$F$3:$N$1101,9,0),"")</f>
        <v/>
      </c>
      <c r="BL195" s="185" t="str">
        <f>_xlfn.IFNA(VLOOKUP($BC195,Programma!$F$3:$O$1101,10,0),"")</f>
        <v/>
      </c>
      <c r="BM195" s="185" t="str">
        <f>_xlfn.IFNA(VLOOKUP($BC195,Programma!$F$3:$P$1101,11,0),"")</f>
        <v/>
      </c>
      <c r="BN195" s="185" t="str">
        <f>_xlfn.IFNA(VLOOKUP($BC195,Programma!$F$3:$Q$1101,12,0),"")</f>
        <v/>
      </c>
      <c r="BO195" s="185" t="str">
        <f>_xlfn.IFNA(VLOOKUP($BC195,Programma!$F$3:$R$1101,13,0),"")</f>
        <v/>
      </c>
      <c r="BP195" s="185" t="str">
        <f>_xlfn.IFNA(VLOOKUP($BC195,Programma!$F$3:$S$1101,14,0),"")</f>
        <v/>
      </c>
      <c r="BQ195" s="185" t="str">
        <f>_xlfn.IFNA(VLOOKUP($BC195,Programma!$F$3:$T$1101,15,0),"")</f>
        <v/>
      </c>
      <c r="BR195" s="185" t="str">
        <f>_xlfn.IFNA(VLOOKUP($BC195,Programma!$F$3:$U$1101,16,0),"")</f>
        <v/>
      </c>
      <c r="BS195" s="185" t="str">
        <f>_xlfn.IFNA(VLOOKUP($BC195,Programma!$F$3:$V$1101,17,0),"")</f>
        <v/>
      </c>
      <c r="BT195" s="185" t="str">
        <f>_xlfn.IFNA(VLOOKUP($BC195,Programma!$F$3:$W$1101,18,0),"")</f>
        <v/>
      </c>
      <c r="BU195" s="185" t="str">
        <f>_xlfn.IFNA(VLOOKUP($BC195,Programma!$F$3:$X$1101,19,0),"")</f>
        <v/>
      </c>
      <c r="BV195" s="185" t="str">
        <f>_xlfn.IFNA(VLOOKUP($BC195,Programma!$F$3:$Y$1101,20,0),"")</f>
        <v/>
      </c>
      <c r="BW195" s="78"/>
      <c r="BX195" s="78"/>
      <c r="BY195" s="78"/>
      <c r="BZ195" s="78"/>
      <c r="CA195" s="78"/>
      <c r="CB195" s="78"/>
      <c r="CC195" s="78"/>
      <c r="CD195" s="78"/>
      <c r="CE195" s="78"/>
      <c r="CF195" s="78"/>
      <c r="CG195" s="78"/>
      <c r="CH195" s="78"/>
      <c r="CI195" s="78"/>
      <c r="CJ195" s="78"/>
      <c r="CK195" s="78"/>
      <c r="CL195" s="78"/>
      <c r="CM195" s="78"/>
      <c r="CN195" s="78"/>
      <c r="CO195" s="78"/>
      <c r="CP195" s="78"/>
      <c r="CQ195" s="78"/>
      <c r="CR195" s="78"/>
      <c r="CS195" s="78"/>
      <c r="CT195" s="78"/>
      <c r="CU195" s="78"/>
      <c r="CV195" s="78"/>
      <c r="CW195" s="78"/>
      <c r="CX195" s="78"/>
      <c r="CY195" s="78"/>
      <c r="CZ195" s="78"/>
      <c r="DA195" s="78"/>
      <c r="DB195" s="78"/>
      <c r="DC195" s="78"/>
      <c r="DD195" s="78"/>
      <c r="DE195" s="78"/>
      <c r="DF195" s="78"/>
      <c r="DG195" s="78"/>
      <c r="DH195" s="78"/>
      <c r="DI195" s="78"/>
      <c r="DJ195" s="78"/>
      <c r="DK195" s="78"/>
      <c r="DL195" s="78"/>
      <c r="DM195" s="78"/>
      <c r="DN195" s="78"/>
      <c r="DO195" s="78"/>
      <c r="DP195" s="78"/>
      <c r="DQ195" s="78"/>
      <c r="DR195" s="78"/>
      <c r="DS195" s="78"/>
      <c r="DT195" s="78"/>
      <c r="DU195" s="78"/>
      <c r="DV195" s="78"/>
      <c r="DW195" s="78"/>
      <c r="DX195" s="78"/>
      <c r="DY195" s="78"/>
      <c r="DZ195" s="78"/>
      <c r="EA195" s="78"/>
      <c r="EB195" s="78"/>
      <c r="EC195" s="78"/>
      <c r="ED195" s="78"/>
      <c r="EE195" s="78"/>
      <c r="EF195" s="78"/>
      <c r="EG195" s="78"/>
      <c r="EH195" s="78"/>
      <c r="EI195" s="78"/>
      <c r="EJ195" s="78"/>
      <c r="EK195" s="78"/>
      <c r="EL195" s="78"/>
      <c r="EM195" s="78"/>
      <c r="EN195" s="78"/>
      <c r="EO195" s="78"/>
      <c r="EP195" s="78"/>
      <c r="EQ195" s="78"/>
      <c r="ER195" s="78"/>
      <c r="ES195" s="78"/>
      <c r="ET195" s="78"/>
      <c r="EU195" s="78"/>
      <c r="EV195" s="78"/>
      <c r="EW195" s="78"/>
      <c r="EX195" s="78"/>
      <c r="EY195" s="78"/>
      <c r="EZ195" s="78"/>
      <c r="FA195" s="78"/>
      <c r="FB195" s="78"/>
      <c r="FC195" s="78"/>
      <c r="FD195" s="78"/>
      <c r="FE195" s="78"/>
      <c r="FF195" s="78"/>
      <c r="FG195" s="78"/>
      <c r="FH195" s="78"/>
      <c r="FI195" s="78"/>
      <c r="FJ195" s="78"/>
      <c r="FK195" s="78"/>
      <c r="FL195" s="78"/>
      <c r="FM195" s="78"/>
      <c r="FN195" s="78"/>
      <c r="FO195" s="78"/>
      <c r="FP195" s="78"/>
      <c r="FQ195" s="78"/>
      <c r="FR195" s="78"/>
      <c r="FS195" s="78"/>
      <c r="FT195" s="78"/>
      <c r="FU195" s="78"/>
      <c r="FV195" s="78"/>
      <c r="FW195" s="78"/>
      <c r="FX195" s="78"/>
      <c r="FY195" s="78"/>
      <c r="FZ195" s="78"/>
      <c r="GA195" s="78"/>
      <c r="GB195" s="78"/>
      <c r="GC195" s="78"/>
      <c r="GD195" s="78"/>
      <c r="GE195" s="78"/>
      <c r="GF195" s="78"/>
      <c r="GG195" s="78"/>
      <c r="GH195" s="78"/>
      <c r="GI195" s="78"/>
      <c r="GJ195" s="78"/>
      <c r="GK195" s="78"/>
      <c r="GL195" s="78"/>
      <c r="GM195" s="78"/>
      <c r="GN195" s="78"/>
      <c r="GO195" s="78"/>
      <c r="GP195" s="78"/>
      <c r="GQ195" s="78"/>
      <c r="GR195" s="78"/>
      <c r="GS195" s="78"/>
      <c r="GT195" s="78"/>
      <c r="GU195" s="78"/>
      <c r="GV195" s="78"/>
      <c r="GW195" s="78"/>
      <c r="GX195" s="78"/>
      <c r="GY195" s="78"/>
      <c r="GZ195" s="78"/>
      <c r="HA195" s="78"/>
      <c r="HB195" s="78"/>
      <c r="HC195" s="78"/>
      <c r="HD195" s="78"/>
      <c r="HE195" s="78"/>
      <c r="HF195" s="78"/>
      <c r="HG195" s="78"/>
      <c r="HH195" s="78"/>
      <c r="HI195" s="78"/>
      <c r="HJ195" s="78"/>
      <c r="HK195" s="78"/>
    </row>
    <row r="196" spans="1:219" ht="15" customHeight="1">
      <c r="A196" s="149">
        <v>6</v>
      </c>
      <c r="B196" s="176" t="str">
        <f>VLOOKUP(Ruimtestaat[[#This Row],[Code]],Locaties[[Code]:[Locatie]],2,FALSE)</f>
        <v>OBS La Res Noord</v>
      </c>
      <c r="C196" s="176" t="str">
        <f>VLOOKUP(Ruimtestaat[[#This Row],[Code]],Locaties[[#All],[Code]:[Adres]],4,FALSE)</f>
        <v>Schietbaanweg 30</v>
      </c>
      <c r="D196" s="176" t="str">
        <f>VLOOKUP(Ruimtestaat[[#This Row],[Code]],Locaties[[#All],[Code]:[Postcode]],5,FALSE)</f>
        <v>7521 DB</v>
      </c>
      <c r="E196" s="176" t="str">
        <f>VLOOKUP(Ruimtestaat[[#This Row],[Code]],Locaties[#All],6,FALSE)</f>
        <v>Enschede</v>
      </c>
      <c r="F196" s="149"/>
      <c r="G196" s="149"/>
      <c r="H196" s="99" t="s">
        <v>1765</v>
      </c>
      <c r="I196" s="183" t="s">
        <v>1688</v>
      </c>
      <c r="J196" s="99">
        <v>16</v>
      </c>
      <c r="K196" s="183" t="str">
        <f>VLOOKUP(Ruimtestaat[[#This Row],[Ruimte code]],Ruimtegroepen[[#All],[Code]:[Ruimte omschrijving]],2,FALSE)</f>
        <v>Leslokalen</v>
      </c>
      <c r="L196" s="149" t="s">
        <v>100</v>
      </c>
      <c r="M196" s="301" t="s">
        <v>1697</v>
      </c>
      <c r="N196" s="177">
        <v>57.2</v>
      </c>
      <c r="O196" s="177"/>
      <c r="P196" s="178" t="str">
        <f>VLOOKUP(Ruimtestaat[[#This Row],[Ruimte code]],Ruimtegroepen[],4,FALSE)</f>
        <v>Le</v>
      </c>
      <c r="Q196" s="149"/>
      <c r="R196" s="149"/>
      <c r="S196" s="149">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6" s="149">
        <f>IF(S196&gt;0,VLOOKUP($J196,Ruimtegroepen[],3,FALSE)*VLOOKUP($L196,Vloersoorten[],3,FALSE)*VLOOKUP($R196,Frequenties[],3,FALSE)*VLOOKUP($A196,Locaties[],3,FALSE),0)</f>
        <v>0</v>
      </c>
      <c r="U196" s="149">
        <f>Ruimtestaat[[#This Row],[Uitvoeringen werkdagen]]*Ruimtestaat[[#This Row],[Oppervlak (netto)]]</f>
        <v>0</v>
      </c>
      <c r="V196" s="179">
        <f>IF(T196&gt;0,Ruimtestaat[[#This Row],[Prest. (m2 /jaar) werkdagen]]/Ruimtestaat[[#This Row],[Norm (m2/uur) werkdagen]],0)</f>
        <v>0</v>
      </c>
      <c r="W196" s="180">
        <f>Ruimtestaat[[#This Row],[uren / jaar werkdagen]]*Tariefsopbouw!$E$35</f>
        <v>0</v>
      </c>
      <c r="X196" s="149"/>
      <c r="Y196" s="149">
        <f>IF(Ruimtestaat[[#This Row],[Frequentie weekend]]&gt;0,VALUE(LEFT(X196,1))*Q196,0)</f>
        <v>0</v>
      </c>
      <c r="Z196" s="148">
        <f>IF($Y196&gt;0,VLOOKUP($J196,Ruimtegroepen[],3,FALSE)*VLOOKUP($L196,Vloersoorten[],3,FALSE)*VLOOKUP($X196,Frequenties[],3,FALSE)*VLOOKUP(#REF!,Locaties[],3,FALSE),0)</f>
        <v>0</v>
      </c>
      <c r="AA196" s="148">
        <f>Ruimtestaat[[#This Row],[Uitvoeringen weekend]]*Ruimtestaat[[#This Row],[Oppervlak (netto)]]</f>
        <v>0</v>
      </c>
      <c r="AB196" s="148">
        <f>IF(Z196&gt;0,Ruimtestaat[[#This Row],[Prest. (m2 /jaar) weekend]]/Ruimtestaat[[#This Row],[Norm (m2/uur) weekend]],0)</f>
        <v>0</v>
      </c>
      <c r="AC196" s="180">
        <f>Ruimtestaat[[#This Row],[uren / jaar weekend]]*Tariefsopbouw!$D$40</f>
        <v>0</v>
      </c>
      <c r="AD196" s="179">
        <f>Ruimtestaat[[#This Row],[Prest. (m2 /jaar) weekend]]+Ruimtestaat[[#This Row],[Prest. (m2 /jaar) werkdagen]]</f>
        <v>0</v>
      </c>
      <c r="AE196" s="179">
        <f>Ruimtestaat[[#This Row],[uren / jaar weekend]]+Ruimtestaat[[#This Row],[uren / jaar werkdagen]]</f>
        <v>0</v>
      </c>
      <c r="AF196" s="174">
        <f>Ruimtestaat[[#This Row],[kosten / jaar weekend]]+Ruimtestaat[[#This Row],[kosten / jaar werkdagen]]</f>
        <v>0</v>
      </c>
      <c r="AG196" s="174"/>
      <c r="AH196" s="181" t="str">
        <f>IF(Ruimtestaat[[#This Row],[Frequentie werkdagen]]="","",_xlfn.CONCAT(Ruimtestaat[[#This Row],[Ruimte code]],"-",Ruimtestaat[[#This Row],[Frequentie werkdagen]]," ",Ruimtestaat[[#This Row],[Vloer code]]))</f>
        <v/>
      </c>
      <c r="AI196" s="185" t="str">
        <f>_xlfn.IFNA(VLOOKUP($AH196,Programma!$F$3:$G$1101,2,0),"")</f>
        <v/>
      </c>
      <c r="AJ196" s="185" t="str">
        <f>_xlfn.IFNA(VLOOKUP($AH196,Programma!$F$3:$H$1101,3,0),"")</f>
        <v/>
      </c>
      <c r="AK196" s="185" t="str">
        <f>_xlfn.IFNA(VLOOKUP($AH196,Programma!$F$3:$I$1101,4,0),"")</f>
        <v/>
      </c>
      <c r="AL196" s="185" t="str">
        <f>_xlfn.IFNA(VLOOKUP($AH196,Programma!$F$3:$J$1101,5,0),"")</f>
        <v/>
      </c>
      <c r="AM196" s="185" t="str">
        <f>_xlfn.IFNA(VLOOKUP($AH196,Programma!$F$3:$K$1101,6,0),"")</f>
        <v/>
      </c>
      <c r="AN196" s="185" t="str">
        <f>_xlfn.IFNA(VLOOKUP($AH196,Programma!$F$3:$L$1101,7,0),"")</f>
        <v/>
      </c>
      <c r="AO196" s="185" t="str">
        <f>_xlfn.IFNA(VLOOKUP($AH196,Programma!$F$3:$M$1101,8,0),"")</f>
        <v/>
      </c>
      <c r="AP196" s="185" t="str">
        <f>_xlfn.IFNA(VLOOKUP($AH196,Programma!$F$3:$N$1101,9,0),"")</f>
        <v/>
      </c>
      <c r="AQ196" s="185" t="str">
        <f>_xlfn.IFNA(VLOOKUP($AH196,Programma!$F$3:$O$1101,10,0),"")</f>
        <v/>
      </c>
      <c r="AR196" s="185" t="str">
        <f>_xlfn.IFNA(VLOOKUP($AH196,Programma!$F$3:$P$1101,11,0),"")</f>
        <v/>
      </c>
      <c r="AS196" s="185" t="str">
        <f>_xlfn.IFNA(VLOOKUP($AH196,Programma!$F$3:$Q$1101,12,0),"")</f>
        <v/>
      </c>
      <c r="AT196" s="185" t="str">
        <f>_xlfn.IFNA(VLOOKUP($AH196,Programma!$F$3:$R$1101,13,0),"")</f>
        <v/>
      </c>
      <c r="AU196" s="185" t="str">
        <f>_xlfn.IFNA(VLOOKUP($AH196,Programma!$F$3:$S$1101,14,0),"")</f>
        <v/>
      </c>
      <c r="AV196" s="185" t="str">
        <f>_xlfn.IFNA(VLOOKUP($AH196,Programma!$F$3:$T$1101,15,0),"")</f>
        <v/>
      </c>
      <c r="AW196" s="185" t="str">
        <f>_xlfn.IFNA(VLOOKUP($AH196,Programma!$F$3:$U$1101,16,0),"")</f>
        <v/>
      </c>
      <c r="AX196" s="185" t="str">
        <f>_xlfn.IFNA(VLOOKUP($AH196,Programma!$F$3:$V$1101,17,0),"")</f>
        <v/>
      </c>
      <c r="AY196" s="185" t="str">
        <f>_xlfn.IFNA(VLOOKUP($AH196,Programma!$F$3:$W$1101,18,0),"")</f>
        <v/>
      </c>
      <c r="AZ196" s="185" t="str">
        <f>_xlfn.IFNA(VLOOKUP($AH196,Programma!$F$3:$X$1101,19,0),"")</f>
        <v/>
      </c>
      <c r="BA196" s="185" t="str">
        <f>_xlfn.IFNA(VLOOKUP($AH196,Programma!$F$3:$Y$1101,20,0),"")</f>
        <v/>
      </c>
      <c r="BB196" s="182"/>
      <c r="BC196" s="181" t="str">
        <f>IF(Ruimtestaat[[#This Row],[Frequentie weekend]]="","",_xlfn.CONCAT(Ruimtestaat[[#This Row],[Ruimte code]],"-",Ruimtestaat[[#This Row],[Frequentie weekend]]," ",Ruimtestaat[[#This Row],[Vloer code]]))</f>
        <v/>
      </c>
      <c r="BD196" s="185" t="str">
        <f>_xlfn.IFNA(VLOOKUP($BC196,Programma!$F$3:$G$1101,2,0),"")</f>
        <v/>
      </c>
      <c r="BE196" s="185" t="str">
        <f>_xlfn.IFNA(VLOOKUP($BC196,Programma!$F$3:$H$1101,3,0),"")</f>
        <v/>
      </c>
      <c r="BF196" s="185" t="str">
        <f>_xlfn.IFNA(VLOOKUP($BC196,Programma!$F$3:$I$1101,4,0),"")</f>
        <v/>
      </c>
      <c r="BG196" s="185" t="str">
        <f>_xlfn.IFNA(VLOOKUP($BC196,Programma!$F$3:$J$1101,5,0),"")</f>
        <v/>
      </c>
      <c r="BH196" s="185" t="str">
        <f>_xlfn.IFNA(VLOOKUP($BC196,Programma!$F$3:$K$1101,6,0),"")</f>
        <v/>
      </c>
      <c r="BI196" s="185" t="str">
        <f>_xlfn.IFNA(VLOOKUP($BC196,Programma!$F$3:$L$1101,7,0),"")</f>
        <v/>
      </c>
      <c r="BJ196" s="185" t="str">
        <f>_xlfn.IFNA(VLOOKUP($BC196,Programma!$F$3:$M$1101,8,0),"")</f>
        <v/>
      </c>
      <c r="BK196" s="185" t="str">
        <f>_xlfn.IFNA(VLOOKUP($BC196,Programma!$F$3:$N$1101,9,0),"")</f>
        <v/>
      </c>
      <c r="BL196" s="185" t="str">
        <f>_xlfn.IFNA(VLOOKUP($BC196,Programma!$F$3:$O$1101,10,0),"")</f>
        <v/>
      </c>
      <c r="BM196" s="185" t="str">
        <f>_xlfn.IFNA(VLOOKUP($BC196,Programma!$F$3:$P$1101,11,0),"")</f>
        <v/>
      </c>
      <c r="BN196" s="185" t="str">
        <f>_xlfn.IFNA(VLOOKUP($BC196,Programma!$F$3:$Q$1101,12,0),"")</f>
        <v/>
      </c>
      <c r="BO196" s="185" t="str">
        <f>_xlfn.IFNA(VLOOKUP($BC196,Programma!$F$3:$R$1101,13,0),"")</f>
        <v/>
      </c>
      <c r="BP196" s="185" t="str">
        <f>_xlfn.IFNA(VLOOKUP($BC196,Programma!$F$3:$S$1101,14,0),"")</f>
        <v/>
      </c>
      <c r="BQ196" s="185" t="str">
        <f>_xlfn.IFNA(VLOOKUP($BC196,Programma!$F$3:$T$1101,15,0),"")</f>
        <v/>
      </c>
      <c r="BR196" s="185" t="str">
        <f>_xlfn.IFNA(VLOOKUP($BC196,Programma!$F$3:$U$1101,16,0),"")</f>
        <v/>
      </c>
      <c r="BS196" s="185" t="str">
        <f>_xlfn.IFNA(VLOOKUP($BC196,Programma!$F$3:$V$1101,17,0),"")</f>
        <v/>
      </c>
      <c r="BT196" s="185" t="str">
        <f>_xlfn.IFNA(VLOOKUP($BC196,Programma!$F$3:$W$1101,18,0),"")</f>
        <v/>
      </c>
      <c r="BU196" s="185" t="str">
        <f>_xlfn.IFNA(VLOOKUP($BC196,Programma!$F$3:$X$1101,19,0),"")</f>
        <v/>
      </c>
      <c r="BV196" s="185" t="str">
        <f>_xlfn.IFNA(VLOOKUP($BC196,Programma!$F$3:$Y$1101,20,0),"")</f>
        <v/>
      </c>
      <c r="BW196" s="78"/>
      <c r="BX196" s="78"/>
      <c r="BY196" s="78"/>
      <c r="BZ196" s="78"/>
      <c r="CA196" s="78"/>
      <c r="CB196" s="78"/>
      <c r="CC196" s="78"/>
      <c r="CD196" s="78"/>
      <c r="CE196" s="78"/>
      <c r="CF196" s="78"/>
      <c r="CG196" s="78"/>
      <c r="CH196" s="78"/>
      <c r="CI196" s="78"/>
      <c r="CJ196" s="78"/>
      <c r="CK196" s="78"/>
      <c r="CL196" s="78"/>
      <c r="CM196" s="78"/>
      <c r="CN196" s="78"/>
      <c r="CO196" s="78"/>
      <c r="CP196" s="78"/>
      <c r="CQ196" s="78"/>
      <c r="CR196" s="78"/>
      <c r="CS196" s="78"/>
      <c r="CT196" s="78"/>
      <c r="CU196" s="78"/>
      <c r="CV196" s="78"/>
      <c r="CW196" s="78"/>
      <c r="CX196" s="78"/>
      <c r="CY196" s="78"/>
      <c r="CZ196" s="78"/>
      <c r="DA196" s="78"/>
      <c r="DB196" s="78"/>
      <c r="DC196" s="78"/>
      <c r="DD196" s="78"/>
      <c r="DE196" s="78"/>
      <c r="DF196" s="78"/>
      <c r="DG196" s="78"/>
      <c r="DH196" s="78"/>
      <c r="DI196" s="78"/>
      <c r="DJ196" s="78"/>
      <c r="DK196" s="78"/>
      <c r="DL196" s="78"/>
      <c r="DM196" s="78"/>
      <c r="DN196" s="78"/>
      <c r="DO196" s="78"/>
      <c r="DP196" s="78"/>
      <c r="DQ196" s="78"/>
      <c r="DR196" s="78"/>
      <c r="DS196" s="78"/>
      <c r="DT196" s="78"/>
      <c r="DU196" s="78"/>
      <c r="DV196" s="78"/>
      <c r="DW196" s="78"/>
      <c r="DX196" s="78"/>
      <c r="DY196" s="78"/>
      <c r="DZ196" s="78"/>
      <c r="EA196" s="78"/>
      <c r="EB196" s="78"/>
      <c r="EC196" s="78"/>
      <c r="ED196" s="78"/>
      <c r="EE196" s="78"/>
      <c r="EF196" s="78"/>
      <c r="EG196" s="78"/>
      <c r="EH196" s="78"/>
      <c r="EI196" s="78"/>
      <c r="EJ196" s="78"/>
      <c r="EK196" s="78"/>
      <c r="EL196" s="78"/>
      <c r="EM196" s="78"/>
      <c r="EN196" s="78"/>
      <c r="EO196" s="78"/>
      <c r="EP196" s="78"/>
      <c r="EQ196" s="78"/>
      <c r="ER196" s="78"/>
      <c r="ES196" s="78"/>
      <c r="ET196" s="78"/>
      <c r="EU196" s="78"/>
      <c r="EV196" s="78"/>
      <c r="EW196" s="78"/>
      <c r="EX196" s="78"/>
      <c r="EY196" s="78"/>
      <c r="EZ196" s="78"/>
      <c r="FA196" s="78"/>
      <c r="FB196" s="78"/>
      <c r="FC196" s="78"/>
      <c r="FD196" s="78"/>
      <c r="FE196" s="78"/>
      <c r="FF196" s="78"/>
      <c r="FG196" s="78"/>
      <c r="FH196" s="78"/>
      <c r="FI196" s="78"/>
      <c r="FJ196" s="78"/>
      <c r="FK196" s="78"/>
      <c r="FL196" s="78"/>
      <c r="FM196" s="78"/>
      <c r="FN196" s="78"/>
      <c r="FO196" s="78"/>
      <c r="FP196" s="78"/>
      <c r="FQ196" s="78"/>
      <c r="FR196" s="78"/>
      <c r="FS196" s="78"/>
      <c r="FT196" s="78"/>
      <c r="FU196" s="78"/>
      <c r="FV196" s="78"/>
      <c r="FW196" s="78"/>
      <c r="FX196" s="78"/>
      <c r="FY196" s="78"/>
      <c r="FZ196" s="78"/>
      <c r="GA196" s="78"/>
      <c r="GB196" s="78"/>
      <c r="GC196" s="78"/>
      <c r="GD196" s="78"/>
      <c r="GE196" s="78"/>
      <c r="GF196" s="78"/>
      <c r="GG196" s="78"/>
      <c r="GH196" s="78"/>
      <c r="GI196" s="78"/>
      <c r="GJ196" s="78"/>
      <c r="GK196" s="78"/>
      <c r="GL196" s="78"/>
      <c r="GM196" s="78"/>
      <c r="GN196" s="78"/>
      <c r="GO196" s="78"/>
      <c r="GP196" s="78"/>
      <c r="GQ196" s="78"/>
      <c r="GR196" s="78"/>
      <c r="GS196" s="78"/>
      <c r="GT196" s="78"/>
      <c r="GU196" s="78"/>
      <c r="GV196" s="78"/>
      <c r="GW196" s="78"/>
      <c r="GX196" s="78"/>
      <c r="GY196" s="78"/>
      <c r="GZ196" s="78"/>
      <c r="HA196" s="78"/>
      <c r="HB196" s="78"/>
      <c r="HC196" s="78"/>
      <c r="HD196" s="78"/>
      <c r="HE196" s="78"/>
      <c r="HF196" s="78"/>
      <c r="HG196" s="78"/>
      <c r="HH196" s="78"/>
      <c r="HI196" s="78"/>
      <c r="HJ196" s="78"/>
      <c r="HK196" s="78"/>
    </row>
    <row r="197" spans="1:219" ht="15" customHeight="1">
      <c r="A197" s="149">
        <v>6</v>
      </c>
      <c r="B197" s="176" t="str">
        <f>VLOOKUP(Ruimtestaat[[#This Row],[Code]],Locaties[[Code]:[Locatie]],2,FALSE)</f>
        <v>OBS La Res Noord</v>
      </c>
      <c r="C197" s="176" t="str">
        <f>VLOOKUP(Ruimtestaat[[#This Row],[Code]],Locaties[[#All],[Code]:[Adres]],4,FALSE)</f>
        <v>Schietbaanweg 30</v>
      </c>
      <c r="D197" s="176" t="str">
        <f>VLOOKUP(Ruimtestaat[[#This Row],[Code]],Locaties[[#All],[Code]:[Postcode]],5,FALSE)</f>
        <v>7521 DB</v>
      </c>
      <c r="E197" s="176" t="str">
        <f>VLOOKUP(Ruimtestaat[[#This Row],[Code]],Locaties[#All],6,FALSE)</f>
        <v>Enschede</v>
      </c>
      <c r="F197" s="149"/>
      <c r="G197" s="149"/>
      <c r="H197" s="99" t="s">
        <v>1766</v>
      </c>
      <c r="I197" s="183" t="s">
        <v>1688</v>
      </c>
      <c r="J197" s="99">
        <v>16</v>
      </c>
      <c r="K197" s="183" t="str">
        <f>VLOOKUP(Ruimtestaat[[#This Row],[Ruimte code]],Ruimtegroepen[[#All],[Code]:[Ruimte omschrijving]],2,FALSE)</f>
        <v>Leslokalen</v>
      </c>
      <c r="L197" s="149" t="s">
        <v>100</v>
      </c>
      <c r="M197" s="301" t="s">
        <v>1697</v>
      </c>
      <c r="N197" s="177">
        <v>57.2</v>
      </c>
      <c r="O197" s="177"/>
      <c r="P197" s="178" t="str">
        <f>VLOOKUP(Ruimtestaat[[#This Row],[Ruimte code]],Ruimtegroepen[],4,FALSE)</f>
        <v>Le</v>
      </c>
      <c r="Q197" s="149"/>
      <c r="R197" s="149"/>
      <c r="S197" s="149">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7" s="149">
        <f>IF(S197&gt;0,VLOOKUP($J197,Ruimtegroepen[],3,FALSE)*VLOOKUP($L197,Vloersoorten[],3,FALSE)*VLOOKUP($R197,Frequenties[],3,FALSE)*VLOOKUP($A197,Locaties[],3,FALSE),0)</f>
        <v>0</v>
      </c>
      <c r="U197" s="149">
        <f>Ruimtestaat[[#This Row],[Uitvoeringen werkdagen]]*Ruimtestaat[[#This Row],[Oppervlak (netto)]]</f>
        <v>0</v>
      </c>
      <c r="V197" s="179">
        <f>IF(T197&gt;0,Ruimtestaat[[#This Row],[Prest. (m2 /jaar) werkdagen]]/Ruimtestaat[[#This Row],[Norm (m2/uur) werkdagen]],0)</f>
        <v>0</v>
      </c>
      <c r="W197" s="180">
        <f>Ruimtestaat[[#This Row],[uren / jaar werkdagen]]*Tariefsopbouw!$E$35</f>
        <v>0</v>
      </c>
      <c r="X197" s="149"/>
      <c r="Y197" s="149">
        <f>IF(Ruimtestaat[[#This Row],[Frequentie weekend]]&gt;0,VALUE(LEFT(X197,1))*Q197,0)</f>
        <v>0</v>
      </c>
      <c r="Z197" s="148">
        <f>IF($Y197&gt;0,VLOOKUP($J197,Ruimtegroepen[],3,FALSE)*VLOOKUP($L197,Vloersoorten[],3,FALSE)*VLOOKUP($X197,Frequenties[],3,FALSE)*VLOOKUP(#REF!,Locaties[],3,FALSE),0)</f>
        <v>0</v>
      </c>
      <c r="AA197" s="148">
        <f>Ruimtestaat[[#This Row],[Uitvoeringen weekend]]*Ruimtestaat[[#This Row],[Oppervlak (netto)]]</f>
        <v>0</v>
      </c>
      <c r="AB197" s="148">
        <f>IF(Z197&gt;0,Ruimtestaat[[#This Row],[Prest. (m2 /jaar) weekend]]/Ruimtestaat[[#This Row],[Norm (m2/uur) weekend]],0)</f>
        <v>0</v>
      </c>
      <c r="AC197" s="180">
        <f>Ruimtestaat[[#This Row],[uren / jaar weekend]]*Tariefsopbouw!$D$40</f>
        <v>0</v>
      </c>
      <c r="AD197" s="179">
        <f>Ruimtestaat[[#This Row],[Prest. (m2 /jaar) weekend]]+Ruimtestaat[[#This Row],[Prest. (m2 /jaar) werkdagen]]</f>
        <v>0</v>
      </c>
      <c r="AE197" s="179">
        <f>Ruimtestaat[[#This Row],[uren / jaar weekend]]+Ruimtestaat[[#This Row],[uren / jaar werkdagen]]</f>
        <v>0</v>
      </c>
      <c r="AF197" s="174">
        <f>Ruimtestaat[[#This Row],[kosten / jaar weekend]]+Ruimtestaat[[#This Row],[kosten / jaar werkdagen]]</f>
        <v>0</v>
      </c>
      <c r="AG197" s="174"/>
      <c r="AH197" s="181" t="str">
        <f>IF(Ruimtestaat[[#This Row],[Frequentie werkdagen]]="","",_xlfn.CONCAT(Ruimtestaat[[#This Row],[Ruimte code]],"-",Ruimtestaat[[#This Row],[Frequentie werkdagen]]," ",Ruimtestaat[[#This Row],[Vloer code]]))</f>
        <v/>
      </c>
      <c r="AI197" s="185" t="str">
        <f>_xlfn.IFNA(VLOOKUP($AH197,Programma!$F$3:$G$1101,2,0),"")</f>
        <v/>
      </c>
      <c r="AJ197" s="185" t="str">
        <f>_xlfn.IFNA(VLOOKUP($AH197,Programma!$F$3:$H$1101,3,0),"")</f>
        <v/>
      </c>
      <c r="AK197" s="185" t="str">
        <f>_xlfn.IFNA(VLOOKUP($AH197,Programma!$F$3:$I$1101,4,0),"")</f>
        <v/>
      </c>
      <c r="AL197" s="185" t="str">
        <f>_xlfn.IFNA(VLOOKUP($AH197,Programma!$F$3:$J$1101,5,0),"")</f>
        <v/>
      </c>
      <c r="AM197" s="185" t="str">
        <f>_xlfn.IFNA(VLOOKUP($AH197,Programma!$F$3:$K$1101,6,0),"")</f>
        <v/>
      </c>
      <c r="AN197" s="185" t="str">
        <f>_xlfn.IFNA(VLOOKUP($AH197,Programma!$F$3:$L$1101,7,0),"")</f>
        <v/>
      </c>
      <c r="AO197" s="185" t="str">
        <f>_xlfn.IFNA(VLOOKUP($AH197,Programma!$F$3:$M$1101,8,0),"")</f>
        <v/>
      </c>
      <c r="AP197" s="185" t="str">
        <f>_xlfn.IFNA(VLOOKUP($AH197,Programma!$F$3:$N$1101,9,0),"")</f>
        <v/>
      </c>
      <c r="AQ197" s="185" t="str">
        <f>_xlfn.IFNA(VLOOKUP($AH197,Programma!$F$3:$O$1101,10,0),"")</f>
        <v/>
      </c>
      <c r="AR197" s="185" t="str">
        <f>_xlfn.IFNA(VLOOKUP($AH197,Programma!$F$3:$P$1101,11,0),"")</f>
        <v/>
      </c>
      <c r="AS197" s="185" t="str">
        <f>_xlfn.IFNA(VLOOKUP($AH197,Programma!$F$3:$Q$1101,12,0),"")</f>
        <v/>
      </c>
      <c r="AT197" s="185" t="str">
        <f>_xlfn.IFNA(VLOOKUP($AH197,Programma!$F$3:$R$1101,13,0),"")</f>
        <v/>
      </c>
      <c r="AU197" s="185" t="str">
        <f>_xlfn.IFNA(VLOOKUP($AH197,Programma!$F$3:$S$1101,14,0),"")</f>
        <v/>
      </c>
      <c r="AV197" s="185" t="str">
        <f>_xlfn.IFNA(VLOOKUP($AH197,Programma!$F$3:$T$1101,15,0),"")</f>
        <v/>
      </c>
      <c r="AW197" s="185" t="str">
        <f>_xlfn.IFNA(VLOOKUP($AH197,Programma!$F$3:$U$1101,16,0),"")</f>
        <v/>
      </c>
      <c r="AX197" s="185" t="str">
        <f>_xlfn.IFNA(VLOOKUP($AH197,Programma!$F$3:$V$1101,17,0),"")</f>
        <v/>
      </c>
      <c r="AY197" s="185" t="str">
        <f>_xlfn.IFNA(VLOOKUP($AH197,Programma!$F$3:$W$1101,18,0),"")</f>
        <v/>
      </c>
      <c r="AZ197" s="185" t="str">
        <f>_xlfn.IFNA(VLOOKUP($AH197,Programma!$F$3:$X$1101,19,0),"")</f>
        <v/>
      </c>
      <c r="BA197" s="185" t="str">
        <f>_xlfn.IFNA(VLOOKUP($AH197,Programma!$F$3:$Y$1101,20,0),"")</f>
        <v/>
      </c>
      <c r="BB197" s="182"/>
      <c r="BC197" s="181" t="str">
        <f>IF(Ruimtestaat[[#This Row],[Frequentie weekend]]="","",_xlfn.CONCAT(Ruimtestaat[[#This Row],[Ruimte code]],"-",Ruimtestaat[[#This Row],[Frequentie weekend]]," ",Ruimtestaat[[#This Row],[Vloer code]]))</f>
        <v/>
      </c>
      <c r="BD197" s="185" t="str">
        <f>_xlfn.IFNA(VLOOKUP($BC197,Programma!$F$3:$G$1101,2,0),"")</f>
        <v/>
      </c>
      <c r="BE197" s="185" t="str">
        <f>_xlfn.IFNA(VLOOKUP($BC197,Programma!$F$3:$H$1101,3,0),"")</f>
        <v/>
      </c>
      <c r="BF197" s="185" t="str">
        <f>_xlfn.IFNA(VLOOKUP($BC197,Programma!$F$3:$I$1101,4,0),"")</f>
        <v/>
      </c>
      <c r="BG197" s="185" t="str">
        <f>_xlfn.IFNA(VLOOKUP($BC197,Programma!$F$3:$J$1101,5,0),"")</f>
        <v/>
      </c>
      <c r="BH197" s="185" t="str">
        <f>_xlfn.IFNA(VLOOKUP($BC197,Programma!$F$3:$K$1101,6,0),"")</f>
        <v/>
      </c>
      <c r="BI197" s="185" t="str">
        <f>_xlfn.IFNA(VLOOKUP($BC197,Programma!$F$3:$L$1101,7,0),"")</f>
        <v/>
      </c>
      <c r="BJ197" s="185" t="str">
        <f>_xlfn.IFNA(VLOOKUP($BC197,Programma!$F$3:$M$1101,8,0),"")</f>
        <v/>
      </c>
      <c r="BK197" s="185" t="str">
        <f>_xlfn.IFNA(VLOOKUP($BC197,Programma!$F$3:$N$1101,9,0),"")</f>
        <v/>
      </c>
      <c r="BL197" s="185" t="str">
        <f>_xlfn.IFNA(VLOOKUP($BC197,Programma!$F$3:$O$1101,10,0),"")</f>
        <v/>
      </c>
      <c r="BM197" s="185" t="str">
        <f>_xlfn.IFNA(VLOOKUP($BC197,Programma!$F$3:$P$1101,11,0),"")</f>
        <v/>
      </c>
      <c r="BN197" s="185" t="str">
        <f>_xlfn.IFNA(VLOOKUP($BC197,Programma!$F$3:$Q$1101,12,0),"")</f>
        <v/>
      </c>
      <c r="BO197" s="185" t="str">
        <f>_xlfn.IFNA(VLOOKUP($BC197,Programma!$F$3:$R$1101,13,0),"")</f>
        <v/>
      </c>
      <c r="BP197" s="185" t="str">
        <f>_xlfn.IFNA(VLOOKUP($BC197,Programma!$F$3:$S$1101,14,0),"")</f>
        <v/>
      </c>
      <c r="BQ197" s="185" t="str">
        <f>_xlfn.IFNA(VLOOKUP($BC197,Programma!$F$3:$T$1101,15,0),"")</f>
        <v/>
      </c>
      <c r="BR197" s="185" t="str">
        <f>_xlfn.IFNA(VLOOKUP($BC197,Programma!$F$3:$U$1101,16,0),"")</f>
        <v/>
      </c>
      <c r="BS197" s="185" t="str">
        <f>_xlfn.IFNA(VLOOKUP($BC197,Programma!$F$3:$V$1101,17,0),"")</f>
        <v/>
      </c>
      <c r="BT197" s="185" t="str">
        <f>_xlfn.IFNA(VLOOKUP($BC197,Programma!$F$3:$W$1101,18,0),"")</f>
        <v/>
      </c>
      <c r="BU197" s="185" t="str">
        <f>_xlfn.IFNA(VLOOKUP($BC197,Programma!$F$3:$X$1101,19,0),"")</f>
        <v/>
      </c>
      <c r="BV197" s="185" t="str">
        <f>_xlfn.IFNA(VLOOKUP($BC197,Programma!$F$3:$Y$1101,20,0),"")</f>
        <v/>
      </c>
      <c r="BW197" s="78"/>
      <c r="BX197" s="78"/>
      <c r="BY197" s="78"/>
      <c r="BZ197" s="78"/>
      <c r="CA197" s="78"/>
      <c r="CB197" s="78"/>
      <c r="CC197" s="78"/>
      <c r="CD197" s="78"/>
      <c r="CE197" s="78"/>
      <c r="CF197" s="78"/>
      <c r="CG197" s="78"/>
      <c r="CH197" s="78"/>
      <c r="CI197" s="78"/>
      <c r="CJ197" s="78"/>
      <c r="CK197" s="78"/>
      <c r="CL197" s="78"/>
      <c r="CM197" s="78"/>
      <c r="CN197" s="78"/>
      <c r="CO197" s="78"/>
      <c r="CP197" s="78"/>
      <c r="CQ197" s="78"/>
      <c r="CR197" s="78"/>
      <c r="CS197" s="78"/>
      <c r="CT197" s="78"/>
      <c r="CU197" s="78"/>
      <c r="CV197" s="78"/>
      <c r="CW197" s="78"/>
      <c r="CX197" s="78"/>
      <c r="CY197" s="78"/>
      <c r="CZ197" s="78"/>
      <c r="DA197" s="78"/>
      <c r="DB197" s="78"/>
      <c r="DC197" s="78"/>
      <c r="DD197" s="78"/>
      <c r="DE197" s="78"/>
      <c r="DF197" s="78"/>
      <c r="DG197" s="78"/>
      <c r="DH197" s="78"/>
      <c r="DI197" s="78"/>
      <c r="DJ197" s="78"/>
      <c r="DK197" s="78"/>
      <c r="DL197" s="78"/>
      <c r="DM197" s="78"/>
      <c r="DN197" s="78"/>
      <c r="DO197" s="78"/>
      <c r="DP197" s="78"/>
      <c r="DQ197" s="78"/>
      <c r="DR197" s="78"/>
      <c r="DS197" s="78"/>
      <c r="DT197" s="78"/>
      <c r="DU197" s="78"/>
      <c r="DV197" s="78"/>
      <c r="DW197" s="78"/>
      <c r="DX197" s="78"/>
      <c r="DY197" s="78"/>
      <c r="DZ197" s="78"/>
      <c r="EA197" s="78"/>
      <c r="EB197" s="78"/>
      <c r="EC197" s="78"/>
      <c r="ED197" s="78"/>
      <c r="EE197" s="78"/>
      <c r="EF197" s="78"/>
      <c r="EG197" s="78"/>
      <c r="EH197" s="78"/>
      <c r="EI197" s="78"/>
      <c r="EJ197" s="78"/>
      <c r="EK197" s="78"/>
      <c r="EL197" s="78"/>
      <c r="EM197" s="78"/>
      <c r="EN197" s="78"/>
      <c r="EO197" s="78"/>
      <c r="EP197" s="78"/>
      <c r="EQ197" s="78"/>
      <c r="ER197" s="78"/>
      <c r="ES197" s="78"/>
      <c r="ET197" s="78"/>
      <c r="EU197" s="78"/>
      <c r="EV197" s="78"/>
      <c r="EW197" s="78"/>
      <c r="EX197" s="78"/>
      <c r="EY197" s="78"/>
      <c r="EZ197" s="78"/>
      <c r="FA197" s="78"/>
      <c r="FB197" s="78"/>
      <c r="FC197" s="78"/>
      <c r="FD197" s="78"/>
      <c r="FE197" s="78"/>
      <c r="FF197" s="78"/>
      <c r="FG197" s="78"/>
      <c r="FH197" s="78"/>
      <c r="FI197" s="78"/>
      <c r="FJ197" s="78"/>
      <c r="FK197" s="78"/>
      <c r="FL197" s="78"/>
      <c r="FM197" s="78"/>
      <c r="FN197" s="78"/>
      <c r="FO197" s="78"/>
      <c r="FP197" s="78"/>
      <c r="FQ197" s="78"/>
      <c r="FR197" s="78"/>
      <c r="FS197" s="78"/>
      <c r="FT197" s="78"/>
      <c r="FU197" s="78"/>
      <c r="FV197" s="78"/>
      <c r="FW197" s="78"/>
      <c r="FX197" s="78"/>
      <c r="FY197" s="78"/>
      <c r="FZ197" s="78"/>
      <c r="GA197" s="78"/>
      <c r="GB197" s="78"/>
      <c r="GC197" s="78"/>
      <c r="GD197" s="78"/>
      <c r="GE197" s="78"/>
      <c r="GF197" s="78"/>
      <c r="GG197" s="78"/>
      <c r="GH197" s="78"/>
      <c r="GI197" s="78"/>
      <c r="GJ197" s="78"/>
      <c r="GK197" s="78"/>
      <c r="GL197" s="78"/>
      <c r="GM197" s="78"/>
      <c r="GN197" s="78"/>
      <c r="GO197" s="78"/>
      <c r="GP197" s="78"/>
      <c r="GQ197" s="78"/>
      <c r="GR197" s="78"/>
      <c r="GS197" s="78"/>
      <c r="GT197" s="78"/>
      <c r="GU197" s="78"/>
      <c r="GV197" s="78"/>
      <c r="GW197" s="78"/>
      <c r="GX197" s="78"/>
      <c r="GY197" s="78"/>
      <c r="GZ197" s="78"/>
      <c r="HA197" s="78"/>
      <c r="HB197" s="78"/>
      <c r="HC197" s="78"/>
      <c r="HD197" s="78"/>
      <c r="HE197" s="78"/>
      <c r="HF197" s="78"/>
      <c r="HG197" s="78"/>
      <c r="HH197" s="78"/>
      <c r="HI197" s="78"/>
      <c r="HJ197" s="78"/>
      <c r="HK197" s="78"/>
    </row>
    <row r="198" spans="1:219" ht="15" customHeight="1">
      <c r="A198" s="149">
        <v>6</v>
      </c>
      <c r="B198" s="176" t="str">
        <f>VLOOKUP(Ruimtestaat[[#This Row],[Code]],Locaties[[Code]:[Locatie]],2,FALSE)</f>
        <v>OBS La Res Noord</v>
      </c>
      <c r="C198" s="176" t="str">
        <f>VLOOKUP(Ruimtestaat[[#This Row],[Code]],Locaties[[#All],[Code]:[Adres]],4,FALSE)</f>
        <v>Schietbaanweg 30</v>
      </c>
      <c r="D198" s="176" t="str">
        <f>VLOOKUP(Ruimtestaat[[#This Row],[Code]],Locaties[[#All],[Code]:[Postcode]],5,FALSE)</f>
        <v>7521 DB</v>
      </c>
      <c r="E198" s="176" t="str">
        <f>VLOOKUP(Ruimtestaat[[#This Row],[Code]],Locaties[#All],6,FALSE)</f>
        <v>Enschede</v>
      </c>
      <c r="F198" s="149"/>
      <c r="G198" s="149"/>
      <c r="H198" s="99" t="s">
        <v>1803</v>
      </c>
      <c r="I198" s="183" t="s">
        <v>1658</v>
      </c>
      <c r="J198" s="99">
        <v>6</v>
      </c>
      <c r="K198" s="183" t="str">
        <f>VLOOKUP(Ruimtestaat[[#This Row],[Ruimte code]],Ruimtegroepen[[#All],[Code]:[Ruimte omschrijving]],2,FALSE)</f>
        <v>Gangen/hallen</v>
      </c>
      <c r="L198" s="149" t="s">
        <v>100</v>
      </c>
      <c r="M198" s="301" t="s">
        <v>1697</v>
      </c>
      <c r="N198" s="177">
        <v>22.3</v>
      </c>
      <c r="O198" s="177"/>
      <c r="P198" s="178" t="str">
        <f>VLOOKUP(Ruimtestaat[[#This Row],[Ruimte code]],Ruimtegroepen[],4,FALSE)</f>
        <v>Ve</v>
      </c>
      <c r="Q198" s="149"/>
      <c r="R198" s="149"/>
      <c r="S198" s="149">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8" s="149">
        <f>IF(S198&gt;0,VLOOKUP($J198,Ruimtegroepen[],3,FALSE)*VLOOKUP($L198,Vloersoorten[],3,FALSE)*VLOOKUP($R198,Frequenties[],3,FALSE)*VLOOKUP($A198,Locaties[],3,FALSE),0)</f>
        <v>0</v>
      </c>
      <c r="U198" s="149">
        <f>Ruimtestaat[[#This Row],[Uitvoeringen werkdagen]]*Ruimtestaat[[#This Row],[Oppervlak (netto)]]</f>
        <v>0</v>
      </c>
      <c r="V198" s="179">
        <f>IF(T198&gt;0,Ruimtestaat[[#This Row],[Prest. (m2 /jaar) werkdagen]]/Ruimtestaat[[#This Row],[Norm (m2/uur) werkdagen]],0)</f>
        <v>0</v>
      </c>
      <c r="W198" s="180">
        <f>Ruimtestaat[[#This Row],[uren / jaar werkdagen]]*Tariefsopbouw!$E$35</f>
        <v>0</v>
      </c>
      <c r="X198" s="149"/>
      <c r="Y198" s="149">
        <f>IF(Ruimtestaat[[#This Row],[Frequentie weekend]]&gt;0,VALUE(LEFT(X198,1))*Q198,0)</f>
        <v>0</v>
      </c>
      <c r="Z198" s="148">
        <f>IF($Y198&gt;0,VLOOKUP($J198,Ruimtegroepen[],3,FALSE)*VLOOKUP($L198,Vloersoorten[],3,FALSE)*VLOOKUP($X198,Frequenties[],3,FALSE)*VLOOKUP(#REF!,Locaties[],3,FALSE),0)</f>
        <v>0</v>
      </c>
      <c r="AA198" s="148">
        <f>Ruimtestaat[[#This Row],[Uitvoeringen weekend]]*Ruimtestaat[[#This Row],[Oppervlak (netto)]]</f>
        <v>0</v>
      </c>
      <c r="AB198" s="148">
        <f>IF(Z198&gt;0,Ruimtestaat[[#This Row],[Prest. (m2 /jaar) weekend]]/Ruimtestaat[[#This Row],[Norm (m2/uur) weekend]],0)</f>
        <v>0</v>
      </c>
      <c r="AC198" s="180">
        <f>Ruimtestaat[[#This Row],[uren / jaar weekend]]*Tariefsopbouw!$D$40</f>
        <v>0</v>
      </c>
      <c r="AD198" s="179">
        <f>Ruimtestaat[[#This Row],[Prest. (m2 /jaar) weekend]]+Ruimtestaat[[#This Row],[Prest. (m2 /jaar) werkdagen]]</f>
        <v>0</v>
      </c>
      <c r="AE198" s="179">
        <f>Ruimtestaat[[#This Row],[uren / jaar weekend]]+Ruimtestaat[[#This Row],[uren / jaar werkdagen]]</f>
        <v>0</v>
      </c>
      <c r="AF198" s="174">
        <f>Ruimtestaat[[#This Row],[kosten / jaar weekend]]+Ruimtestaat[[#This Row],[kosten / jaar werkdagen]]</f>
        <v>0</v>
      </c>
      <c r="AG198" s="174"/>
      <c r="AH198" s="181" t="str">
        <f>IF(Ruimtestaat[[#This Row],[Frequentie werkdagen]]="","",_xlfn.CONCAT(Ruimtestaat[[#This Row],[Ruimte code]],"-",Ruimtestaat[[#This Row],[Frequentie werkdagen]]," ",Ruimtestaat[[#This Row],[Vloer code]]))</f>
        <v/>
      </c>
      <c r="AI198" s="185" t="str">
        <f>_xlfn.IFNA(VLOOKUP($AH198,Programma!$F$3:$G$1101,2,0),"")</f>
        <v/>
      </c>
      <c r="AJ198" s="185" t="str">
        <f>_xlfn.IFNA(VLOOKUP($AH198,Programma!$F$3:$H$1101,3,0),"")</f>
        <v/>
      </c>
      <c r="AK198" s="185" t="str">
        <f>_xlfn.IFNA(VLOOKUP($AH198,Programma!$F$3:$I$1101,4,0),"")</f>
        <v/>
      </c>
      <c r="AL198" s="185" t="str">
        <f>_xlfn.IFNA(VLOOKUP($AH198,Programma!$F$3:$J$1101,5,0),"")</f>
        <v/>
      </c>
      <c r="AM198" s="185" t="str">
        <f>_xlfn.IFNA(VLOOKUP($AH198,Programma!$F$3:$K$1101,6,0),"")</f>
        <v/>
      </c>
      <c r="AN198" s="185" t="str">
        <f>_xlfn.IFNA(VLOOKUP($AH198,Programma!$F$3:$L$1101,7,0),"")</f>
        <v/>
      </c>
      <c r="AO198" s="185" t="str">
        <f>_xlfn.IFNA(VLOOKUP($AH198,Programma!$F$3:$M$1101,8,0),"")</f>
        <v/>
      </c>
      <c r="AP198" s="185" t="str">
        <f>_xlfn.IFNA(VLOOKUP($AH198,Programma!$F$3:$N$1101,9,0),"")</f>
        <v/>
      </c>
      <c r="AQ198" s="185" t="str">
        <f>_xlfn.IFNA(VLOOKUP($AH198,Programma!$F$3:$O$1101,10,0),"")</f>
        <v/>
      </c>
      <c r="AR198" s="185" t="str">
        <f>_xlfn.IFNA(VLOOKUP($AH198,Programma!$F$3:$P$1101,11,0),"")</f>
        <v/>
      </c>
      <c r="AS198" s="185" t="str">
        <f>_xlfn.IFNA(VLOOKUP($AH198,Programma!$F$3:$Q$1101,12,0),"")</f>
        <v/>
      </c>
      <c r="AT198" s="185" t="str">
        <f>_xlfn.IFNA(VLOOKUP($AH198,Programma!$F$3:$R$1101,13,0),"")</f>
        <v/>
      </c>
      <c r="AU198" s="185" t="str">
        <f>_xlfn.IFNA(VLOOKUP($AH198,Programma!$F$3:$S$1101,14,0),"")</f>
        <v/>
      </c>
      <c r="AV198" s="185" t="str">
        <f>_xlfn.IFNA(VLOOKUP($AH198,Programma!$F$3:$T$1101,15,0),"")</f>
        <v/>
      </c>
      <c r="AW198" s="185" t="str">
        <f>_xlfn.IFNA(VLOOKUP($AH198,Programma!$F$3:$U$1101,16,0),"")</f>
        <v/>
      </c>
      <c r="AX198" s="185" t="str">
        <f>_xlfn.IFNA(VLOOKUP($AH198,Programma!$F$3:$V$1101,17,0),"")</f>
        <v/>
      </c>
      <c r="AY198" s="185" t="str">
        <f>_xlfn.IFNA(VLOOKUP($AH198,Programma!$F$3:$W$1101,18,0),"")</f>
        <v/>
      </c>
      <c r="AZ198" s="185" t="str">
        <f>_xlfn.IFNA(VLOOKUP($AH198,Programma!$F$3:$X$1101,19,0),"")</f>
        <v/>
      </c>
      <c r="BA198" s="185" t="str">
        <f>_xlfn.IFNA(VLOOKUP($AH198,Programma!$F$3:$Y$1101,20,0),"")</f>
        <v/>
      </c>
      <c r="BB198" s="182"/>
      <c r="BC198" s="181" t="str">
        <f>IF(Ruimtestaat[[#This Row],[Frequentie weekend]]="","",_xlfn.CONCAT(Ruimtestaat[[#This Row],[Ruimte code]],"-",Ruimtestaat[[#This Row],[Frequentie weekend]]," ",Ruimtestaat[[#This Row],[Vloer code]]))</f>
        <v/>
      </c>
      <c r="BD198" s="185" t="str">
        <f>_xlfn.IFNA(VLOOKUP($BC198,Programma!$F$3:$G$1101,2,0),"")</f>
        <v/>
      </c>
      <c r="BE198" s="185" t="str">
        <f>_xlfn.IFNA(VLOOKUP($BC198,Programma!$F$3:$H$1101,3,0),"")</f>
        <v/>
      </c>
      <c r="BF198" s="185" t="str">
        <f>_xlfn.IFNA(VLOOKUP($BC198,Programma!$F$3:$I$1101,4,0),"")</f>
        <v/>
      </c>
      <c r="BG198" s="185" t="str">
        <f>_xlfn.IFNA(VLOOKUP($BC198,Programma!$F$3:$J$1101,5,0),"")</f>
        <v/>
      </c>
      <c r="BH198" s="185" t="str">
        <f>_xlfn.IFNA(VLOOKUP($BC198,Programma!$F$3:$K$1101,6,0),"")</f>
        <v/>
      </c>
      <c r="BI198" s="185" t="str">
        <f>_xlfn.IFNA(VLOOKUP($BC198,Programma!$F$3:$L$1101,7,0),"")</f>
        <v/>
      </c>
      <c r="BJ198" s="185" t="str">
        <f>_xlfn.IFNA(VLOOKUP($BC198,Programma!$F$3:$M$1101,8,0),"")</f>
        <v/>
      </c>
      <c r="BK198" s="185" t="str">
        <f>_xlfn.IFNA(VLOOKUP($BC198,Programma!$F$3:$N$1101,9,0),"")</f>
        <v/>
      </c>
      <c r="BL198" s="185" t="str">
        <f>_xlfn.IFNA(VLOOKUP($BC198,Programma!$F$3:$O$1101,10,0),"")</f>
        <v/>
      </c>
      <c r="BM198" s="185" t="str">
        <f>_xlfn.IFNA(VLOOKUP($BC198,Programma!$F$3:$P$1101,11,0),"")</f>
        <v/>
      </c>
      <c r="BN198" s="185" t="str">
        <f>_xlfn.IFNA(VLOOKUP($BC198,Programma!$F$3:$Q$1101,12,0),"")</f>
        <v/>
      </c>
      <c r="BO198" s="185" t="str">
        <f>_xlfn.IFNA(VLOOKUP($BC198,Programma!$F$3:$R$1101,13,0),"")</f>
        <v/>
      </c>
      <c r="BP198" s="185" t="str">
        <f>_xlfn.IFNA(VLOOKUP($BC198,Programma!$F$3:$S$1101,14,0),"")</f>
        <v/>
      </c>
      <c r="BQ198" s="185" t="str">
        <f>_xlfn.IFNA(VLOOKUP($BC198,Programma!$F$3:$T$1101,15,0),"")</f>
        <v/>
      </c>
      <c r="BR198" s="185" t="str">
        <f>_xlfn.IFNA(VLOOKUP($BC198,Programma!$F$3:$U$1101,16,0),"")</f>
        <v/>
      </c>
      <c r="BS198" s="185" t="str">
        <f>_xlfn.IFNA(VLOOKUP($BC198,Programma!$F$3:$V$1101,17,0),"")</f>
        <v/>
      </c>
      <c r="BT198" s="185" t="str">
        <f>_xlfn.IFNA(VLOOKUP($BC198,Programma!$F$3:$W$1101,18,0),"")</f>
        <v/>
      </c>
      <c r="BU198" s="185" t="str">
        <f>_xlfn.IFNA(VLOOKUP($BC198,Programma!$F$3:$X$1101,19,0),"")</f>
        <v/>
      </c>
      <c r="BV198" s="185" t="str">
        <f>_xlfn.IFNA(VLOOKUP($BC198,Programma!$F$3:$Y$1101,20,0),"")</f>
        <v/>
      </c>
      <c r="BW198" s="78"/>
      <c r="BX198" s="78"/>
      <c r="BY198" s="78"/>
      <c r="BZ198" s="78"/>
      <c r="CA198" s="78"/>
      <c r="CB198" s="78"/>
      <c r="CC198" s="78"/>
      <c r="CD198" s="78"/>
      <c r="CE198" s="78"/>
      <c r="CF198" s="78"/>
      <c r="CG198" s="78"/>
      <c r="CH198" s="78"/>
      <c r="CI198" s="78"/>
      <c r="CJ198" s="78"/>
      <c r="CK198" s="78"/>
      <c r="CL198" s="78"/>
      <c r="CM198" s="78"/>
      <c r="CN198" s="78"/>
      <c r="CO198" s="78"/>
      <c r="CP198" s="78"/>
      <c r="CQ198" s="78"/>
      <c r="CR198" s="78"/>
      <c r="CS198" s="78"/>
      <c r="CT198" s="78"/>
      <c r="CU198" s="78"/>
      <c r="CV198" s="78"/>
      <c r="CW198" s="78"/>
      <c r="CX198" s="78"/>
      <c r="CY198" s="78"/>
      <c r="CZ198" s="78"/>
      <c r="DA198" s="78"/>
      <c r="DB198" s="78"/>
      <c r="DC198" s="78"/>
      <c r="DD198" s="78"/>
      <c r="DE198" s="78"/>
      <c r="DF198" s="78"/>
      <c r="DG198" s="78"/>
      <c r="DH198" s="78"/>
      <c r="DI198" s="78"/>
      <c r="DJ198" s="78"/>
      <c r="DK198" s="78"/>
      <c r="DL198" s="78"/>
      <c r="DM198" s="78"/>
      <c r="DN198" s="78"/>
      <c r="DO198" s="78"/>
      <c r="DP198" s="78"/>
      <c r="DQ198" s="78"/>
      <c r="DR198" s="78"/>
      <c r="DS198" s="78"/>
      <c r="DT198" s="78"/>
      <c r="DU198" s="78"/>
      <c r="DV198" s="78"/>
      <c r="DW198" s="78"/>
      <c r="DX198" s="78"/>
      <c r="DY198" s="78"/>
      <c r="DZ198" s="78"/>
      <c r="EA198" s="78"/>
      <c r="EB198" s="78"/>
      <c r="EC198" s="78"/>
      <c r="ED198" s="78"/>
      <c r="EE198" s="78"/>
      <c r="EF198" s="78"/>
      <c r="EG198" s="78"/>
      <c r="EH198" s="78"/>
      <c r="EI198" s="78"/>
      <c r="EJ198" s="78"/>
      <c r="EK198" s="78"/>
      <c r="EL198" s="78"/>
      <c r="EM198" s="78"/>
      <c r="EN198" s="78"/>
      <c r="EO198" s="78"/>
      <c r="EP198" s="78"/>
      <c r="EQ198" s="78"/>
      <c r="ER198" s="78"/>
      <c r="ES198" s="78"/>
      <c r="ET198" s="78"/>
      <c r="EU198" s="78"/>
      <c r="EV198" s="78"/>
      <c r="EW198" s="78"/>
      <c r="EX198" s="78"/>
      <c r="EY198" s="78"/>
      <c r="EZ198" s="78"/>
      <c r="FA198" s="78"/>
      <c r="FB198" s="78"/>
      <c r="FC198" s="78"/>
      <c r="FD198" s="78"/>
      <c r="FE198" s="78"/>
      <c r="FF198" s="78"/>
      <c r="FG198" s="78"/>
      <c r="FH198" s="78"/>
      <c r="FI198" s="78"/>
      <c r="FJ198" s="78"/>
      <c r="FK198" s="78"/>
      <c r="FL198" s="78"/>
      <c r="FM198" s="78"/>
      <c r="FN198" s="78"/>
      <c r="FO198" s="78"/>
      <c r="FP198" s="78"/>
      <c r="FQ198" s="78"/>
      <c r="FR198" s="78"/>
      <c r="FS198" s="78"/>
      <c r="FT198" s="78"/>
      <c r="FU198" s="78"/>
      <c r="FV198" s="78"/>
      <c r="FW198" s="78"/>
      <c r="FX198" s="78"/>
      <c r="FY198" s="78"/>
      <c r="FZ198" s="78"/>
      <c r="GA198" s="78"/>
      <c r="GB198" s="78"/>
      <c r="GC198" s="78"/>
      <c r="GD198" s="78"/>
      <c r="GE198" s="78"/>
      <c r="GF198" s="78"/>
      <c r="GG198" s="78"/>
      <c r="GH198" s="78"/>
      <c r="GI198" s="78"/>
      <c r="GJ198" s="78"/>
      <c r="GK198" s="78"/>
      <c r="GL198" s="78"/>
      <c r="GM198" s="78"/>
      <c r="GN198" s="78"/>
      <c r="GO198" s="78"/>
      <c r="GP198" s="78"/>
      <c r="GQ198" s="78"/>
      <c r="GR198" s="78"/>
      <c r="GS198" s="78"/>
      <c r="GT198" s="78"/>
      <c r="GU198" s="78"/>
      <c r="GV198" s="78"/>
      <c r="GW198" s="78"/>
      <c r="GX198" s="78"/>
      <c r="GY198" s="78"/>
      <c r="GZ198" s="78"/>
      <c r="HA198" s="78"/>
      <c r="HB198" s="78"/>
      <c r="HC198" s="78"/>
      <c r="HD198" s="78"/>
      <c r="HE198" s="78"/>
      <c r="HF198" s="78"/>
      <c r="HG198" s="78"/>
      <c r="HH198" s="78"/>
      <c r="HI198" s="78"/>
      <c r="HJ198" s="78"/>
      <c r="HK198" s="78"/>
    </row>
    <row r="199" spans="1:219" ht="15" customHeight="1">
      <c r="A199" s="149">
        <v>6</v>
      </c>
      <c r="B199" s="176" t="str">
        <f>VLOOKUP(Ruimtestaat[[#This Row],[Code]],Locaties[[Code]:[Locatie]],2,FALSE)</f>
        <v>OBS La Res Noord</v>
      </c>
      <c r="C199" s="176" t="str">
        <f>VLOOKUP(Ruimtestaat[[#This Row],[Code]],Locaties[[#All],[Code]:[Adres]],4,FALSE)</f>
        <v>Schietbaanweg 30</v>
      </c>
      <c r="D199" s="176" t="str">
        <f>VLOOKUP(Ruimtestaat[[#This Row],[Code]],Locaties[[#All],[Code]:[Postcode]],5,FALSE)</f>
        <v>7521 DB</v>
      </c>
      <c r="E199" s="176" t="str">
        <f>VLOOKUP(Ruimtestaat[[#This Row],[Code]],Locaties[#All],6,FALSE)</f>
        <v>Enschede</v>
      </c>
      <c r="F199" s="149"/>
      <c r="G199" s="149"/>
      <c r="H199" s="99" t="s">
        <v>1804</v>
      </c>
      <c r="I199" s="183" t="s">
        <v>1684</v>
      </c>
      <c r="J199" s="99">
        <v>5</v>
      </c>
      <c r="K199" s="183" t="str">
        <f>VLOOKUP(Ruimtestaat[[#This Row],[Ruimte code]],Ruimtegroepen[[#All],[Code]:[Ruimte omschrijving]],2,FALSE)</f>
        <v>Sanitair</v>
      </c>
      <c r="L199" s="149" t="s">
        <v>101</v>
      </c>
      <c r="M199" s="301" t="s">
        <v>119</v>
      </c>
      <c r="N199" s="177">
        <v>1.5</v>
      </c>
      <c r="O199" s="177"/>
      <c r="P199" s="178" t="str">
        <f>VLOOKUP(Ruimtestaat[[#This Row],[Ruimte code]],Ruimtegroepen[],4,FALSE)</f>
        <v>Sa</v>
      </c>
      <c r="Q199" s="149"/>
      <c r="R199" s="149"/>
      <c r="S199" s="149">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9" s="149">
        <f>IF(S199&gt;0,VLOOKUP($J199,Ruimtegroepen[],3,FALSE)*VLOOKUP($L199,Vloersoorten[],3,FALSE)*VLOOKUP($R199,Frequenties[],3,FALSE)*VLOOKUP($A199,Locaties[],3,FALSE),0)</f>
        <v>0</v>
      </c>
      <c r="U199" s="149">
        <f>Ruimtestaat[[#This Row],[Uitvoeringen werkdagen]]*Ruimtestaat[[#This Row],[Oppervlak (netto)]]</f>
        <v>0</v>
      </c>
      <c r="V199" s="179">
        <f>IF(T199&gt;0,Ruimtestaat[[#This Row],[Prest. (m2 /jaar) werkdagen]]/Ruimtestaat[[#This Row],[Norm (m2/uur) werkdagen]],0)</f>
        <v>0</v>
      </c>
      <c r="W199" s="180">
        <f>Ruimtestaat[[#This Row],[uren / jaar werkdagen]]*Tariefsopbouw!$E$35</f>
        <v>0</v>
      </c>
      <c r="X199" s="149"/>
      <c r="Y199" s="149">
        <f>IF(Ruimtestaat[[#This Row],[Frequentie weekend]]&gt;0,VALUE(LEFT(X199,1))*Q199,0)</f>
        <v>0</v>
      </c>
      <c r="Z199" s="148">
        <f>IF($Y199&gt;0,VLOOKUP($J199,Ruimtegroepen[],3,FALSE)*VLOOKUP($L199,Vloersoorten[],3,FALSE)*VLOOKUP($X199,Frequenties[],3,FALSE)*VLOOKUP(#REF!,Locaties[],3,FALSE),0)</f>
        <v>0</v>
      </c>
      <c r="AA199" s="148">
        <f>Ruimtestaat[[#This Row],[Uitvoeringen weekend]]*Ruimtestaat[[#This Row],[Oppervlak (netto)]]</f>
        <v>0</v>
      </c>
      <c r="AB199" s="148">
        <f>IF(Z199&gt;0,Ruimtestaat[[#This Row],[Prest. (m2 /jaar) weekend]]/Ruimtestaat[[#This Row],[Norm (m2/uur) weekend]],0)</f>
        <v>0</v>
      </c>
      <c r="AC199" s="180">
        <f>Ruimtestaat[[#This Row],[uren / jaar weekend]]*Tariefsopbouw!$D$40</f>
        <v>0</v>
      </c>
      <c r="AD199" s="179">
        <f>Ruimtestaat[[#This Row],[Prest. (m2 /jaar) weekend]]+Ruimtestaat[[#This Row],[Prest. (m2 /jaar) werkdagen]]</f>
        <v>0</v>
      </c>
      <c r="AE199" s="179">
        <f>Ruimtestaat[[#This Row],[uren / jaar weekend]]+Ruimtestaat[[#This Row],[uren / jaar werkdagen]]</f>
        <v>0</v>
      </c>
      <c r="AF199" s="174">
        <f>Ruimtestaat[[#This Row],[kosten / jaar weekend]]+Ruimtestaat[[#This Row],[kosten / jaar werkdagen]]</f>
        <v>0</v>
      </c>
      <c r="AG199" s="174"/>
      <c r="AH199" s="181" t="str">
        <f>IF(Ruimtestaat[[#This Row],[Frequentie werkdagen]]="","",_xlfn.CONCAT(Ruimtestaat[[#This Row],[Ruimte code]],"-",Ruimtestaat[[#This Row],[Frequentie werkdagen]]," ",Ruimtestaat[[#This Row],[Vloer code]]))</f>
        <v/>
      </c>
      <c r="AI199" s="185" t="str">
        <f>_xlfn.IFNA(VLOOKUP($AH199,Programma!$F$3:$G$1101,2,0),"")</f>
        <v/>
      </c>
      <c r="AJ199" s="185" t="str">
        <f>_xlfn.IFNA(VLOOKUP($AH199,Programma!$F$3:$H$1101,3,0),"")</f>
        <v/>
      </c>
      <c r="AK199" s="185" t="str">
        <f>_xlfn.IFNA(VLOOKUP($AH199,Programma!$F$3:$I$1101,4,0),"")</f>
        <v/>
      </c>
      <c r="AL199" s="185" t="str">
        <f>_xlfn.IFNA(VLOOKUP($AH199,Programma!$F$3:$J$1101,5,0),"")</f>
        <v/>
      </c>
      <c r="AM199" s="185" t="str">
        <f>_xlfn.IFNA(VLOOKUP($AH199,Programma!$F$3:$K$1101,6,0),"")</f>
        <v/>
      </c>
      <c r="AN199" s="185" t="str">
        <f>_xlfn.IFNA(VLOOKUP($AH199,Programma!$F$3:$L$1101,7,0),"")</f>
        <v/>
      </c>
      <c r="AO199" s="185" t="str">
        <f>_xlfn.IFNA(VLOOKUP($AH199,Programma!$F$3:$M$1101,8,0),"")</f>
        <v/>
      </c>
      <c r="AP199" s="185" t="str">
        <f>_xlfn.IFNA(VLOOKUP($AH199,Programma!$F$3:$N$1101,9,0),"")</f>
        <v/>
      </c>
      <c r="AQ199" s="185" t="str">
        <f>_xlfn.IFNA(VLOOKUP($AH199,Programma!$F$3:$O$1101,10,0),"")</f>
        <v/>
      </c>
      <c r="AR199" s="185" t="str">
        <f>_xlfn.IFNA(VLOOKUP($AH199,Programma!$F$3:$P$1101,11,0),"")</f>
        <v/>
      </c>
      <c r="AS199" s="185" t="str">
        <f>_xlfn.IFNA(VLOOKUP($AH199,Programma!$F$3:$Q$1101,12,0),"")</f>
        <v/>
      </c>
      <c r="AT199" s="185" t="str">
        <f>_xlfn.IFNA(VLOOKUP($AH199,Programma!$F$3:$R$1101,13,0),"")</f>
        <v/>
      </c>
      <c r="AU199" s="185" t="str">
        <f>_xlfn.IFNA(VLOOKUP($AH199,Programma!$F$3:$S$1101,14,0),"")</f>
        <v/>
      </c>
      <c r="AV199" s="185" t="str">
        <f>_xlfn.IFNA(VLOOKUP($AH199,Programma!$F$3:$T$1101,15,0),"")</f>
        <v/>
      </c>
      <c r="AW199" s="185" t="str">
        <f>_xlfn.IFNA(VLOOKUP($AH199,Programma!$F$3:$U$1101,16,0),"")</f>
        <v/>
      </c>
      <c r="AX199" s="185" t="str">
        <f>_xlfn.IFNA(VLOOKUP($AH199,Programma!$F$3:$V$1101,17,0),"")</f>
        <v/>
      </c>
      <c r="AY199" s="185" t="str">
        <f>_xlfn.IFNA(VLOOKUP($AH199,Programma!$F$3:$W$1101,18,0),"")</f>
        <v/>
      </c>
      <c r="AZ199" s="185" t="str">
        <f>_xlfn.IFNA(VLOOKUP($AH199,Programma!$F$3:$X$1101,19,0),"")</f>
        <v/>
      </c>
      <c r="BA199" s="185" t="str">
        <f>_xlfn.IFNA(VLOOKUP($AH199,Programma!$F$3:$Y$1101,20,0),"")</f>
        <v/>
      </c>
      <c r="BB199" s="182"/>
      <c r="BC199" s="181" t="str">
        <f>IF(Ruimtestaat[[#This Row],[Frequentie weekend]]="","",_xlfn.CONCAT(Ruimtestaat[[#This Row],[Ruimte code]],"-",Ruimtestaat[[#This Row],[Frequentie weekend]]," ",Ruimtestaat[[#This Row],[Vloer code]]))</f>
        <v/>
      </c>
      <c r="BD199" s="185" t="str">
        <f>_xlfn.IFNA(VLOOKUP($BC199,Programma!$F$3:$G$1101,2,0),"")</f>
        <v/>
      </c>
      <c r="BE199" s="185" t="str">
        <f>_xlfn.IFNA(VLOOKUP($BC199,Programma!$F$3:$H$1101,3,0),"")</f>
        <v/>
      </c>
      <c r="BF199" s="185" t="str">
        <f>_xlfn.IFNA(VLOOKUP($BC199,Programma!$F$3:$I$1101,4,0),"")</f>
        <v/>
      </c>
      <c r="BG199" s="185" t="str">
        <f>_xlfn.IFNA(VLOOKUP($BC199,Programma!$F$3:$J$1101,5,0),"")</f>
        <v/>
      </c>
      <c r="BH199" s="185" t="str">
        <f>_xlfn.IFNA(VLOOKUP($BC199,Programma!$F$3:$K$1101,6,0),"")</f>
        <v/>
      </c>
      <c r="BI199" s="185" t="str">
        <f>_xlfn.IFNA(VLOOKUP($BC199,Programma!$F$3:$L$1101,7,0),"")</f>
        <v/>
      </c>
      <c r="BJ199" s="185" t="str">
        <f>_xlfn.IFNA(VLOOKUP($BC199,Programma!$F$3:$M$1101,8,0),"")</f>
        <v/>
      </c>
      <c r="BK199" s="185" t="str">
        <f>_xlfn.IFNA(VLOOKUP($BC199,Programma!$F$3:$N$1101,9,0),"")</f>
        <v/>
      </c>
      <c r="BL199" s="185" t="str">
        <f>_xlfn.IFNA(VLOOKUP($BC199,Programma!$F$3:$O$1101,10,0),"")</f>
        <v/>
      </c>
      <c r="BM199" s="185" t="str">
        <f>_xlfn.IFNA(VLOOKUP($BC199,Programma!$F$3:$P$1101,11,0),"")</f>
        <v/>
      </c>
      <c r="BN199" s="185" t="str">
        <f>_xlfn.IFNA(VLOOKUP($BC199,Programma!$F$3:$Q$1101,12,0),"")</f>
        <v/>
      </c>
      <c r="BO199" s="185" t="str">
        <f>_xlfn.IFNA(VLOOKUP($BC199,Programma!$F$3:$R$1101,13,0),"")</f>
        <v/>
      </c>
      <c r="BP199" s="185" t="str">
        <f>_xlfn.IFNA(VLOOKUP($BC199,Programma!$F$3:$S$1101,14,0),"")</f>
        <v/>
      </c>
      <c r="BQ199" s="185" t="str">
        <f>_xlfn.IFNA(VLOOKUP($BC199,Programma!$F$3:$T$1101,15,0),"")</f>
        <v/>
      </c>
      <c r="BR199" s="185" t="str">
        <f>_xlfn.IFNA(VLOOKUP($BC199,Programma!$F$3:$U$1101,16,0),"")</f>
        <v/>
      </c>
      <c r="BS199" s="185" t="str">
        <f>_xlfn.IFNA(VLOOKUP($BC199,Programma!$F$3:$V$1101,17,0),"")</f>
        <v/>
      </c>
      <c r="BT199" s="185" t="str">
        <f>_xlfn.IFNA(VLOOKUP($BC199,Programma!$F$3:$W$1101,18,0),"")</f>
        <v/>
      </c>
      <c r="BU199" s="185" t="str">
        <f>_xlfn.IFNA(VLOOKUP($BC199,Programma!$F$3:$X$1101,19,0),"")</f>
        <v/>
      </c>
      <c r="BV199" s="185" t="str">
        <f>_xlfn.IFNA(VLOOKUP($BC199,Programma!$F$3:$Y$1101,20,0),"")</f>
        <v/>
      </c>
      <c r="BW199" s="78"/>
      <c r="BX199" s="78"/>
      <c r="BY199" s="78"/>
      <c r="BZ199" s="78"/>
      <c r="CA199" s="78"/>
      <c r="CB199" s="78"/>
      <c r="CC199" s="78"/>
      <c r="CD199" s="78"/>
      <c r="CE199" s="78"/>
      <c r="CF199" s="78"/>
      <c r="CG199" s="78"/>
      <c r="CH199" s="78"/>
      <c r="CI199" s="78"/>
      <c r="CJ199" s="78"/>
      <c r="CK199" s="78"/>
      <c r="CL199" s="78"/>
      <c r="CM199" s="78"/>
      <c r="CN199" s="78"/>
      <c r="CO199" s="78"/>
      <c r="CP199" s="78"/>
      <c r="CQ199" s="78"/>
      <c r="CR199" s="78"/>
      <c r="CS199" s="78"/>
      <c r="CT199" s="78"/>
      <c r="CU199" s="78"/>
      <c r="CV199" s="78"/>
      <c r="CW199" s="78"/>
      <c r="CX199" s="78"/>
      <c r="CY199" s="78"/>
      <c r="CZ199" s="78"/>
      <c r="DA199" s="78"/>
      <c r="DB199" s="78"/>
      <c r="DC199" s="78"/>
      <c r="DD199" s="78"/>
      <c r="DE199" s="78"/>
      <c r="DF199" s="78"/>
      <c r="DG199" s="78"/>
      <c r="DH199" s="78"/>
      <c r="DI199" s="78"/>
      <c r="DJ199" s="78"/>
      <c r="DK199" s="78"/>
      <c r="DL199" s="78"/>
      <c r="DM199" s="78"/>
      <c r="DN199" s="78"/>
      <c r="DO199" s="78"/>
      <c r="DP199" s="78"/>
      <c r="DQ199" s="78"/>
      <c r="DR199" s="78"/>
      <c r="DS199" s="78"/>
      <c r="DT199" s="78"/>
      <c r="DU199" s="78"/>
      <c r="DV199" s="78"/>
      <c r="DW199" s="78"/>
      <c r="DX199" s="78"/>
      <c r="DY199" s="78"/>
      <c r="DZ199" s="78"/>
      <c r="EA199" s="78"/>
      <c r="EB199" s="78"/>
      <c r="EC199" s="78"/>
      <c r="ED199" s="78"/>
      <c r="EE199" s="78"/>
      <c r="EF199" s="78"/>
      <c r="EG199" s="78"/>
      <c r="EH199" s="78"/>
      <c r="EI199" s="78"/>
      <c r="EJ199" s="78"/>
      <c r="EK199" s="78"/>
      <c r="EL199" s="78"/>
      <c r="EM199" s="78"/>
      <c r="EN199" s="78"/>
      <c r="EO199" s="78"/>
      <c r="EP199" s="78"/>
      <c r="EQ199" s="78"/>
      <c r="ER199" s="78"/>
      <c r="ES199" s="78"/>
      <c r="ET199" s="78"/>
      <c r="EU199" s="78"/>
      <c r="EV199" s="78"/>
      <c r="EW199" s="78"/>
      <c r="EX199" s="78"/>
      <c r="EY199" s="78"/>
      <c r="EZ199" s="78"/>
      <c r="FA199" s="78"/>
      <c r="FB199" s="78"/>
      <c r="FC199" s="78"/>
      <c r="FD199" s="78"/>
      <c r="FE199" s="78"/>
      <c r="FF199" s="78"/>
      <c r="FG199" s="78"/>
      <c r="FH199" s="78"/>
      <c r="FI199" s="78"/>
      <c r="FJ199" s="78"/>
      <c r="FK199" s="78"/>
      <c r="FL199" s="78"/>
      <c r="FM199" s="78"/>
      <c r="FN199" s="78"/>
      <c r="FO199" s="78"/>
      <c r="FP199" s="78"/>
      <c r="FQ199" s="78"/>
      <c r="FR199" s="78"/>
      <c r="FS199" s="78"/>
      <c r="FT199" s="78"/>
      <c r="FU199" s="78"/>
      <c r="FV199" s="78"/>
      <c r="FW199" s="78"/>
      <c r="FX199" s="78"/>
      <c r="FY199" s="78"/>
      <c r="FZ199" s="78"/>
      <c r="GA199" s="78"/>
      <c r="GB199" s="78"/>
      <c r="GC199" s="78"/>
      <c r="GD199" s="78"/>
      <c r="GE199" s="78"/>
      <c r="GF199" s="78"/>
      <c r="GG199" s="78"/>
      <c r="GH199" s="78"/>
      <c r="GI199" s="78"/>
      <c r="GJ199" s="78"/>
      <c r="GK199" s="78"/>
      <c r="GL199" s="78"/>
      <c r="GM199" s="78"/>
      <c r="GN199" s="78"/>
      <c r="GO199" s="78"/>
      <c r="GP199" s="78"/>
      <c r="GQ199" s="78"/>
      <c r="GR199" s="78"/>
      <c r="GS199" s="78"/>
      <c r="GT199" s="78"/>
      <c r="GU199" s="78"/>
      <c r="GV199" s="78"/>
      <c r="GW199" s="78"/>
      <c r="GX199" s="78"/>
      <c r="GY199" s="78"/>
      <c r="GZ199" s="78"/>
      <c r="HA199" s="78"/>
      <c r="HB199" s="78"/>
      <c r="HC199" s="78"/>
      <c r="HD199" s="78"/>
      <c r="HE199" s="78"/>
      <c r="HF199" s="78"/>
      <c r="HG199" s="78"/>
      <c r="HH199" s="78"/>
      <c r="HI199" s="78"/>
      <c r="HJ199" s="78"/>
      <c r="HK199" s="78"/>
    </row>
    <row r="200" spans="1:219" ht="15" customHeight="1">
      <c r="A200" s="149">
        <v>6</v>
      </c>
      <c r="B200" s="176" t="str">
        <f>VLOOKUP(Ruimtestaat[[#This Row],[Code]],Locaties[[Code]:[Locatie]],2,FALSE)</f>
        <v>OBS La Res Noord</v>
      </c>
      <c r="C200" s="176" t="str">
        <f>VLOOKUP(Ruimtestaat[[#This Row],[Code]],Locaties[[#All],[Code]:[Adres]],4,FALSE)</f>
        <v>Schietbaanweg 30</v>
      </c>
      <c r="D200" s="176" t="str">
        <f>VLOOKUP(Ruimtestaat[[#This Row],[Code]],Locaties[[#All],[Code]:[Postcode]],5,FALSE)</f>
        <v>7521 DB</v>
      </c>
      <c r="E200" s="176" t="str">
        <f>VLOOKUP(Ruimtestaat[[#This Row],[Code]],Locaties[#All],6,FALSE)</f>
        <v>Enschede</v>
      </c>
      <c r="F200" s="149"/>
      <c r="G200" s="149"/>
      <c r="H200" s="99" t="s">
        <v>1805</v>
      </c>
      <c r="I200" s="183" t="s">
        <v>1683</v>
      </c>
      <c r="J200" s="99">
        <v>20</v>
      </c>
      <c r="K200" s="183" t="str">
        <f>VLOOKUP(Ruimtestaat[[#This Row],[Ruimte code]],Ruimtegroepen[[#All],[Code]:[Ruimte omschrijving]],2,FALSE)</f>
        <v>Niet in Onderhoud</v>
      </c>
      <c r="L200" s="149" t="s">
        <v>101</v>
      </c>
      <c r="M200" s="301" t="s">
        <v>119</v>
      </c>
      <c r="N200" s="177"/>
      <c r="O200" s="177">
        <v>4</v>
      </c>
      <c r="P200" s="178">
        <f>VLOOKUP(Ruimtestaat[[#This Row],[Ruimte code]],Ruimtegroepen[],4,FALSE)</f>
        <v>0</v>
      </c>
      <c r="Q200" s="149"/>
      <c r="R200" s="149"/>
      <c r="S200" s="149">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0" s="149">
        <f>IF(S200&gt;0,VLOOKUP($J200,Ruimtegroepen[],3,FALSE)*VLOOKUP($L200,Vloersoorten[],3,FALSE)*VLOOKUP($R200,Frequenties[],3,FALSE)*VLOOKUP($A200,Locaties[],3,FALSE),0)</f>
        <v>0</v>
      </c>
      <c r="U200" s="149">
        <f>Ruimtestaat[[#This Row],[Uitvoeringen werkdagen]]*Ruimtestaat[[#This Row],[Oppervlak (netto)]]</f>
        <v>0</v>
      </c>
      <c r="V200" s="179">
        <f>IF(T200&gt;0,Ruimtestaat[[#This Row],[Prest. (m2 /jaar) werkdagen]]/Ruimtestaat[[#This Row],[Norm (m2/uur) werkdagen]],0)</f>
        <v>0</v>
      </c>
      <c r="W200" s="180">
        <f>Ruimtestaat[[#This Row],[uren / jaar werkdagen]]*Tariefsopbouw!$E$35</f>
        <v>0</v>
      </c>
      <c r="X200" s="149"/>
      <c r="Y200" s="149">
        <f>IF(Ruimtestaat[[#This Row],[Frequentie weekend]]&gt;0,VALUE(LEFT(X200,1))*Q200,0)</f>
        <v>0</v>
      </c>
      <c r="Z200" s="148">
        <f>IF($Y200&gt;0,VLOOKUP($J200,Ruimtegroepen[],3,FALSE)*VLOOKUP($L200,Vloersoorten[],3,FALSE)*VLOOKUP($X200,Frequenties[],3,FALSE)*VLOOKUP(#REF!,Locaties[],3,FALSE),0)</f>
        <v>0</v>
      </c>
      <c r="AA200" s="148">
        <f>Ruimtestaat[[#This Row],[Uitvoeringen weekend]]*Ruimtestaat[[#This Row],[Oppervlak (netto)]]</f>
        <v>0</v>
      </c>
      <c r="AB200" s="148">
        <f>IF(Z200&gt;0,Ruimtestaat[[#This Row],[Prest. (m2 /jaar) weekend]]/Ruimtestaat[[#This Row],[Norm (m2/uur) weekend]],0)</f>
        <v>0</v>
      </c>
      <c r="AC200" s="180">
        <f>Ruimtestaat[[#This Row],[uren / jaar weekend]]*Tariefsopbouw!$D$40</f>
        <v>0</v>
      </c>
      <c r="AD200" s="179">
        <f>Ruimtestaat[[#This Row],[Prest. (m2 /jaar) weekend]]+Ruimtestaat[[#This Row],[Prest. (m2 /jaar) werkdagen]]</f>
        <v>0</v>
      </c>
      <c r="AE200" s="179">
        <f>Ruimtestaat[[#This Row],[uren / jaar weekend]]+Ruimtestaat[[#This Row],[uren / jaar werkdagen]]</f>
        <v>0</v>
      </c>
      <c r="AF200" s="174">
        <f>Ruimtestaat[[#This Row],[kosten / jaar weekend]]+Ruimtestaat[[#This Row],[kosten / jaar werkdagen]]</f>
        <v>0</v>
      </c>
      <c r="AG200" s="174"/>
      <c r="AH200" s="181" t="str">
        <f>IF(Ruimtestaat[[#This Row],[Frequentie werkdagen]]="","",_xlfn.CONCAT(Ruimtestaat[[#This Row],[Ruimte code]],"-",Ruimtestaat[[#This Row],[Frequentie werkdagen]]," ",Ruimtestaat[[#This Row],[Vloer code]]))</f>
        <v/>
      </c>
      <c r="AI200" s="185" t="str">
        <f>_xlfn.IFNA(VLOOKUP($AH200,Programma!$F$3:$G$1101,2,0),"")</f>
        <v/>
      </c>
      <c r="AJ200" s="185" t="str">
        <f>_xlfn.IFNA(VLOOKUP($AH200,Programma!$F$3:$H$1101,3,0),"")</f>
        <v/>
      </c>
      <c r="AK200" s="185" t="str">
        <f>_xlfn.IFNA(VLOOKUP($AH200,Programma!$F$3:$I$1101,4,0),"")</f>
        <v/>
      </c>
      <c r="AL200" s="185" t="str">
        <f>_xlfn.IFNA(VLOOKUP($AH200,Programma!$F$3:$J$1101,5,0),"")</f>
        <v/>
      </c>
      <c r="AM200" s="185" t="str">
        <f>_xlfn.IFNA(VLOOKUP($AH200,Programma!$F$3:$K$1101,6,0),"")</f>
        <v/>
      </c>
      <c r="AN200" s="185" t="str">
        <f>_xlfn.IFNA(VLOOKUP($AH200,Programma!$F$3:$L$1101,7,0),"")</f>
        <v/>
      </c>
      <c r="AO200" s="185" t="str">
        <f>_xlfn.IFNA(VLOOKUP($AH200,Programma!$F$3:$M$1101,8,0),"")</f>
        <v/>
      </c>
      <c r="AP200" s="185" t="str">
        <f>_xlfn.IFNA(VLOOKUP($AH200,Programma!$F$3:$N$1101,9,0),"")</f>
        <v/>
      </c>
      <c r="AQ200" s="185" t="str">
        <f>_xlfn.IFNA(VLOOKUP($AH200,Programma!$F$3:$O$1101,10,0),"")</f>
        <v/>
      </c>
      <c r="AR200" s="185" t="str">
        <f>_xlfn.IFNA(VLOOKUP($AH200,Programma!$F$3:$P$1101,11,0),"")</f>
        <v/>
      </c>
      <c r="AS200" s="185" t="str">
        <f>_xlfn.IFNA(VLOOKUP($AH200,Programma!$F$3:$Q$1101,12,0),"")</f>
        <v/>
      </c>
      <c r="AT200" s="185" t="str">
        <f>_xlfn.IFNA(VLOOKUP($AH200,Programma!$F$3:$R$1101,13,0),"")</f>
        <v/>
      </c>
      <c r="AU200" s="185" t="str">
        <f>_xlfn.IFNA(VLOOKUP($AH200,Programma!$F$3:$S$1101,14,0),"")</f>
        <v/>
      </c>
      <c r="AV200" s="185" t="str">
        <f>_xlfn.IFNA(VLOOKUP($AH200,Programma!$F$3:$T$1101,15,0),"")</f>
        <v/>
      </c>
      <c r="AW200" s="185" t="str">
        <f>_xlfn.IFNA(VLOOKUP($AH200,Programma!$F$3:$U$1101,16,0),"")</f>
        <v/>
      </c>
      <c r="AX200" s="185" t="str">
        <f>_xlfn.IFNA(VLOOKUP($AH200,Programma!$F$3:$V$1101,17,0),"")</f>
        <v/>
      </c>
      <c r="AY200" s="185" t="str">
        <f>_xlfn.IFNA(VLOOKUP($AH200,Programma!$F$3:$W$1101,18,0),"")</f>
        <v/>
      </c>
      <c r="AZ200" s="185" t="str">
        <f>_xlfn.IFNA(VLOOKUP($AH200,Programma!$F$3:$X$1101,19,0),"")</f>
        <v/>
      </c>
      <c r="BA200" s="185" t="str">
        <f>_xlfn.IFNA(VLOOKUP($AH200,Programma!$F$3:$Y$1101,20,0),"")</f>
        <v/>
      </c>
      <c r="BB200" s="182"/>
      <c r="BC200" s="181" t="str">
        <f>IF(Ruimtestaat[[#This Row],[Frequentie weekend]]="","",_xlfn.CONCAT(Ruimtestaat[[#This Row],[Ruimte code]],"-",Ruimtestaat[[#This Row],[Frequentie weekend]]," ",Ruimtestaat[[#This Row],[Vloer code]]))</f>
        <v/>
      </c>
      <c r="BD200" s="185" t="str">
        <f>_xlfn.IFNA(VLOOKUP($BC200,Programma!$F$3:$G$1101,2,0),"")</f>
        <v/>
      </c>
      <c r="BE200" s="185" t="str">
        <f>_xlfn.IFNA(VLOOKUP($BC200,Programma!$F$3:$H$1101,3,0),"")</f>
        <v/>
      </c>
      <c r="BF200" s="185" t="str">
        <f>_xlfn.IFNA(VLOOKUP($BC200,Programma!$F$3:$I$1101,4,0),"")</f>
        <v/>
      </c>
      <c r="BG200" s="185" t="str">
        <f>_xlfn.IFNA(VLOOKUP($BC200,Programma!$F$3:$J$1101,5,0),"")</f>
        <v/>
      </c>
      <c r="BH200" s="185" t="str">
        <f>_xlfn.IFNA(VLOOKUP($BC200,Programma!$F$3:$K$1101,6,0),"")</f>
        <v/>
      </c>
      <c r="BI200" s="185" t="str">
        <f>_xlfn.IFNA(VLOOKUP($BC200,Programma!$F$3:$L$1101,7,0),"")</f>
        <v/>
      </c>
      <c r="BJ200" s="185" t="str">
        <f>_xlfn.IFNA(VLOOKUP($BC200,Programma!$F$3:$M$1101,8,0),"")</f>
        <v/>
      </c>
      <c r="BK200" s="185" t="str">
        <f>_xlfn.IFNA(VLOOKUP($BC200,Programma!$F$3:$N$1101,9,0),"")</f>
        <v/>
      </c>
      <c r="BL200" s="185" t="str">
        <f>_xlfn.IFNA(VLOOKUP($BC200,Programma!$F$3:$O$1101,10,0),"")</f>
        <v/>
      </c>
      <c r="BM200" s="185" t="str">
        <f>_xlfn.IFNA(VLOOKUP($BC200,Programma!$F$3:$P$1101,11,0),"")</f>
        <v/>
      </c>
      <c r="BN200" s="185" t="str">
        <f>_xlfn.IFNA(VLOOKUP($BC200,Programma!$F$3:$Q$1101,12,0),"")</f>
        <v/>
      </c>
      <c r="BO200" s="185" t="str">
        <f>_xlfn.IFNA(VLOOKUP($BC200,Programma!$F$3:$R$1101,13,0),"")</f>
        <v/>
      </c>
      <c r="BP200" s="185" t="str">
        <f>_xlfn.IFNA(VLOOKUP($BC200,Programma!$F$3:$S$1101,14,0),"")</f>
        <v/>
      </c>
      <c r="BQ200" s="185" t="str">
        <f>_xlfn.IFNA(VLOOKUP($BC200,Programma!$F$3:$T$1101,15,0),"")</f>
        <v/>
      </c>
      <c r="BR200" s="185" t="str">
        <f>_xlfn.IFNA(VLOOKUP($BC200,Programma!$F$3:$U$1101,16,0),"")</f>
        <v/>
      </c>
      <c r="BS200" s="185" t="str">
        <f>_xlfn.IFNA(VLOOKUP($BC200,Programma!$F$3:$V$1101,17,0),"")</f>
        <v/>
      </c>
      <c r="BT200" s="185" t="str">
        <f>_xlfn.IFNA(VLOOKUP($BC200,Programma!$F$3:$W$1101,18,0),"")</f>
        <v/>
      </c>
      <c r="BU200" s="185" t="str">
        <f>_xlfn.IFNA(VLOOKUP($BC200,Programma!$F$3:$X$1101,19,0),"")</f>
        <v/>
      </c>
      <c r="BV200" s="185" t="str">
        <f>_xlfn.IFNA(VLOOKUP($BC200,Programma!$F$3:$Y$1101,20,0),"")</f>
        <v/>
      </c>
      <c r="BW200" s="78"/>
      <c r="BX200" s="78"/>
      <c r="BY200" s="78"/>
      <c r="BZ200" s="78"/>
      <c r="CA200" s="78"/>
      <c r="CB200" s="78"/>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78"/>
      <c r="DB200" s="78"/>
      <c r="DC200" s="78"/>
      <c r="DD200" s="78"/>
      <c r="DE200" s="78"/>
      <c r="DF200" s="78"/>
      <c r="DG200" s="78"/>
      <c r="DH200" s="78"/>
      <c r="DI200" s="78"/>
      <c r="DJ200" s="78"/>
      <c r="DK200" s="78"/>
      <c r="DL200" s="78"/>
      <c r="DM200" s="78"/>
      <c r="DN200" s="78"/>
      <c r="DO200" s="78"/>
      <c r="DP200" s="78"/>
      <c r="DQ200" s="78"/>
      <c r="DR200" s="78"/>
      <c r="DS200" s="78"/>
      <c r="DT200" s="78"/>
      <c r="DU200" s="78"/>
      <c r="DV200" s="78"/>
      <c r="DW200" s="78"/>
      <c r="DX200" s="78"/>
      <c r="DY200" s="78"/>
      <c r="DZ200" s="78"/>
      <c r="EA200" s="78"/>
      <c r="EB200" s="78"/>
      <c r="EC200" s="78"/>
      <c r="ED200" s="78"/>
      <c r="EE200" s="78"/>
      <c r="EF200" s="78"/>
      <c r="EG200" s="78"/>
      <c r="EH200" s="78"/>
      <c r="EI200" s="78"/>
      <c r="EJ200" s="78"/>
      <c r="EK200" s="78"/>
      <c r="EL200" s="78"/>
      <c r="EM200" s="78"/>
      <c r="EN200" s="78"/>
      <c r="EO200" s="78"/>
      <c r="EP200" s="78"/>
      <c r="EQ200" s="78"/>
      <c r="ER200" s="78"/>
      <c r="ES200" s="78"/>
      <c r="ET200" s="78"/>
      <c r="EU200" s="78"/>
      <c r="EV200" s="78"/>
      <c r="EW200" s="78"/>
      <c r="EX200" s="78"/>
      <c r="EY200" s="78"/>
      <c r="EZ200" s="78"/>
      <c r="FA200" s="78"/>
      <c r="FB200" s="78"/>
      <c r="FC200" s="78"/>
      <c r="FD200" s="78"/>
      <c r="FE200" s="78"/>
      <c r="FF200" s="78"/>
      <c r="FG200" s="78"/>
      <c r="FH200" s="78"/>
      <c r="FI200" s="78"/>
      <c r="FJ200" s="78"/>
      <c r="FK200" s="78"/>
      <c r="FL200" s="78"/>
      <c r="FM200" s="78"/>
      <c r="FN200" s="78"/>
      <c r="FO200" s="78"/>
      <c r="FP200" s="78"/>
      <c r="FQ200" s="78"/>
      <c r="FR200" s="78"/>
      <c r="FS200" s="78"/>
      <c r="FT200" s="78"/>
      <c r="FU200" s="78"/>
      <c r="FV200" s="78"/>
      <c r="FW200" s="78"/>
      <c r="FX200" s="78"/>
      <c r="FY200" s="78"/>
      <c r="FZ200" s="78"/>
      <c r="GA200" s="78"/>
      <c r="GB200" s="78"/>
      <c r="GC200" s="78"/>
      <c r="GD200" s="78"/>
      <c r="GE200" s="78"/>
      <c r="GF200" s="78"/>
      <c r="GG200" s="78"/>
      <c r="GH200" s="78"/>
      <c r="GI200" s="78"/>
      <c r="GJ200" s="78"/>
      <c r="GK200" s="78"/>
      <c r="GL200" s="78"/>
      <c r="GM200" s="78"/>
      <c r="GN200" s="78"/>
      <c r="GO200" s="78"/>
      <c r="GP200" s="78"/>
      <c r="GQ200" s="78"/>
      <c r="GR200" s="78"/>
      <c r="GS200" s="78"/>
      <c r="GT200" s="78"/>
      <c r="GU200" s="78"/>
      <c r="GV200" s="78"/>
      <c r="GW200" s="78"/>
      <c r="GX200" s="78"/>
      <c r="GY200" s="78"/>
      <c r="GZ200" s="78"/>
      <c r="HA200" s="78"/>
      <c r="HB200" s="78"/>
      <c r="HC200" s="78"/>
      <c r="HD200" s="78"/>
      <c r="HE200" s="78"/>
      <c r="HF200" s="78"/>
      <c r="HG200" s="78"/>
      <c r="HH200" s="78"/>
      <c r="HI200" s="78"/>
      <c r="HJ200" s="78"/>
      <c r="HK200" s="78"/>
    </row>
    <row r="201" spans="1:219" ht="15" customHeight="1">
      <c r="A201" s="149">
        <v>6</v>
      </c>
      <c r="B201" s="176" t="str">
        <f>VLOOKUP(Ruimtestaat[[#This Row],[Code]],Locaties[[Code]:[Locatie]],2,FALSE)</f>
        <v>OBS La Res Noord</v>
      </c>
      <c r="C201" s="176" t="str">
        <f>VLOOKUP(Ruimtestaat[[#This Row],[Code]],Locaties[[#All],[Code]:[Adres]],4,FALSE)</f>
        <v>Schietbaanweg 30</v>
      </c>
      <c r="D201" s="176" t="str">
        <f>VLOOKUP(Ruimtestaat[[#This Row],[Code]],Locaties[[#All],[Code]:[Postcode]],5,FALSE)</f>
        <v>7521 DB</v>
      </c>
      <c r="E201" s="176" t="str">
        <f>VLOOKUP(Ruimtestaat[[#This Row],[Code]],Locaties[#All],6,FALSE)</f>
        <v>Enschede</v>
      </c>
      <c r="F201" s="149"/>
      <c r="G201" s="149"/>
      <c r="H201" s="99" t="s">
        <v>1869</v>
      </c>
      <c r="I201" s="183" t="s">
        <v>1684</v>
      </c>
      <c r="J201" s="99">
        <v>5</v>
      </c>
      <c r="K201" s="183" t="str">
        <f>VLOOKUP(Ruimtestaat[[#This Row],[Ruimte code]],Ruimtegroepen[[#All],[Code]:[Ruimte omschrijving]],2,FALSE)</f>
        <v>Sanitair</v>
      </c>
      <c r="L201" s="149" t="s">
        <v>101</v>
      </c>
      <c r="M201" s="301" t="s">
        <v>119</v>
      </c>
      <c r="N201" s="177">
        <v>10.1</v>
      </c>
      <c r="O201" s="177"/>
      <c r="P201" s="178" t="str">
        <f>VLOOKUP(Ruimtestaat[[#This Row],[Ruimte code]],Ruimtegroepen[],4,FALSE)</f>
        <v>Sa</v>
      </c>
      <c r="Q201" s="149"/>
      <c r="R201" s="149"/>
      <c r="S201" s="149">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1" s="149">
        <f>IF(S201&gt;0,VLOOKUP($J201,Ruimtegroepen[],3,FALSE)*VLOOKUP($L201,Vloersoorten[],3,FALSE)*VLOOKUP($R201,Frequenties[],3,FALSE)*VLOOKUP($A201,Locaties[],3,FALSE),0)</f>
        <v>0</v>
      </c>
      <c r="U201" s="149">
        <f>Ruimtestaat[[#This Row],[Uitvoeringen werkdagen]]*Ruimtestaat[[#This Row],[Oppervlak (netto)]]</f>
        <v>0</v>
      </c>
      <c r="V201" s="179">
        <f>IF(T201&gt;0,Ruimtestaat[[#This Row],[Prest. (m2 /jaar) werkdagen]]/Ruimtestaat[[#This Row],[Norm (m2/uur) werkdagen]],0)</f>
        <v>0</v>
      </c>
      <c r="W201" s="180">
        <f>Ruimtestaat[[#This Row],[uren / jaar werkdagen]]*Tariefsopbouw!$E$35</f>
        <v>0</v>
      </c>
      <c r="X201" s="149"/>
      <c r="Y201" s="149">
        <f>IF(Ruimtestaat[[#This Row],[Frequentie weekend]]&gt;0,VALUE(LEFT(X201,1))*Q201,0)</f>
        <v>0</v>
      </c>
      <c r="Z201" s="148">
        <f>IF($Y201&gt;0,VLOOKUP($J201,Ruimtegroepen[],3,FALSE)*VLOOKUP($L201,Vloersoorten[],3,FALSE)*VLOOKUP($X201,Frequenties[],3,FALSE)*VLOOKUP(#REF!,Locaties[],3,FALSE),0)</f>
        <v>0</v>
      </c>
      <c r="AA201" s="148">
        <f>Ruimtestaat[[#This Row],[Uitvoeringen weekend]]*Ruimtestaat[[#This Row],[Oppervlak (netto)]]</f>
        <v>0</v>
      </c>
      <c r="AB201" s="148">
        <f>IF(Z201&gt;0,Ruimtestaat[[#This Row],[Prest. (m2 /jaar) weekend]]/Ruimtestaat[[#This Row],[Norm (m2/uur) weekend]],0)</f>
        <v>0</v>
      </c>
      <c r="AC201" s="180">
        <f>Ruimtestaat[[#This Row],[uren / jaar weekend]]*Tariefsopbouw!$D$40</f>
        <v>0</v>
      </c>
      <c r="AD201" s="179">
        <f>Ruimtestaat[[#This Row],[Prest. (m2 /jaar) weekend]]+Ruimtestaat[[#This Row],[Prest. (m2 /jaar) werkdagen]]</f>
        <v>0</v>
      </c>
      <c r="AE201" s="179">
        <f>Ruimtestaat[[#This Row],[uren / jaar weekend]]+Ruimtestaat[[#This Row],[uren / jaar werkdagen]]</f>
        <v>0</v>
      </c>
      <c r="AF201" s="174">
        <f>Ruimtestaat[[#This Row],[kosten / jaar weekend]]+Ruimtestaat[[#This Row],[kosten / jaar werkdagen]]</f>
        <v>0</v>
      </c>
      <c r="AG201" s="174"/>
      <c r="AH201" s="181" t="str">
        <f>IF(Ruimtestaat[[#This Row],[Frequentie werkdagen]]="","",_xlfn.CONCAT(Ruimtestaat[[#This Row],[Ruimte code]],"-",Ruimtestaat[[#This Row],[Frequentie werkdagen]]," ",Ruimtestaat[[#This Row],[Vloer code]]))</f>
        <v/>
      </c>
      <c r="AI201" s="185" t="str">
        <f>_xlfn.IFNA(VLOOKUP($AH201,Programma!$F$3:$G$1101,2,0),"")</f>
        <v/>
      </c>
      <c r="AJ201" s="185" t="str">
        <f>_xlfn.IFNA(VLOOKUP($AH201,Programma!$F$3:$H$1101,3,0),"")</f>
        <v/>
      </c>
      <c r="AK201" s="185" t="str">
        <f>_xlfn.IFNA(VLOOKUP($AH201,Programma!$F$3:$I$1101,4,0),"")</f>
        <v/>
      </c>
      <c r="AL201" s="185" t="str">
        <f>_xlfn.IFNA(VLOOKUP($AH201,Programma!$F$3:$J$1101,5,0),"")</f>
        <v/>
      </c>
      <c r="AM201" s="185" t="str">
        <f>_xlfn.IFNA(VLOOKUP($AH201,Programma!$F$3:$K$1101,6,0),"")</f>
        <v/>
      </c>
      <c r="AN201" s="185" t="str">
        <f>_xlfn.IFNA(VLOOKUP($AH201,Programma!$F$3:$L$1101,7,0),"")</f>
        <v/>
      </c>
      <c r="AO201" s="185" t="str">
        <f>_xlfn.IFNA(VLOOKUP($AH201,Programma!$F$3:$M$1101,8,0),"")</f>
        <v/>
      </c>
      <c r="AP201" s="185" t="str">
        <f>_xlfn.IFNA(VLOOKUP($AH201,Programma!$F$3:$N$1101,9,0),"")</f>
        <v/>
      </c>
      <c r="AQ201" s="185" t="str">
        <f>_xlfn.IFNA(VLOOKUP($AH201,Programma!$F$3:$O$1101,10,0),"")</f>
        <v/>
      </c>
      <c r="AR201" s="185" t="str">
        <f>_xlfn.IFNA(VLOOKUP($AH201,Programma!$F$3:$P$1101,11,0),"")</f>
        <v/>
      </c>
      <c r="AS201" s="185" t="str">
        <f>_xlfn.IFNA(VLOOKUP($AH201,Programma!$F$3:$Q$1101,12,0),"")</f>
        <v/>
      </c>
      <c r="AT201" s="185" t="str">
        <f>_xlfn.IFNA(VLOOKUP($AH201,Programma!$F$3:$R$1101,13,0),"")</f>
        <v/>
      </c>
      <c r="AU201" s="185" t="str">
        <f>_xlfn.IFNA(VLOOKUP($AH201,Programma!$F$3:$S$1101,14,0),"")</f>
        <v/>
      </c>
      <c r="AV201" s="185" t="str">
        <f>_xlfn.IFNA(VLOOKUP($AH201,Programma!$F$3:$T$1101,15,0),"")</f>
        <v/>
      </c>
      <c r="AW201" s="185" t="str">
        <f>_xlfn.IFNA(VLOOKUP($AH201,Programma!$F$3:$U$1101,16,0),"")</f>
        <v/>
      </c>
      <c r="AX201" s="185" t="str">
        <f>_xlfn.IFNA(VLOOKUP($AH201,Programma!$F$3:$V$1101,17,0),"")</f>
        <v/>
      </c>
      <c r="AY201" s="185" t="str">
        <f>_xlfn.IFNA(VLOOKUP($AH201,Programma!$F$3:$W$1101,18,0),"")</f>
        <v/>
      </c>
      <c r="AZ201" s="185" t="str">
        <f>_xlfn.IFNA(VLOOKUP($AH201,Programma!$F$3:$X$1101,19,0),"")</f>
        <v/>
      </c>
      <c r="BA201" s="185" t="str">
        <f>_xlfn.IFNA(VLOOKUP($AH201,Programma!$F$3:$Y$1101,20,0),"")</f>
        <v/>
      </c>
      <c r="BB201" s="182"/>
      <c r="BC201" s="181" t="str">
        <f>IF(Ruimtestaat[[#This Row],[Frequentie weekend]]="","",_xlfn.CONCAT(Ruimtestaat[[#This Row],[Ruimte code]],"-",Ruimtestaat[[#This Row],[Frequentie weekend]]," ",Ruimtestaat[[#This Row],[Vloer code]]))</f>
        <v/>
      </c>
      <c r="BD201" s="185" t="str">
        <f>_xlfn.IFNA(VLOOKUP($BC201,Programma!$F$3:$G$1101,2,0),"")</f>
        <v/>
      </c>
      <c r="BE201" s="185" t="str">
        <f>_xlfn.IFNA(VLOOKUP($BC201,Programma!$F$3:$H$1101,3,0),"")</f>
        <v/>
      </c>
      <c r="BF201" s="185" t="str">
        <f>_xlfn.IFNA(VLOOKUP($BC201,Programma!$F$3:$I$1101,4,0),"")</f>
        <v/>
      </c>
      <c r="BG201" s="185" t="str">
        <f>_xlfn.IFNA(VLOOKUP($BC201,Programma!$F$3:$J$1101,5,0),"")</f>
        <v/>
      </c>
      <c r="BH201" s="185" t="str">
        <f>_xlfn.IFNA(VLOOKUP($BC201,Programma!$F$3:$K$1101,6,0),"")</f>
        <v/>
      </c>
      <c r="BI201" s="185" t="str">
        <f>_xlfn.IFNA(VLOOKUP($BC201,Programma!$F$3:$L$1101,7,0),"")</f>
        <v/>
      </c>
      <c r="BJ201" s="185" t="str">
        <f>_xlfn.IFNA(VLOOKUP($BC201,Programma!$F$3:$M$1101,8,0),"")</f>
        <v/>
      </c>
      <c r="BK201" s="185" t="str">
        <f>_xlfn.IFNA(VLOOKUP($BC201,Programma!$F$3:$N$1101,9,0),"")</f>
        <v/>
      </c>
      <c r="BL201" s="185" t="str">
        <f>_xlfn.IFNA(VLOOKUP($BC201,Programma!$F$3:$O$1101,10,0),"")</f>
        <v/>
      </c>
      <c r="BM201" s="185" t="str">
        <f>_xlfn.IFNA(VLOOKUP($BC201,Programma!$F$3:$P$1101,11,0),"")</f>
        <v/>
      </c>
      <c r="BN201" s="185" t="str">
        <f>_xlfn.IFNA(VLOOKUP($BC201,Programma!$F$3:$Q$1101,12,0),"")</f>
        <v/>
      </c>
      <c r="BO201" s="185" t="str">
        <f>_xlfn.IFNA(VLOOKUP($BC201,Programma!$F$3:$R$1101,13,0),"")</f>
        <v/>
      </c>
      <c r="BP201" s="185" t="str">
        <f>_xlfn.IFNA(VLOOKUP($BC201,Programma!$F$3:$S$1101,14,0),"")</f>
        <v/>
      </c>
      <c r="BQ201" s="185" t="str">
        <f>_xlfn.IFNA(VLOOKUP($BC201,Programma!$F$3:$T$1101,15,0),"")</f>
        <v/>
      </c>
      <c r="BR201" s="185" t="str">
        <f>_xlfn.IFNA(VLOOKUP($BC201,Programma!$F$3:$U$1101,16,0),"")</f>
        <v/>
      </c>
      <c r="BS201" s="185" t="str">
        <f>_xlfn.IFNA(VLOOKUP($BC201,Programma!$F$3:$V$1101,17,0),"")</f>
        <v/>
      </c>
      <c r="BT201" s="185" t="str">
        <f>_xlfn.IFNA(VLOOKUP($BC201,Programma!$F$3:$W$1101,18,0),"")</f>
        <v/>
      </c>
      <c r="BU201" s="185" t="str">
        <f>_xlfn.IFNA(VLOOKUP($BC201,Programma!$F$3:$X$1101,19,0),"")</f>
        <v/>
      </c>
      <c r="BV201" s="185" t="str">
        <f>_xlfn.IFNA(VLOOKUP($BC201,Programma!$F$3:$Y$1101,20,0),"")</f>
        <v/>
      </c>
      <c r="BW201" s="78"/>
      <c r="BX201" s="78"/>
      <c r="BY201" s="78"/>
      <c r="BZ201" s="78"/>
      <c r="CA201" s="78"/>
      <c r="CB201" s="78"/>
      <c r="CC201" s="78"/>
      <c r="CD201" s="78"/>
      <c r="CE201" s="78"/>
      <c r="CF201" s="78"/>
      <c r="CG201" s="78"/>
      <c r="CH201" s="78"/>
      <c r="CI201" s="78"/>
      <c r="CJ201" s="78"/>
      <c r="CK201" s="78"/>
      <c r="CL201" s="78"/>
      <c r="CM201" s="78"/>
      <c r="CN201" s="78"/>
      <c r="CO201" s="78"/>
      <c r="CP201" s="78"/>
      <c r="CQ201" s="78"/>
      <c r="CR201" s="78"/>
      <c r="CS201" s="78"/>
      <c r="CT201" s="78"/>
      <c r="CU201" s="78"/>
      <c r="CV201" s="78"/>
      <c r="CW201" s="78"/>
      <c r="CX201" s="78"/>
      <c r="CY201" s="78"/>
      <c r="CZ201" s="78"/>
      <c r="DA201" s="78"/>
      <c r="DB201" s="78"/>
      <c r="DC201" s="78"/>
      <c r="DD201" s="78"/>
      <c r="DE201" s="78"/>
      <c r="DF201" s="78"/>
      <c r="DG201" s="78"/>
      <c r="DH201" s="78"/>
      <c r="DI201" s="78"/>
      <c r="DJ201" s="78"/>
      <c r="DK201" s="78"/>
      <c r="DL201" s="78"/>
      <c r="DM201" s="78"/>
      <c r="DN201" s="78"/>
      <c r="DO201" s="78"/>
      <c r="DP201" s="78"/>
      <c r="DQ201" s="78"/>
      <c r="DR201" s="78"/>
      <c r="DS201" s="78"/>
      <c r="DT201" s="78"/>
      <c r="DU201" s="78"/>
      <c r="DV201" s="78"/>
      <c r="DW201" s="78"/>
      <c r="DX201" s="78"/>
      <c r="DY201" s="78"/>
      <c r="DZ201" s="78"/>
      <c r="EA201" s="78"/>
      <c r="EB201" s="78"/>
      <c r="EC201" s="78"/>
      <c r="ED201" s="78"/>
      <c r="EE201" s="78"/>
      <c r="EF201" s="78"/>
      <c r="EG201" s="78"/>
      <c r="EH201" s="78"/>
      <c r="EI201" s="78"/>
      <c r="EJ201" s="78"/>
      <c r="EK201" s="78"/>
      <c r="EL201" s="78"/>
      <c r="EM201" s="78"/>
      <c r="EN201" s="78"/>
      <c r="EO201" s="78"/>
      <c r="EP201" s="78"/>
      <c r="EQ201" s="78"/>
      <c r="ER201" s="78"/>
      <c r="ES201" s="78"/>
      <c r="ET201" s="78"/>
      <c r="EU201" s="78"/>
      <c r="EV201" s="78"/>
      <c r="EW201" s="78"/>
      <c r="EX201" s="78"/>
      <c r="EY201" s="78"/>
      <c r="EZ201" s="78"/>
      <c r="FA201" s="78"/>
      <c r="FB201" s="78"/>
      <c r="FC201" s="78"/>
      <c r="FD201" s="78"/>
      <c r="FE201" s="78"/>
      <c r="FF201" s="78"/>
      <c r="FG201" s="78"/>
      <c r="FH201" s="78"/>
      <c r="FI201" s="78"/>
      <c r="FJ201" s="78"/>
      <c r="FK201" s="78"/>
      <c r="FL201" s="78"/>
      <c r="FM201" s="78"/>
      <c r="FN201" s="78"/>
      <c r="FO201" s="78"/>
      <c r="FP201" s="78"/>
      <c r="FQ201" s="78"/>
      <c r="FR201" s="78"/>
      <c r="FS201" s="78"/>
      <c r="FT201" s="78"/>
      <c r="FU201" s="78"/>
      <c r="FV201" s="78"/>
      <c r="FW201" s="78"/>
      <c r="FX201" s="78"/>
      <c r="FY201" s="78"/>
      <c r="FZ201" s="78"/>
      <c r="GA201" s="78"/>
      <c r="GB201" s="78"/>
      <c r="GC201" s="78"/>
      <c r="GD201" s="78"/>
      <c r="GE201" s="78"/>
      <c r="GF201" s="78"/>
      <c r="GG201" s="78"/>
      <c r="GH201" s="78"/>
      <c r="GI201" s="78"/>
      <c r="GJ201" s="78"/>
      <c r="GK201" s="78"/>
      <c r="GL201" s="78"/>
      <c r="GM201" s="78"/>
      <c r="GN201" s="78"/>
      <c r="GO201" s="78"/>
      <c r="GP201" s="78"/>
      <c r="GQ201" s="78"/>
      <c r="GR201" s="78"/>
      <c r="GS201" s="78"/>
      <c r="GT201" s="78"/>
      <c r="GU201" s="78"/>
      <c r="GV201" s="78"/>
      <c r="GW201" s="78"/>
      <c r="GX201" s="78"/>
      <c r="GY201" s="78"/>
      <c r="GZ201" s="78"/>
      <c r="HA201" s="78"/>
      <c r="HB201" s="78"/>
      <c r="HC201" s="78"/>
      <c r="HD201" s="78"/>
      <c r="HE201" s="78"/>
      <c r="HF201" s="78"/>
      <c r="HG201" s="78"/>
      <c r="HH201" s="78"/>
      <c r="HI201" s="78"/>
      <c r="HJ201" s="78"/>
      <c r="HK201" s="78"/>
    </row>
    <row r="202" spans="1:219" ht="15" customHeight="1">
      <c r="A202" s="149">
        <v>6</v>
      </c>
      <c r="B202" s="176" t="str">
        <f>VLOOKUP(Ruimtestaat[[#This Row],[Code]],Locaties[[Code]:[Locatie]],2,FALSE)</f>
        <v>OBS La Res Noord</v>
      </c>
      <c r="C202" s="176" t="str">
        <f>VLOOKUP(Ruimtestaat[[#This Row],[Code]],Locaties[[#All],[Code]:[Adres]],4,FALSE)</f>
        <v>Schietbaanweg 30</v>
      </c>
      <c r="D202" s="176" t="str">
        <f>VLOOKUP(Ruimtestaat[[#This Row],[Code]],Locaties[[#All],[Code]:[Postcode]],5,FALSE)</f>
        <v>7521 DB</v>
      </c>
      <c r="E202" s="176" t="str">
        <f>VLOOKUP(Ruimtestaat[[#This Row],[Code]],Locaties[#All],6,FALSE)</f>
        <v>Enschede</v>
      </c>
      <c r="F202" s="149"/>
      <c r="G202" s="149"/>
      <c r="H202" s="99" t="s">
        <v>1870</v>
      </c>
      <c r="I202" s="183" t="s">
        <v>1684</v>
      </c>
      <c r="J202" s="99">
        <v>5</v>
      </c>
      <c r="K202" s="183" t="str">
        <f>VLOOKUP(Ruimtestaat[[#This Row],[Ruimte code]],Ruimtegroepen[[#All],[Code]:[Ruimte omschrijving]],2,FALSE)</f>
        <v>Sanitair</v>
      </c>
      <c r="L202" s="149" t="s">
        <v>101</v>
      </c>
      <c r="M202" s="301" t="s">
        <v>119</v>
      </c>
      <c r="N202" s="177">
        <v>10.199999999999999</v>
      </c>
      <c r="O202" s="177"/>
      <c r="P202" s="178" t="str">
        <f>VLOOKUP(Ruimtestaat[[#This Row],[Ruimte code]],Ruimtegroepen[],4,FALSE)</f>
        <v>Sa</v>
      </c>
      <c r="Q202" s="149"/>
      <c r="R202" s="149"/>
      <c r="S202" s="149">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2" s="149">
        <f>IF(S202&gt;0,VLOOKUP($J202,Ruimtegroepen[],3,FALSE)*VLOOKUP($L202,Vloersoorten[],3,FALSE)*VLOOKUP($R202,Frequenties[],3,FALSE)*VLOOKUP($A202,Locaties[],3,FALSE),0)</f>
        <v>0</v>
      </c>
      <c r="U202" s="149">
        <f>Ruimtestaat[[#This Row],[Uitvoeringen werkdagen]]*Ruimtestaat[[#This Row],[Oppervlak (netto)]]</f>
        <v>0</v>
      </c>
      <c r="V202" s="179">
        <f>IF(T202&gt;0,Ruimtestaat[[#This Row],[Prest. (m2 /jaar) werkdagen]]/Ruimtestaat[[#This Row],[Norm (m2/uur) werkdagen]],0)</f>
        <v>0</v>
      </c>
      <c r="W202" s="180">
        <f>Ruimtestaat[[#This Row],[uren / jaar werkdagen]]*Tariefsopbouw!$E$35</f>
        <v>0</v>
      </c>
      <c r="X202" s="149"/>
      <c r="Y202" s="149">
        <f>IF(Ruimtestaat[[#This Row],[Frequentie weekend]]&gt;0,VALUE(LEFT(X202,1))*Q202,0)</f>
        <v>0</v>
      </c>
      <c r="Z202" s="148">
        <f>IF($Y202&gt;0,VLOOKUP($J202,Ruimtegroepen[],3,FALSE)*VLOOKUP($L202,Vloersoorten[],3,FALSE)*VLOOKUP($X202,Frequenties[],3,FALSE)*VLOOKUP(#REF!,Locaties[],3,FALSE),0)</f>
        <v>0</v>
      </c>
      <c r="AA202" s="148">
        <f>Ruimtestaat[[#This Row],[Uitvoeringen weekend]]*Ruimtestaat[[#This Row],[Oppervlak (netto)]]</f>
        <v>0</v>
      </c>
      <c r="AB202" s="148">
        <f>IF(Z202&gt;0,Ruimtestaat[[#This Row],[Prest. (m2 /jaar) weekend]]/Ruimtestaat[[#This Row],[Norm (m2/uur) weekend]],0)</f>
        <v>0</v>
      </c>
      <c r="AC202" s="180">
        <f>Ruimtestaat[[#This Row],[uren / jaar weekend]]*Tariefsopbouw!$D$40</f>
        <v>0</v>
      </c>
      <c r="AD202" s="179">
        <f>Ruimtestaat[[#This Row],[Prest. (m2 /jaar) weekend]]+Ruimtestaat[[#This Row],[Prest. (m2 /jaar) werkdagen]]</f>
        <v>0</v>
      </c>
      <c r="AE202" s="179">
        <f>Ruimtestaat[[#This Row],[uren / jaar weekend]]+Ruimtestaat[[#This Row],[uren / jaar werkdagen]]</f>
        <v>0</v>
      </c>
      <c r="AF202" s="174">
        <f>Ruimtestaat[[#This Row],[kosten / jaar weekend]]+Ruimtestaat[[#This Row],[kosten / jaar werkdagen]]</f>
        <v>0</v>
      </c>
      <c r="AG202" s="174"/>
      <c r="AH202" s="181" t="str">
        <f>IF(Ruimtestaat[[#This Row],[Frequentie werkdagen]]="","",_xlfn.CONCAT(Ruimtestaat[[#This Row],[Ruimte code]],"-",Ruimtestaat[[#This Row],[Frequentie werkdagen]]," ",Ruimtestaat[[#This Row],[Vloer code]]))</f>
        <v/>
      </c>
      <c r="AI202" s="185" t="str">
        <f>_xlfn.IFNA(VLOOKUP($AH202,Programma!$F$3:$G$1101,2,0),"")</f>
        <v/>
      </c>
      <c r="AJ202" s="185" t="str">
        <f>_xlfn.IFNA(VLOOKUP($AH202,Programma!$F$3:$H$1101,3,0),"")</f>
        <v/>
      </c>
      <c r="AK202" s="185" t="str">
        <f>_xlfn.IFNA(VLOOKUP($AH202,Programma!$F$3:$I$1101,4,0),"")</f>
        <v/>
      </c>
      <c r="AL202" s="185" t="str">
        <f>_xlfn.IFNA(VLOOKUP($AH202,Programma!$F$3:$J$1101,5,0),"")</f>
        <v/>
      </c>
      <c r="AM202" s="185" t="str">
        <f>_xlfn.IFNA(VLOOKUP($AH202,Programma!$F$3:$K$1101,6,0),"")</f>
        <v/>
      </c>
      <c r="AN202" s="185" t="str">
        <f>_xlfn.IFNA(VLOOKUP($AH202,Programma!$F$3:$L$1101,7,0),"")</f>
        <v/>
      </c>
      <c r="AO202" s="185" t="str">
        <f>_xlfn.IFNA(VLOOKUP($AH202,Programma!$F$3:$M$1101,8,0),"")</f>
        <v/>
      </c>
      <c r="AP202" s="185" t="str">
        <f>_xlfn.IFNA(VLOOKUP($AH202,Programma!$F$3:$N$1101,9,0),"")</f>
        <v/>
      </c>
      <c r="AQ202" s="185" t="str">
        <f>_xlfn.IFNA(VLOOKUP($AH202,Programma!$F$3:$O$1101,10,0),"")</f>
        <v/>
      </c>
      <c r="AR202" s="185" t="str">
        <f>_xlfn.IFNA(VLOOKUP($AH202,Programma!$F$3:$P$1101,11,0),"")</f>
        <v/>
      </c>
      <c r="AS202" s="185" t="str">
        <f>_xlfn.IFNA(VLOOKUP($AH202,Programma!$F$3:$Q$1101,12,0),"")</f>
        <v/>
      </c>
      <c r="AT202" s="185" t="str">
        <f>_xlfn.IFNA(VLOOKUP($AH202,Programma!$F$3:$R$1101,13,0),"")</f>
        <v/>
      </c>
      <c r="AU202" s="185" t="str">
        <f>_xlfn.IFNA(VLOOKUP($AH202,Programma!$F$3:$S$1101,14,0),"")</f>
        <v/>
      </c>
      <c r="AV202" s="185" t="str">
        <f>_xlfn.IFNA(VLOOKUP($AH202,Programma!$F$3:$T$1101,15,0),"")</f>
        <v/>
      </c>
      <c r="AW202" s="185" t="str">
        <f>_xlfn.IFNA(VLOOKUP($AH202,Programma!$F$3:$U$1101,16,0),"")</f>
        <v/>
      </c>
      <c r="AX202" s="185" t="str">
        <f>_xlfn.IFNA(VLOOKUP($AH202,Programma!$F$3:$V$1101,17,0),"")</f>
        <v/>
      </c>
      <c r="AY202" s="185" t="str">
        <f>_xlfn.IFNA(VLOOKUP($AH202,Programma!$F$3:$W$1101,18,0),"")</f>
        <v/>
      </c>
      <c r="AZ202" s="185" t="str">
        <f>_xlfn.IFNA(VLOOKUP($AH202,Programma!$F$3:$X$1101,19,0),"")</f>
        <v/>
      </c>
      <c r="BA202" s="185" t="str">
        <f>_xlfn.IFNA(VLOOKUP($AH202,Programma!$F$3:$Y$1101,20,0),"")</f>
        <v/>
      </c>
      <c r="BB202" s="182"/>
      <c r="BC202" s="181" t="str">
        <f>IF(Ruimtestaat[[#This Row],[Frequentie weekend]]="","",_xlfn.CONCAT(Ruimtestaat[[#This Row],[Ruimte code]],"-",Ruimtestaat[[#This Row],[Frequentie weekend]]," ",Ruimtestaat[[#This Row],[Vloer code]]))</f>
        <v/>
      </c>
      <c r="BD202" s="185" t="str">
        <f>_xlfn.IFNA(VLOOKUP($BC202,Programma!$F$3:$G$1101,2,0),"")</f>
        <v/>
      </c>
      <c r="BE202" s="185" t="str">
        <f>_xlfn.IFNA(VLOOKUP($BC202,Programma!$F$3:$H$1101,3,0),"")</f>
        <v/>
      </c>
      <c r="BF202" s="185" t="str">
        <f>_xlfn.IFNA(VLOOKUP($BC202,Programma!$F$3:$I$1101,4,0),"")</f>
        <v/>
      </c>
      <c r="BG202" s="185" t="str">
        <f>_xlfn.IFNA(VLOOKUP($BC202,Programma!$F$3:$J$1101,5,0),"")</f>
        <v/>
      </c>
      <c r="BH202" s="185" t="str">
        <f>_xlfn.IFNA(VLOOKUP($BC202,Programma!$F$3:$K$1101,6,0),"")</f>
        <v/>
      </c>
      <c r="BI202" s="185" t="str">
        <f>_xlfn.IFNA(VLOOKUP($BC202,Programma!$F$3:$L$1101,7,0),"")</f>
        <v/>
      </c>
      <c r="BJ202" s="185" t="str">
        <f>_xlfn.IFNA(VLOOKUP($BC202,Programma!$F$3:$M$1101,8,0),"")</f>
        <v/>
      </c>
      <c r="BK202" s="185" t="str">
        <f>_xlfn.IFNA(VLOOKUP($BC202,Programma!$F$3:$N$1101,9,0),"")</f>
        <v/>
      </c>
      <c r="BL202" s="185" t="str">
        <f>_xlfn.IFNA(VLOOKUP($BC202,Programma!$F$3:$O$1101,10,0),"")</f>
        <v/>
      </c>
      <c r="BM202" s="185" t="str">
        <f>_xlfn.IFNA(VLOOKUP($BC202,Programma!$F$3:$P$1101,11,0),"")</f>
        <v/>
      </c>
      <c r="BN202" s="185" t="str">
        <f>_xlfn.IFNA(VLOOKUP($BC202,Programma!$F$3:$Q$1101,12,0),"")</f>
        <v/>
      </c>
      <c r="BO202" s="185" t="str">
        <f>_xlfn.IFNA(VLOOKUP($BC202,Programma!$F$3:$R$1101,13,0),"")</f>
        <v/>
      </c>
      <c r="BP202" s="185" t="str">
        <f>_xlfn.IFNA(VLOOKUP($BC202,Programma!$F$3:$S$1101,14,0),"")</f>
        <v/>
      </c>
      <c r="BQ202" s="185" t="str">
        <f>_xlfn.IFNA(VLOOKUP($BC202,Programma!$F$3:$T$1101,15,0),"")</f>
        <v/>
      </c>
      <c r="BR202" s="185" t="str">
        <f>_xlfn.IFNA(VLOOKUP($BC202,Programma!$F$3:$U$1101,16,0),"")</f>
        <v/>
      </c>
      <c r="BS202" s="185" t="str">
        <f>_xlfn.IFNA(VLOOKUP($BC202,Programma!$F$3:$V$1101,17,0),"")</f>
        <v/>
      </c>
      <c r="BT202" s="185" t="str">
        <f>_xlfn.IFNA(VLOOKUP($BC202,Programma!$F$3:$W$1101,18,0),"")</f>
        <v/>
      </c>
      <c r="BU202" s="185" t="str">
        <f>_xlfn.IFNA(VLOOKUP($BC202,Programma!$F$3:$X$1101,19,0),"")</f>
        <v/>
      </c>
      <c r="BV202" s="185" t="str">
        <f>_xlfn.IFNA(VLOOKUP($BC202,Programma!$F$3:$Y$1101,20,0),"")</f>
        <v/>
      </c>
      <c r="BW202" s="78"/>
      <c r="BX202" s="78"/>
      <c r="BY202" s="78"/>
      <c r="BZ202" s="78"/>
      <c r="CA202" s="78"/>
      <c r="CB202" s="78"/>
      <c r="CC202" s="78"/>
      <c r="CD202" s="78"/>
      <c r="CE202" s="78"/>
      <c r="CF202" s="78"/>
      <c r="CG202" s="78"/>
      <c r="CH202" s="78"/>
      <c r="CI202" s="78"/>
      <c r="CJ202" s="78"/>
      <c r="CK202" s="78"/>
      <c r="CL202" s="78"/>
      <c r="CM202" s="78"/>
      <c r="CN202" s="78"/>
      <c r="CO202" s="78"/>
      <c r="CP202" s="78"/>
      <c r="CQ202" s="78"/>
      <c r="CR202" s="78"/>
      <c r="CS202" s="78"/>
      <c r="CT202" s="78"/>
      <c r="CU202" s="78"/>
      <c r="CV202" s="78"/>
      <c r="CW202" s="78"/>
      <c r="CX202" s="78"/>
      <c r="CY202" s="78"/>
      <c r="CZ202" s="78"/>
      <c r="DA202" s="78"/>
      <c r="DB202" s="78"/>
      <c r="DC202" s="78"/>
      <c r="DD202" s="78"/>
      <c r="DE202" s="78"/>
      <c r="DF202" s="78"/>
      <c r="DG202" s="78"/>
      <c r="DH202" s="78"/>
      <c r="DI202" s="78"/>
      <c r="DJ202" s="78"/>
      <c r="DK202" s="78"/>
      <c r="DL202" s="78"/>
      <c r="DM202" s="78"/>
      <c r="DN202" s="78"/>
      <c r="DO202" s="78"/>
      <c r="DP202" s="78"/>
      <c r="DQ202" s="78"/>
      <c r="DR202" s="78"/>
      <c r="DS202" s="78"/>
      <c r="DT202" s="78"/>
      <c r="DU202" s="78"/>
      <c r="DV202" s="78"/>
      <c r="DW202" s="78"/>
      <c r="DX202" s="78"/>
      <c r="DY202" s="78"/>
      <c r="DZ202" s="78"/>
      <c r="EA202" s="78"/>
      <c r="EB202" s="78"/>
      <c r="EC202" s="78"/>
      <c r="ED202" s="78"/>
      <c r="EE202" s="78"/>
      <c r="EF202" s="78"/>
      <c r="EG202" s="78"/>
      <c r="EH202" s="78"/>
      <c r="EI202" s="78"/>
      <c r="EJ202" s="78"/>
      <c r="EK202" s="78"/>
      <c r="EL202" s="78"/>
      <c r="EM202" s="78"/>
      <c r="EN202" s="78"/>
      <c r="EO202" s="78"/>
      <c r="EP202" s="78"/>
      <c r="EQ202" s="78"/>
      <c r="ER202" s="78"/>
      <c r="ES202" s="78"/>
      <c r="ET202" s="78"/>
      <c r="EU202" s="78"/>
      <c r="EV202" s="78"/>
      <c r="EW202" s="78"/>
      <c r="EX202" s="78"/>
      <c r="EY202" s="78"/>
      <c r="EZ202" s="78"/>
      <c r="FA202" s="78"/>
      <c r="FB202" s="78"/>
      <c r="FC202" s="78"/>
      <c r="FD202" s="78"/>
      <c r="FE202" s="78"/>
      <c r="FF202" s="78"/>
      <c r="FG202" s="78"/>
      <c r="FH202" s="78"/>
      <c r="FI202" s="78"/>
      <c r="FJ202" s="78"/>
      <c r="FK202" s="78"/>
      <c r="FL202" s="78"/>
      <c r="FM202" s="78"/>
      <c r="FN202" s="78"/>
      <c r="FO202" s="78"/>
      <c r="FP202" s="78"/>
      <c r="FQ202" s="78"/>
      <c r="FR202" s="78"/>
      <c r="FS202" s="78"/>
      <c r="FT202" s="78"/>
      <c r="FU202" s="78"/>
      <c r="FV202" s="78"/>
      <c r="FW202" s="78"/>
      <c r="FX202" s="78"/>
      <c r="FY202" s="78"/>
      <c r="FZ202" s="78"/>
      <c r="GA202" s="78"/>
      <c r="GB202" s="78"/>
      <c r="GC202" s="78"/>
      <c r="GD202" s="78"/>
      <c r="GE202" s="78"/>
      <c r="GF202" s="78"/>
      <c r="GG202" s="78"/>
      <c r="GH202" s="78"/>
      <c r="GI202" s="78"/>
      <c r="GJ202" s="78"/>
      <c r="GK202" s="78"/>
      <c r="GL202" s="78"/>
      <c r="GM202" s="78"/>
      <c r="GN202" s="78"/>
      <c r="GO202" s="78"/>
      <c r="GP202" s="78"/>
      <c r="GQ202" s="78"/>
      <c r="GR202" s="78"/>
      <c r="GS202" s="78"/>
      <c r="GT202" s="78"/>
      <c r="GU202" s="78"/>
      <c r="GV202" s="78"/>
      <c r="GW202" s="78"/>
      <c r="GX202" s="78"/>
      <c r="GY202" s="78"/>
      <c r="GZ202" s="78"/>
      <c r="HA202" s="78"/>
      <c r="HB202" s="78"/>
      <c r="HC202" s="78"/>
      <c r="HD202" s="78"/>
      <c r="HE202" s="78"/>
      <c r="HF202" s="78"/>
      <c r="HG202" s="78"/>
      <c r="HH202" s="78"/>
      <c r="HI202" s="78"/>
      <c r="HJ202" s="78"/>
      <c r="HK202" s="78"/>
    </row>
    <row r="203" spans="1:219" ht="15" customHeight="1">
      <c r="A203" s="149">
        <v>6</v>
      </c>
      <c r="B203" s="176" t="str">
        <f>VLOOKUP(Ruimtestaat[[#This Row],[Code]],Locaties[[Code]:[Locatie]],2,FALSE)</f>
        <v>OBS La Res Noord</v>
      </c>
      <c r="C203" s="176" t="str">
        <f>VLOOKUP(Ruimtestaat[[#This Row],[Code]],Locaties[[#All],[Code]:[Adres]],4,FALSE)</f>
        <v>Schietbaanweg 30</v>
      </c>
      <c r="D203" s="176" t="str">
        <f>VLOOKUP(Ruimtestaat[[#This Row],[Code]],Locaties[[#All],[Code]:[Postcode]],5,FALSE)</f>
        <v>7521 DB</v>
      </c>
      <c r="E203" s="176" t="str">
        <f>VLOOKUP(Ruimtestaat[[#This Row],[Code]],Locaties[#All],6,FALSE)</f>
        <v>Enschede</v>
      </c>
      <c r="F203" s="149"/>
      <c r="G203" s="149"/>
      <c r="H203" s="99" t="s">
        <v>1871</v>
      </c>
      <c r="I203" s="183" t="s">
        <v>1658</v>
      </c>
      <c r="J203" s="99">
        <v>6</v>
      </c>
      <c r="K203" s="183" t="str">
        <f>VLOOKUP(Ruimtestaat[[#This Row],[Ruimte code]],Ruimtegroepen[[#All],[Code]:[Ruimte omschrijving]],2,FALSE)</f>
        <v>Gangen/hallen</v>
      </c>
      <c r="L203" s="149" t="s">
        <v>100</v>
      </c>
      <c r="M203" s="301" t="s">
        <v>1697</v>
      </c>
      <c r="N203" s="177">
        <v>87.6</v>
      </c>
      <c r="O203" s="177"/>
      <c r="P203" s="178" t="str">
        <f>VLOOKUP(Ruimtestaat[[#This Row],[Ruimte code]],Ruimtegroepen[],4,FALSE)</f>
        <v>Ve</v>
      </c>
      <c r="Q203" s="149"/>
      <c r="R203" s="149"/>
      <c r="S203" s="149">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3" s="149">
        <f>IF(S203&gt;0,VLOOKUP($J203,Ruimtegroepen[],3,FALSE)*VLOOKUP($L203,Vloersoorten[],3,FALSE)*VLOOKUP($R203,Frequenties[],3,FALSE)*VLOOKUP($A203,Locaties[],3,FALSE),0)</f>
        <v>0</v>
      </c>
      <c r="U203" s="149">
        <f>Ruimtestaat[[#This Row],[Uitvoeringen werkdagen]]*Ruimtestaat[[#This Row],[Oppervlak (netto)]]</f>
        <v>0</v>
      </c>
      <c r="V203" s="179">
        <f>IF(T203&gt;0,Ruimtestaat[[#This Row],[Prest. (m2 /jaar) werkdagen]]/Ruimtestaat[[#This Row],[Norm (m2/uur) werkdagen]],0)</f>
        <v>0</v>
      </c>
      <c r="W203" s="180">
        <f>Ruimtestaat[[#This Row],[uren / jaar werkdagen]]*Tariefsopbouw!$E$35</f>
        <v>0</v>
      </c>
      <c r="X203" s="149"/>
      <c r="Y203" s="149">
        <f>IF(Ruimtestaat[[#This Row],[Frequentie weekend]]&gt;0,VALUE(LEFT(X203,1))*Q203,0)</f>
        <v>0</v>
      </c>
      <c r="Z203" s="148">
        <f>IF($Y203&gt;0,VLOOKUP($J203,Ruimtegroepen[],3,FALSE)*VLOOKUP($L203,Vloersoorten[],3,FALSE)*VLOOKUP($X203,Frequenties[],3,FALSE)*VLOOKUP(#REF!,Locaties[],3,FALSE),0)</f>
        <v>0</v>
      </c>
      <c r="AA203" s="148">
        <f>Ruimtestaat[[#This Row],[Uitvoeringen weekend]]*Ruimtestaat[[#This Row],[Oppervlak (netto)]]</f>
        <v>0</v>
      </c>
      <c r="AB203" s="148">
        <f>IF(Z203&gt;0,Ruimtestaat[[#This Row],[Prest. (m2 /jaar) weekend]]/Ruimtestaat[[#This Row],[Norm (m2/uur) weekend]],0)</f>
        <v>0</v>
      </c>
      <c r="AC203" s="180">
        <f>Ruimtestaat[[#This Row],[uren / jaar weekend]]*Tariefsopbouw!$D$40</f>
        <v>0</v>
      </c>
      <c r="AD203" s="179">
        <f>Ruimtestaat[[#This Row],[Prest. (m2 /jaar) weekend]]+Ruimtestaat[[#This Row],[Prest. (m2 /jaar) werkdagen]]</f>
        <v>0</v>
      </c>
      <c r="AE203" s="179">
        <f>Ruimtestaat[[#This Row],[uren / jaar weekend]]+Ruimtestaat[[#This Row],[uren / jaar werkdagen]]</f>
        <v>0</v>
      </c>
      <c r="AF203" s="174">
        <f>Ruimtestaat[[#This Row],[kosten / jaar weekend]]+Ruimtestaat[[#This Row],[kosten / jaar werkdagen]]</f>
        <v>0</v>
      </c>
      <c r="AG203" s="174"/>
      <c r="AH203" s="181" t="str">
        <f>IF(Ruimtestaat[[#This Row],[Frequentie werkdagen]]="","",_xlfn.CONCAT(Ruimtestaat[[#This Row],[Ruimte code]],"-",Ruimtestaat[[#This Row],[Frequentie werkdagen]]," ",Ruimtestaat[[#This Row],[Vloer code]]))</f>
        <v/>
      </c>
      <c r="AI203" s="185" t="str">
        <f>_xlfn.IFNA(VLOOKUP($AH203,Programma!$F$3:$G$1101,2,0),"")</f>
        <v/>
      </c>
      <c r="AJ203" s="185" t="str">
        <f>_xlfn.IFNA(VLOOKUP($AH203,Programma!$F$3:$H$1101,3,0),"")</f>
        <v/>
      </c>
      <c r="AK203" s="185" t="str">
        <f>_xlfn.IFNA(VLOOKUP($AH203,Programma!$F$3:$I$1101,4,0),"")</f>
        <v/>
      </c>
      <c r="AL203" s="185" t="str">
        <f>_xlfn.IFNA(VLOOKUP($AH203,Programma!$F$3:$J$1101,5,0),"")</f>
        <v/>
      </c>
      <c r="AM203" s="185" t="str">
        <f>_xlfn.IFNA(VLOOKUP($AH203,Programma!$F$3:$K$1101,6,0),"")</f>
        <v/>
      </c>
      <c r="AN203" s="185" t="str">
        <f>_xlfn.IFNA(VLOOKUP($AH203,Programma!$F$3:$L$1101,7,0),"")</f>
        <v/>
      </c>
      <c r="AO203" s="185" t="str">
        <f>_xlfn.IFNA(VLOOKUP($AH203,Programma!$F$3:$M$1101,8,0),"")</f>
        <v/>
      </c>
      <c r="AP203" s="185" t="str">
        <f>_xlfn.IFNA(VLOOKUP($AH203,Programma!$F$3:$N$1101,9,0),"")</f>
        <v/>
      </c>
      <c r="AQ203" s="185" t="str">
        <f>_xlfn.IFNA(VLOOKUP($AH203,Programma!$F$3:$O$1101,10,0),"")</f>
        <v/>
      </c>
      <c r="AR203" s="185" t="str">
        <f>_xlfn.IFNA(VLOOKUP($AH203,Programma!$F$3:$P$1101,11,0),"")</f>
        <v/>
      </c>
      <c r="AS203" s="185" t="str">
        <f>_xlfn.IFNA(VLOOKUP($AH203,Programma!$F$3:$Q$1101,12,0),"")</f>
        <v/>
      </c>
      <c r="AT203" s="185" t="str">
        <f>_xlfn.IFNA(VLOOKUP($AH203,Programma!$F$3:$R$1101,13,0),"")</f>
        <v/>
      </c>
      <c r="AU203" s="185" t="str">
        <f>_xlfn.IFNA(VLOOKUP($AH203,Programma!$F$3:$S$1101,14,0),"")</f>
        <v/>
      </c>
      <c r="AV203" s="185" t="str">
        <f>_xlfn.IFNA(VLOOKUP($AH203,Programma!$F$3:$T$1101,15,0),"")</f>
        <v/>
      </c>
      <c r="AW203" s="185" t="str">
        <f>_xlfn.IFNA(VLOOKUP($AH203,Programma!$F$3:$U$1101,16,0),"")</f>
        <v/>
      </c>
      <c r="AX203" s="185" t="str">
        <f>_xlfn.IFNA(VLOOKUP($AH203,Programma!$F$3:$V$1101,17,0),"")</f>
        <v/>
      </c>
      <c r="AY203" s="185" t="str">
        <f>_xlfn.IFNA(VLOOKUP($AH203,Programma!$F$3:$W$1101,18,0),"")</f>
        <v/>
      </c>
      <c r="AZ203" s="185" t="str">
        <f>_xlfn.IFNA(VLOOKUP($AH203,Programma!$F$3:$X$1101,19,0),"")</f>
        <v/>
      </c>
      <c r="BA203" s="185" t="str">
        <f>_xlfn.IFNA(VLOOKUP($AH203,Programma!$F$3:$Y$1101,20,0),"")</f>
        <v/>
      </c>
      <c r="BB203" s="182"/>
      <c r="BC203" s="181" t="str">
        <f>IF(Ruimtestaat[[#This Row],[Frequentie weekend]]="","",_xlfn.CONCAT(Ruimtestaat[[#This Row],[Ruimte code]],"-",Ruimtestaat[[#This Row],[Frequentie weekend]]," ",Ruimtestaat[[#This Row],[Vloer code]]))</f>
        <v/>
      </c>
      <c r="BD203" s="185" t="str">
        <f>_xlfn.IFNA(VLOOKUP($BC203,Programma!$F$3:$G$1101,2,0),"")</f>
        <v/>
      </c>
      <c r="BE203" s="185" t="str">
        <f>_xlfn.IFNA(VLOOKUP($BC203,Programma!$F$3:$H$1101,3,0),"")</f>
        <v/>
      </c>
      <c r="BF203" s="185" t="str">
        <f>_xlfn.IFNA(VLOOKUP($BC203,Programma!$F$3:$I$1101,4,0),"")</f>
        <v/>
      </c>
      <c r="BG203" s="185" t="str">
        <f>_xlfn.IFNA(VLOOKUP($BC203,Programma!$F$3:$J$1101,5,0),"")</f>
        <v/>
      </c>
      <c r="BH203" s="185" t="str">
        <f>_xlfn.IFNA(VLOOKUP($BC203,Programma!$F$3:$K$1101,6,0),"")</f>
        <v/>
      </c>
      <c r="BI203" s="185" t="str">
        <f>_xlfn.IFNA(VLOOKUP($BC203,Programma!$F$3:$L$1101,7,0),"")</f>
        <v/>
      </c>
      <c r="BJ203" s="185" t="str">
        <f>_xlfn.IFNA(VLOOKUP($BC203,Programma!$F$3:$M$1101,8,0),"")</f>
        <v/>
      </c>
      <c r="BK203" s="185" t="str">
        <f>_xlfn.IFNA(VLOOKUP($BC203,Programma!$F$3:$N$1101,9,0),"")</f>
        <v/>
      </c>
      <c r="BL203" s="185" t="str">
        <f>_xlfn.IFNA(VLOOKUP($BC203,Programma!$F$3:$O$1101,10,0),"")</f>
        <v/>
      </c>
      <c r="BM203" s="185" t="str">
        <f>_xlfn.IFNA(VLOOKUP($BC203,Programma!$F$3:$P$1101,11,0),"")</f>
        <v/>
      </c>
      <c r="BN203" s="185" t="str">
        <f>_xlfn.IFNA(VLOOKUP($BC203,Programma!$F$3:$Q$1101,12,0),"")</f>
        <v/>
      </c>
      <c r="BO203" s="185" t="str">
        <f>_xlfn.IFNA(VLOOKUP($BC203,Programma!$F$3:$R$1101,13,0),"")</f>
        <v/>
      </c>
      <c r="BP203" s="185" t="str">
        <f>_xlfn.IFNA(VLOOKUP($BC203,Programma!$F$3:$S$1101,14,0),"")</f>
        <v/>
      </c>
      <c r="BQ203" s="185" t="str">
        <f>_xlfn.IFNA(VLOOKUP($BC203,Programma!$F$3:$T$1101,15,0),"")</f>
        <v/>
      </c>
      <c r="BR203" s="185" t="str">
        <f>_xlfn.IFNA(VLOOKUP($BC203,Programma!$F$3:$U$1101,16,0),"")</f>
        <v/>
      </c>
      <c r="BS203" s="185" t="str">
        <f>_xlfn.IFNA(VLOOKUP($BC203,Programma!$F$3:$V$1101,17,0),"")</f>
        <v/>
      </c>
      <c r="BT203" s="185" t="str">
        <f>_xlfn.IFNA(VLOOKUP($BC203,Programma!$F$3:$W$1101,18,0),"")</f>
        <v/>
      </c>
      <c r="BU203" s="185" t="str">
        <f>_xlfn.IFNA(VLOOKUP($BC203,Programma!$F$3:$X$1101,19,0),"")</f>
        <v/>
      </c>
      <c r="BV203" s="185" t="str">
        <f>_xlfn.IFNA(VLOOKUP($BC203,Programma!$F$3:$Y$1101,20,0),"")</f>
        <v/>
      </c>
      <c r="BW203" s="78"/>
      <c r="BX203" s="78"/>
      <c r="BY203" s="78"/>
      <c r="BZ203" s="78"/>
      <c r="CA203" s="78"/>
      <c r="CB203" s="78"/>
      <c r="CC203" s="78"/>
      <c r="CD203" s="78"/>
      <c r="CE203" s="78"/>
      <c r="CF203" s="78"/>
      <c r="CG203" s="78"/>
      <c r="CH203" s="78"/>
      <c r="CI203" s="78"/>
      <c r="CJ203" s="78"/>
      <c r="CK203" s="78"/>
      <c r="CL203" s="78"/>
      <c r="CM203" s="78"/>
      <c r="CN203" s="78"/>
      <c r="CO203" s="78"/>
      <c r="CP203" s="78"/>
      <c r="CQ203" s="78"/>
      <c r="CR203" s="78"/>
      <c r="CS203" s="78"/>
      <c r="CT203" s="78"/>
      <c r="CU203" s="78"/>
      <c r="CV203" s="78"/>
      <c r="CW203" s="78"/>
      <c r="CX203" s="78"/>
      <c r="CY203" s="78"/>
      <c r="CZ203" s="78"/>
      <c r="DA203" s="78"/>
      <c r="DB203" s="78"/>
      <c r="DC203" s="78"/>
      <c r="DD203" s="78"/>
      <c r="DE203" s="78"/>
      <c r="DF203" s="78"/>
      <c r="DG203" s="78"/>
      <c r="DH203" s="78"/>
      <c r="DI203" s="78"/>
      <c r="DJ203" s="78"/>
      <c r="DK203" s="78"/>
      <c r="DL203" s="78"/>
      <c r="DM203" s="78"/>
      <c r="DN203" s="78"/>
      <c r="DO203" s="78"/>
      <c r="DP203" s="78"/>
      <c r="DQ203" s="78"/>
      <c r="DR203" s="78"/>
      <c r="DS203" s="78"/>
      <c r="DT203" s="78"/>
      <c r="DU203" s="78"/>
      <c r="DV203" s="78"/>
      <c r="DW203" s="78"/>
      <c r="DX203" s="78"/>
      <c r="DY203" s="78"/>
      <c r="DZ203" s="78"/>
      <c r="EA203" s="78"/>
      <c r="EB203" s="78"/>
      <c r="EC203" s="78"/>
      <c r="ED203" s="78"/>
      <c r="EE203" s="78"/>
      <c r="EF203" s="78"/>
      <c r="EG203" s="78"/>
      <c r="EH203" s="78"/>
      <c r="EI203" s="78"/>
      <c r="EJ203" s="78"/>
      <c r="EK203" s="78"/>
      <c r="EL203" s="78"/>
      <c r="EM203" s="78"/>
      <c r="EN203" s="78"/>
      <c r="EO203" s="78"/>
      <c r="EP203" s="78"/>
      <c r="EQ203" s="78"/>
      <c r="ER203" s="78"/>
      <c r="ES203" s="78"/>
      <c r="ET203" s="78"/>
      <c r="EU203" s="78"/>
      <c r="EV203" s="78"/>
      <c r="EW203" s="78"/>
      <c r="EX203" s="78"/>
      <c r="EY203" s="78"/>
      <c r="EZ203" s="78"/>
      <c r="FA203" s="78"/>
      <c r="FB203" s="78"/>
      <c r="FC203" s="78"/>
      <c r="FD203" s="78"/>
      <c r="FE203" s="78"/>
      <c r="FF203" s="78"/>
      <c r="FG203" s="78"/>
      <c r="FH203" s="78"/>
      <c r="FI203" s="78"/>
      <c r="FJ203" s="78"/>
      <c r="FK203" s="78"/>
      <c r="FL203" s="78"/>
      <c r="FM203" s="78"/>
      <c r="FN203" s="78"/>
      <c r="FO203" s="78"/>
      <c r="FP203" s="78"/>
      <c r="FQ203" s="78"/>
      <c r="FR203" s="78"/>
      <c r="FS203" s="78"/>
      <c r="FT203" s="78"/>
      <c r="FU203" s="78"/>
      <c r="FV203" s="78"/>
      <c r="FW203" s="78"/>
      <c r="FX203" s="78"/>
      <c r="FY203" s="78"/>
      <c r="FZ203" s="78"/>
      <c r="GA203" s="78"/>
      <c r="GB203" s="78"/>
      <c r="GC203" s="78"/>
      <c r="GD203" s="78"/>
      <c r="GE203" s="78"/>
      <c r="GF203" s="78"/>
      <c r="GG203" s="78"/>
      <c r="GH203" s="78"/>
      <c r="GI203" s="78"/>
      <c r="GJ203" s="78"/>
      <c r="GK203" s="78"/>
      <c r="GL203" s="78"/>
      <c r="GM203" s="78"/>
      <c r="GN203" s="78"/>
      <c r="GO203" s="78"/>
      <c r="GP203" s="78"/>
      <c r="GQ203" s="78"/>
      <c r="GR203" s="78"/>
      <c r="GS203" s="78"/>
      <c r="GT203" s="78"/>
      <c r="GU203" s="78"/>
      <c r="GV203" s="78"/>
      <c r="GW203" s="78"/>
      <c r="GX203" s="78"/>
      <c r="GY203" s="78"/>
      <c r="GZ203" s="78"/>
      <c r="HA203" s="78"/>
      <c r="HB203" s="78"/>
      <c r="HC203" s="78"/>
      <c r="HD203" s="78"/>
      <c r="HE203" s="78"/>
      <c r="HF203" s="78"/>
      <c r="HG203" s="78"/>
      <c r="HH203" s="78"/>
      <c r="HI203" s="78"/>
      <c r="HJ203" s="78"/>
      <c r="HK203" s="78"/>
    </row>
    <row r="204" spans="1:219" ht="15" customHeight="1">
      <c r="A204" s="149">
        <v>6</v>
      </c>
      <c r="B204" s="176" t="str">
        <f>VLOOKUP(Ruimtestaat[[#This Row],[Code]],Locaties[[Code]:[Locatie]],2,FALSE)</f>
        <v>OBS La Res Noord</v>
      </c>
      <c r="C204" s="176" t="str">
        <f>VLOOKUP(Ruimtestaat[[#This Row],[Code]],Locaties[[#All],[Code]:[Adres]],4,FALSE)</f>
        <v>Schietbaanweg 30</v>
      </c>
      <c r="D204" s="176" t="str">
        <f>VLOOKUP(Ruimtestaat[[#This Row],[Code]],Locaties[[#All],[Code]:[Postcode]],5,FALSE)</f>
        <v>7521 DB</v>
      </c>
      <c r="E204" s="176" t="str">
        <f>VLOOKUP(Ruimtestaat[[#This Row],[Code]],Locaties[#All],6,FALSE)</f>
        <v>Enschede</v>
      </c>
      <c r="F204" s="149"/>
      <c r="G204" s="149"/>
      <c r="H204" s="99" t="s">
        <v>1872</v>
      </c>
      <c r="I204" s="183" t="s">
        <v>1688</v>
      </c>
      <c r="J204" s="99">
        <v>16</v>
      </c>
      <c r="K204" s="183" t="str">
        <f>VLOOKUP(Ruimtestaat[[#This Row],[Ruimte code]],Ruimtegroepen[[#All],[Code]:[Ruimte omschrijving]],2,FALSE)</f>
        <v>Leslokalen</v>
      </c>
      <c r="L204" s="149" t="s">
        <v>100</v>
      </c>
      <c r="M204" s="301" t="s">
        <v>1697</v>
      </c>
      <c r="N204" s="177">
        <v>49.9</v>
      </c>
      <c r="O204" s="177"/>
      <c r="P204" s="178" t="str">
        <f>VLOOKUP(Ruimtestaat[[#This Row],[Ruimte code]],Ruimtegroepen[],4,FALSE)</f>
        <v>Le</v>
      </c>
      <c r="Q204" s="149"/>
      <c r="R204" s="149"/>
      <c r="S204" s="149">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4" s="149">
        <f>IF(S204&gt;0,VLOOKUP($J204,Ruimtegroepen[],3,FALSE)*VLOOKUP($L204,Vloersoorten[],3,FALSE)*VLOOKUP($R204,Frequenties[],3,FALSE)*VLOOKUP($A204,Locaties[],3,FALSE),0)</f>
        <v>0</v>
      </c>
      <c r="U204" s="149">
        <f>Ruimtestaat[[#This Row],[Uitvoeringen werkdagen]]*Ruimtestaat[[#This Row],[Oppervlak (netto)]]</f>
        <v>0</v>
      </c>
      <c r="V204" s="179">
        <f>IF(T204&gt;0,Ruimtestaat[[#This Row],[Prest. (m2 /jaar) werkdagen]]/Ruimtestaat[[#This Row],[Norm (m2/uur) werkdagen]],0)</f>
        <v>0</v>
      </c>
      <c r="W204" s="180">
        <f>Ruimtestaat[[#This Row],[uren / jaar werkdagen]]*Tariefsopbouw!$E$35</f>
        <v>0</v>
      </c>
      <c r="X204" s="149"/>
      <c r="Y204" s="149">
        <f>IF(Ruimtestaat[[#This Row],[Frequentie weekend]]&gt;0,VALUE(LEFT(X204,1))*Q204,0)</f>
        <v>0</v>
      </c>
      <c r="Z204" s="148">
        <f>IF($Y204&gt;0,VLOOKUP($J204,Ruimtegroepen[],3,FALSE)*VLOOKUP($L204,Vloersoorten[],3,FALSE)*VLOOKUP($X204,Frequenties[],3,FALSE)*VLOOKUP(#REF!,Locaties[],3,FALSE),0)</f>
        <v>0</v>
      </c>
      <c r="AA204" s="148">
        <f>Ruimtestaat[[#This Row],[Uitvoeringen weekend]]*Ruimtestaat[[#This Row],[Oppervlak (netto)]]</f>
        <v>0</v>
      </c>
      <c r="AB204" s="148">
        <f>IF(Z204&gt;0,Ruimtestaat[[#This Row],[Prest. (m2 /jaar) weekend]]/Ruimtestaat[[#This Row],[Norm (m2/uur) weekend]],0)</f>
        <v>0</v>
      </c>
      <c r="AC204" s="180">
        <f>Ruimtestaat[[#This Row],[uren / jaar weekend]]*Tariefsopbouw!$D$40</f>
        <v>0</v>
      </c>
      <c r="AD204" s="179">
        <f>Ruimtestaat[[#This Row],[Prest. (m2 /jaar) weekend]]+Ruimtestaat[[#This Row],[Prest. (m2 /jaar) werkdagen]]</f>
        <v>0</v>
      </c>
      <c r="AE204" s="179">
        <f>Ruimtestaat[[#This Row],[uren / jaar weekend]]+Ruimtestaat[[#This Row],[uren / jaar werkdagen]]</f>
        <v>0</v>
      </c>
      <c r="AF204" s="174">
        <f>Ruimtestaat[[#This Row],[kosten / jaar weekend]]+Ruimtestaat[[#This Row],[kosten / jaar werkdagen]]</f>
        <v>0</v>
      </c>
      <c r="AG204" s="174"/>
      <c r="AH204" s="181" t="str">
        <f>IF(Ruimtestaat[[#This Row],[Frequentie werkdagen]]="","",_xlfn.CONCAT(Ruimtestaat[[#This Row],[Ruimte code]],"-",Ruimtestaat[[#This Row],[Frequentie werkdagen]]," ",Ruimtestaat[[#This Row],[Vloer code]]))</f>
        <v/>
      </c>
      <c r="AI204" s="185" t="str">
        <f>_xlfn.IFNA(VLOOKUP($AH204,Programma!$F$3:$G$1101,2,0),"")</f>
        <v/>
      </c>
      <c r="AJ204" s="185" t="str">
        <f>_xlfn.IFNA(VLOOKUP($AH204,Programma!$F$3:$H$1101,3,0),"")</f>
        <v/>
      </c>
      <c r="AK204" s="185" t="str">
        <f>_xlfn.IFNA(VLOOKUP($AH204,Programma!$F$3:$I$1101,4,0),"")</f>
        <v/>
      </c>
      <c r="AL204" s="185" t="str">
        <f>_xlfn.IFNA(VLOOKUP($AH204,Programma!$F$3:$J$1101,5,0),"")</f>
        <v/>
      </c>
      <c r="AM204" s="185" t="str">
        <f>_xlfn.IFNA(VLOOKUP($AH204,Programma!$F$3:$K$1101,6,0),"")</f>
        <v/>
      </c>
      <c r="AN204" s="185" t="str">
        <f>_xlfn.IFNA(VLOOKUP($AH204,Programma!$F$3:$L$1101,7,0),"")</f>
        <v/>
      </c>
      <c r="AO204" s="185" t="str">
        <f>_xlfn.IFNA(VLOOKUP($AH204,Programma!$F$3:$M$1101,8,0),"")</f>
        <v/>
      </c>
      <c r="AP204" s="185" t="str">
        <f>_xlfn.IFNA(VLOOKUP($AH204,Programma!$F$3:$N$1101,9,0),"")</f>
        <v/>
      </c>
      <c r="AQ204" s="185" t="str">
        <f>_xlfn.IFNA(VLOOKUP($AH204,Programma!$F$3:$O$1101,10,0),"")</f>
        <v/>
      </c>
      <c r="AR204" s="185" t="str">
        <f>_xlfn.IFNA(VLOOKUP($AH204,Programma!$F$3:$P$1101,11,0),"")</f>
        <v/>
      </c>
      <c r="AS204" s="185" t="str">
        <f>_xlfn.IFNA(VLOOKUP($AH204,Programma!$F$3:$Q$1101,12,0),"")</f>
        <v/>
      </c>
      <c r="AT204" s="185" t="str">
        <f>_xlfn.IFNA(VLOOKUP($AH204,Programma!$F$3:$R$1101,13,0),"")</f>
        <v/>
      </c>
      <c r="AU204" s="185" t="str">
        <f>_xlfn.IFNA(VLOOKUP($AH204,Programma!$F$3:$S$1101,14,0),"")</f>
        <v/>
      </c>
      <c r="AV204" s="185" t="str">
        <f>_xlfn.IFNA(VLOOKUP($AH204,Programma!$F$3:$T$1101,15,0),"")</f>
        <v/>
      </c>
      <c r="AW204" s="185" t="str">
        <f>_xlfn.IFNA(VLOOKUP($AH204,Programma!$F$3:$U$1101,16,0),"")</f>
        <v/>
      </c>
      <c r="AX204" s="185" t="str">
        <f>_xlfn.IFNA(VLOOKUP($AH204,Programma!$F$3:$V$1101,17,0),"")</f>
        <v/>
      </c>
      <c r="AY204" s="185" t="str">
        <f>_xlfn.IFNA(VLOOKUP($AH204,Programma!$F$3:$W$1101,18,0),"")</f>
        <v/>
      </c>
      <c r="AZ204" s="185" t="str">
        <f>_xlfn.IFNA(VLOOKUP($AH204,Programma!$F$3:$X$1101,19,0),"")</f>
        <v/>
      </c>
      <c r="BA204" s="185" t="str">
        <f>_xlfn.IFNA(VLOOKUP($AH204,Programma!$F$3:$Y$1101,20,0),"")</f>
        <v/>
      </c>
      <c r="BB204" s="182"/>
      <c r="BC204" s="181" t="str">
        <f>IF(Ruimtestaat[[#This Row],[Frequentie weekend]]="","",_xlfn.CONCAT(Ruimtestaat[[#This Row],[Ruimte code]],"-",Ruimtestaat[[#This Row],[Frequentie weekend]]," ",Ruimtestaat[[#This Row],[Vloer code]]))</f>
        <v/>
      </c>
      <c r="BD204" s="185" t="str">
        <f>_xlfn.IFNA(VLOOKUP($BC204,Programma!$F$3:$G$1101,2,0),"")</f>
        <v/>
      </c>
      <c r="BE204" s="185" t="str">
        <f>_xlfn.IFNA(VLOOKUP($BC204,Programma!$F$3:$H$1101,3,0),"")</f>
        <v/>
      </c>
      <c r="BF204" s="185" t="str">
        <f>_xlfn.IFNA(VLOOKUP($BC204,Programma!$F$3:$I$1101,4,0),"")</f>
        <v/>
      </c>
      <c r="BG204" s="185" t="str">
        <f>_xlfn.IFNA(VLOOKUP($BC204,Programma!$F$3:$J$1101,5,0),"")</f>
        <v/>
      </c>
      <c r="BH204" s="185" t="str">
        <f>_xlfn.IFNA(VLOOKUP($BC204,Programma!$F$3:$K$1101,6,0),"")</f>
        <v/>
      </c>
      <c r="BI204" s="185" t="str">
        <f>_xlfn.IFNA(VLOOKUP($BC204,Programma!$F$3:$L$1101,7,0),"")</f>
        <v/>
      </c>
      <c r="BJ204" s="185" t="str">
        <f>_xlfn.IFNA(VLOOKUP($BC204,Programma!$F$3:$M$1101,8,0),"")</f>
        <v/>
      </c>
      <c r="BK204" s="185" t="str">
        <f>_xlfn.IFNA(VLOOKUP($BC204,Programma!$F$3:$N$1101,9,0),"")</f>
        <v/>
      </c>
      <c r="BL204" s="185" t="str">
        <f>_xlfn.IFNA(VLOOKUP($BC204,Programma!$F$3:$O$1101,10,0),"")</f>
        <v/>
      </c>
      <c r="BM204" s="185" t="str">
        <f>_xlfn.IFNA(VLOOKUP($BC204,Programma!$F$3:$P$1101,11,0),"")</f>
        <v/>
      </c>
      <c r="BN204" s="185" t="str">
        <f>_xlfn.IFNA(VLOOKUP($BC204,Programma!$F$3:$Q$1101,12,0),"")</f>
        <v/>
      </c>
      <c r="BO204" s="185" t="str">
        <f>_xlfn.IFNA(VLOOKUP($BC204,Programma!$F$3:$R$1101,13,0),"")</f>
        <v/>
      </c>
      <c r="BP204" s="185" t="str">
        <f>_xlfn.IFNA(VLOOKUP($BC204,Programma!$F$3:$S$1101,14,0),"")</f>
        <v/>
      </c>
      <c r="BQ204" s="185" t="str">
        <f>_xlfn.IFNA(VLOOKUP($BC204,Programma!$F$3:$T$1101,15,0),"")</f>
        <v/>
      </c>
      <c r="BR204" s="185" t="str">
        <f>_xlfn.IFNA(VLOOKUP($BC204,Programma!$F$3:$U$1101,16,0),"")</f>
        <v/>
      </c>
      <c r="BS204" s="185" t="str">
        <f>_xlfn.IFNA(VLOOKUP($BC204,Programma!$F$3:$V$1101,17,0),"")</f>
        <v/>
      </c>
      <c r="BT204" s="185" t="str">
        <f>_xlfn.IFNA(VLOOKUP($BC204,Programma!$F$3:$W$1101,18,0),"")</f>
        <v/>
      </c>
      <c r="BU204" s="185" t="str">
        <f>_xlfn.IFNA(VLOOKUP($BC204,Programma!$F$3:$X$1101,19,0),"")</f>
        <v/>
      </c>
      <c r="BV204" s="185" t="str">
        <f>_xlfn.IFNA(VLOOKUP($BC204,Programma!$F$3:$Y$1101,20,0),"")</f>
        <v/>
      </c>
      <c r="BW204" s="78"/>
      <c r="BX204" s="78"/>
      <c r="BY204" s="78"/>
      <c r="BZ204" s="78"/>
      <c r="CA204" s="78"/>
      <c r="CB204" s="78"/>
      <c r="CC204" s="78"/>
      <c r="CD204" s="78"/>
      <c r="CE204" s="78"/>
      <c r="CF204" s="78"/>
      <c r="CG204" s="78"/>
      <c r="CH204" s="78"/>
      <c r="CI204" s="78"/>
      <c r="CJ204" s="78"/>
      <c r="CK204" s="78"/>
      <c r="CL204" s="78"/>
      <c r="CM204" s="78"/>
      <c r="CN204" s="78"/>
      <c r="CO204" s="78"/>
      <c r="CP204" s="78"/>
      <c r="CQ204" s="78"/>
      <c r="CR204" s="78"/>
      <c r="CS204" s="78"/>
      <c r="CT204" s="78"/>
      <c r="CU204" s="78"/>
      <c r="CV204" s="78"/>
      <c r="CW204" s="78"/>
      <c r="CX204" s="78"/>
      <c r="CY204" s="78"/>
      <c r="CZ204" s="78"/>
      <c r="DA204" s="78"/>
      <c r="DB204" s="78"/>
      <c r="DC204" s="78"/>
      <c r="DD204" s="78"/>
      <c r="DE204" s="78"/>
      <c r="DF204" s="78"/>
      <c r="DG204" s="78"/>
      <c r="DH204" s="78"/>
      <c r="DI204" s="78"/>
      <c r="DJ204" s="78"/>
      <c r="DK204" s="78"/>
      <c r="DL204" s="78"/>
      <c r="DM204" s="78"/>
      <c r="DN204" s="78"/>
      <c r="DO204" s="78"/>
      <c r="DP204" s="78"/>
      <c r="DQ204" s="78"/>
      <c r="DR204" s="78"/>
      <c r="DS204" s="78"/>
      <c r="DT204" s="78"/>
      <c r="DU204" s="78"/>
      <c r="DV204" s="78"/>
      <c r="DW204" s="78"/>
      <c r="DX204" s="78"/>
      <c r="DY204" s="78"/>
      <c r="DZ204" s="78"/>
      <c r="EA204" s="78"/>
      <c r="EB204" s="78"/>
      <c r="EC204" s="78"/>
      <c r="ED204" s="78"/>
      <c r="EE204" s="78"/>
      <c r="EF204" s="78"/>
      <c r="EG204" s="78"/>
      <c r="EH204" s="78"/>
      <c r="EI204" s="78"/>
      <c r="EJ204" s="78"/>
      <c r="EK204" s="78"/>
      <c r="EL204" s="78"/>
      <c r="EM204" s="78"/>
      <c r="EN204" s="78"/>
      <c r="EO204" s="78"/>
      <c r="EP204" s="78"/>
      <c r="EQ204" s="78"/>
      <c r="ER204" s="78"/>
      <c r="ES204" s="78"/>
      <c r="ET204" s="78"/>
      <c r="EU204" s="78"/>
      <c r="EV204" s="78"/>
      <c r="EW204" s="78"/>
      <c r="EX204" s="78"/>
      <c r="EY204" s="78"/>
      <c r="EZ204" s="78"/>
      <c r="FA204" s="78"/>
      <c r="FB204" s="78"/>
      <c r="FC204" s="78"/>
      <c r="FD204" s="78"/>
      <c r="FE204" s="78"/>
      <c r="FF204" s="78"/>
      <c r="FG204" s="78"/>
      <c r="FH204" s="78"/>
      <c r="FI204" s="78"/>
      <c r="FJ204" s="78"/>
      <c r="FK204" s="78"/>
      <c r="FL204" s="78"/>
      <c r="FM204" s="78"/>
      <c r="FN204" s="78"/>
      <c r="FO204" s="78"/>
      <c r="FP204" s="78"/>
      <c r="FQ204" s="78"/>
      <c r="FR204" s="78"/>
      <c r="FS204" s="78"/>
      <c r="FT204" s="78"/>
      <c r="FU204" s="78"/>
      <c r="FV204" s="78"/>
      <c r="FW204" s="78"/>
      <c r="FX204" s="78"/>
      <c r="FY204" s="78"/>
      <c r="FZ204" s="78"/>
      <c r="GA204" s="78"/>
      <c r="GB204" s="78"/>
      <c r="GC204" s="78"/>
      <c r="GD204" s="78"/>
      <c r="GE204" s="78"/>
      <c r="GF204" s="78"/>
      <c r="GG204" s="78"/>
      <c r="GH204" s="78"/>
      <c r="GI204" s="78"/>
      <c r="GJ204" s="78"/>
      <c r="GK204" s="78"/>
      <c r="GL204" s="78"/>
      <c r="GM204" s="78"/>
      <c r="GN204" s="78"/>
      <c r="GO204" s="78"/>
      <c r="GP204" s="78"/>
      <c r="GQ204" s="78"/>
      <c r="GR204" s="78"/>
      <c r="GS204" s="78"/>
      <c r="GT204" s="78"/>
      <c r="GU204" s="78"/>
      <c r="GV204" s="78"/>
      <c r="GW204" s="78"/>
      <c r="GX204" s="78"/>
      <c r="GY204" s="78"/>
      <c r="GZ204" s="78"/>
      <c r="HA204" s="78"/>
      <c r="HB204" s="78"/>
      <c r="HC204" s="78"/>
      <c r="HD204" s="78"/>
      <c r="HE204" s="78"/>
      <c r="HF204" s="78"/>
      <c r="HG204" s="78"/>
      <c r="HH204" s="78"/>
      <c r="HI204" s="78"/>
      <c r="HJ204" s="78"/>
      <c r="HK204" s="78"/>
    </row>
    <row r="205" spans="1:219" ht="15" customHeight="1">
      <c r="A205" s="149">
        <v>6</v>
      </c>
      <c r="B205" s="176" t="str">
        <f>VLOOKUP(Ruimtestaat[[#This Row],[Code]],Locaties[[Code]:[Locatie]],2,FALSE)</f>
        <v>OBS La Res Noord</v>
      </c>
      <c r="C205" s="176" t="str">
        <f>VLOOKUP(Ruimtestaat[[#This Row],[Code]],Locaties[[#All],[Code]:[Adres]],4,FALSE)</f>
        <v>Schietbaanweg 30</v>
      </c>
      <c r="D205" s="176" t="str">
        <f>VLOOKUP(Ruimtestaat[[#This Row],[Code]],Locaties[[#All],[Code]:[Postcode]],5,FALSE)</f>
        <v>7521 DB</v>
      </c>
      <c r="E205" s="176" t="str">
        <f>VLOOKUP(Ruimtestaat[[#This Row],[Code]],Locaties[#All],6,FALSE)</f>
        <v>Enschede</v>
      </c>
      <c r="F205" s="149"/>
      <c r="G205" s="149"/>
      <c r="H205" s="99" t="s">
        <v>1873</v>
      </c>
      <c r="I205" s="183" t="s">
        <v>1688</v>
      </c>
      <c r="J205" s="99">
        <v>16</v>
      </c>
      <c r="K205" s="183" t="str">
        <f>VLOOKUP(Ruimtestaat[[#This Row],[Ruimte code]],Ruimtegroepen[[#All],[Code]:[Ruimte omschrijving]],2,FALSE)</f>
        <v>Leslokalen</v>
      </c>
      <c r="L205" s="149" t="s">
        <v>100</v>
      </c>
      <c r="M205" s="301" t="s">
        <v>1697</v>
      </c>
      <c r="N205" s="177"/>
      <c r="O205" s="177"/>
      <c r="P205" s="178" t="str">
        <f>VLOOKUP(Ruimtestaat[[#This Row],[Ruimte code]],Ruimtegroepen[],4,FALSE)</f>
        <v>Le</v>
      </c>
      <c r="Q205" s="149"/>
      <c r="R205" s="149"/>
      <c r="S205" s="149">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5" s="149">
        <f>IF(S205&gt;0,VLOOKUP($J205,Ruimtegroepen[],3,FALSE)*VLOOKUP($L205,Vloersoorten[],3,FALSE)*VLOOKUP($R205,Frequenties[],3,FALSE)*VLOOKUP($A205,Locaties[],3,FALSE),0)</f>
        <v>0</v>
      </c>
      <c r="U205" s="149">
        <f>Ruimtestaat[[#This Row],[Uitvoeringen werkdagen]]*Ruimtestaat[[#This Row],[Oppervlak (netto)]]</f>
        <v>0</v>
      </c>
      <c r="V205" s="179">
        <f>IF(T205&gt;0,Ruimtestaat[[#This Row],[Prest. (m2 /jaar) werkdagen]]/Ruimtestaat[[#This Row],[Norm (m2/uur) werkdagen]],0)</f>
        <v>0</v>
      </c>
      <c r="W205" s="180">
        <f>Ruimtestaat[[#This Row],[uren / jaar werkdagen]]*Tariefsopbouw!$E$35</f>
        <v>0</v>
      </c>
      <c r="X205" s="149"/>
      <c r="Y205" s="149">
        <f>IF(Ruimtestaat[[#This Row],[Frequentie weekend]]&gt;0,VALUE(LEFT(X205,1))*Q205,0)</f>
        <v>0</v>
      </c>
      <c r="Z205" s="148">
        <f>IF($Y205&gt;0,VLOOKUP($J205,Ruimtegroepen[],3,FALSE)*VLOOKUP($L205,Vloersoorten[],3,FALSE)*VLOOKUP($X205,Frequenties[],3,FALSE)*VLOOKUP(#REF!,Locaties[],3,FALSE),0)</f>
        <v>0</v>
      </c>
      <c r="AA205" s="148">
        <f>Ruimtestaat[[#This Row],[Uitvoeringen weekend]]*Ruimtestaat[[#This Row],[Oppervlak (netto)]]</f>
        <v>0</v>
      </c>
      <c r="AB205" s="148">
        <f>IF(Z205&gt;0,Ruimtestaat[[#This Row],[Prest. (m2 /jaar) weekend]]/Ruimtestaat[[#This Row],[Norm (m2/uur) weekend]],0)</f>
        <v>0</v>
      </c>
      <c r="AC205" s="180">
        <f>Ruimtestaat[[#This Row],[uren / jaar weekend]]*Tariefsopbouw!$D$40</f>
        <v>0</v>
      </c>
      <c r="AD205" s="179">
        <f>Ruimtestaat[[#This Row],[Prest. (m2 /jaar) weekend]]+Ruimtestaat[[#This Row],[Prest. (m2 /jaar) werkdagen]]</f>
        <v>0</v>
      </c>
      <c r="AE205" s="179">
        <f>Ruimtestaat[[#This Row],[uren / jaar weekend]]+Ruimtestaat[[#This Row],[uren / jaar werkdagen]]</f>
        <v>0</v>
      </c>
      <c r="AF205" s="174">
        <f>Ruimtestaat[[#This Row],[kosten / jaar weekend]]+Ruimtestaat[[#This Row],[kosten / jaar werkdagen]]</f>
        <v>0</v>
      </c>
      <c r="AG205" s="174"/>
      <c r="AH205" s="181" t="str">
        <f>IF(Ruimtestaat[[#This Row],[Frequentie werkdagen]]="","",_xlfn.CONCAT(Ruimtestaat[[#This Row],[Ruimte code]],"-",Ruimtestaat[[#This Row],[Frequentie werkdagen]]," ",Ruimtestaat[[#This Row],[Vloer code]]))</f>
        <v/>
      </c>
      <c r="AI205" s="185" t="str">
        <f>_xlfn.IFNA(VLOOKUP($AH205,Programma!$F$3:$G$1101,2,0),"")</f>
        <v/>
      </c>
      <c r="AJ205" s="185" t="str">
        <f>_xlfn.IFNA(VLOOKUP($AH205,Programma!$F$3:$H$1101,3,0),"")</f>
        <v/>
      </c>
      <c r="AK205" s="185" t="str">
        <f>_xlfn.IFNA(VLOOKUP($AH205,Programma!$F$3:$I$1101,4,0),"")</f>
        <v/>
      </c>
      <c r="AL205" s="185" t="str">
        <f>_xlfn.IFNA(VLOOKUP($AH205,Programma!$F$3:$J$1101,5,0),"")</f>
        <v/>
      </c>
      <c r="AM205" s="185" t="str">
        <f>_xlfn.IFNA(VLOOKUP($AH205,Programma!$F$3:$K$1101,6,0),"")</f>
        <v/>
      </c>
      <c r="AN205" s="185" t="str">
        <f>_xlfn.IFNA(VLOOKUP($AH205,Programma!$F$3:$L$1101,7,0),"")</f>
        <v/>
      </c>
      <c r="AO205" s="185" t="str">
        <f>_xlfn.IFNA(VLOOKUP($AH205,Programma!$F$3:$M$1101,8,0),"")</f>
        <v/>
      </c>
      <c r="AP205" s="185" t="str">
        <f>_xlfn.IFNA(VLOOKUP($AH205,Programma!$F$3:$N$1101,9,0),"")</f>
        <v/>
      </c>
      <c r="AQ205" s="185" t="str">
        <f>_xlfn.IFNA(VLOOKUP($AH205,Programma!$F$3:$O$1101,10,0),"")</f>
        <v/>
      </c>
      <c r="AR205" s="185" t="str">
        <f>_xlfn.IFNA(VLOOKUP($AH205,Programma!$F$3:$P$1101,11,0),"")</f>
        <v/>
      </c>
      <c r="AS205" s="185" t="str">
        <f>_xlfn.IFNA(VLOOKUP($AH205,Programma!$F$3:$Q$1101,12,0),"")</f>
        <v/>
      </c>
      <c r="AT205" s="185" t="str">
        <f>_xlfn.IFNA(VLOOKUP($AH205,Programma!$F$3:$R$1101,13,0),"")</f>
        <v/>
      </c>
      <c r="AU205" s="185" t="str">
        <f>_xlfn.IFNA(VLOOKUP($AH205,Programma!$F$3:$S$1101,14,0),"")</f>
        <v/>
      </c>
      <c r="AV205" s="185" t="str">
        <f>_xlfn.IFNA(VLOOKUP($AH205,Programma!$F$3:$T$1101,15,0),"")</f>
        <v/>
      </c>
      <c r="AW205" s="185" t="str">
        <f>_xlfn.IFNA(VLOOKUP($AH205,Programma!$F$3:$U$1101,16,0),"")</f>
        <v/>
      </c>
      <c r="AX205" s="185" t="str">
        <f>_xlfn.IFNA(VLOOKUP($AH205,Programma!$F$3:$V$1101,17,0),"")</f>
        <v/>
      </c>
      <c r="AY205" s="185" t="str">
        <f>_xlfn.IFNA(VLOOKUP($AH205,Programma!$F$3:$W$1101,18,0),"")</f>
        <v/>
      </c>
      <c r="AZ205" s="185" t="str">
        <f>_xlfn.IFNA(VLOOKUP($AH205,Programma!$F$3:$X$1101,19,0),"")</f>
        <v/>
      </c>
      <c r="BA205" s="185" t="str">
        <f>_xlfn.IFNA(VLOOKUP($AH205,Programma!$F$3:$Y$1101,20,0),"")</f>
        <v/>
      </c>
      <c r="BB205" s="182"/>
      <c r="BC205" s="181" t="str">
        <f>IF(Ruimtestaat[[#This Row],[Frequentie weekend]]="","",_xlfn.CONCAT(Ruimtestaat[[#This Row],[Ruimte code]],"-",Ruimtestaat[[#This Row],[Frequentie weekend]]," ",Ruimtestaat[[#This Row],[Vloer code]]))</f>
        <v/>
      </c>
      <c r="BD205" s="185" t="str">
        <f>_xlfn.IFNA(VLOOKUP($BC205,Programma!$F$3:$G$1101,2,0),"")</f>
        <v/>
      </c>
      <c r="BE205" s="185" t="str">
        <f>_xlfn.IFNA(VLOOKUP($BC205,Programma!$F$3:$H$1101,3,0),"")</f>
        <v/>
      </c>
      <c r="BF205" s="185" t="str">
        <f>_xlfn.IFNA(VLOOKUP($BC205,Programma!$F$3:$I$1101,4,0),"")</f>
        <v/>
      </c>
      <c r="BG205" s="185" t="str">
        <f>_xlfn.IFNA(VLOOKUP($BC205,Programma!$F$3:$J$1101,5,0),"")</f>
        <v/>
      </c>
      <c r="BH205" s="185" t="str">
        <f>_xlfn.IFNA(VLOOKUP($BC205,Programma!$F$3:$K$1101,6,0),"")</f>
        <v/>
      </c>
      <c r="BI205" s="185" t="str">
        <f>_xlfn.IFNA(VLOOKUP($BC205,Programma!$F$3:$L$1101,7,0),"")</f>
        <v/>
      </c>
      <c r="BJ205" s="185" t="str">
        <f>_xlfn.IFNA(VLOOKUP($BC205,Programma!$F$3:$M$1101,8,0),"")</f>
        <v/>
      </c>
      <c r="BK205" s="185" t="str">
        <f>_xlfn.IFNA(VLOOKUP($BC205,Programma!$F$3:$N$1101,9,0),"")</f>
        <v/>
      </c>
      <c r="BL205" s="185" t="str">
        <f>_xlfn.IFNA(VLOOKUP($BC205,Programma!$F$3:$O$1101,10,0),"")</f>
        <v/>
      </c>
      <c r="BM205" s="185" t="str">
        <f>_xlfn.IFNA(VLOOKUP($BC205,Programma!$F$3:$P$1101,11,0),"")</f>
        <v/>
      </c>
      <c r="BN205" s="185" t="str">
        <f>_xlfn.IFNA(VLOOKUP($BC205,Programma!$F$3:$Q$1101,12,0),"")</f>
        <v/>
      </c>
      <c r="BO205" s="185" t="str">
        <f>_xlfn.IFNA(VLOOKUP($BC205,Programma!$F$3:$R$1101,13,0),"")</f>
        <v/>
      </c>
      <c r="BP205" s="185" t="str">
        <f>_xlfn.IFNA(VLOOKUP($BC205,Programma!$F$3:$S$1101,14,0),"")</f>
        <v/>
      </c>
      <c r="BQ205" s="185" t="str">
        <f>_xlfn.IFNA(VLOOKUP($BC205,Programma!$F$3:$T$1101,15,0),"")</f>
        <v/>
      </c>
      <c r="BR205" s="185" t="str">
        <f>_xlfn.IFNA(VLOOKUP($BC205,Programma!$F$3:$U$1101,16,0),"")</f>
        <v/>
      </c>
      <c r="BS205" s="185" t="str">
        <f>_xlfn.IFNA(VLOOKUP($BC205,Programma!$F$3:$V$1101,17,0),"")</f>
        <v/>
      </c>
      <c r="BT205" s="185" t="str">
        <f>_xlfn.IFNA(VLOOKUP($BC205,Programma!$F$3:$W$1101,18,0),"")</f>
        <v/>
      </c>
      <c r="BU205" s="185" t="str">
        <f>_xlfn.IFNA(VLOOKUP($BC205,Programma!$F$3:$X$1101,19,0),"")</f>
        <v/>
      </c>
      <c r="BV205" s="185" t="str">
        <f>_xlfn.IFNA(VLOOKUP($BC205,Programma!$F$3:$Y$1101,20,0),"")</f>
        <v/>
      </c>
      <c r="BW205" s="78"/>
      <c r="BX205" s="78"/>
      <c r="BY205" s="78"/>
      <c r="BZ205" s="78"/>
      <c r="CA205" s="78"/>
      <c r="CB205" s="78"/>
      <c r="CC205" s="78"/>
      <c r="CD205" s="78"/>
      <c r="CE205" s="78"/>
      <c r="CF205" s="78"/>
      <c r="CG205" s="78"/>
      <c r="CH205" s="78"/>
      <c r="CI205" s="78"/>
      <c r="CJ205" s="78"/>
      <c r="CK205" s="78"/>
      <c r="CL205" s="78"/>
      <c r="CM205" s="78"/>
      <c r="CN205" s="78"/>
      <c r="CO205" s="78"/>
      <c r="CP205" s="78"/>
      <c r="CQ205" s="78"/>
      <c r="CR205" s="78"/>
      <c r="CS205" s="78"/>
      <c r="CT205" s="78"/>
      <c r="CU205" s="78"/>
      <c r="CV205" s="78"/>
      <c r="CW205" s="78"/>
      <c r="CX205" s="78"/>
      <c r="CY205" s="78"/>
      <c r="CZ205" s="78"/>
      <c r="DA205" s="78"/>
      <c r="DB205" s="78"/>
      <c r="DC205" s="78"/>
      <c r="DD205" s="78"/>
      <c r="DE205" s="78"/>
      <c r="DF205" s="78"/>
      <c r="DG205" s="78"/>
      <c r="DH205" s="78"/>
      <c r="DI205" s="78"/>
      <c r="DJ205" s="78"/>
      <c r="DK205" s="78"/>
      <c r="DL205" s="78"/>
      <c r="DM205" s="78"/>
      <c r="DN205" s="78"/>
      <c r="DO205" s="78"/>
      <c r="DP205" s="78"/>
      <c r="DQ205" s="78"/>
      <c r="DR205" s="78"/>
      <c r="DS205" s="78"/>
      <c r="DT205" s="78"/>
      <c r="DU205" s="78"/>
      <c r="DV205" s="78"/>
      <c r="DW205" s="78"/>
      <c r="DX205" s="78"/>
      <c r="DY205" s="78"/>
      <c r="DZ205" s="78"/>
      <c r="EA205" s="78"/>
      <c r="EB205" s="78"/>
      <c r="EC205" s="78"/>
      <c r="ED205" s="78"/>
      <c r="EE205" s="78"/>
      <c r="EF205" s="78"/>
      <c r="EG205" s="78"/>
      <c r="EH205" s="78"/>
      <c r="EI205" s="78"/>
      <c r="EJ205" s="78"/>
      <c r="EK205" s="78"/>
      <c r="EL205" s="78"/>
      <c r="EM205" s="78"/>
      <c r="EN205" s="78"/>
      <c r="EO205" s="78"/>
      <c r="EP205" s="78"/>
      <c r="EQ205" s="78"/>
      <c r="ER205" s="78"/>
      <c r="ES205" s="78"/>
      <c r="ET205" s="78"/>
      <c r="EU205" s="78"/>
      <c r="EV205" s="78"/>
      <c r="EW205" s="78"/>
      <c r="EX205" s="78"/>
      <c r="EY205" s="78"/>
      <c r="EZ205" s="78"/>
      <c r="FA205" s="78"/>
      <c r="FB205" s="78"/>
      <c r="FC205" s="78"/>
      <c r="FD205" s="78"/>
      <c r="FE205" s="78"/>
      <c r="FF205" s="78"/>
      <c r="FG205" s="78"/>
      <c r="FH205" s="78"/>
      <c r="FI205" s="78"/>
      <c r="FJ205" s="78"/>
      <c r="FK205" s="78"/>
      <c r="FL205" s="78"/>
      <c r="FM205" s="78"/>
      <c r="FN205" s="78"/>
      <c r="FO205" s="78"/>
      <c r="FP205" s="78"/>
      <c r="FQ205" s="78"/>
      <c r="FR205" s="78"/>
      <c r="FS205" s="78"/>
      <c r="FT205" s="78"/>
      <c r="FU205" s="78"/>
      <c r="FV205" s="78"/>
      <c r="FW205" s="78"/>
      <c r="FX205" s="78"/>
      <c r="FY205" s="78"/>
      <c r="FZ205" s="78"/>
      <c r="GA205" s="78"/>
      <c r="GB205" s="78"/>
      <c r="GC205" s="78"/>
      <c r="GD205" s="78"/>
      <c r="GE205" s="78"/>
      <c r="GF205" s="78"/>
      <c r="GG205" s="78"/>
      <c r="GH205" s="78"/>
      <c r="GI205" s="78"/>
      <c r="GJ205" s="78"/>
      <c r="GK205" s="78"/>
      <c r="GL205" s="78"/>
      <c r="GM205" s="78"/>
      <c r="GN205" s="78"/>
      <c r="GO205" s="78"/>
      <c r="GP205" s="78"/>
      <c r="GQ205" s="78"/>
      <c r="GR205" s="78"/>
      <c r="GS205" s="78"/>
      <c r="GT205" s="78"/>
      <c r="GU205" s="78"/>
      <c r="GV205" s="78"/>
      <c r="GW205" s="78"/>
      <c r="GX205" s="78"/>
      <c r="GY205" s="78"/>
      <c r="GZ205" s="78"/>
      <c r="HA205" s="78"/>
      <c r="HB205" s="78"/>
      <c r="HC205" s="78"/>
      <c r="HD205" s="78"/>
      <c r="HE205" s="78"/>
      <c r="HF205" s="78"/>
      <c r="HG205" s="78"/>
      <c r="HH205" s="78"/>
      <c r="HI205" s="78"/>
      <c r="HJ205" s="78"/>
      <c r="HK205" s="78"/>
    </row>
    <row r="206" spans="1:219" ht="15" customHeight="1">
      <c r="A206" s="149">
        <v>6</v>
      </c>
      <c r="B206" s="176" t="str">
        <f>VLOOKUP(Ruimtestaat[[#This Row],[Code]],Locaties[[Code]:[Locatie]],2,FALSE)</f>
        <v>OBS La Res Noord</v>
      </c>
      <c r="C206" s="176" t="str">
        <f>VLOOKUP(Ruimtestaat[[#This Row],[Code]],Locaties[[#All],[Code]:[Adres]],4,FALSE)</f>
        <v>Schietbaanweg 30</v>
      </c>
      <c r="D206" s="176" t="str">
        <f>VLOOKUP(Ruimtestaat[[#This Row],[Code]],Locaties[[#All],[Code]:[Postcode]],5,FALSE)</f>
        <v>7521 DB</v>
      </c>
      <c r="E206" s="176" t="str">
        <f>VLOOKUP(Ruimtestaat[[#This Row],[Code]],Locaties[#All],6,FALSE)</f>
        <v>Enschede</v>
      </c>
      <c r="F206" s="149"/>
      <c r="G206" s="149"/>
      <c r="H206" s="99" t="s">
        <v>1874</v>
      </c>
      <c r="I206" s="183" t="s">
        <v>1686</v>
      </c>
      <c r="J206" s="99">
        <v>16</v>
      </c>
      <c r="K206" s="183" t="str">
        <f>VLOOKUP(Ruimtestaat[[#This Row],[Ruimte code]],Ruimtegroepen[[#All],[Code]:[Ruimte omschrijving]],2,FALSE)</f>
        <v>Leslokalen</v>
      </c>
      <c r="L206" s="149" t="s">
        <v>100</v>
      </c>
      <c r="M206" s="301" t="s">
        <v>1697</v>
      </c>
      <c r="N206" s="177">
        <v>49.9</v>
      </c>
      <c r="O206" s="177"/>
      <c r="P206" s="178" t="str">
        <f>VLOOKUP(Ruimtestaat[[#This Row],[Ruimte code]],Ruimtegroepen[],4,FALSE)</f>
        <v>Le</v>
      </c>
      <c r="Q206" s="149"/>
      <c r="R206" s="149"/>
      <c r="S206" s="149">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6" s="149">
        <f>IF(S206&gt;0,VLOOKUP($J206,Ruimtegroepen[],3,FALSE)*VLOOKUP($L206,Vloersoorten[],3,FALSE)*VLOOKUP($R206,Frequenties[],3,FALSE)*VLOOKUP($A206,Locaties[],3,FALSE),0)</f>
        <v>0</v>
      </c>
      <c r="U206" s="149">
        <f>Ruimtestaat[[#This Row],[Uitvoeringen werkdagen]]*Ruimtestaat[[#This Row],[Oppervlak (netto)]]</f>
        <v>0</v>
      </c>
      <c r="V206" s="179">
        <f>IF(T206&gt;0,Ruimtestaat[[#This Row],[Prest. (m2 /jaar) werkdagen]]/Ruimtestaat[[#This Row],[Norm (m2/uur) werkdagen]],0)</f>
        <v>0</v>
      </c>
      <c r="W206" s="180">
        <f>Ruimtestaat[[#This Row],[uren / jaar werkdagen]]*Tariefsopbouw!$E$35</f>
        <v>0</v>
      </c>
      <c r="X206" s="149"/>
      <c r="Y206" s="149">
        <f>IF(Ruimtestaat[[#This Row],[Frequentie weekend]]&gt;0,VALUE(LEFT(X206,1))*Q206,0)</f>
        <v>0</v>
      </c>
      <c r="Z206" s="148">
        <f>IF($Y206&gt;0,VLOOKUP($J206,Ruimtegroepen[],3,FALSE)*VLOOKUP($L206,Vloersoorten[],3,FALSE)*VLOOKUP($X206,Frequenties[],3,FALSE)*VLOOKUP(#REF!,Locaties[],3,FALSE),0)</f>
        <v>0</v>
      </c>
      <c r="AA206" s="148">
        <f>Ruimtestaat[[#This Row],[Uitvoeringen weekend]]*Ruimtestaat[[#This Row],[Oppervlak (netto)]]</f>
        <v>0</v>
      </c>
      <c r="AB206" s="148">
        <f>IF(Z206&gt;0,Ruimtestaat[[#This Row],[Prest. (m2 /jaar) weekend]]/Ruimtestaat[[#This Row],[Norm (m2/uur) weekend]],0)</f>
        <v>0</v>
      </c>
      <c r="AC206" s="180">
        <f>Ruimtestaat[[#This Row],[uren / jaar weekend]]*Tariefsopbouw!$D$40</f>
        <v>0</v>
      </c>
      <c r="AD206" s="179">
        <f>Ruimtestaat[[#This Row],[Prest. (m2 /jaar) weekend]]+Ruimtestaat[[#This Row],[Prest. (m2 /jaar) werkdagen]]</f>
        <v>0</v>
      </c>
      <c r="AE206" s="179">
        <f>Ruimtestaat[[#This Row],[uren / jaar weekend]]+Ruimtestaat[[#This Row],[uren / jaar werkdagen]]</f>
        <v>0</v>
      </c>
      <c r="AF206" s="174">
        <f>Ruimtestaat[[#This Row],[kosten / jaar weekend]]+Ruimtestaat[[#This Row],[kosten / jaar werkdagen]]</f>
        <v>0</v>
      </c>
      <c r="AG206" s="174"/>
      <c r="AH206" s="181" t="str">
        <f>IF(Ruimtestaat[[#This Row],[Frequentie werkdagen]]="","",_xlfn.CONCAT(Ruimtestaat[[#This Row],[Ruimte code]],"-",Ruimtestaat[[#This Row],[Frequentie werkdagen]]," ",Ruimtestaat[[#This Row],[Vloer code]]))</f>
        <v/>
      </c>
      <c r="AI206" s="185" t="str">
        <f>_xlfn.IFNA(VLOOKUP($AH206,Programma!$F$3:$G$1101,2,0),"")</f>
        <v/>
      </c>
      <c r="AJ206" s="185" t="str">
        <f>_xlfn.IFNA(VLOOKUP($AH206,Programma!$F$3:$H$1101,3,0),"")</f>
        <v/>
      </c>
      <c r="AK206" s="185" t="str">
        <f>_xlfn.IFNA(VLOOKUP($AH206,Programma!$F$3:$I$1101,4,0),"")</f>
        <v/>
      </c>
      <c r="AL206" s="185" t="str">
        <f>_xlfn.IFNA(VLOOKUP($AH206,Programma!$F$3:$J$1101,5,0),"")</f>
        <v/>
      </c>
      <c r="AM206" s="185" t="str">
        <f>_xlfn.IFNA(VLOOKUP($AH206,Programma!$F$3:$K$1101,6,0),"")</f>
        <v/>
      </c>
      <c r="AN206" s="185" t="str">
        <f>_xlfn.IFNA(VLOOKUP($AH206,Programma!$F$3:$L$1101,7,0),"")</f>
        <v/>
      </c>
      <c r="AO206" s="185" t="str">
        <f>_xlfn.IFNA(VLOOKUP($AH206,Programma!$F$3:$M$1101,8,0),"")</f>
        <v/>
      </c>
      <c r="AP206" s="185" t="str">
        <f>_xlfn.IFNA(VLOOKUP($AH206,Programma!$F$3:$N$1101,9,0),"")</f>
        <v/>
      </c>
      <c r="AQ206" s="185" t="str">
        <f>_xlfn.IFNA(VLOOKUP($AH206,Programma!$F$3:$O$1101,10,0),"")</f>
        <v/>
      </c>
      <c r="AR206" s="185" t="str">
        <f>_xlfn.IFNA(VLOOKUP($AH206,Programma!$F$3:$P$1101,11,0),"")</f>
        <v/>
      </c>
      <c r="AS206" s="185" t="str">
        <f>_xlfn.IFNA(VLOOKUP($AH206,Programma!$F$3:$Q$1101,12,0),"")</f>
        <v/>
      </c>
      <c r="AT206" s="185" t="str">
        <f>_xlfn.IFNA(VLOOKUP($AH206,Programma!$F$3:$R$1101,13,0),"")</f>
        <v/>
      </c>
      <c r="AU206" s="185" t="str">
        <f>_xlfn.IFNA(VLOOKUP($AH206,Programma!$F$3:$S$1101,14,0),"")</f>
        <v/>
      </c>
      <c r="AV206" s="185" t="str">
        <f>_xlfn.IFNA(VLOOKUP($AH206,Programma!$F$3:$T$1101,15,0),"")</f>
        <v/>
      </c>
      <c r="AW206" s="185" t="str">
        <f>_xlfn.IFNA(VLOOKUP($AH206,Programma!$F$3:$U$1101,16,0),"")</f>
        <v/>
      </c>
      <c r="AX206" s="185" t="str">
        <f>_xlfn.IFNA(VLOOKUP($AH206,Programma!$F$3:$V$1101,17,0),"")</f>
        <v/>
      </c>
      <c r="AY206" s="185" t="str">
        <f>_xlfn.IFNA(VLOOKUP($AH206,Programma!$F$3:$W$1101,18,0),"")</f>
        <v/>
      </c>
      <c r="AZ206" s="185" t="str">
        <f>_xlfn.IFNA(VLOOKUP($AH206,Programma!$F$3:$X$1101,19,0),"")</f>
        <v/>
      </c>
      <c r="BA206" s="185" t="str">
        <f>_xlfn.IFNA(VLOOKUP($AH206,Programma!$F$3:$Y$1101,20,0),"")</f>
        <v/>
      </c>
      <c r="BB206" s="182"/>
      <c r="BC206" s="181" t="str">
        <f>IF(Ruimtestaat[[#This Row],[Frequentie weekend]]="","",_xlfn.CONCAT(Ruimtestaat[[#This Row],[Ruimte code]],"-",Ruimtestaat[[#This Row],[Frequentie weekend]]," ",Ruimtestaat[[#This Row],[Vloer code]]))</f>
        <v/>
      </c>
      <c r="BD206" s="185" t="str">
        <f>_xlfn.IFNA(VLOOKUP($BC206,Programma!$F$3:$G$1101,2,0),"")</f>
        <v/>
      </c>
      <c r="BE206" s="185" t="str">
        <f>_xlfn.IFNA(VLOOKUP($BC206,Programma!$F$3:$H$1101,3,0),"")</f>
        <v/>
      </c>
      <c r="BF206" s="185" t="str">
        <f>_xlfn.IFNA(VLOOKUP($BC206,Programma!$F$3:$I$1101,4,0),"")</f>
        <v/>
      </c>
      <c r="BG206" s="185" t="str">
        <f>_xlfn.IFNA(VLOOKUP($BC206,Programma!$F$3:$J$1101,5,0),"")</f>
        <v/>
      </c>
      <c r="BH206" s="185" t="str">
        <f>_xlfn.IFNA(VLOOKUP($BC206,Programma!$F$3:$K$1101,6,0),"")</f>
        <v/>
      </c>
      <c r="BI206" s="185" t="str">
        <f>_xlfn.IFNA(VLOOKUP($BC206,Programma!$F$3:$L$1101,7,0),"")</f>
        <v/>
      </c>
      <c r="BJ206" s="185" t="str">
        <f>_xlfn.IFNA(VLOOKUP($BC206,Programma!$F$3:$M$1101,8,0),"")</f>
        <v/>
      </c>
      <c r="BK206" s="185" t="str">
        <f>_xlfn.IFNA(VLOOKUP($BC206,Programma!$F$3:$N$1101,9,0),"")</f>
        <v/>
      </c>
      <c r="BL206" s="185" t="str">
        <f>_xlfn.IFNA(VLOOKUP($BC206,Programma!$F$3:$O$1101,10,0),"")</f>
        <v/>
      </c>
      <c r="BM206" s="185" t="str">
        <f>_xlfn.IFNA(VLOOKUP($BC206,Programma!$F$3:$P$1101,11,0),"")</f>
        <v/>
      </c>
      <c r="BN206" s="185" t="str">
        <f>_xlfn.IFNA(VLOOKUP($BC206,Programma!$F$3:$Q$1101,12,0),"")</f>
        <v/>
      </c>
      <c r="BO206" s="185" t="str">
        <f>_xlfn.IFNA(VLOOKUP($BC206,Programma!$F$3:$R$1101,13,0),"")</f>
        <v/>
      </c>
      <c r="BP206" s="185" t="str">
        <f>_xlfn.IFNA(VLOOKUP($BC206,Programma!$F$3:$S$1101,14,0),"")</f>
        <v/>
      </c>
      <c r="BQ206" s="185" t="str">
        <f>_xlfn.IFNA(VLOOKUP($BC206,Programma!$F$3:$T$1101,15,0),"")</f>
        <v/>
      </c>
      <c r="BR206" s="185" t="str">
        <f>_xlfn.IFNA(VLOOKUP($BC206,Programma!$F$3:$U$1101,16,0),"")</f>
        <v/>
      </c>
      <c r="BS206" s="185" t="str">
        <f>_xlfn.IFNA(VLOOKUP($BC206,Programma!$F$3:$V$1101,17,0),"")</f>
        <v/>
      </c>
      <c r="BT206" s="185" t="str">
        <f>_xlfn.IFNA(VLOOKUP($BC206,Programma!$F$3:$W$1101,18,0),"")</f>
        <v/>
      </c>
      <c r="BU206" s="185" t="str">
        <f>_xlfn.IFNA(VLOOKUP($BC206,Programma!$F$3:$X$1101,19,0),"")</f>
        <v/>
      </c>
      <c r="BV206" s="185" t="str">
        <f>_xlfn.IFNA(VLOOKUP($BC206,Programma!$F$3:$Y$1101,20,0),"")</f>
        <v/>
      </c>
      <c r="BW206" s="78"/>
      <c r="BX206" s="78"/>
      <c r="BY206" s="78"/>
      <c r="BZ206" s="78"/>
      <c r="CA206" s="78"/>
      <c r="CB206" s="78"/>
      <c r="CC206" s="78"/>
      <c r="CD206" s="78"/>
      <c r="CE206" s="78"/>
      <c r="CF206" s="78"/>
      <c r="CG206" s="78"/>
      <c r="CH206" s="78"/>
      <c r="CI206" s="78"/>
      <c r="CJ206" s="78"/>
      <c r="CK206" s="78"/>
      <c r="CL206" s="78"/>
      <c r="CM206" s="78"/>
      <c r="CN206" s="78"/>
      <c r="CO206" s="78"/>
      <c r="CP206" s="78"/>
      <c r="CQ206" s="78"/>
      <c r="CR206" s="78"/>
      <c r="CS206" s="78"/>
      <c r="CT206" s="78"/>
      <c r="CU206" s="78"/>
      <c r="CV206" s="78"/>
      <c r="CW206" s="78"/>
      <c r="CX206" s="78"/>
      <c r="CY206" s="78"/>
      <c r="CZ206" s="78"/>
      <c r="DA206" s="78"/>
      <c r="DB206" s="78"/>
      <c r="DC206" s="78"/>
      <c r="DD206" s="78"/>
      <c r="DE206" s="78"/>
      <c r="DF206" s="78"/>
      <c r="DG206" s="78"/>
      <c r="DH206" s="78"/>
      <c r="DI206" s="78"/>
      <c r="DJ206" s="78"/>
      <c r="DK206" s="78"/>
      <c r="DL206" s="78"/>
      <c r="DM206" s="78"/>
      <c r="DN206" s="78"/>
      <c r="DO206" s="78"/>
      <c r="DP206" s="78"/>
      <c r="DQ206" s="78"/>
      <c r="DR206" s="78"/>
      <c r="DS206" s="78"/>
      <c r="DT206" s="78"/>
      <c r="DU206" s="78"/>
      <c r="DV206" s="78"/>
      <c r="DW206" s="78"/>
      <c r="DX206" s="78"/>
      <c r="DY206" s="78"/>
      <c r="DZ206" s="78"/>
      <c r="EA206" s="78"/>
      <c r="EB206" s="78"/>
      <c r="EC206" s="78"/>
      <c r="ED206" s="78"/>
      <c r="EE206" s="78"/>
      <c r="EF206" s="78"/>
      <c r="EG206" s="78"/>
      <c r="EH206" s="78"/>
      <c r="EI206" s="78"/>
      <c r="EJ206" s="78"/>
      <c r="EK206" s="78"/>
      <c r="EL206" s="78"/>
      <c r="EM206" s="78"/>
      <c r="EN206" s="78"/>
      <c r="EO206" s="78"/>
      <c r="EP206" s="78"/>
      <c r="EQ206" s="78"/>
      <c r="ER206" s="78"/>
      <c r="ES206" s="78"/>
      <c r="ET206" s="78"/>
      <c r="EU206" s="78"/>
      <c r="EV206" s="78"/>
      <c r="EW206" s="78"/>
      <c r="EX206" s="78"/>
      <c r="EY206" s="78"/>
      <c r="EZ206" s="78"/>
      <c r="FA206" s="78"/>
      <c r="FB206" s="78"/>
      <c r="FC206" s="78"/>
      <c r="FD206" s="78"/>
      <c r="FE206" s="78"/>
      <c r="FF206" s="78"/>
      <c r="FG206" s="78"/>
      <c r="FH206" s="78"/>
      <c r="FI206" s="78"/>
      <c r="FJ206" s="78"/>
      <c r="FK206" s="78"/>
      <c r="FL206" s="78"/>
      <c r="FM206" s="78"/>
      <c r="FN206" s="78"/>
      <c r="FO206" s="78"/>
      <c r="FP206" s="78"/>
      <c r="FQ206" s="78"/>
      <c r="FR206" s="78"/>
      <c r="FS206" s="78"/>
      <c r="FT206" s="78"/>
      <c r="FU206" s="78"/>
      <c r="FV206" s="78"/>
      <c r="FW206" s="78"/>
      <c r="FX206" s="78"/>
      <c r="FY206" s="78"/>
      <c r="FZ206" s="78"/>
      <c r="GA206" s="78"/>
      <c r="GB206" s="78"/>
      <c r="GC206" s="78"/>
      <c r="GD206" s="78"/>
      <c r="GE206" s="78"/>
      <c r="GF206" s="78"/>
      <c r="GG206" s="78"/>
      <c r="GH206" s="78"/>
      <c r="GI206" s="78"/>
      <c r="GJ206" s="78"/>
      <c r="GK206" s="78"/>
      <c r="GL206" s="78"/>
      <c r="GM206" s="78"/>
      <c r="GN206" s="78"/>
      <c r="GO206" s="78"/>
      <c r="GP206" s="78"/>
      <c r="GQ206" s="78"/>
      <c r="GR206" s="78"/>
      <c r="GS206" s="78"/>
      <c r="GT206" s="78"/>
      <c r="GU206" s="78"/>
      <c r="GV206" s="78"/>
      <c r="GW206" s="78"/>
      <c r="GX206" s="78"/>
      <c r="GY206" s="78"/>
      <c r="GZ206" s="78"/>
      <c r="HA206" s="78"/>
      <c r="HB206" s="78"/>
      <c r="HC206" s="78"/>
      <c r="HD206" s="78"/>
      <c r="HE206" s="78"/>
      <c r="HF206" s="78"/>
      <c r="HG206" s="78"/>
      <c r="HH206" s="78"/>
      <c r="HI206" s="78"/>
      <c r="HJ206" s="78"/>
      <c r="HK206" s="78"/>
    </row>
    <row r="207" spans="1:219" ht="15" customHeight="1">
      <c r="A207" s="149">
        <v>6</v>
      </c>
      <c r="B207" s="176" t="str">
        <f>VLOOKUP(Ruimtestaat[[#This Row],[Code]],Locaties[[Code]:[Locatie]],2,FALSE)</f>
        <v>OBS La Res Noord</v>
      </c>
      <c r="C207" s="176" t="str">
        <f>VLOOKUP(Ruimtestaat[[#This Row],[Code]],Locaties[[#All],[Code]:[Adres]],4,FALSE)</f>
        <v>Schietbaanweg 30</v>
      </c>
      <c r="D207" s="176" t="str">
        <f>VLOOKUP(Ruimtestaat[[#This Row],[Code]],Locaties[[#All],[Code]:[Postcode]],5,FALSE)</f>
        <v>7521 DB</v>
      </c>
      <c r="E207" s="176" t="str">
        <f>VLOOKUP(Ruimtestaat[[#This Row],[Code]],Locaties[#All],6,FALSE)</f>
        <v>Enschede</v>
      </c>
      <c r="F207" s="149"/>
      <c r="G207" s="149"/>
      <c r="H207" s="99" t="s">
        <v>1875</v>
      </c>
      <c r="I207" s="183" t="s">
        <v>1686</v>
      </c>
      <c r="J207" s="99">
        <v>16</v>
      </c>
      <c r="K207" s="183" t="str">
        <f>VLOOKUP(Ruimtestaat[[#This Row],[Ruimte code]],Ruimtegroepen[[#All],[Code]:[Ruimte omschrijving]],2,FALSE)</f>
        <v>Leslokalen</v>
      </c>
      <c r="L207" s="149" t="s">
        <v>100</v>
      </c>
      <c r="M207" s="301" t="s">
        <v>1697</v>
      </c>
      <c r="N207" s="177">
        <v>49.9</v>
      </c>
      <c r="O207" s="177"/>
      <c r="P207" s="178" t="str">
        <f>VLOOKUP(Ruimtestaat[[#This Row],[Ruimte code]],Ruimtegroepen[],4,FALSE)</f>
        <v>Le</v>
      </c>
      <c r="Q207" s="149"/>
      <c r="R207" s="149"/>
      <c r="S207" s="149">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7" s="149">
        <f>IF(S207&gt;0,VLOOKUP($J207,Ruimtegroepen[],3,FALSE)*VLOOKUP($L207,Vloersoorten[],3,FALSE)*VLOOKUP($R207,Frequenties[],3,FALSE)*VLOOKUP($A207,Locaties[],3,FALSE),0)</f>
        <v>0</v>
      </c>
      <c r="U207" s="149">
        <f>Ruimtestaat[[#This Row],[Uitvoeringen werkdagen]]*Ruimtestaat[[#This Row],[Oppervlak (netto)]]</f>
        <v>0</v>
      </c>
      <c r="V207" s="179">
        <f>IF(T207&gt;0,Ruimtestaat[[#This Row],[Prest. (m2 /jaar) werkdagen]]/Ruimtestaat[[#This Row],[Norm (m2/uur) werkdagen]],0)</f>
        <v>0</v>
      </c>
      <c r="W207" s="180">
        <f>Ruimtestaat[[#This Row],[uren / jaar werkdagen]]*Tariefsopbouw!$E$35</f>
        <v>0</v>
      </c>
      <c r="X207" s="149"/>
      <c r="Y207" s="149">
        <f>IF(Ruimtestaat[[#This Row],[Frequentie weekend]]&gt;0,VALUE(LEFT(X207,1))*Q207,0)</f>
        <v>0</v>
      </c>
      <c r="Z207" s="148">
        <f>IF($Y207&gt;0,VLOOKUP($J207,Ruimtegroepen[],3,FALSE)*VLOOKUP($L207,Vloersoorten[],3,FALSE)*VLOOKUP($X207,Frequenties[],3,FALSE)*VLOOKUP(#REF!,Locaties[],3,FALSE),0)</f>
        <v>0</v>
      </c>
      <c r="AA207" s="148">
        <f>Ruimtestaat[[#This Row],[Uitvoeringen weekend]]*Ruimtestaat[[#This Row],[Oppervlak (netto)]]</f>
        <v>0</v>
      </c>
      <c r="AB207" s="148">
        <f>IF(Z207&gt;0,Ruimtestaat[[#This Row],[Prest. (m2 /jaar) weekend]]/Ruimtestaat[[#This Row],[Norm (m2/uur) weekend]],0)</f>
        <v>0</v>
      </c>
      <c r="AC207" s="180">
        <f>Ruimtestaat[[#This Row],[uren / jaar weekend]]*Tariefsopbouw!$D$40</f>
        <v>0</v>
      </c>
      <c r="AD207" s="179">
        <f>Ruimtestaat[[#This Row],[Prest. (m2 /jaar) weekend]]+Ruimtestaat[[#This Row],[Prest. (m2 /jaar) werkdagen]]</f>
        <v>0</v>
      </c>
      <c r="AE207" s="179">
        <f>Ruimtestaat[[#This Row],[uren / jaar weekend]]+Ruimtestaat[[#This Row],[uren / jaar werkdagen]]</f>
        <v>0</v>
      </c>
      <c r="AF207" s="174">
        <f>Ruimtestaat[[#This Row],[kosten / jaar weekend]]+Ruimtestaat[[#This Row],[kosten / jaar werkdagen]]</f>
        <v>0</v>
      </c>
      <c r="AG207" s="174"/>
      <c r="AH207" s="181" t="str">
        <f>IF(Ruimtestaat[[#This Row],[Frequentie werkdagen]]="","",_xlfn.CONCAT(Ruimtestaat[[#This Row],[Ruimte code]],"-",Ruimtestaat[[#This Row],[Frequentie werkdagen]]," ",Ruimtestaat[[#This Row],[Vloer code]]))</f>
        <v/>
      </c>
      <c r="AI207" s="185" t="str">
        <f>_xlfn.IFNA(VLOOKUP($AH207,Programma!$F$3:$G$1101,2,0),"")</f>
        <v/>
      </c>
      <c r="AJ207" s="185" t="str">
        <f>_xlfn.IFNA(VLOOKUP($AH207,Programma!$F$3:$H$1101,3,0),"")</f>
        <v/>
      </c>
      <c r="AK207" s="185" t="str">
        <f>_xlfn.IFNA(VLOOKUP($AH207,Programma!$F$3:$I$1101,4,0),"")</f>
        <v/>
      </c>
      <c r="AL207" s="185" t="str">
        <f>_xlfn.IFNA(VLOOKUP($AH207,Programma!$F$3:$J$1101,5,0),"")</f>
        <v/>
      </c>
      <c r="AM207" s="185" t="str">
        <f>_xlfn.IFNA(VLOOKUP($AH207,Programma!$F$3:$K$1101,6,0),"")</f>
        <v/>
      </c>
      <c r="AN207" s="185" t="str">
        <f>_xlfn.IFNA(VLOOKUP($AH207,Programma!$F$3:$L$1101,7,0),"")</f>
        <v/>
      </c>
      <c r="AO207" s="185" t="str">
        <f>_xlfn.IFNA(VLOOKUP($AH207,Programma!$F$3:$M$1101,8,0),"")</f>
        <v/>
      </c>
      <c r="AP207" s="185" t="str">
        <f>_xlfn.IFNA(VLOOKUP($AH207,Programma!$F$3:$N$1101,9,0),"")</f>
        <v/>
      </c>
      <c r="AQ207" s="185" t="str">
        <f>_xlfn.IFNA(VLOOKUP($AH207,Programma!$F$3:$O$1101,10,0),"")</f>
        <v/>
      </c>
      <c r="AR207" s="185" t="str">
        <f>_xlfn.IFNA(VLOOKUP($AH207,Programma!$F$3:$P$1101,11,0),"")</f>
        <v/>
      </c>
      <c r="AS207" s="185" t="str">
        <f>_xlfn.IFNA(VLOOKUP($AH207,Programma!$F$3:$Q$1101,12,0),"")</f>
        <v/>
      </c>
      <c r="AT207" s="185" t="str">
        <f>_xlfn.IFNA(VLOOKUP($AH207,Programma!$F$3:$R$1101,13,0),"")</f>
        <v/>
      </c>
      <c r="AU207" s="185" t="str">
        <f>_xlfn.IFNA(VLOOKUP($AH207,Programma!$F$3:$S$1101,14,0),"")</f>
        <v/>
      </c>
      <c r="AV207" s="185" t="str">
        <f>_xlfn.IFNA(VLOOKUP($AH207,Programma!$F$3:$T$1101,15,0),"")</f>
        <v/>
      </c>
      <c r="AW207" s="185" t="str">
        <f>_xlfn.IFNA(VLOOKUP($AH207,Programma!$F$3:$U$1101,16,0),"")</f>
        <v/>
      </c>
      <c r="AX207" s="185" t="str">
        <f>_xlfn.IFNA(VLOOKUP($AH207,Programma!$F$3:$V$1101,17,0),"")</f>
        <v/>
      </c>
      <c r="AY207" s="185" t="str">
        <f>_xlfn.IFNA(VLOOKUP($AH207,Programma!$F$3:$W$1101,18,0),"")</f>
        <v/>
      </c>
      <c r="AZ207" s="185" t="str">
        <f>_xlfn.IFNA(VLOOKUP($AH207,Programma!$F$3:$X$1101,19,0),"")</f>
        <v/>
      </c>
      <c r="BA207" s="185" t="str">
        <f>_xlfn.IFNA(VLOOKUP($AH207,Programma!$F$3:$Y$1101,20,0),"")</f>
        <v/>
      </c>
      <c r="BB207" s="182"/>
      <c r="BC207" s="181" t="str">
        <f>IF(Ruimtestaat[[#This Row],[Frequentie weekend]]="","",_xlfn.CONCAT(Ruimtestaat[[#This Row],[Ruimte code]],"-",Ruimtestaat[[#This Row],[Frequentie weekend]]," ",Ruimtestaat[[#This Row],[Vloer code]]))</f>
        <v/>
      </c>
      <c r="BD207" s="185" t="str">
        <f>_xlfn.IFNA(VLOOKUP($BC207,Programma!$F$3:$G$1101,2,0),"")</f>
        <v/>
      </c>
      <c r="BE207" s="185" t="str">
        <f>_xlfn.IFNA(VLOOKUP($BC207,Programma!$F$3:$H$1101,3,0),"")</f>
        <v/>
      </c>
      <c r="BF207" s="185" t="str">
        <f>_xlfn.IFNA(VLOOKUP($BC207,Programma!$F$3:$I$1101,4,0),"")</f>
        <v/>
      </c>
      <c r="BG207" s="185" t="str">
        <f>_xlfn.IFNA(VLOOKUP($BC207,Programma!$F$3:$J$1101,5,0),"")</f>
        <v/>
      </c>
      <c r="BH207" s="185" t="str">
        <f>_xlfn.IFNA(VLOOKUP($BC207,Programma!$F$3:$K$1101,6,0),"")</f>
        <v/>
      </c>
      <c r="BI207" s="185" t="str">
        <f>_xlfn.IFNA(VLOOKUP($BC207,Programma!$F$3:$L$1101,7,0),"")</f>
        <v/>
      </c>
      <c r="BJ207" s="185" t="str">
        <f>_xlfn.IFNA(VLOOKUP($BC207,Programma!$F$3:$M$1101,8,0),"")</f>
        <v/>
      </c>
      <c r="BK207" s="185" t="str">
        <f>_xlfn.IFNA(VLOOKUP($BC207,Programma!$F$3:$N$1101,9,0),"")</f>
        <v/>
      </c>
      <c r="BL207" s="185" t="str">
        <f>_xlfn.IFNA(VLOOKUP($BC207,Programma!$F$3:$O$1101,10,0),"")</f>
        <v/>
      </c>
      <c r="BM207" s="185" t="str">
        <f>_xlfn.IFNA(VLOOKUP($BC207,Programma!$F$3:$P$1101,11,0),"")</f>
        <v/>
      </c>
      <c r="BN207" s="185" t="str">
        <f>_xlfn.IFNA(VLOOKUP($BC207,Programma!$F$3:$Q$1101,12,0),"")</f>
        <v/>
      </c>
      <c r="BO207" s="185" t="str">
        <f>_xlfn.IFNA(VLOOKUP($BC207,Programma!$F$3:$R$1101,13,0),"")</f>
        <v/>
      </c>
      <c r="BP207" s="185" t="str">
        <f>_xlfn.IFNA(VLOOKUP($BC207,Programma!$F$3:$S$1101,14,0),"")</f>
        <v/>
      </c>
      <c r="BQ207" s="185" t="str">
        <f>_xlfn.IFNA(VLOOKUP($BC207,Programma!$F$3:$T$1101,15,0),"")</f>
        <v/>
      </c>
      <c r="BR207" s="185" t="str">
        <f>_xlfn.IFNA(VLOOKUP($BC207,Programma!$F$3:$U$1101,16,0),"")</f>
        <v/>
      </c>
      <c r="BS207" s="185" t="str">
        <f>_xlfn.IFNA(VLOOKUP($BC207,Programma!$F$3:$V$1101,17,0),"")</f>
        <v/>
      </c>
      <c r="BT207" s="185" t="str">
        <f>_xlfn.IFNA(VLOOKUP($BC207,Programma!$F$3:$W$1101,18,0),"")</f>
        <v/>
      </c>
      <c r="BU207" s="185" t="str">
        <f>_xlfn.IFNA(VLOOKUP($BC207,Programma!$F$3:$X$1101,19,0),"")</f>
        <v/>
      </c>
      <c r="BV207" s="185" t="str">
        <f>_xlfn.IFNA(VLOOKUP($BC207,Programma!$F$3:$Y$1101,20,0),"")</f>
        <v/>
      </c>
      <c r="BW207" s="78"/>
      <c r="BX207" s="78"/>
      <c r="BY207" s="78"/>
      <c r="BZ207" s="78"/>
      <c r="CA207" s="78"/>
      <c r="CB207" s="78"/>
      <c r="CC207" s="78"/>
      <c r="CD207" s="78"/>
      <c r="CE207" s="78"/>
      <c r="CF207" s="78"/>
      <c r="CG207" s="78"/>
      <c r="CH207" s="78"/>
      <c r="CI207" s="78"/>
      <c r="CJ207" s="78"/>
      <c r="CK207" s="78"/>
      <c r="CL207" s="78"/>
      <c r="CM207" s="78"/>
      <c r="CN207" s="78"/>
      <c r="CO207" s="78"/>
      <c r="CP207" s="78"/>
      <c r="CQ207" s="78"/>
      <c r="CR207" s="78"/>
      <c r="CS207" s="78"/>
      <c r="CT207" s="78"/>
      <c r="CU207" s="78"/>
      <c r="CV207" s="78"/>
      <c r="CW207" s="78"/>
      <c r="CX207" s="78"/>
      <c r="CY207" s="78"/>
      <c r="CZ207" s="78"/>
      <c r="DA207" s="78"/>
      <c r="DB207" s="78"/>
      <c r="DC207" s="78"/>
      <c r="DD207" s="78"/>
      <c r="DE207" s="78"/>
      <c r="DF207" s="78"/>
      <c r="DG207" s="78"/>
      <c r="DH207" s="78"/>
      <c r="DI207" s="78"/>
      <c r="DJ207" s="78"/>
      <c r="DK207" s="78"/>
      <c r="DL207" s="78"/>
      <c r="DM207" s="78"/>
      <c r="DN207" s="78"/>
      <c r="DO207" s="78"/>
      <c r="DP207" s="78"/>
      <c r="DQ207" s="78"/>
      <c r="DR207" s="78"/>
      <c r="DS207" s="78"/>
      <c r="DT207" s="78"/>
      <c r="DU207" s="78"/>
      <c r="DV207" s="78"/>
      <c r="DW207" s="78"/>
      <c r="DX207" s="78"/>
      <c r="DY207" s="78"/>
      <c r="DZ207" s="78"/>
      <c r="EA207" s="78"/>
      <c r="EB207" s="78"/>
      <c r="EC207" s="78"/>
      <c r="ED207" s="78"/>
      <c r="EE207" s="78"/>
      <c r="EF207" s="78"/>
      <c r="EG207" s="78"/>
      <c r="EH207" s="78"/>
      <c r="EI207" s="78"/>
      <c r="EJ207" s="78"/>
      <c r="EK207" s="78"/>
      <c r="EL207" s="78"/>
      <c r="EM207" s="78"/>
      <c r="EN207" s="78"/>
      <c r="EO207" s="78"/>
      <c r="EP207" s="78"/>
      <c r="EQ207" s="78"/>
      <c r="ER207" s="78"/>
      <c r="ES207" s="78"/>
      <c r="ET207" s="78"/>
      <c r="EU207" s="78"/>
      <c r="EV207" s="78"/>
      <c r="EW207" s="78"/>
      <c r="EX207" s="78"/>
      <c r="EY207" s="78"/>
      <c r="EZ207" s="78"/>
      <c r="FA207" s="78"/>
      <c r="FB207" s="78"/>
      <c r="FC207" s="78"/>
      <c r="FD207" s="78"/>
      <c r="FE207" s="78"/>
      <c r="FF207" s="78"/>
      <c r="FG207" s="78"/>
      <c r="FH207" s="78"/>
      <c r="FI207" s="78"/>
      <c r="FJ207" s="78"/>
      <c r="FK207" s="78"/>
      <c r="FL207" s="78"/>
      <c r="FM207" s="78"/>
      <c r="FN207" s="78"/>
      <c r="FO207" s="78"/>
      <c r="FP207" s="78"/>
      <c r="FQ207" s="78"/>
      <c r="FR207" s="78"/>
      <c r="FS207" s="78"/>
      <c r="FT207" s="78"/>
      <c r="FU207" s="78"/>
      <c r="FV207" s="78"/>
      <c r="FW207" s="78"/>
      <c r="FX207" s="78"/>
      <c r="FY207" s="78"/>
      <c r="FZ207" s="78"/>
      <c r="GA207" s="78"/>
      <c r="GB207" s="78"/>
      <c r="GC207" s="78"/>
      <c r="GD207" s="78"/>
      <c r="GE207" s="78"/>
      <c r="GF207" s="78"/>
      <c r="GG207" s="78"/>
      <c r="GH207" s="78"/>
      <c r="GI207" s="78"/>
      <c r="GJ207" s="78"/>
      <c r="GK207" s="78"/>
      <c r="GL207" s="78"/>
      <c r="GM207" s="78"/>
      <c r="GN207" s="78"/>
      <c r="GO207" s="78"/>
      <c r="GP207" s="78"/>
      <c r="GQ207" s="78"/>
      <c r="GR207" s="78"/>
      <c r="GS207" s="78"/>
      <c r="GT207" s="78"/>
      <c r="GU207" s="78"/>
      <c r="GV207" s="78"/>
      <c r="GW207" s="78"/>
      <c r="GX207" s="78"/>
      <c r="GY207" s="78"/>
      <c r="GZ207" s="78"/>
      <c r="HA207" s="78"/>
      <c r="HB207" s="78"/>
      <c r="HC207" s="78"/>
      <c r="HD207" s="78"/>
      <c r="HE207" s="78"/>
      <c r="HF207" s="78"/>
      <c r="HG207" s="78"/>
      <c r="HH207" s="78"/>
      <c r="HI207" s="78"/>
      <c r="HJ207" s="78"/>
      <c r="HK207" s="78"/>
    </row>
    <row r="208" spans="1:219" ht="15" customHeight="1">
      <c r="A208" s="149">
        <v>6</v>
      </c>
      <c r="B208" s="176" t="str">
        <f>VLOOKUP(Ruimtestaat[[#This Row],[Code]],Locaties[[Code]:[Locatie]],2,FALSE)</f>
        <v>OBS La Res Noord</v>
      </c>
      <c r="C208" s="176" t="str">
        <f>VLOOKUP(Ruimtestaat[[#This Row],[Code]],Locaties[[#All],[Code]:[Adres]],4,FALSE)</f>
        <v>Schietbaanweg 30</v>
      </c>
      <c r="D208" s="176" t="str">
        <f>VLOOKUP(Ruimtestaat[[#This Row],[Code]],Locaties[[#All],[Code]:[Postcode]],5,FALSE)</f>
        <v>7521 DB</v>
      </c>
      <c r="E208" s="176" t="str">
        <f>VLOOKUP(Ruimtestaat[[#This Row],[Code]],Locaties[#All],6,FALSE)</f>
        <v>Enschede</v>
      </c>
      <c r="F208" s="149"/>
      <c r="G208" s="149"/>
      <c r="H208" s="99" t="s">
        <v>1876</v>
      </c>
      <c r="I208" s="183" t="s">
        <v>1686</v>
      </c>
      <c r="J208" s="99">
        <v>16</v>
      </c>
      <c r="K208" s="183" t="str">
        <f>VLOOKUP(Ruimtestaat[[#This Row],[Ruimte code]],Ruimtegroepen[[#All],[Code]:[Ruimte omschrijving]],2,FALSE)</f>
        <v>Leslokalen</v>
      </c>
      <c r="L208" s="149" t="s">
        <v>100</v>
      </c>
      <c r="M208" s="301" t="s">
        <v>1697</v>
      </c>
      <c r="N208" s="177">
        <v>49.9</v>
      </c>
      <c r="O208" s="177"/>
      <c r="P208" s="178" t="str">
        <f>VLOOKUP(Ruimtestaat[[#This Row],[Ruimte code]],Ruimtegroepen[],4,FALSE)</f>
        <v>Le</v>
      </c>
      <c r="Q208" s="149"/>
      <c r="R208" s="149"/>
      <c r="S208" s="149">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8" s="149">
        <f>IF(S208&gt;0,VLOOKUP($J208,Ruimtegroepen[],3,FALSE)*VLOOKUP($L208,Vloersoorten[],3,FALSE)*VLOOKUP($R208,Frequenties[],3,FALSE)*VLOOKUP($A208,Locaties[],3,FALSE),0)</f>
        <v>0</v>
      </c>
      <c r="U208" s="149">
        <f>Ruimtestaat[[#This Row],[Uitvoeringen werkdagen]]*Ruimtestaat[[#This Row],[Oppervlak (netto)]]</f>
        <v>0</v>
      </c>
      <c r="V208" s="179">
        <f>IF(T208&gt;0,Ruimtestaat[[#This Row],[Prest. (m2 /jaar) werkdagen]]/Ruimtestaat[[#This Row],[Norm (m2/uur) werkdagen]],0)</f>
        <v>0</v>
      </c>
      <c r="W208" s="180">
        <f>Ruimtestaat[[#This Row],[uren / jaar werkdagen]]*Tariefsopbouw!$E$35</f>
        <v>0</v>
      </c>
      <c r="X208" s="149"/>
      <c r="Y208" s="149">
        <f>IF(Ruimtestaat[[#This Row],[Frequentie weekend]]&gt;0,VALUE(LEFT(X208,1))*Q208,0)</f>
        <v>0</v>
      </c>
      <c r="Z208" s="148">
        <f>IF($Y208&gt;0,VLOOKUP($J208,Ruimtegroepen[],3,FALSE)*VLOOKUP($L208,Vloersoorten[],3,FALSE)*VLOOKUP($X208,Frequenties[],3,FALSE)*VLOOKUP(#REF!,Locaties[],3,FALSE),0)</f>
        <v>0</v>
      </c>
      <c r="AA208" s="148">
        <f>Ruimtestaat[[#This Row],[Uitvoeringen weekend]]*Ruimtestaat[[#This Row],[Oppervlak (netto)]]</f>
        <v>0</v>
      </c>
      <c r="AB208" s="148">
        <f>IF(Z208&gt;0,Ruimtestaat[[#This Row],[Prest. (m2 /jaar) weekend]]/Ruimtestaat[[#This Row],[Norm (m2/uur) weekend]],0)</f>
        <v>0</v>
      </c>
      <c r="AC208" s="180">
        <f>Ruimtestaat[[#This Row],[uren / jaar weekend]]*Tariefsopbouw!$D$40</f>
        <v>0</v>
      </c>
      <c r="AD208" s="179">
        <f>Ruimtestaat[[#This Row],[Prest. (m2 /jaar) weekend]]+Ruimtestaat[[#This Row],[Prest. (m2 /jaar) werkdagen]]</f>
        <v>0</v>
      </c>
      <c r="AE208" s="179">
        <f>Ruimtestaat[[#This Row],[uren / jaar weekend]]+Ruimtestaat[[#This Row],[uren / jaar werkdagen]]</f>
        <v>0</v>
      </c>
      <c r="AF208" s="174">
        <f>Ruimtestaat[[#This Row],[kosten / jaar weekend]]+Ruimtestaat[[#This Row],[kosten / jaar werkdagen]]</f>
        <v>0</v>
      </c>
      <c r="AG208" s="174"/>
      <c r="AH208" s="181" t="str">
        <f>IF(Ruimtestaat[[#This Row],[Frequentie werkdagen]]="","",_xlfn.CONCAT(Ruimtestaat[[#This Row],[Ruimte code]],"-",Ruimtestaat[[#This Row],[Frequentie werkdagen]]," ",Ruimtestaat[[#This Row],[Vloer code]]))</f>
        <v/>
      </c>
      <c r="AI208" s="185" t="str">
        <f>_xlfn.IFNA(VLOOKUP($AH208,Programma!$F$3:$G$1101,2,0),"")</f>
        <v/>
      </c>
      <c r="AJ208" s="185" t="str">
        <f>_xlfn.IFNA(VLOOKUP($AH208,Programma!$F$3:$H$1101,3,0),"")</f>
        <v/>
      </c>
      <c r="AK208" s="185" t="str">
        <f>_xlfn.IFNA(VLOOKUP($AH208,Programma!$F$3:$I$1101,4,0),"")</f>
        <v/>
      </c>
      <c r="AL208" s="185" t="str">
        <f>_xlfn.IFNA(VLOOKUP($AH208,Programma!$F$3:$J$1101,5,0),"")</f>
        <v/>
      </c>
      <c r="AM208" s="185" t="str">
        <f>_xlfn.IFNA(VLOOKUP($AH208,Programma!$F$3:$K$1101,6,0),"")</f>
        <v/>
      </c>
      <c r="AN208" s="185" t="str">
        <f>_xlfn.IFNA(VLOOKUP($AH208,Programma!$F$3:$L$1101,7,0),"")</f>
        <v/>
      </c>
      <c r="AO208" s="185" t="str">
        <f>_xlfn.IFNA(VLOOKUP($AH208,Programma!$F$3:$M$1101,8,0),"")</f>
        <v/>
      </c>
      <c r="AP208" s="185" t="str">
        <f>_xlfn.IFNA(VLOOKUP($AH208,Programma!$F$3:$N$1101,9,0),"")</f>
        <v/>
      </c>
      <c r="AQ208" s="185" t="str">
        <f>_xlfn.IFNA(VLOOKUP($AH208,Programma!$F$3:$O$1101,10,0),"")</f>
        <v/>
      </c>
      <c r="AR208" s="185" t="str">
        <f>_xlfn.IFNA(VLOOKUP($AH208,Programma!$F$3:$P$1101,11,0),"")</f>
        <v/>
      </c>
      <c r="AS208" s="185" t="str">
        <f>_xlfn.IFNA(VLOOKUP($AH208,Programma!$F$3:$Q$1101,12,0),"")</f>
        <v/>
      </c>
      <c r="AT208" s="185" t="str">
        <f>_xlfn.IFNA(VLOOKUP($AH208,Programma!$F$3:$R$1101,13,0),"")</f>
        <v/>
      </c>
      <c r="AU208" s="185" t="str">
        <f>_xlfn.IFNA(VLOOKUP($AH208,Programma!$F$3:$S$1101,14,0),"")</f>
        <v/>
      </c>
      <c r="AV208" s="185" t="str">
        <f>_xlfn.IFNA(VLOOKUP($AH208,Programma!$F$3:$T$1101,15,0),"")</f>
        <v/>
      </c>
      <c r="AW208" s="185" t="str">
        <f>_xlfn.IFNA(VLOOKUP($AH208,Programma!$F$3:$U$1101,16,0),"")</f>
        <v/>
      </c>
      <c r="AX208" s="185" t="str">
        <f>_xlfn.IFNA(VLOOKUP($AH208,Programma!$F$3:$V$1101,17,0),"")</f>
        <v/>
      </c>
      <c r="AY208" s="185" t="str">
        <f>_xlfn.IFNA(VLOOKUP($AH208,Programma!$F$3:$W$1101,18,0),"")</f>
        <v/>
      </c>
      <c r="AZ208" s="185" t="str">
        <f>_xlfn.IFNA(VLOOKUP($AH208,Programma!$F$3:$X$1101,19,0),"")</f>
        <v/>
      </c>
      <c r="BA208" s="185" t="str">
        <f>_xlfn.IFNA(VLOOKUP($AH208,Programma!$F$3:$Y$1101,20,0),"")</f>
        <v/>
      </c>
      <c r="BB208" s="182"/>
      <c r="BC208" s="181" t="str">
        <f>IF(Ruimtestaat[[#This Row],[Frequentie weekend]]="","",_xlfn.CONCAT(Ruimtestaat[[#This Row],[Ruimte code]],"-",Ruimtestaat[[#This Row],[Frequentie weekend]]," ",Ruimtestaat[[#This Row],[Vloer code]]))</f>
        <v/>
      </c>
      <c r="BD208" s="185" t="str">
        <f>_xlfn.IFNA(VLOOKUP($BC208,Programma!$F$3:$G$1101,2,0),"")</f>
        <v/>
      </c>
      <c r="BE208" s="185" t="str">
        <f>_xlfn.IFNA(VLOOKUP($BC208,Programma!$F$3:$H$1101,3,0),"")</f>
        <v/>
      </c>
      <c r="BF208" s="185" t="str">
        <f>_xlfn.IFNA(VLOOKUP($BC208,Programma!$F$3:$I$1101,4,0),"")</f>
        <v/>
      </c>
      <c r="BG208" s="185" t="str">
        <f>_xlfn.IFNA(VLOOKUP($BC208,Programma!$F$3:$J$1101,5,0),"")</f>
        <v/>
      </c>
      <c r="BH208" s="185" t="str">
        <f>_xlfn.IFNA(VLOOKUP($BC208,Programma!$F$3:$K$1101,6,0),"")</f>
        <v/>
      </c>
      <c r="BI208" s="185" t="str">
        <f>_xlfn.IFNA(VLOOKUP($BC208,Programma!$F$3:$L$1101,7,0),"")</f>
        <v/>
      </c>
      <c r="BJ208" s="185" t="str">
        <f>_xlfn.IFNA(VLOOKUP($BC208,Programma!$F$3:$M$1101,8,0),"")</f>
        <v/>
      </c>
      <c r="BK208" s="185" t="str">
        <f>_xlfn.IFNA(VLOOKUP($BC208,Programma!$F$3:$N$1101,9,0),"")</f>
        <v/>
      </c>
      <c r="BL208" s="185" t="str">
        <f>_xlfn.IFNA(VLOOKUP($BC208,Programma!$F$3:$O$1101,10,0),"")</f>
        <v/>
      </c>
      <c r="BM208" s="185" t="str">
        <f>_xlfn.IFNA(VLOOKUP($BC208,Programma!$F$3:$P$1101,11,0),"")</f>
        <v/>
      </c>
      <c r="BN208" s="185" t="str">
        <f>_xlfn.IFNA(VLOOKUP($BC208,Programma!$F$3:$Q$1101,12,0),"")</f>
        <v/>
      </c>
      <c r="BO208" s="185" t="str">
        <f>_xlfn.IFNA(VLOOKUP($BC208,Programma!$F$3:$R$1101,13,0),"")</f>
        <v/>
      </c>
      <c r="BP208" s="185" t="str">
        <f>_xlfn.IFNA(VLOOKUP($BC208,Programma!$F$3:$S$1101,14,0),"")</f>
        <v/>
      </c>
      <c r="BQ208" s="185" t="str">
        <f>_xlfn.IFNA(VLOOKUP($BC208,Programma!$F$3:$T$1101,15,0),"")</f>
        <v/>
      </c>
      <c r="BR208" s="185" t="str">
        <f>_xlfn.IFNA(VLOOKUP($BC208,Programma!$F$3:$U$1101,16,0),"")</f>
        <v/>
      </c>
      <c r="BS208" s="185" t="str">
        <f>_xlfn.IFNA(VLOOKUP($BC208,Programma!$F$3:$V$1101,17,0),"")</f>
        <v/>
      </c>
      <c r="BT208" s="185" t="str">
        <f>_xlfn.IFNA(VLOOKUP($BC208,Programma!$F$3:$W$1101,18,0),"")</f>
        <v/>
      </c>
      <c r="BU208" s="185" t="str">
        <f>_xlfn.IFNA(VLOOKUP($BC208,Programma!$F$3:$X$1101,19,0),"")</f>
        <v/>
      </c>
      <c r="BV208" s="185" t="str">
        <f>_xlfn.IFNA(VLOOKUP($BC208,Programma!$F$3:$Y$1101,20,0),"")</f>
        <v/>
      </c>
      <c r="BW208" s="78"/>
      <c r="BX208" s="78"/>
      <c r="BY208" s="78"/>
      <c r="BZ208" s="78"/>
      <c r="CA208" s="78"/>
      <c r="CB208" s="78"/>
      <c r="CC208" s="78"/>
      <c r="CD208" s="78"/>
      <c r="CE208" s="78"/>
      <c r="CF208" s="78"/>
      <c r="CG208" s="78"/>
      <c r="CH208" s="78"/>
      <c r="CI208" s="78"/>
      <c r="CJ208" s="78"/>
      <c r="CK208" s="78"/>
      <c r="CL208" s="78"/>
      <c r="CM208" s="78"/>
      <c r="CN208" s="78"/>
      <c r="CO208" s="78"/>
      <c r="CP208" s="78"/>
      <c r="CQ208" s="78"/>
      <c r="CR208" s="78"/>
      <c r="CS208" s="78"/>
      <c r="CT208" s="78"/>
      <c r="CU208" s="78"/>
      <c r="CV208" s="78"/>
      <c r="CW208" s="78"/>
      <c r="CX208" s="78"/>
      <c r="CY208" s="78"/>
      <c r="CZ208" s="78"/>
      <c r="DA208" s="78"/>
      <c r="DB208" s="78"/>
      <c r="DC208" s="78"/>
      <c r="DD208" s="78"/>
      <c r="DE208" s="78"/>
      <c r="DF208" s="78"/>
      <c r="DG208" s="78"/>
      <c r="DH208" s="78"/>
      <c r="DI208" s="78"/>
      <c r="DJ208" s="78"/>
      <c r="DK208" s="78"/>
      <c r="DL208" s="78"/>
      <c r="DM208" s="78"/>
      <c r="DN208" s="78"/>
      <c r="DO208" s="78"/>
      <c r="DP208" s="78"/>
      <c r="DQ208" s="78"/>
      <c r="DR208" s="78"/>
      <c r="DS208" s="78"/>
      <c r="DT208" s="78"/>
      <c r="DU208" s="78"/>
      <c r="DV208" s="78"/>
      <c r="DW208" s="78"/>
      <c r="DX208" s="78"/>
      <c r="DY208" s="78"/>
      <c r="DZ208" s="78"/>
      <c r="EA208" s="78"/>
      <c r="EB208" s="78"/>
      <c r="EC208" s="78"/>
      <c r="ED208" s="78"/>
      <c r="EE208" s="78"/>
      <c r="EF208" s="78"/>
      <c r="EG208" s="78"/>
      <c r="EH208" s="78"/>
      <c r="EI208" s="78"/>
      <c r="EJ208" s="78"/>
      <c r="EK208" s="78"/>
      <c r="EL208" s="78"/>
      <c r="EM208" s="78"/>
      <c r="EN208" s="78"/>
      <c r="EO208" s="78"/>
      <c r="EP208" s="78"/>
      <c r="EQ208" s="78"/>
      <c r="ER208" s="78"/>
      <c r="ES208" s="78"/>
      <c r="ET208" s="78"/>
      <c r="EU208" s="78"/>
      <c r="EV208" s="78"/>
      <c r="EW208" s="78"/>
      <c r="EX208" s="78"/>
      <c r="EY208" s="78"/>
      <c r="EZ208" s="78"/>
      <c r="FA208" s="78"/>
      <c r="FB208" s="78"/>
      <c r="FC208" s="78"/>
      <c r="FD208" s="78"/>
      <c r="FE208" s="78"/>
      <c r="FF208" s="78"/>
      <c r="FG208" s="78"/>
      <c r="FH208" s="78"/>
      <c r="FI208" s="78"/>
      <c r="FJ208" s="78"/>
      <c r="FK208" s="78"/>
      <c r="FL208" s="78"/>
      <c r="FM208" s="78"/>
      <c r="FN208" s="78"/>
      <c r="FO208" s="78"/>
      <c r="FP208" s="78"/>
      <c r="FQ208" s="78"/>
      <c r="FR208" s="78"/>
      <c r="FS208" s="78"/>
      <c r="FT208" s="78"/>
      <c r="FU208" s="78"/>
      <c r="FV208" s="78"/>
      <c r="FW208" s="78"/>
      <c r="FX208" s="78"/>
      <c r="FY208" s="78"/>
      <c r="FZ208" s="78"/>
      <c r="GA208" s="78"/>
      <c r="GB208" s="78"/>
      <c r="GC208" s="78"/>
      <c r="GD208" s="78"/>
      <c r="GE208" s="78"/>
      <c r="GF208" s="78"/>
      <c r="GG208" s="78"/>
      <c r="GH208" s="78"/>
      <c r="GI208" s="78"/>
      <c r="GJ208" s="78"/>
      <c r="GK208" s="78"/>
      <c r="GL208" s="78"/>
      <c r="GM208" s="78"/>
      <c r="GN208" s="78"/>
      <c r="GO208" s="78"/>
      <c r="GP208" s="78"/>
      <c r="GQ208" s="78"/>
      <c r="GR208" s="78"/>
      <c r="GS208" s="78"/>
      <c r="GT208" s="78"/>
      <c r="GU208" s="78"/>
      <c r="GV208" s="78"/>
      <c r="GW208" s="78"/>
      <c r="GX208" s="78"/>
      <c r="GY208" s="78"/>
      <c r="GZ208" s="78"/>
      <c r="HA208" s="78"/>
      <c r="HB208" s="78"/>
      <c r="HC208" s="78"/>
      <c r="HD208" s="78"/>
      <c r="HE208" s="78"/>
      <c r="HF208" s="78"/>
      <c r="HG208" s="78"/>
      <c r="HH208" s="78"/>
      <c r="HI208" s="78"/>
      <c r="HJ208" s="78"/>
      <c r="HK208" s="78"/>
    </row>
    <row r="209" spans="1:219" ht="15" customHeight="1">
      <c r="A209" s="149">
        <v>6</v>
      </c>
      <c r="B209" s="176" t="str">
        <f>VLOOKUP(Ruimtestaat[[#This Row],[Code]],Locaties[[Code]:[Locatie]],2,FALSE)</f>
        <v>OBS La Res Noord</v>
      </c>
      <c r="C209" s="176" t="str">
        <f>VLOOKUP(Ruimtestaat[[#This Row],[Code]],Locaties[[#All],[Code]:[Adres]],4,FALSE)</f>
        <v>Schietbaanweg 30</v>
      </c>
      <c r="D209" s="176" t="str">
        <f>VLOOKUP(Ruimtestaat[[#This Row],[Code]],Locaties[[#All],[Code]:[Postcode]],5,FALSE)</f>
        <v>7521 DB</v>
      </c>
      <c r="E209" s="176" t="str">
        <f>VLOOKUP(Ruimtestaat[[#This Row],[Code]],Locaties[#All],6,FALSE)</f>
        <v>Enschede</v>
      </c>
      <c r="F209" s="149"/>
      <c r="G209" s="149"/>
      <c r="H209" s="99" t="s">
        <v>1877</v>
      </c>
      <c r="I209" s="183" t="s">
        <v>1702</v>
      </c>
      <c r="J209" s="99">
        <v>10</v>
      </c>
      <c r="K209" s="183" t="str">
        <f>VLOOKUP(Ruimtestaat[[#This Row],[Ruimte code]],Ruimtegroepen[[#All],[Code]:[Ruimte omschrijving]],2,FALSE)</f>
        <v>Trappenhuizen/lift</v>
      </c>
      <c r="L209" s="149" t="s">
        <v>101</v>
      </c>
      <c r="M209" s="301" t="s">
        <v>1698</v>
      </c>
      <c r="N209" s="177">
        <v>14.3</v>
      </c>
      <c r="O209" s="177"/>
      <c r="P209" s="178" t="str">
        <f>VLOOKUP(Ruimtestaat[[#This Row],[Ruimte code]],Ruimtegroepen[],4,FALSE)</f>
        <v>Ve</v>
      </c>
      <c r="Q209" s="149"/>
      <c r="R209" s="149"/>
      <c r="S209" s="149">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09" s="149">
        <f>IF(S209&gt;0,VLOOKUP($J209,Ruimtegroepen[],3,FALSE)*VLOOKUP($L209,Vloersoorten[],3,FALSE)*VLOOKUP($R209,Frequenties[],3,FALSE)*VLOOKUP($A209,Locaties[],3,FALSE),0)</f>
        <v>0</v>
      </c>
      <c r="U209" s="149">
        <f>Ruimtestaat[[#This Row],[Uitvoeringen werkdagen]]*Ruimtestaat[[#This Row],[Oppervlak (netto)]]</f>
        <v>0</v>
      </c>
      <c r="V209" s="179">
        <f>IF(T209&gt;0,Ruimtestaat[[#This Row],[Prest. (m2 /jaar) werkdagen]]/Ruimtestaat[[#This Row],[Norm (m2/uur) werkdagen]],0)</f>
        <v>0</v>
      </c>
      <c r="W209" s="180">
        <f>Ruimtestaat[[#This Row],[uren / jaar werkdagen]]*Tariefsopbouw!$E$35</f>
        <v>0</v>
      </c>
      <c r="X209" s="149"/>
      <c r="Y209" s="149">
        <f>IF(Ruimtestaat[[#This Row],[Frequentie weekend]]&gt;0,VALUE(LEFT(X209,1))*Q209,0)</f>
        <v>0</v>
      </c>
      <c r="Z209" s="148">
        <f>IF($Y209&gt;0,VLOOKUP($J209,Ruimtegroepen[],3,FALSE)*VLOOKUP($L209,Vloersoorten[],3,FALSE)*VLOOKUP($X209,Frequenties[],3,FALSE)*VLOOKUP(#REF!,Locaties[],3,FALSE),0)</f>
        <v>0</v>
      </c>
      <c r="AA209" s="148">
        <f>Ruimtestaat[[#This Row],[Uitvoeringen weekend]]*Ruimtestaat[[#This Row],[Oppervlak (netto)]]</f>
        <v>0</v>
      </c>
      <c r="AB209" s="148">
        <f>IF(Z209&gt;0,Ruimtestaat[[#This Row],[Prest. (m2 /jaar) weekend]]/Ruimtestaat[[#This Row],[Norm (m2/uur) weekend]],0)</f>
        <v>0</v>
      </c>
      <c r="AC209" s="180">
        <f>Ruimtestaat[[#This Row],[uren / jaar weekend]]*Tariefsopbouw!$D$40</f>
        <v>0</v>
      </c>
      <c r="AD209" s="179">
        <f>Ruimtestaat[[#This Row],[Prest. (m2 /jaar) weekend]]+Ruimtestaat[[#This Row],[Prest. (m2 /jaar) werkdagen]]</f>
        <v>0</v>
      </c>
      <c r="AE209" s="179">
        <f>Ruimtestaat[[#This Row],[uren / jaar weekend]]+Ruimtestaat[[#This Row],[uren / jaar werkdagen]]</f>
        <v>0</v>
      </c>
      <c r="AF209" s="174">
        <f>Ruimtestaat[[#This Row],[kosten / jaar weekend]]+Ruimtestaat[[#This Row],[kosten / jaar werkdagen]]</f>
        <v>0</v>
      </c>
      <c r="AG209" s="174"/>
      <c r="AH209" s="181" t="str">
        <f>IF(Ruimtestaat[[#This Row],[Frequentie werkdagen]]="","",_xlfn.CONCAT(Ruimtestaat[[#This Row],[Ruimte code]],"-",Ruimtestaat[[#This Row],[Frequentie werkdagen]]," ",Ruimtestaat[[#This Row],[Vloer code]]))</f>
        <v/>
      </c>
      <c r="AI209" s="185" t="str">
        <f>_xlfn.IFNA(VLOOKUP($AH209,Programma!$F$3:$G$1101,2,0),"")</f>
        <v/>
      </c>
      <c r="AJ209" s="185" t="str">
        <f>_xlfn.IFNA(VLOOKUP($AH209,Programma!$F$3:$H$1101,3,0),"")</f>
        <v/>
      </c>
      <c r="AK209" s="185" t="str">
        <f>_xlfn.IFNA(VLOOKUP($AH209,Programma!$F$3:$I$1101,4,0),"")</f>
        <v/>
      </c>
      <c r="AL209" s="185" t="str">
        <f>_xlfn.IFNA(VLOOKUP($AH209,Programma!$F$3:$J$1101,5,0),"")</f>
        <v/>
      </c>
      <c r="AM209" s="185" t="str">
        <f>_xlfn.IFNA(VLOOKUP($AH209,Programma!$F$3:$K$1101,6,0),"")</f>
        <v/>
      </c>
      <c r="AN209" s="185" t="str">
        <f>_xlfn.IFNA(VLOOKUP($AH209,Programma!$F$3:$L$1101,7,0),"")</f>
        <v/>
      </c>
      <c r="AO209" s="185" t="str">
        <f>_xlfn.IFNA(VLOOKUP($AH209,Programma!$F$3:$M$1101,8,0),"")</f>
        <v/>
      </c>
      <c r="AP209" s="185" t="str">
        <f>_xlfn.IFNA(VLOOKUP($AH209,Programma!$F$3:$N$1101,9,0),"")</f>
        <v/>
      </c>
      <c r="AQ209" s="185" t="str">
        <f>_xlfn.IFNA(VLOOKUP($AH209,Programma!$F$3:$O$1101,10,0),"")</f>
        <v/>
      </c>
      <c r="AR209" s="185" t="str">
        <f>_xlfn.IFNA(VLOOKUP($AH209,Programma!$F$3:$P$1101,11,0),"")</f>
        <v/>
      </c>
      <c r="AS209" s="185" t="str">
        <f>_xlfn.IFNA(VLOOKUP($AH209,Programma!$F$3:$Q$1101,12,0),"")</f>
        <v/>
      </c>
      <c r="AT209" s="185" t="str">
        <f>_xlfn.IFNA(VLOOKUP($AH209,Programma!$F$3:$R$1101,13,0),"")</f>
        <v/>
      </c>
      <c r="AU209" s="185" t="str">
        <f>_xlfn.IFNA(VLOOKUP($AH209,Programma!$F$3:$S$1101,14,0),"")</f>
        <v/>
      </c>
      <c r="AV209" s="185" t="str">
        <f>_xlfn.IFNA(VLOOKUP($AH209,Programma!$F$3:$T$1101,15,0),"")</f>
        <v/>
      </c>
      <c r="AW209" s="185" t="str">
        <f>_xlfn.IFNA(VLOOKUP($AH209,Programma!$F$3:$U$1101,16,0),"")</f>
        <v/>
      </c>
      <c r="AX209" s="185" t="str">
        <f>_xlfn.IFNA(VLOOKUP($AH209,Programma!$F$3:$V$1101,17,0),"")</f>
        <v/>
      </c>
      <c r="AY209" s="185" t="str">
        <f>_xlfn.IFNA(VLOOKUP($AH209,Programma!$F$3:$W$1101,18,0),"")</f>
        <v/>
      </c>
      <c r="AZ209" s="185" t="str">
        <f>_xlfn.IFNA(VLOOKUP($AH209,Programma!$F$3:$X$1101,19,0),"")</f>
        <v/>
      </c>
      <c r="BA209" s="185" t="str">
        <f>_xlfn.IFNA(VLOOKUP($AH209,Programma!$F$3:$Y$1101,20,0),"")</f>
        <v/>
      </c>
      <c r="BB209" s="182"/>
      <c r="BC209" s="181" t="str">
        <f>IF(Ruimtestaat[[#This Row],[Frequentie weekend]]="","",_xlfn.CONCAT(Ruimtestaat[[#This Row],[Ruimte code]],"-",Ruimtestaat[[#This Row],[Frequentie weekend]]," ",Ruimtestaat[[#This Row],[Vloer code]]))</f>
        <v/>
      </c>
      <c r="BD209" s="185" t="str">
        <f>_xlfn.IFNA(VLOOKUP($BC209,Programma!$F$3:$G$1101,2,0),"")</f>
        <v/>
      </c>
      <c r="BE209" s="185" t="str">
        <f>_xlfn.IFNA(VLOOKUP($BC209,Programma!$F$3:$H$1101,3,0),"")</f>
        <v/>
      </c>
      <c r="BF209" s="185" t="str">
        <f>_xlfn.IFNA(VLOOKUP($BC209,Programma!$F$3:$I$1101,4,0),"")</f>
        <v/>
      </c>
      <c r="BG209" s="185" t="str">
        <f>_xlfn.IFNA(VLOOKUP($BC209,Programma!$F$3:$J$1101,5,0),"")</f>
        <v/>
      </c>
      <c r="BH209" s="185" t="str">
        <f>_xlfn.IFNA(VLOOKUP($BC209,Programma!$F$3:$K$1101,6,0),"")</f>
        <v/>
      </c>
      <c r="BI209" s="185" t="str">
        <f>_xlfn.IFNA(VLOOKUP($BC209,Programma!$F$3:$L$1101,7,0),"")</f>
        <v/>
      </c>
      <c r="BJ209" s="185" t="str">
        <f>_xlfn.IFNA(VLOOKUP($BC209,Programma!$F$3:$M$1101,8,0),"")</f>
        <v/>
      </c>
      <c r="BK209" s="185" t="str">
        <f>_xlfn.IFNA(VLOOKUP($BC209,Programma!$F$3:$N$1101,9,0),"")</f>
        <v/>
      </c>
      <c r="BL209" s="185" t="str">
        <f>_xlfn.IFNA(VLOOKUP($BC209,Programma!$F$3:$O$1101,10,0),"")</f>
        <v/>
      </c>
      <c r="BM209" s="185" t="str">
        <f>_xlfn.IFNA(VLOOKUP($BC209,Programma!$F$3:$P$1101,11,0),"")</f>
        <v/>
      </c>
      <c r="BN209" s="185" t="str">
        <f>_xlfn.IFNA(VLOOKUP($BC209,Programma!$F$3:$Q$1101,12,0),"")</f>
        <v/>
      </c>
      <c r="BO209" s="185" t="str">
        <f>_xlfn.IFNA(VLOOKUP($BC209,Programma!$F$3:$R$1101,13,0),"")</f>
        <v/>
      </c>
      <c r="BP209" s="185" t="str">
        <f>_xlfn.IFNA(VLOOKUP($BC209,Programma!$F$3:$S$1101,14,0),"")</f>
        <v/>
      </c>
      <c r="BQ209" s="185" t="str">
        <f>_xlfn.IFNA(VLOOKUP($BC209,Programma!$F$3:$T$1101,15,0),"")</f>
        <v/>
      </c>
      <c r="BR209" s="185" t="str">
        <f>_xlfn.IFNA(VLOOKUP($BC209,Programma!$F$3:$U$1101,16,0),"")</f>
        <v/>
      </c>
      <c r="BS209" s="185" t="str">
        <f>_xlfn.IFNA(VLOOKUP($BC209,Programma!$F$3:$V$1101,17,0),"")</f>
        <v/>
      </c>
      <c r="BT209" s="185" t="str">
        <f>_xlfn.IFNA(VLOOKUP($BC209,Programma!$F$3:$W$1101,18,0),"")</f>
        <v/>
      </c>
      <c r="BU209" s="185" t="str">
        <f>_xlfn.IFNA(VLOOKUP($BC209,Programma!$F$3:$X$1101,19,0),"")</f>
        <v/>
      </c>
      <c r="BV209" s="185" t="str">
        <f>_xlfn.IFNA(VLOOKUP($BC209,Programma!$F$3:$Y$1101,20,0),"")</f>
        <v/>
      </c>
      <c r="BW209" s="78"/>
      <c r="BX209" s="78"/>
      <c r="BY209" s="78"/>
      <c r="BZ209" s="78"/>
      <c r="CA209" s="78"/>
      <c r="CB209" s="78"/>
      <c r="CC209" s="78"/>
      <c r="CD209" s="78"/>
      <c r="CE209" s="78"/>
      <c r="CF209" s="78"/>
      <c r="CG209" s="78"/>
      <c r="CH209" s="78"/>
      <c r="CI209" s="78"/>
      <c r="CJ209" s="78"/>
      <c r="CK209" s="78"/>
      <c r="CL209" s="78"/>
      <c r="CM209" s="78"/>
      <c r="CN209" s="78"/>
      <c r="CO209" s="78"/>
      <c r="CP209" s="78"/>
      <c r="CQ209" s="78"/>
      <c r="CR209" s="78"/>
      <c r="CS209" s="78"/>
      <c r="CT209" s="78"/>
      <c r="CU209" s="78"/>
      <c r="CV209" s="78"/>
      <c r="CW209" s="78"/>
      <c r="CX209" s="78"/>
      <c r="CY209" s="78"/>
      <c r="CZ209" s="78"/>
      <c r="DA209" s="78"/>
      <c r="DB209" s="78"/>
      <c r="DC209" s="78"/>
      <c r="DD209" s="78"/>
      <c r="DE209" s="78"/>
      <c r="DF209" s="78"/>
      <c r="DG209" s="78"/>
      <c r="DH209" s="78"/>
      <c r="DI209" s="78"/>
      <c r="DJ209" s="78"/>
      <c r="DK209" s="78"/>
      <c r="DL209" s="78"/>
      <c r="DM209" s="78"/>
      <c r="DN209" s="78"/>
      <c r="DO209" s="78"/>
      <c r="DP209" s="78"/>
      <c r="DQ209" s="78"/>
      <c r="DR209" s="78"/>
      <c r="DS209" s="78"/>
      <c r="DT209" s="78"/>
      <c r="DU209" s="78"/>
      <c r="DV209" s="78"/>
      <c r="DW209" s="78"/>
      <c r="DX209" s="78"/>
      <c r="DY209" s="78"/>
      <c r="DZ209" s="78"/>
      <c r="EA209" s="78"/>
      <c r="EB209" s="78"/>
      <c r="EC209" s="78"/>
      <c r="ED209" s="78"/>
      <c r="EE209" s="78"/>
      <c r="EF209" s="78"/>
      <c r="EG209" s="78"/>
      <c r="EH209" s="78"/>
      <c r="EI209" s="78"/>
      <c r="EJ209" s="78"/>
      <c r="EK209" s="78"/>
      <c r="EL209" s="78"/>
      <c r="EM209" s="78"/>
      <c r="EN209" s="78"/>
      <c r="EO209" s="78"/>
      <c r="EP209" s="78"/>
      <c r="EQ209" s="78"/>
      <c r="ER209" s="78"/>
      <c r="ES209" s="78"/>
      <c r="ET209" s="78"/>
      <c r="EU209" s="78"/>
      <c r="EV209" s="78"/>
      <c r="EW209" s="78"/>
      <c r="EX209" s="78"/>
      <c r="EY209" s="78"/>
      <c r="EZ209" s="78"/>
      <c r="FA209" s="78"/>
      <c r="FB209" s="78"/>
      <c r="FC209" s="78"/>
      <c r="FD209" s="78"/>
      <c r="FE209" s="78"/>
      <c r="FF209" s="78"/>
      <c r="FG209" s="78"/>
      <c r="FH209" s="78"/>
      <c r="FI209" s="78"/>
      <c r="FJ209" s="78"/>
      <c r="FK209" s="78"/>
      <c r="FL209" s="78"/>
      <c r="FM209" s="78"/>
      <c r="FN209" s="78"/>
      <c r="FO209" s="78"/>
      <c r="FP209" s="78"/>
      <c r="FQ209" s="78"/>
      <c r="FR209" s="78"/>
      <c r="FS209" s="78"/>
      <c r="FT209" s="78"/>
      <c r="FU209" s="78"/>
      <c r="FV209" s="78"/>
      <c r="FW209" s="78"/>
      <c r="FX209" s="78"/>
      <c r="FY209" s="78"/>
      <c r="FZ209" s="78"/>
      <c r="GA209" s="78"/>
      <c r="GB209" s="78"/>
      <c r="GC209" s="78"/>
      <c r="GD209" s="78"/>
      <c r="GE209" s="78"/>
      <c r="GF209" s="78"/>
      <c r="GG209" s="78"/>
      <c r="GH209" s="78"/>
      <c r="GI209" s="78"/>
      <c r="GJ209" s="78"/>
      <c r="GK209" s="78"/>
      <c r="GL209" s="78"/>
      <c r="GM209" s="78"/>
      <c r="GN209" s="78"/>
      <c r="GO209" s="78"/>
      <c r="GP209" s="78"/>
      <c r="GQ209" s="78"/>
      <c r="GR209" s="78"/>
      <c r="GS209" s="78"/>
      <c r="GT209" s="78"/>
      <c r="GU209" s="78"/>
      <c r="GV209" s="78"/>
      <c r="GW209" s="78"/>
      <c r="GX209" s="78"/>
      <c r="GY209" s="78"/>
      <c r="GZ209" s="78"/>
      <c r="HA209" s="78"/>
      <c r="HB209" s="78"/>
      <c r="HC209" s="78"/>
      <c r="HD209" s="78"/>
      <c r="HE209" s="78"/>
      <c r="HF209" s="78"/>
      <c r="HG209" s="78"/>
      <c r="HH209" s="78"/>
      <c r="HI209" s="78"/>
      <c r="HJ209" s="78"/>
      <c r="HK209" s="78"/>
    </row>
    <row r="210" spans="1:219" ht="15" customHeight="1">
      <c r="A210" s="149">
        <v>6</v>
      </c>
      <c r="B210" s="176" t="str">
        <f>VLOOKUP(Ruimtestaat[[#This Row],[Code]],Locaties[[Code]:[Locatie]],2,FALSE)</f>
        <v>OBS La Res Noord</v>
      </c>
      <c r="C210" s="176" t="str">
        <f>VLOOKUP(Ruimtestaat[[#This Row],[Code]],Locaties[[#All],[Code]:[Adres]],4,FALSE)</f>
        <v>Schietbaanweg 30</v>
      </c>
      <c r="D210" s="176" t="str">
        <f>VLOOKUP(Ruimtestaat[[#This Row],[Code]],Locaties[[#All],[Code]:[Postcode]],5,FALSE)</f>
        <v>7521 DB</v>
      </c>
      <c r="E210" s="176" t="str">
        <f>VLOOKUP(Ruimtestaat[[#This Row],[Code]],Locaties[#All],6,FALSE)</f>
        <v>Enschede</v>
      </c>
      <c r="F210" s="149"/>
      <c r="G210" s="149"/>
      <c r="H210" s="99" t="s">
        <v>1878</v>
      </c>
      <c r="I210" s="183" t="s">
        <v>1721</v>
      </c>
      <c r="J210" s="99">
        <v>16</v>
      </c>
      <c r="K210" s="183" t="str">
        <f>VLOOKUP(Ruimtestaat[[#This Row],[Ruimte code]],Ruimtegroepen[[#All],[Code]:[Ruimte omschrijving]],2,FALSE)</f>
        <v>Leslokalen</v>
      </c>
      <c r="L210" s="149" t="s">
        <v>100</v>
      </c>
      <c r="M210" s="301" t="s">
        <v>1697</v>
      </c>
      <c r="N210" s="177">
        <v>57.2</v>
      </c>
      <c r="O210" s="177"/>
      <c r="P210" s="178" t="str">
        <f>VLOOKUP(Ruimtestaat[[#This Row],[Ruimte code]],Ruimtegroepen[],4,FALSE)</f>
        <v>Le</v>
      </c>
      <c r="Q210" s="149"/>
      <c r="R210" s="149"/>
      <c r="S210" s="149">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0" s="149">
        <f>IF(S210&gt;0,VLOOKUP($J210,Ruimtegroepen[],3,FALSE)*VLOOKUP($L210,Vloersoorten[],3,FALSE)*VLOOKUP($R210,Frequenties[],3,FALSE)*VLOOKUP($A210,Locaties[],3,FALSE),0)</f>
        <v>0</v>
      </c>
      <c r="U210" s="149">
        <f>Ruimtestaat[[#This Row],[Uitvoeringen werkdagen]]*Ruimtestaat[[#This Row],[Oppervlak (netto)]]</f>
        <v>0</v>
      </c>
      <c r="V210" s="179">
        <f>IF(T210&gt;0,Ruimtestaat[[#This Row],[Prest. (m2 /jaar) werkdagen]]/Ruimtestaat[[#This Row],[Norm (m2/uur) werkdagen]],0)</f>
        <v>0</v>
      </c>
      <c r="W210" s="180">
        <f>Ruimtestaat[[#This Row],[uren / jaar werkdagen]]*Tariefsopbouw!$E$35</f>
        <v>0</v>
      </c>
      <c r="X210" s="149"/>
      <c r="Y210" s="149">
        <f>IF(Ruimtestaat[[#This Row],[Frequentie weekend]]&gt;0,VALUE(LEFT(X210,1))*Q210,0)</f>
        <v>0</v>
      </c>
      <c r="Z210" s="148">
        <f>IF($Y210&gt;0,VLOOKUP($J210,Ruimtegroepen[],3,FALSE)*VLOOKUP($L210,Vloersoorten[],3,FALSE)*VLOOKUP($X210,Frequenties[],3,FALSE)*VLOOKUP(#REF!,Locaties[],3,FALSE),0)</f>
        <v>0</v>
      </c>
      <c r="AA210" s="148">
        <f>Ruimtestaat[[#This Row],[Uitvoeringen weekend]]*Ruimtestaat[[#This Row],[Oppervlak (netto)]]</f>
        <v>0</v>
      </c>
      <c r="AB210" s="148">
        <f>IF(Z210&gt;0,Ruimtestaat[[#This Row],[Prest. (m2 /jaar) weekend]]/Ruimtestaat[[#This Row],[Norm (m2/uur) weekend]],0)</f>
        <v>0</v>
      </c>
      <c r="AC210" s="180">
        <f>Ruimtestaat[[#This Row],[uren / jaar weekend]]*Tariefsopbouw!$D$40</f>
        <v>0</v>
      </c>
      <c r="AD210" s="179">
        <f>Ruimtestaat[[#This Row],[Prest. (m2 /jaar) weekend]]+Ruimtestaat[[#This Row],[Prest. (m2 /jaar) werkdagen]]</f>
        <v>0</v>
      </c>
      <c r="AE210" s="179">
        <f>Ruimtestaat[[#This Row],[uren / jaar weekend]]+Ruimtestaat[[#This Row],[uren / jaar werkdagen]]</f>
        <v>0</v>
      </c>
      <c r="AF210" s="174">
        <f>Ruimtestaat[[#This Row],[kosten / jaar weekend]]+Ruimtestaat[[#This Row],[kosten / jaar werkdagen]]</f>
        <v>0</v>
      </c>
      <c r="AG210" s="174"/>
      <c r="AH210" s="181" t="str">
        <f>IF(Ruimtestaat[[#This Row],[Frequentie werkdagen]]="","",_xlfn.CONCAT(Ruimtestaat[[#This Row],[Ruimte code]],"-",Ruimtestaat[[#This Row],[Frequentie werkdagen]]," ",Ruimtestaat[[#This Row],[Vloer code]]))</f>
        <v/>
      </c>
      <c r="AI210" s="185" t="str">
        <f>_xlfn.IFNA(VLOOKUP($AH210,Programma!$F$3:$G$1101,2,0),"")</f>
        <v/>
      </c>
      <c r="AJ210" s="185" t="str">
        <f>_xlfn.IFNA(VLOOKUP($AH210,Programma!$F$3:$H$1101,3,0),"")</f>
        <v/>
      </c>
      <c r="AK210" s="185" t="str">
        <f>_xlfn.IFNA(VLOOKUP($AH210,Programma!$F$3:$I$1101,4,0),"")</f>
        <v/>
      </c>
      <c r="AL210" s="185" t="str">
        <f>_xlfn.IFNA(VLOOKUP($AH210,Programma!$F$3:$J$1101,5,0),"")</f>
        <v/>
      </c>
      <c r="AM210" s="185" t="str">
        <f>_xlfn.IFNA(VLOOKUP($AH210,Programma!$F$3:$K$1101,6,0),"")</f>
        <v/>
      </c>
      <c r="AN210" s="185" t="str">
        <f>_xlfn.IFNA(VLOOKUP($AH210,Programma!$F$3:$L$1101,7,0),"")</f>
        <v/>
      </c>
      <c r="AO210" s="185" t="str">
        <f>_xlfn.IFNA(VLOOKUP($AH210,Programma!$F$3:$M$1101,8,0),"")</f>
        <v/>
      </c>
      <c r="AP210" s="185" t="str">
        <f>_xlfn.IFNA(VLOOKUP($AH210,Programma!$F$3:$N$1101,9,0),"")</f>
        <v/>
      </c>
      <c r="AQ210" s="185" t="str">
        <f>_xlfn.IFNA(VLOOKUP($AH210,Programma!$F$3:$O$1101,10,0),"")</f>
        <v/>
      </c>
      <c r="AR210" s="185" t="str">
        <f>_xlfn.IFNA(VLOOKUP($AH210,Programma!$F$3:$P$1101,11,0),"")</f>
        <v/>
      </c>
      <c r="AS210" s="185" t="str">
        <f>_xlfn.IFNA(VLOOKUP($AH210,Programma!$F$3:$Q$1101,12,0),"")</f>
        <v/>
      </c>
      <c r="AT210" s="185" t="str">
        <f>_xlfn.IFNA(VLOOKUP($AH210,Programma!$F$3:$R$1101,13,0),"")</f>
        <v/>
      </c>
      <c r="AU210" s="185" t="str">
        <f>_xlfn.IFNA(VLOOKUP($AH210,Programma!$F$3:$S$1101,14,0),"")</f>
        <v/>
      </c>
      <c r="AV210" s="185" t="str">
        <f>_xlfn.IFNA(VLOOKUP($AH210,Programma!$F$3:$T$1101,15,0),"")</f>
        <v/>
      </c>
      <c r="AW210" s="185" t="str">
        <f>_xlfn.IFNA(VLOOKUP($AH210,Programma!$F$3:$U$1101,16,0),"")</f>
        <v/>
      </c>
      <c r="AX210" s="185" t="str">
        <f>_xlfn.IFNA(VLOOKUP($AH210,Programma!$F$3:$V$1101,17,0),"")</f>
        <v/>
      </c>
      <c r="AY210" s="185" t="str">
        <f>_xlfn.IFNA(VLOOKUP($AH210,Programma!$F$3:$W$1101,18,0),"")</f>
        <v/>
      </c>
      <c r="AZ210" s="185" t="str">
        <f>_xlfn.IFNA(VLOOKUP($AH210,Programma!$F$3:$X$1101,19,0),"")</f>
        <v/>
      </c>
      <c r="BA210" s="185" t="str">
        <f>_xlfn.IFNA(VLOOKUP($AH210,Programma!$F$3:$Y$1101,20,0),"")</f>
        <v/>
      </c>
      <c r="BB210" s="182"/>
      <c r="BC210" s="181" t="str">
        <f>IF(Ruimtestaat[[#This Row],[Frequentie weekend]]="","",_xlfn.CONCAT(Ruimtestaat[[#This Row],[Ruimte code]],"-",Ruimtestaat[[#This Row],[Frequentie weekend]]," ",Ruimtestaat[[#This Row],[Vloer code]]))</f>
        <v/>
      </c>
      <c r="BD210" s="185" t="str">
        <f>_xlfn.IFNA(VLOOKUP($BC210,Programma!$F$3:$G$1101,2,0),"")</f>
        <v/>
      </c>
      <c r="BE210" s="185" t="str">
        <f>_xlfn.IFNA(VLOOKUP($BC210,Programma!$F$3:$H$1101,3,0),"")</f>
        <v/>
      </c>
      <c r="BF210" s="185" t="str">
        <f>_xlfn.IFNA(VLOOKUP($BC210,Programma!$F$3:$I$1101,4,0),"")</f>
        <v/>
      </c>
      <c r="BG210" s="185" t="str">
        <f>_xlfn.IFNA(VLOOKUP($BC210,Programma!$F$3:$J$1101,5,0),"")</f>
        <v/>
      </c>
      <c r="BH210" s="185" t="str">
        <f>_xlfn.IFNA(VLOOKUP($BC210,Programma!$F$3:$K$1101,6,0),"")</f>
        <v/>
      </c>
      <c r="BI210" s="185" t="str">
        <f>_xlfn.IFNA(VLOOKUP($BC210,Programma!$F$3:$L$1101,7,0),"")</f>
        <v/>
      </c>
      <c r="BJ210" s="185" t="str">
        <f>_xlfn.IFNA(VLOOKUP($BC210,Programma!$F$3:$M$1101,8,0),"")</f>
        <v/>
      </c>
      <c r="BK210" s="185" t="str">
        <f>_xlfn.IFNA(VLOOKUP($BC210,Programma!$F$3:$N$1101,9,0),"")</f>
        <v/>
      </c>
      <c r="BL210" s="185" t="str">
        <f>_xlfn.IFNA(VLOOKUP($BC210,Programma!$F$3:$O$1101,10,0),"")</f>
        <v/>
      </c>
      <c r="BM210" s="185" t="str">
        <f>_xlfn.IFNA(VLOOKUP($BC210,Programma!$F$3:$P$1101,11,0),"")</f>
        <v/>
      </c>
      <c r="BN210" s="185" t="str">
        <f>_xlfn.IFNA(VLOOKUP($BC210,Programma!$F$3:$Q$1101,12,0),"")</f>
        <v/>
      </c>
      <c r="BO210" s="185" t="str">
        <f>_xlfn.IFNA(VLOOKUP($BC210,Programma!$F$3:$R$1101,13,0),"")</f>
        <v/>
      </c>
      <c r="BP210" s="185" t="str">
        <f>_xlfn.IFNA(VLOOKUP($BC210,Programma!$F$3:$S$1101,14,0),"")</f>
        <v/>
      </c>
      <c r="BQ210" s="185" t="str">
        <f>_xlfn.IFNA(VLOOKUP($BC210,Programma!$F$3:$T$1101,15,0),"")</f>
        <v/>
      </c>
      <c r="BR210" s="185" t="str">
        <f>_xlfn.IFNA(VLOOKUP($BC210,Programma!$F$3:$U$1101,16,0),"")</f>
        <v/>
      </c>
      <c r="BS210" s="185" t="str">
        <f>_xlfn.IFNA(VLOOKUP($BC210,Programma!$F$3:$V$1101,17,0),"")</f>
        <v/>
      </c>
      <c r="BT210" s="185" t="str">
        <f>_xlfn.IFNA(VLOOKUP($BC210,Programma!$F$3:$W$1101,18,0),"")</f>
        <v/>
      </c>
      <c r="BU210" s="185" t="str">
        <f>_xlfn.IFNA(VLOOKUP($BC210,Programma!$F$3:$X$1101,19,0),"")</f>
        <v/>
      </c>
      <c r="BV210" s="185" t="str">
        <f>_xlfn.IFNA(VLOOKUP($BC210,Programma!$F$3:$Y$1101,20,0),"")</f>
        <v/>
      </c>
      <c r="BW210" s="78"/>
      <c r="BX210" s="78"/>
      <c r="BY210" s="78"/>
      <c r="BZ210" s="78"/>
      <c r="CA210" s="78"/>
      <c r="CB210" s="78"/>
      <c r="CC210" s="78"/>
      <c r="CD210" s="78"/>
      <c r="CE210" s="78"/>
      <c r="CF210" s="78"/>
      <c r="CG210" s="78"/>
      <c r="CH210" s="78"/>
      <c r="CI210" s="78"/>
      <c r="CJ210" s="78"/>
      <c r="CK210" s="78"/>
      <c r="CL210" s="78"/>
      <c r="CM210" s="78"/>
      <c r="CN210" s="78"/>
      <c r="CO210" s="78"/>
      <c r="CP210" s="78"/>
      <c r="CQ210" s="78"/>
      <c r="CR210" s="78"/>
      <c r="CS210" s="78"/>
      <c r="CT210" s="78"/>
      <c r="CU210" s="78"/>
      <c r="CV210" s="78"/>
      <c r="CW210" s="78"/>
      <c r="CX210" s="78"/>
      <c r="CY210" s="78"/>
      <c r="CZ210" s="78"/>
      <c r="DA210" s="78"/>
      <c r="DB210" s="78"/>
      <c r="DC210" s="78"/>
      <c r="DD210" s="78"/>
      <c r="DE210" s="78"/>
      <c r="DF210" s="78"/>
      <c r="DG210" s="78"/>
      <c r="DH210" s="78"/>
      <c r="DI210" s="78"/>
      <c r="DJ210" s="78"/>
      <c r="DK210" s="78"/>
      <c r="DL210" s="78"/>
      <c r="DM210" s="78"/>
      <c r="DN210" s="78"/>
      <c r="DO210" s="78"/>
      <c r="DP210" s="78"/>
      <c r="DQ210" s="78"/>
      <c r="DR210" s="78"/>
      <c r="DS210" s="78"/>
      <c r="DT210" s="78"/>
      <c r="DU210" s="78"/>
      <c r="DV210" s="78"/>
      <c r="DW210" s="78"/>
      <c r="DX210" s="78"/>
      <c r="DY210" s="78"/>
      <c r="DZ210" s="78"/>
      <c r="EA210" s="78"/>
      <c r="EB210" s="78"/>
      <c r="EC210" s="78"/>
      <c r="ED210" s="78"/>
      <c r="EE210" s="78"/>
      <c r="EF210" s="78"/>
      <c r="EG210" s="78"/>
      <c r="EH210" s="78"/>
      <c r="EI210" s="78"/>
      <c r="EJ210" s="78"/>
      <c r="EK210" s="78"/>
      <c r="EL210" s="78"/>
      <c r="EM210" s="78"/>
      <c r="EN210" s="78"/>
      <c r="EO210" s="78"/>
      <c r="EP210" s="78"/>
      <c r="EQ210" s="78"/>
      <c r="ER210" s="78"/>
      <c r="ES210" s="78"/>
      <c r="ET210" s="78"/>
      <c r="EU210" s="78"/>
      <c r="EV210" s="78"/>
      <c r="EW210" s="78"/>
      <c r="EX210" s="78"/>
      <c r="EY210" s="78"/>
      <c r="EZ210" s="78"/>
      <c r="FA210" s="78"/>
      <c r="FB210" s="78"/>
      <c r="FC210" s="78"/>
      <c r="FD210" s="78"/>
      <c r="FE210" s="78"/>
      <c r="FF210" s="78"/>
      <c r="FG210" s="78"/>
      <c r="FH210" s="78"/>
      <c r="FI210" s="78"/>
      <c r="FJ210" s="78"/>
      <c r="FK210" s="78"/>
      <c r="FL210" s="78"/>
      <c r="FM210" s="78"/>
      <c r="FN210" s="78"/>
      <c r="FO210" s="78"/>
      <c r="FP210" s="78"/>
      <c r="FQ210" s="78"/>
      <c r="FR210" s="78"/>
      <c r="FS210" s="78"/>
      <c r="FT210" s="78"/>
      <c r="FU210" s="78"/>
      <c r="FV210" s="78"/>
      <c r="FW210" s="78"/>
      <c r="FX210" s="78"/>
      <c r="FY210" s="78"/>
      <c r="FZ210" s="78"/>
      <c r="GA210" s="78"/>
      <c r="GB210" s="78"/>
      <c r="GC210" s="78"/>
      <c r="GD210" s="78"/>
      <c r="GE210" s="78"/>
      <c r="GF210" s="78"/>
      <c r="GG210" s="78"/>
      <c r="GH210" s="78"/>
      <c r="GI210" s="78"/>
      <c r="GJ210" s="78"/>
      <c r="GK210" s="78"/>
      <c r="GL210" s="78"/>
      <c r="GM210" s="78"/>
      <c r="GN210" s="78"/>
      <c r="GO210" s="78"/>
      <c r="GP210" s="78"/>
      <c r="GQ210" s="78"/>
      <c r="GR210" s="78"/>
      <c r="GS210" s="78"/>
      <c r="GT210" s="78"/>
      <c r="GU210" s="78"/>
      <c r="GV210" s="78"/>
      <c r="GW210" s="78"/>
      <c r="GX210" s="78"/>
      <c r="GY210" s="78"/>
      <c r="GZ210" s="78"/>
      <c r="HA210" s="78"/>
      <c r="HB210" s="78"/>
      <c r="HC210" s="78"/>
      <c r="HD210" s="78"/>
      <c r="HE210" s="78"/>
      <c r="HF210" s="78"/>
      <c r="HG210" s="78"/>
      <c r="HH210" s="78"/>
      <c r="HI210" s="78"/>
      <c r="HJ210" s="78"/>
      <c r="HK210" s="78"/>
    </row>
    <row r="211" spans="1:219" ht="15" customHeight="1">
      <c r="A211" s="149">
        <v>6</v>
      </c>
      <c r="B211" s="176" t="str">
        <f>VLOOKUP(Ruimtestaat[[#This Row],[Code]],Locaties[[Code]:[Locatie]],2,FALSE)</f>
        <v>OBS La Res Noord</v>
      </c>
      <c r="C211" s="176" t="str">
        <f>VLOOKUP(Ruimtestaat[[#This Row],[Code]],Locaties[[#All],[Code]:[Adres]],4,FALSE)</f>
        <v>Schietbaanweg 30</v>
      </c>
      <c r="D211" s="176" t="str">
        <f>VLOOKUP(Ruimtestaat[[#This Row],[Code]],Locaties[[#All],[Code]:[Postcode]],5,FALSE)</f>
        <v>7521 DB</v>
      </c>
      <c r="E211" s="176" t="str">
        <f>VLOOKUP(Ruimtestaat[[#This Row],[Code]],Locaties[#All],6,FALSE)</f>
        <v>Enschede</v>
      </c>
      <c r="F211" s="149"/>
      <c r="G211" s="149"/>
      <c r="H211" s="99" t="s">
        <v>1879</v>
      </c>
      <c r="I211" s="183" t="s">
        <v>1683</v>
      </c>
      <c r="J211" s="99">
        <v>20</v>
      </c>
      <c r="K211" s="183" t="str">
        <f>VLOOKUP(Ruimtestaat[[#This Row],[Ruimte code]],Ruimtegroepen[[#All],[Code]:[Ruimte omschrijving]],2,FALSE)</f>
        <v>Niet in Onderhoud</v>
      </c>
      <c r="L211" s="149" t="s">
        <v>101</v>
      </c>
      <c r="M211" s="301" t="s">
        <v>1698</v>
      </c>
      <c r="N211" s="177"/>
      <c r="O211" s="177">
        <v>26</v>
      </c>
      <c r="P211" s="178">
        <f>VLOOKUP(Ruimtestaat[[#This Row],[Ruimte code]],Ruimtegroepen[],4,FALSE)</f>
        <v>0</v>
      </c>
      <c r="Q211" s="149"/>
      <c r="R211" s="149"/>
      <c r="S211" s="149">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1" s="149">
        <f>IF(S211&gt;0,VLOOKUP($J211,Ruimtegroepen[],3,FALSE)*VLOOKUP($L211,Vloersoorten[],3,FALSE)*VLOOKUP($R211,Frequenties[],3,FALSE)*VLOOKUP($A211,Locaties[],3,FALSE),0)</f>
        <v>0</v>
      </c>
      <c r="U211" s="149">
        <f>Ruimtestaat[[#This Row],[Uitvoeringen werkdagen]]*Ruimtestaat[[#This Row],[Oppervlak (netto)]]</f>
        <v>0</v>
      </c>
      <c r="V211" s="179">
        <f>IF(T211&gt;0,Ruimtestaat[[#This Row],[Prest. (m2 /jaar) werkdagen]]/Ruimtestaat[[#This Row],[Norm (m2/uur) werkdagen]],0)</f>
        <v>0</v>
      </c>
      <c r="W211" s="180">
        <f>Ruimtestaat[[#This Row],[uren / jaar werkdagen]]*Tariefsopbouw!$E$35</f>
        <v>0</v>
      </c>
      <c r="X211" s="149"/>
      <c r="Y211" s="149">
        <f>IF(Ruimtestaat[[#This Row],[Frequentie weekend]]&gt;0,VALUE(LEFT(X211,1))*Q211,0)</f>
        <v>0</v>
      </c>
      <c r="Z211" s="148">
        <f>IF($Y211&gt;0,VLOOKUP($J211,Ruimtegroepen[],3,FALSE)*VLOOKUP($L211,Vloersoorten[],3,FALSE)*VLOOKUP($X211,Frequenties[],3,FALSE)*VLOOKUP(#REF!,Locaties[],3,FALSE),0)</f>
        <v>0</v>
      </c>
      <c r="AA211" s="148">
        <f>Ruimtestaat[[#This Row],[Uitvoeringen weekend]]*Ruimtestaat[[#This Row],[Oppervlak (netto)]]</f>
        <v>0</v>
      </c>
      <c r="AB211" s="148">
        <f>IF(Z211&gt;0,Ruimtestaat[[#This Row],[Prest. (m2 /jaar) weekend]]/Ruimtestaat[[#This Row],[Norm (m2/uur) weekend]],0)</f>
        <v>0</v>
      </c>
      <c r="AC211" s="180">
        <f>Ruimtestaat[[#This Row],[uren / jaar weekend]]*Tariefsopbouw!$D$40</f>
        <v>0</v>
      </c>
      <c r="AD211" s="179">
        <f>Ruimtestaat[[#This Row],[Prest. (m2 /jaar) weekend]]+Ruimtestaat[[#This Row],[Prest. (m2 /jaar) werkdagen]]</f>
        <v>0</v>
      </c>
      <c r="AE211" s="179">
        <f>Ruimtestaat[[#This Row],[uren / jaar weekend]]+Ruimtestaat[[#This Row],[uren / jaar werkdagen]]</f>
        <v>0</v>
      </c>
      <c r="AF211" s="174">
        <f>Ruimtestaat[[#This Row],[kosten / jaar weekend]]+Ruimtestaat[[#This Row],[kosten / jaar werkdagen]]</f>
        <v>0</v>
      </c>
      <c r="AG211" s="174"/>
      <c r="AH211" s="181" t="str">
        <f>IF(Ruimtestaat[[#This Row],[Frequentie werkdagen]]="","",_xlfn.CONCAT(Ruimtestaat[[#This Row],[Ruimte code]],"-",Ruimtestaat[[#This Row],[Frequentie werkdagen]]," ",Ruimtestaat[[#This Row],[Vloer code]]))</f>
        <v/>
      </c>
      <c r="AI211" s="185" t="str">
        <f>_xlfn.IFNA(VLOOKUP($AH211,Programma!$F$3:$G$1101,2,0),"")</f>
        <v/>
      </c>
      <c r="AJ211" s="185" t="str">
        <f>_xlfn.IFNA(VLOOKUP($AH211,Programma!$F$3:$H$1101,3,0),"")</f>
        <v/>
      </c>
      <c r="AK211" s="185" t="str">
        <f>_xlfn.IFNA(VLOOKUP($AH211,Programma!$F$3:$I$1101,4,0),"")</f>
        <v/>
      </c>
      <c r="AL211" s="185" t="str">
        <f>_xlfn.IFNA(VLOOKUP($AH211,Programma!$F$3:$J$1101,5,0),"")</f>
        <v/>
      </c>
      <c r="AM211" s="185" t="str">
        <f>_xlfn.IFNA(VLOOKUP($AH211,Programma!$F$3:$K$1101,6,0),"")</f>
        <v/>
      </c>
      <c r="AN211" s="185" t="str">
        <f>_xlfn.IFNA(VLOOKUP($AH211,Programma!$F$3:$L$1101,7,0),"")</f>
        <v/>
      </c>
      <c r="AO211" s="185" t="str">
        <f>_xlfn.IFNA(VLOOKUP($AH211,Programma!$F$3:$M$1101,8,0),"")</f>
        <v/>
      </c>
      <c r="AP211" s="185" t="str">
        <f>_xlfn.IFNA(VLOOKUP($AH211,Programma!$F$3:$N$1101,9,0),"")</f>
        <v/>
      </c>
      <c r="AQ211" s="185" t="str">
        <f>_xlfn.IFNA(VLOOKUP($AH211,Programma!$F$3:$O$1101,10,0),"")</f>
        <v/>
      </c>
      <c r="AR211" s="185" t="str">
        <f>_xlfn.IFNA(VLOOKUP($AH211,Programma!$F$3:$P$1101,11,0),"")</f>
        <v/>
      </c>
      <c r="AS211" s="185" t="str">
        <f>_xlfn.IFNA(VLOOKUP($AH211,Programma!$F$3:$Q$1101,12,0),"")</f>
        <v/>
      </c>
      <c r="AT211" s="185" t="str">
        <f>_xlfn.IFNA(VLOOKUP($AH211,Programma!$F$3:$R$1101,13,0),"")</f>
        <v/>
      </c>
      <c r="AU211" s="185" t="str">
        <f>_xlfn.IFNA(VLOOKUP($AH211,Programma!$F$3:$S$1101,14,0),"")</f>
        <v/>
      </c>
      <c r="AV211" s="185" t="str">
        <f>_xlfn.IFNA(VLOOKUP($AH211,Programma!$F$3:$T$1101,15,0),"")</f>
        <v/>
      </c>
      <c r="AW211" s="185" t="str">
        <f>_xlfn.IFNA(VLOOKUP($AH211,Programma!$F$3:$U$1101,16,0),"")</f>
        <v/>
      </c>
      <c r="AX211" s="185" t="str">
        <f>_xlfn.IFNA(VLOOKUP($AH211,Programma!$F$3:$V$1101,17,0),"")</f>
        <v/>
      </c>
      <c r="AY211" s="185" t="str">
        <f>_xlfn.IFNA(VLOOKUP($AH211,Programma!$F$3:$W$1101,18,0),"")</f>
        <v/>
      </c>
      <c r="AZ211" s="185" t="str">
        <f>_xlfn.IFNA(VLOOKUP($AH211,Programma!$F$3:$X$1101,19,0),"")</f>
        <v/>
      </c>
      <c r="BA211" s="185" t="str">
        <f>_xlfn.IFNA(VLOOKUP($AH211,Programma!$F$3:$Y$1101,20,0),"")</f>
        <v/>
      </c>
      <c r="BB211" s="182"/>
      <c r="BC211" s="181" t="str">
        <f>IF(Ruimtestaat[[#This Row],[Frequentie weekend]]="","",_xlfn.CONCAT(Ruimtestaat[[#This Row],[Ruimte code]],"-",Ruimtestaat[[#This Row],[Frequentie weekend]]," ",Ruimtestaat[[#This Row],[Vloer code]]))</f>
        <v/>
      </c>
      <c r="BD211" s="185" t="str">
        <f>_xlfn.IFNA(VLOOKUP($BC211,Programma!$F$3:$G$1101,2,0),"")</f>
        <v/>
      </c>
      <c r="BE211" s="185" t="str">
        <f>_xlfn.IFNA(VLOOKUP($BC211,Programma!$F$3:$H$1101,3,0),"")</f>
        <v/>
      </c>
      <c r="BF211" s="185" t="str">
        <f>_xlfn.IFNA(VLOOKUP($BC211,Programma!$F$3:$I$1101,4,0),"")</f>
        <v/>
      </c>
      <c r="BG211" s="185" t="str">
        <f>_xlfn.IFNA(VLOOKUP($BC211,Programma!$F$3:$J$1101,5,0),"")</f>
        <v/>
      </c>
      <c r="BH211" s="185" t="str">
        <f>_xlfn.IFNA(VLOOKUP($BC211,Programma!$F$3:$K$1101,6,0),"")</f>
        <v/>
      </c>
      <c r="BI211" s="185" t="str">
        <f>_xlfn.IFNA(VLOOKUP($BC211,Programma!$F$3:$L$1101,7,0),"")</f>
        <v/>
      </c>
      <c r="BJ211" s="185" t="str">
        <f>_xlfn.IFNA(VLOOKUP($BC211,Programma!$F$3:$M$1101,8,0),"")</f>
        <v/>
      </c>
      <c r="BK211" s="185" t="str">
        <f>_xlfn.IFNA(VLOOKUP($BC211,Programma!$F$3:$N$1101,9,0),"")</f>
        <v/>
      </c>
      <c r="BL211" s="185" t="str">
        <f>_xlfn.IFNA(VLOOKUP($BC211,Programma!$F$3:$O$1101,10,0),"")</f>
        <v/>
      </c>
      <c r="BM211" s="185" t="str">
        <f>_xlfn.IFNA(VLOOKUP($BC211,Programma!$F$3:$P$1101,11,0),"")</f>
        <v/>
      </c>
      <c r="BN211" s="185" t="str">
        <f>_xlfn.IFNA(VLOOKUP($BC211,Programma!$F$3:$Q$1101,12,0),"")</f>
        <v/>
      </c>
      <c r="BO211" s="185" t="str">
        <f>_xlfn.IFNA(VLOOKUP($BC211,Programma!$F$3:$R$1101,13,0),"")</f>
        <v/>
      </c>
      <c r="BP211" s="185" t="str">
        <f>_xlfn.IFNA(VLOOKUP($BC211,Programma!$F$3:$S$1101,14,0),"")</f>
        <v/>
      </c>
      <c r="BQ211" s="185" t="str">
        <f>_xlfn.IFNA(VLOOKUP($BC211,Programma!$F$3:$T$1101,15,0),"")</f>
        <v/>
      </c>
      <c r="BR211" s="185" t="str">
        <f>_xlfn.IFNA(VLOOKUP($BC211,Programma!$F$3:$U$1101,16,0),"")</f>
        <v/>
      </c>
      <c r="BS211" s="185" t="str">
        <f>_xlfn.IFNA(VLOOKUP($BC211,Programma!$F$3:$V$1101,17,0),"")</f>
        <v/>
      </c>
      <c r="BT211" s="185" t="str">
        <f>_xlfn.IFNA(VLOOKUP($BC211,Programma!$F$3:$W$1101,18,0),"")</f>
        <v/>
      </c>
      <c r="BU211" s="185" t="str">
        <f>_xlfn.IFNA(VLOOKUP($BC211,Programma!$F$3:$X$1101,19,0),"")</f>
        <v/>
      </c>
      <c r="BV211" s="185" t="str">
        <f>_xlfn.IFNA(VLOOKUP($BC211,Programma!$F$3:$Y$1101,20,0),"")</f>
        <v/>
      </c>
      <c r="BW211" s="78"/>
      <c r="BX211" s="78"/>
      <c r="BY211" s="78"/>
      <c r="BZ211" s="78"/>
      <c r="CA211" s="78"/>
      <c r="CB211" s="78"/>
      <c r="CC211" s="78"/>
      <c r="CD211" s="78"/>
      <c r="CE211" s="78"/>
      <c r="CF211" s="78"/>
      <c r="CG211" s="78"/>
      <c r="CH211" s="78"/>
      <c r="CI211" s="78"/>
      <c r="CJ211" s="78"/>
      <c r="CK211" s="78"/>
      <c r="CL211" s="78"/>
      <c r="CM211" s="78"/>
      <c r="CN211" s="78"/>
      <c r="CO211" s="78"/>
      <c r="CP211" s="78"/>
      <c r="CQ211" s="78"/>
      <c r="CR211" s="78"/>
      <c r="CS211" s="78"/>
      <c r="CT211" s="78"/>
      <c r="CU211" s="78"/>
      <c r="CV211" s="78"/>
      <c r="CW211" s="78"/>
      <c r="CX211" s="78"/>
      <c r="CY211" s="78"/>
      <c r="CZ211" s="78"/>
      <c r="DA211" s="78"/>
      <c r="DB211" s="78"/>
      <c r="DC211" s="78"/>
      <c r="DD211" s="78"/>
      <c r="DE211" s="78"/>
      <c r="DF211" s="78"/>
      <c r="DG211" s="78"/>
      <c r="DH211" s="78"/>
      <c r="DI211" s="78"/>
      <c r="DJ211" s="78"/>
      <c r="DK211" s="78"/>
      <c r="DL211" s="78"/>
      <c r="DM211" s="78"/>
      <c r="DN211" s="78"/>
      <c r="DO211" s="78"/>
      <c r="DP211" s="78"/>
      <c r="DQ211" s="78"/>
      <c r="DR211" s="78"/>
      <c r="DS211" s="78"/>
      <c r="DT211" s="78"/>
      <c r="DU211" s="78"/>
      <c r="DV211" s="78"/>
      <c r="DW211" s="78"/>
      <c r="DX211" s="78"/>
      <c r="DY211" s="78"/>
      <c r="DZ211" s="78"/>
      <c r="EA211" s="78"/>
      <c r="EB211" s="78"/>
      <c r="EC211" s="78"/>
      <c r="ED211" s="78"/>
      <c r="EE211" s="78"/>
      <c r="EF211" s="78"/>
      <c r="EG211" s="78"/>
      <c r="EH211" s="78"/>
      <c r="EI211" s="78"/>
      <c r="EJ211" s="78"/>
      <c r="EK211" s="78"/>
      <c r="EL211" s="78"/>
      <c r="EM211" s="78"/>
      <c r="EN211" s="78"/>
      <c r="EO211" s="78"/>
      <c r="EP211" s="78"/>
      <c r="EQ211" s="78"/>
      <c r="ER211" s="78"/>
      <c r="ES211" s="78"/>
      <c r="ET211" s="78"/>
      <c r="EU211" s="78"/>
      <c r="EV211" s="78"/>
      <c r="EW211" s="78"/>
      <c r="EX211" s="78"/>
      <c r="EY211" s="78"/>
      <c r="EZ211" s="78"/>
      <c r="FA211" s="78"/>
      <c r="FB211" s="78"/>
      <c r="FC211" s="78"/>
      <c r="FD211" s="78"/>
      <c r="FE211" s="78"/>
      <c r="FF211" s="78"/>
      <c r="FG211" s="78"/>
      <c r="FH211" s="78"/>
      <c r="FI211" s="78"/>
      <c r="FJ211" s="78"/>
      <c r="FK211" s="78"/>
      <c r="FL211" s="78"/>
      <c r="FM211" s="78"/>
      <c r="FN211" s="78"/>
      <c r="FO211" s="78"/>
      <c r="FP211" s="78"/>
      <c r="FQ211" s="78"/>
      <c r="FR211" s="78"/>
      <c r="FS211" s="78"/>
      <c r="FT211" s="78"/>
      <c r="FU211" s="78"/>
      <c r="FV211" s="78"/>
      <c r="FW211" s="78"/>
      <c r="FX211" s="78"/>
      <c r="FY211" s="78"/>
      <c r="FZ211" s="78"/>
      <c r="GA211" s="78"/>
      <c r="GB211" s="78"/>
      <c r="GC211" s="78"/>
      <c r="GD211" s="78"/>
      <c r="GE211" s="78"/>
      <c r="GF211" s="78"/>
      <c r="GG211" s="78"/>
      <c r="GH211" s="78"/>
      <c r="GI211" s="78"/>
      <c r="GJ211" s="78"/>
      <c r="GK211" s="78"/>
      <c r="GL211" s="78"/>
      <c r="GM211" s="78"/>
      <c r="GN211" s="78"/>
      <c r="GO211" s="78"/>
      <c r="GP211" s="78"/>
      <c r="GQ211" s="78"/>
      <c r="GR211" s="78"/>
      <c r="GS211" s="78"/>
      <c r="GT211" s="78"/>
      <c r="GU211" s="78"/>
      <c r="GV211" s="78"/>
      <c r="GW211" s="78"/>
      <c r="GX211" s="78"/>
      <c r="GY211" s="78"/>
      <c r="GZ211" s="78"/>
      <c r="HA211" s="78"/>
      <c r="HB211" s="78"/>
      <c r="HC211" s="78"/>
      <c r="HD211" s="78"/>
      <c r="HE211" s="78"/>
      <c r="HF211" s="78"/>
      <c r="HG211" s="78"/>
      <c r="HH211" s="78"/>
      <c r="HI211" s="78"/>
      <c r="HJ211" s="78"/>
      <c r="HK211" s="78"/>
    </row>
    <row r="212" spans="1:219" ht="15" customHeight="1">
      <c r="A212" s="149">
        <v>6</v>
      </c>
      <c r="B212" s="176" t="str">
        <f>VLOOKUP(Ruimtestaat[[#This Row],[Code]],Locaties[[Code]:[Locatie]],2,FALSE)</f>
        <v>OBS La Res Noord</v>
      </c>
      <c r="C212" s="176" t="str">
        <f>VLOOKUP(Ruimtestaat[[#This Row],[Code]],Locaties[[#All],[Code]:[Adres]],4,FALSE)</f>
        <v>Schietbaanweg 30</v>
      </c>
      <c r="D212" s="176" t="str">
        <f>VLOOKUP(Ruimtestaat[[#This Row],[Code]],Locaties[[#All],[Code]:[Postcode]],5,FALSE)</f>
        <v>7521 DB</v>
      </c>
      <c r="E212" s="176" t="str">
        <f>VLOOKUP(Ruimtestaat[[#This Row],[Code]],Locaties[#All],6,FALSE)</f>
        <v>Enschede</v>
      </c>
      <c r="F212" s="149"/>
      <c r="G212" s="149"/>
      <c r="H212" s="99" t="s">
        <v>1880</v>
      </c>
      <c r="I212" s="183" t="s">
        <v>1683</v>
      </c>
      <c r="J212" s="99">
        <v>20</v>
      </c>
      <c r="K212" s="183" t="str">
        <f>VLOOKUP(Ruimtestaat[[#This Row],[Ruimte code]],Ruimtegroepen[[#All],[Code]:[Ruimte omschrijving]],2,FALSE)</f>
        <v>Niet in Onderhoud</v>
      </c>
      <c r="L212" s="149" t="s">
        <v>101</v>
      </c>
      <c r="M212" s="301" t="s">
        <v>1698</v>
      </c>
      <c r="N212" s="177"/>
      <c r="O212" s="177">
        <v>6</v>
      </c>
      <c r="P212" s="178">
        <f>VLOOKUP(Ruimtestaat[[#This Row],[Ruimte code]],Ruimtegroepen[],4,FALSE)</f>
        <v>0</v>
      </c>
      <c r="Q212" s="149"/>
      <c r="R212" s="149"/>
      <c r="S212" s="149">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2" s="149">
        <f>IF(S212&gt;0,VLOOKUP($J212,Ruimtegroepen[],3,FALSE)*VLOOKUP($L212,Vloersoorten[],3,FALSE)*VLOOKUP($R212,Frequenties[],3,FALSE)*VLOOKUP($A212,Locaties[],3,FALSE),0)</f>
        <v>0</v>
      </c>
      <c r="U212" s="149">
        <f>Ruimtestaat[[#This Row],[Uitvoeringen werkdagen]]*Ruimtestaat[[#This Row],[Oppervlak (netto)]]</f>
        <v>0</v>
      </c>
      <c r="V212" s="179">
        <f>IF(T212&gt;0,Ruimtestaat[[#This Row],[Prest. (m2 /jaar) werkdagen]]/Ruimtestaat[[#This Row],[Norm (m2/uur) werkdagen]],0)</f>
        <v>0</v>
      </c>
      <c r="W212" s="180">
        <f>Ruimtestaat[[#This Row],[uren / jaar werkdagen]]*Tariefsopbouw!$E$35</f>
        <v>0</v>
      </c>
      <c r="X212" s="149"/>
      <c r="Y212" s="149">
        <f>IF(Ruimtestaat[[#This Row],[Frequentie weekend]]&gt;0,VALUE(LEFT(X212,1))*Q212,0)</f>
        <v>0</v>
      </c>
      <c r="Z212" s="148">
        <f>IF($Y212&gt;0,VLOOKUP($J212,Ruimtegroepen[],3,FALSE)*VLOOKUP($L212,Vloersoorten[],3,FALSE)*VLOOKUP($X212,Frequenties[],3,FALSE)*VLOOKUP(#REF!,Locaties[],3,FALSE),0)</f>
        <v>0</v>
      </c>
      <c r="AA212" s="148">
        <f>Ruimtestaat[[#This Row],[Uitvoeringen weekend]]*Ruimtestaat[[#This Row],[Oppervlak (netto)]]</f>
        <v>0</v>
      </c>
      <c r="AB212" s="148">
        <f>IF(Z212&gt;0,Ruimtestaat[[#This Row],[Prest. (m2 /jaar) weekend]]/Ruimtestaat[[#This Row],[Norm (m2/uur) weekend]],0)</f>
        <v>0</v>
      </c>
      <c r="AC212" s="180">
        <f>Ruimtestaat[[#This Row],[uren / jaar weekend]]*Tariefsopbouw!$D$40</f>
        <v>0</v>
      </c>
      <c r="AD212" s="179">
        <f>Ruimtestaat[[#This Row],[Prest. (m2 /jaar) weekend]]+Ruimtestaat[[#This Row],[Prest. (m2 /jaar) werkdagen]]</f>
        <v>0</v>
      </c>
      <c r="AE212" s="179">
        <f>Ruimtestaat[[#This Row],[uren / jaar weekend]]+Ruimtestaat[[#This Row],[uren / jaar werkdagen]]</f>
        <v>0</v>
      </c>
      <c r="AF212" s="174">
        <f>Ruimtestaat[[#This Row],[kosten / jaar weekend]]+Ruimtestaat[[#This Row],[kosten / jaar werkdagen]]</f>
        <v>0</v>
      </c>
      <c r="AG212" s="174"/>
      <c r="AH212" s="181" t="str">
        <f>IF(Ruimtestaat[[#This Row],[Frequentie werkdagen]]="","",_xlfn.CONCAT(Ruimtestaat[[#This Row],[Ruimte code]],"-",Ruimtestaat[[#This Row],[Frequentie werkdagen]]," ",Ruimtestaat[[#This Row],[Vloer code]]))</f>
        <v/>
      </c>
      <c r="AI212" s="185" t="str">
        <f>_xlfn.IFNA(VLOOKUP($AH212,Programma!$F$3:$G$1101,2,0),"")</f>
        <v/>
      </c>
      <c r="AJ212" s="185" t="str">
        <f>_xlfn.IFNA(VLOOKUP($AH212,Programma!$F$3:$H$1101,3,0),"")</f>
        <v/>
      </c>
      <c r="AK212" s="185" t="str">
        <f>_xlfn.IFNA(VLOOKUP($AH212,Programma!$F$3:$I$1101,4,0),"")</f>
        <v/>
      </c>
      <c r="AL212" s="185" t="str">
        <f>_xlfn.IFNA(VLOOKUP($AH212,Programma!$F$3:$J$1101,5,0),"")</f>
        <v/>
      </c>
      <c r="AM212" s="185" t="str">
        <f>_xlfn.IFNA(VLOOKUP($AH212,Programma!$F$3:$K$1101,6,0),"")</f>
        <v/>
      </c>
      <c r="AN212" s="185" t="str">
        <f>_xlfn.IFNA(VLOOKUP($AH212,Programma!$F$3:$L$1101,7,0),"")</f>
        <v/>
      </c>
      <c r="AO212" s="185" t="str">
        <f>_xlfn.IFNA(VLOOKUP($AH212,Programma!$F$3:$M$1101,8,0),"")</f>
        <v/>
      </c>
      <c r="AP212" s="185" t="str">
        <f>_xlfn.IFNA(VLOOKUP($AH212,Programma!$F$3:$N$1101,9,0),"")</f>
        <v/>
      </c>
      <c r="AQ212" s="185" t="str">
        <f>_xlfn.IFNA(VLOOKUP($AH212,Programma!$F$3:$O$1101,10,0),"")</f>
        <v/>
      </c>
      <c r="AR212" s="185" t="str">
        <f>_xlfn.IFNA(VLOOKUP($AH212,Programma!$F$3:$P$1101,11,0),"")</f>
        <v/>
      </c>
      <c r="AS212" s="185" t="str">
        <f>_xlfn.IFNA(VLOOKUP($AH212,Programma!$F$3:$Q$1101,12,0),"")</f>
        <v/>
      </c>
      <c r="AT212" s="185" t="str">
        <f>_xlfn.IFNA(VLOOKUP($AH212,Programma!$F$3:$R$1101,13,0),"")</f>
        <v/>
      </c>
      <c r="AU212" s="185" t="str">
        <f>_xlfn.IFNA(VLOOKUP($AH212,Programma!$F$3:$S$1101,14,0),"")</f>
        <v/>
      </c>
      <c r="AV212" s="185" t="str">
        <f>_xlfn.IFNA(VLOOKUP($AH212,Programma!$F$3:$T$1101,15,0),"")</f>
        <v/>
      </c>
      <c r="AW212" s="185" t="str">
        <f>_xlfn.IFNA(VLOOKUP($AH212,Programma!$F$3:$U$1101,16,0),"")</f>
        <v/>
      </c>
      <c r="AX212" s="185" t="str">
        <f>_xlfn.IFNA(VLOOKUP($AH212,Programma!$F$3:$V$1101,17,0),"")</f>
        <v/>
      </c>
      <c r="AY212" s="185" t="str">
        <f>_xlfn.IFNA(VLOOKUP($AH212,Programma!$F$3:$W$1101,18,0),"")</f>
        <v/>
      </c>
      <c r="AZ212" s="185" t="str">
        <f>_xlfn.IFNA(VLOOKUP($AH212,Programma!$F$3:$X$1101,19,0),"")</f>
        <v/>
      </c>
      <c r="BA212" s="185" t="str">
        <f>_xlfn.IFNA(VLOOKUP($AH212,Programma!$F$3:$Y$1101,20,0),"")</f>
        <v/>
      </c>
      <c r="BB212" s="182"/>
      <c r="BC212" s="181" t="str">
        <f>IF(Ruimtestaat[[#This Row],[Frequentie weekend]]="","",_xlfn.CONCAT(Ruimtestaat[[#This Row],[Ruimte code]],"-",Ruimtestaat[[#This Row],[Frequentie weekend]]," ",Ruimtestaat[[#This Row],[Vloer code]]))</f>
        <v/>
      </c>
      <c r="BD212" s="185" t="str">
        <f>_xlfn.IFNA(VLOOKUP($BC212,Programma!$F$3:$G$1101,2,0),"")</f>
        <v/>
      </c>
      <c r="BE212" s="185" t="str">
        <f>_xlfn.IFNA(VLOOKUP($BC212,Programma!$F$3:$H$1101,3,0),"")</f>
        <v/>
      </c>
      <c r="BF212" s="185" t="str">
        <f>_xlfn.IFNA(VLOOKUP($BC212,Programma!$F$3:$I$1101,4,0),"")</f>
        <v/>
      </c>
      <c r="BG212" s="185" t="str">
        <f>_xlfn.IFNA(VLOOKUP($BC212,Programma!$F$3:$J$1101,5,0),"")</f>
        <v/>
      </c>
      <c r="BH212" s="185" t="str">
        <f>_xlfn.IFNA(VLOOKUP($BC212,Programma!$F$3:$K$1101,6,0),"")</f>
        <v/>
      </c>
      <c r="BI212" s="185" t="str">
        <f>_xlfn.IFNA(VLOOKUP($BC212,Programma!$F$3:$L$1101,7,0),"")</f>
        <v/>
      </c>
      <c r="BJ212" s="185" t="str">
        <f>_xlfn.IFNA(VLOOKUP($BC212,Programma!$F$3:$M$1101,8,0),"")</f>
        <v/>
      </c>
      <c r="BK212" s="185" t="str">
        <f>_xlfn.IFNA(VLOOKUP($BC212,Programma!$F$3:$N$1101,9,0),"")</f>
        <v/>
      </c>
      <c r="BL212" s="185" t="str">
        <f>_xlfn.IFNA(VLOOKUP($BC212,Programma!$F$3:$O$1101,10,0),"")</f>
        <v/>
      </c>
      <c r="BM212" s="185" t="str">
        <f>_xlfn.IFNA(VLOOKUP($BC212,Programma!$F$3:$P$1101,11,0),"")</f>
        <v/>
      </c>
      <c r="BN212" s="185" t="str">
        <f>_xlfn.IFNA(VLOOKUP($BC212,Programma!$F$3:$Q$1101,12,0),"")</f>
        <v/>
      </c>
      <c r="BO212" s="185" t="str">
        <f>_xlfn.IFNA(VLOOKUP($BC212,Programma!$F$3:$R$1101,13,0),"")</f>
        <v/>
      </c>
      <c r="BP212" s="185" t="str">
        <f>_xlfn.IFNA(VLOOKUP($BC212,Programma!$F$3:$S$1101,14,0),"")</f>
        <v/>
      </c>
      <c r="BQ212" s="185" t="str">
        <f>_xlfn.IFNA(VLOOKUP($BC212,Programma!$F$3:$T$1101,15,0),"")</f>
        <v/>
      </c>
      <c r="BR212" s="185" t="str">
        <f>_xlfn.IFNA(VLOOKUP($BC212,Programma!$F$3:$U$1101,16,0),"")</f>
        <v/>
      </c>
      <c r="BS212" s="185" t="str">
        <f>_xlfn.IFNA(VLOOKUP($BC212,Programma!$F$3:$V$1101,17,0),"")</f>
        <v/>
      </c>
      <c r="BT212" s="185" t="str">
        <f>_xlfn.IFNA(VLOOKUP($BC212,Programma!$F$3:$W$1101,18,0),"")</f>
        <v/>
      </c>
      <c r="BU212" s="185" t="str">
        <f>_xlfn.IFNA(VLOOKUP($BC212,Programma!$F$3:$X$1101,19,0),"")</f>
        <v/>
      </c>
      <c r="BV212" s="185" t="str">
        <f>_xlfn.IFNA(VLOOKUP($BC212,Programma!$F$3:$Y$1101,20,0),"")</f>
        <v/>
      </c>
      <c r="BW212" s="78"/>
      <c r="BX212" s="78"/>
      <c r="BY212" s="78"/>
      <c r="BZ212" s="78"/>
      <c r="CA212" s="78"/>
      <c r="CB212" s="78"/>
      <c r="CC212" s="78"/>
      <c r="CD212" s="78"/>
      <c r="CE212" s="78"/>
      <c r="CF212" s="78"/>
      <c r="CG212" s="78"/>
      <c r="CH212" s="78"/>
      <c r="CI212" s="78"/>
      <c r="CJ212" s="78"/>
      <c r="CK212" s="78"/>
      <c r="CL212" s="78"/>
      <c r="CM212" s="78"/>
      <c r="CN212" s="78"/>
      <c r="CO212" s="78"/>
      <c r="CP212" s="78"/>
      <c r="CQ212" s="78"/>
      <c r="CR212" s="78"/>
      <c r="CS212" s="78"/>
      <c r="CT212" s="78"/>
      <c r="CU212" s="78"/>
      <c r="CV212" s="78"/>
      <c r="CW212" s="78"/>
      <c r="CX212" s="78"/>
      <c r="CY212" s="78"/>
      <c r="CZ212" s="78"/>
      <c r="DA212" s="78"/>
      <c r="DB212" s="78"/>
      <c r="DC212" s="78"/>
      <c r="DD212" s="78"/>
      <c r="DE212" s="78"/>
      <c r="DF212" s="78"/>
      <c r="DG212" s="78"/>
      <c r="DH212" s="78"/>
      <c r="DI212" s="78"/>
      <c r="DJ212" s="78"/>
      <c r="DK212" s="78"/>
      <c r="DL212" s="78"/>
      <c r="DM212" s="78"/>
      <c r="DN212" s="78"/>
      <c r="DO212" s="78"/>
      <c r="DP212" s="78"/>
      <c r="DQ212" s="78"/>
      <c r="DR212" s="78"/>
      <c r="DS212" s="78"/>
      <c r="DT212" s="78"/>
      <c r="DU212" s="78"/>
      <c r="DV212" s="78"/>
      <c r="DW212" s="78"/>
      <c r="DX212" s="78"/>
      <c r="DY212" s="78"/>
      <c r="DZ212" s="78"/>
      <c r="EA212" s="78"/>
      <c r="EB212" s="78"/>
      <c r="EC212" s="78"/>
      <c r="ED212" s="78"/>
      <c r="EE212" s="78"/>
      <c r="EF212" s="78"/>
      <c r="EG212" s="78"/>
      <c r="EH212" s="78"/>
      <c r="EI212" s="78"/>
      <c r="EJ212" s="78"/>
      <c r="EK212" s="78"/>
      <c r="EL212" s="78"/>
      <c r="EM212" s="78"/>
      <c r="EN212" s="78"/>
      <c r="EO212" s="78"/>
      <c r="EP212" s="78"/>
      <c r="EQ212" s="78"/>
      <c r="ER212" s="78"/>
      <c r="ES212" s="78"/>
      <c r="ET212" s="78"/>
      <c r="EU212" s="78"/>
      <c r="EV212" s="78"/>
      <c r="EW212" s="78"/>
      <c r="EX212" s="78"/>
      <c r="EY212" s="78"/>
      <c r="EZ212" s="78"/>
      <c r="FA212" s="78"/>
      <c r="FB212" s="78"/>
      <c r="FC212" s="78"/>
      <c r="FD212" s="78"/>
      <c r="FE212" s="78"/>
      <c r="FF212" s="78"/>
      <c r="FG212" s="78"/>
      <c r="FH212" s="78"/>
      <c r="FI212" s="78"/>
      <c r="FJ212" s="78"/>
      <c r="FK212" s="78"/>
      <c r="FL212" s="78"/>
      <c r="FM212" s="78"/>
      <c r="FN212" s="78"/>
      <c r="FO212" s="78"/>
      <c r="FP212" s="78"/>
      <c r="FQ212" s="78"/>
      <c r="FR212" s="78"/>
      <c r="FS212" s="78"/>
      <c r="FT212" s="78"/>
      <c r="FU212" s="78"/>
      <c r="FV212" s="78"/>
      <c r="FW212" s="78"/>
      <c r="FX212" s="78"/>
      <c r="FY212" s="78"/>
      <c r="FZ212" s="78"/>
      <c r="GA212" s="78"/>
      <c r="GB212" s="78"/>
      <c r="GC212" s="78"/>
      <c r="GD212" s="78"/>
      <c r="GE212" s="78"/>
      <c r="GF212" s="78"/>
      <c r="GG212" s="78"/>
      <c r="GH212" s="78"/>
      <c r="GI212" s="78"/>
      <c r="GJ212" s="78"/>
      <c r="GK212" s="78"/>
      <c r="GL212" s="78"/>
      <c r="GM212" s="78"/>
      <c r="GN212" s="78"/>
      <c r="GO212" s="78"/>
      <c r="GP212" s="78"/>
      <c r="GQ212" s="78"/>
      <c r="GR212" s="78"/>
      <c r="GS212" s="78"/>
      <c r="GT212" s="78"/>
      <c r="GU212" s="78"/>
      <c r="GV212" s="78"/>
      <c r="GW212" s="78"/>
      <c r="GX212" s="78"/>
      <c r="GY212" s="78"/>
      <c r="GZ212" s="78"/>
      <c r="HA212" s="78"/>
      <c r="HB212" s="78"/>
      <c r="HC212" s="78"/>
      <c r="HD212" s="78"/>
      <c r="HE212" s="78"/>
      <c r="HF212" s="78"/>
      <c r="HG212" s="78"/>
      <c r="HH212" s="78"/>
      <c r="HI212" s="78"/>
      <c r="HJ212" s="78"/>
      <c r="HK212" s="78"/>
    </row>
    <row r="213" spans="1:219" ht="15" customHeight="1">
      <c r="A213" s="149">
        <v>6</v>
      </c>
      <c r="B213" s="176" t="str">
        <f>VLOOKUP(Ruimtestaat[[#This Row],[Code]],Locaties[[Code]:[Locatie]],2,FALSE)</f>
        <v>OBS La Res Noord</v>
      </c>
      <c r="C213" s="176" t="str">
        <f>VLOOKUP(Ruimtestaat[[#This Row],[Code]],Locaties[[#All],[Code]:[Adres]],4,FALSE)</f>
        <v>Schietbaanweg 30</v>
      </c>
      <c r="D213" s="176" t="str">
        <f>VLOOKUP(Ruimtestaat[[#This Row],[Code]],Locaties[[#All],[Code]:[Postcode]],5,FALSE)</f>
        <v>7521 DB</v>
      </c>
      <c r="E213" s="176" t="str">
        <f>VLOOKUP(Ruimtestaat[[#This Row],[Code]],Locaties[#All],6,FALSE)</f>
        <v>Enschede</v>
      </c>
      <c r="F213" s="149"/>
      <c r="G213" s="149"/>
      <c r="H213" s="99" t="s">
        <v>1881</v>
      </c>
      <c r="I213" s="183" t="s">
        <v>1683</v>
      </c>
      <c r="J213" s="99">
        <v>20</v>
      </c>
      <c r="K213" s="183" t="str">
        <f>VLOOKUP(Ruimtestaat[[#This Row],[Ruimte code]],Ruimtegroepen[[#All],[Code]:[Ruimte omschrijving]],2,FALSE)</f>
        <v>Niet in Onderhoud</v>
      </c>
      <c r="L213" s="149" t="s">
        <v>101</v>
      </c>
      <c r="M213" s="301" t="s">
        <v>1698</v>
      </c>
      <c r="N213" s="177"/>
      <c r="O213" s="177">
        <v>4</v>
      </c>
      <c r="P213" s="178">
        <f>VLOOKUP(Ruimtestaat[[#This Row],[Ruimte code]],Ruimtegroepen[],4,FALSE)</f>
        <v>0</v>
      </c>
      <c r="Q213" s="149"/>
      <c r="R213" s="149"/>
      <c r="S213" s="149">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3" s="149">
        <f>IF(S213&gt;0,VLOOKUP($J213,Ruimtegroepen[],3,FALSE)*VLOOKUP($L213,Vloersoorten[],3,FALSE)*VLOOKUP($R213,Frequenties[],3,FALSE)*VLOOKUP($A213,Locaties[],3,FALSE),0)</f>
        <v>0</v>
      </c>
      <c r="U213" s="149">
        <f>Ruimtestaat[[#This Row],[Uitvoeringen werkdagen]]*Ruimtestaat[[#This Row],[Oppervlak (netto)]]</f>
        <v>0</v>
      </c>
      <c r="V213" s="179">
        <f>IF(T213&gt;0,Ruimtestaat[[#This Row],[Prest. (m2 /jaar) werkdagen]]/Ruimtestaat[[#This Row],[Norm (m2/uur) werkdagen]],0)</f>
        <v>0</v>
      </c>
      <c r="W213" s="180">
        <f>Ruimtestaat[[#This Row],[uren / jaar werkdagen]]*Tariefsopbouw!$E$35</f>
        <v>0</v>
      </c>
      <c r="X213" s="149"/>
      <c r="Y213" s="149">
        <f>IF(Ruimtestaat[[#This Row],[Frequentie weekend]]&gt;0,VALUE(LEFT(X213,1))*Q213,0)</f>
        <v>0</v>
      </c>
      <c r="Z213" s="148">
        <f>IF($Y213&gt;0,VLOOKUP($J213,Ruimtegroepen[],3,FALSE)*VLOOKUP($L213,Vloersoorten[],3,FALSE)*VLOOKUP($X213,Frequenties[],3,FALSE)*VLOOKUP(#REF!,Locaties[],3,FALSE),0)</f>
        <v>0</v>
      </c>
      <c r="AA213" s="148">
        <f>Ruimtestaat[[#This Row],[Uitvoeringen weekend]]*Ruimtestaat[[#This Row],[Oppervlak (netto)]]</f>
        <v>0</v>
      </c>
      <c r="AB213" s="148">
        <f>IF(Z213&gt;0,Ruimtestaat[[#This Row],[Prest. (m2 /jaar) weekend]]/Ruimtestaat[[#This Row],[Norm (m2/uur) weekend]],0)</f>
        <v>0</v>
      </c>
      <c r="AC213" s="180">
        <f>Ruimtestaat[[#This Row],[uren / jaar weekend]]*Tariefsopbouw!$D$40</f>
        <v>0</v>
      </c>
      <c r="AD213" s="179">
        <f>Ruimtestaat[[#This Row],[Prest. (m2 /jaar) weekend]]+Ruimtestaat[[#This Row],[Prest. (m2 /jaar) werkdagen]]</f>
        <v>0</v>
      </c>
      <c r="AE213" s="179">
        <f>Ruimtestaat[[#This Row],[uren / jaar weekend]]+Ruimtestaat[[#This Row],[uren / jaar werkdagen]]</f>
        <v>0</v>
      </c>
      <c r="AF213" s="174">
        <f>Ruimtestaat[[#This Row],[kosten / jaar weekend]]+Ruimtestaat[[#This Row],[kosten / jaar werkdagen]]</f>
        <v>0</v>
      </c>
      <c r="AG213" s="174"/>
      <c r="AH213" s="181" t="str">
        <f>IF(Ruimtestaat[[#This Row],[Frequentie werkdagen]]="","",_xlfn.CONCAT(Ruimtestaat[[#This Row],[Ruimte code]],"-",Ruimtestaat[[#This Row],[Frequentie werkdagen]]," ",Ruimtestaat[[#This Row],[Vloer code]]))</f>
        <v/>
      </c>
      <c r="AI213" s="185" t="str">
        <f>_xlfn.IFNA(VLOOKUP($AH213,Programma!$F$3:$G$1101,2,0),"")</f>
        <v/>
      </c>
      <c r="AJ213" s="185" t="str">
        <f>_xlfn.IFNA(VLOOKUP($AH213,Programma!$F$3:$H$1101,3,0),"")</f>
        <v/>
      </c>
      <c r="AK213" s="185" t="str">
        <f>_xlfn.IFNA(VLOOKUP($AH213,Programma!$F$3:$I$1101,4,0),"")</f>
        <v/>
      </c>
      <c r="AL213" s="185" t="str">
        <f>_xlfn.IFNA(VLOOKUP($AH213,Programma!$F$3:$J$1101,5,0),"")</f>
        <v/>
      </c>
      <c r="AM213" s="185" t="str">
        <f>_xlfn.IFNA(VLOOKUP($AH213,Programma!$F$3:$K$1101,6,0),"")</f>
        <v/>
      </c>
      <c r="AN213" s="185" t="str">
        <f>_xlfn.IFNA(VLOOKUP($AH213,Programma!$F$3:$L$1101,7,0),"")</f>
        <v/>
      </c>
      <c r="AO213" s="185" t="str">
        <f>_xlfn.IFNA(VLOOKUP($AH213,Programma!$F$3:$M$1101,8,0),"")</f>
        <v/>
      </c>
      <c r="AP213" s="185" t="str">
        <f>_xlfn.IFNA(VLOOKUP($AH213,Programma!$F$3:$N$1101,9,0),"")</f>
        <v/>
      </c>
      <c r="AQ213" s="185" t="str">
        <f>_xlfn.IFNA(VLOOKUP($AH213,Programma!$F$3:$O$1101,10,0),"")</f>
        <v/>
      </c>
      <c r="AR213" s="185" t="str">
        <f>_xlfn.IFNA(VLOOKUP($AH213,Programma!$F$3:$P$1101,11,0),"")</f>
        <v/>
      </c>
      <c r="AS213" s="185" t="str">
        <f>_xlfn.IFNA(VLOOKUP($AH213,Programma!$F$3:$Q$1101,12,0),"")</f>
        <v/>
      </c>
      <c r="AT213" s="185" t="str">
        <f>_xlfn.IFNA(VLOOKUP($AH213,Programma!$F$3:$R$1101,13,0),"")</f>
        <v/>
      </c>
      <c r="AU213" s="185" t="str">
        <f>_xlfn.IFNA(VLOOKUP($AH213,Programma!$F$3:$S$1101,14,0),"")</f>
        <v/>
      </c>
      <c r="AV213" s="185" t="str">
        <f>_xlfn.IFNA(VLOOKUP($AH213,Programma!$F$3:$T$1101,15,0),"")</f>
        <v/>
      </c>
      <c r="AW213" s="185" t="str">
        <f>_xlfn.IFNA(VLOOKUP($AH213,Programma!$F$3:$U$1101,16,0),"")</f>
        <v/>
      </c>
      <c r="AX213" s="185" t="str">
        <f>_xlfn.IFNA(VLOOKUP($AH213,Programma!$F$3:$V$1101,17,0),"")</f>
        <v/>
      </c>
      <c r="AY213" s="185" t="str">
        <f>_xlfn.IFNA(VLOOKUP($AH213,Programma!$F$3:$W$1101,18,0),"")</f>
        <v/>
      </c>
      <c r="AZ213" s="185" t="str">
        <f>_xlfn.IFNA(VLOOKUP($AH213,Programma!$F$3:$X$1101,19,0),"")</f>
        <v/>
      </c>
      <c r="BA213" s="185" t="str">
        <f>_xlfn.IFNA(VLOOKUP($AH213,Programma!$F$3:$Y$1101,20,0),"")</f>
        <v/>
      </c>
      <c r="BB213" s="182"/>
      <c r="BC213" s="181" t="str">
        <f>IF(Ruimtestaat[[#This Row],[Frequentie weekend]]="","",_xlfn.CONCAT(Ruimtestaat[[#This Row],[Ruimte code]],"-",Ruimtestaat[[#This Row],[Frequentie weekend]]," ",Ruimtestaat[[#This Row],[Vloer code]]))</f>
        <v/>
      </c>
      <c r="BD213" s="185" t="str">
        <f>_xlfn.IFNA(VLOOKUP($BC213,Programma!$F$3:$G$1101,2,0),"")</f>
        <v/>
      </c>
      <c r="BE213" s="185" t="str">
        <f>_xlfn.IFNA(VLOOKUP($BC213,Programma!$F$3:$H$1101,3,0),"")</f>
        <v/>
      </c>
      <c r="BF213" s="185" t="str">
        <f>_xlfn.IFNA(VLOOKUP($BC213,Programma!$F$3:$I$1101,4,0),"")</f>
        <v/>
      </c>
      <c r="BG213" s="185" t="str">
        <f>_xlfn.IFNA(VLOOKUP($BC213,Programma!$F$3:$J$1101,5,0),"")</f>
        <v/>
      </c>
      <c r="BH213" s="185" t="str">
        <f>_xlfn.IFNA(VLOOKUP($BC213,Programma!$F$3:$K$1101,6,0),"")</f>
        <v/>
      </c>
      <c r="BI213" s="185" t="str">
        <f>_xlfn.IFNA(VLOOKUP($BC213,Programma!$F$3:$L$1101,7,0),"")</f>
        <v/>
      </c>
      <c r="BJ213" s="185" t="str">
        <f>_xlfn.IFNA(VLOOKUP($BC213,Programma!$F$3:$M$1101,8,0),"")</f>
        <v/>
      </c>
      <c r="BK213" s="185" t="str">
        <f>_xlfn.IFNA(VLOOKUP($BC213,Programma!$F$3:$N$1101,9,0),"")</f>
        <v/>
      </c>
      <c r="BL213" s="185" t="str">
        <f>_xlfn.IFNA(VLOOKUP($BC213,Programma!$F$3:$O$1101,10,0),"")</f>
        <v/>
      </c>
      <c r="BM213" s="185" t="str">
        <f>_xlfn.IFNA(VLOOKUP($BC213,Programma!$F$3:$P$1101,11,0),"")</f>
        <v/>
      </c>
      <c r="BN213" s="185" t="str">
        <f>_xlfn.IFNA(VLOOKUP($BC213,Programma!$F$3:$Q$1101,12,0),"")</f>
        <v/>
      </c>
      <c r="BO213" s="185" t="str">
        <f>_xlfn.IFNA(VLOOKUP($BC213,Programma!$F$3:$R$1101,13,0),"")</f>
        <v/>
      </c>
      <c r="BP213" s="185" t="str">
        <f>_xlfn.IFNA(VLOOKUP($BC213,Programma!$F$3:$S$1101,14,0),"")</f>
        <v/>
      </c>
      <c r="BQ213" s="185" t="str">
        <f>_xlfn.IFNA(VLOOKUP($BC213,Programma!$F$3:$T$1101,15,0),"")</f>
        <v/>
      </c>
      <c r="BR213" s="185" t="str">
        <f>_xlfn.IFNA(VLOOKUP($BC213,Programma!$F$3:$U$1101,16,0),"")</f>
        <v/>
      </c>
      <c r="BS213" s="185" t="str">
        <f>_xlfn.IFNA(VLOOKUP($BC213,Programma!$F$3:$V$1101,17,0),"")</f>
        <v/>
      </c>
      <c r="BT213" s="185" t="str">
        <f>_xlfn.IFNA(VLOOKUP($BC213,Programma!$F$3:$W$1101,18,0),"")</f>
        <v/>
      </c>
      <c r="BU213" s="185" t="str">
        <f>_xlfn.IFNA(VLOOKUP($BC213,Programma!$F$3:$X$1101,19,0),"")</f>
        <v/>
      </c>
      <c r="BV213" s="185" t="str">
        <f>_xlfn.IFNA(VLOOKUP($BC213,Programma!$F$3:$Y$1101,20,0),"")</f>
        <v/>
      </c>
      <c r="BW213" s="78"/>
      <c r="BX213" s="78"/>
      <c r="BY213" s="78"/>
      <c r="BZ213" s="78"/>
      <c r="CA213" s="78"/>
      <c r="CB213" s="78"/>
      <c r="CC213" s="78"/>
      <c r="CD213" s="78"/>
      <c r="CE213" s="78"/>
      <c r="CF213" s="78"/>
      <c r="CG213" s="78"/>
      <c r="CH213" s="78"/>
      <c r="CI213" s="78"/>
      <c r="CJ213" s="78"/>
      <c r="CK213" s="78"/>
      <c r="CL213" s="78"/>
      <c r="CM213" s="78"/>
      <c r="CN213" s="78"/>
      <c r="CO213" s="78"/>
      <c r="CP213" s="78"/>
      <c r="CQ213" s="78"/>
      <c r="CR213" s="78"/>
      <c r="CS213" s="78"/>
      <c r="CT213" s="78"/>
      <c r="CU213" s="78"/>
      <c r="CV213" s="78"/>
      <c r="CW213" s="78"/>
      <c r="CX213" s="78"/>
      <c r="CY213" s="78"/>
      <c r="CZ213" s="78"/>
      <c r="DA213" s="78"/>
      <c r="DB213" s="78"/>
      <c r="DC213" s="78"/>
      <c r="DD213" s="78"/>
      <c r="DE213" s="78"/>
      <c r="DF213" s="78"/>
      <c r="DG213" s="78"/>
      <c r="DH213" s="78"/>
      <c r="DI213" s="78"/>
      <c r="DJ213" s="78"/>
      <c r="DK213" s="78"/>
      <c r="DL213" s="78"/>
      <c r="DM213" s="78"/>
      <c r="DN213" s="78"/>
      <c r="DO213" s="78"/>
      <c r="DP213" s="78"/>
      <c r="DQ213" s="78"/>
      <c r="DR213" s="78"/>
      <c r="DS213" s="78"/>
      <c r="DT213" s="78"/>
      <c r="DU213" s="78"/>
      <c r="DV213" s="78"/>
      <c r="DW213" s="78"/>
      <c r="DX213" s="78"/>
      <c r="DY213" s="78"/>
      <c r="DZ213" s="78"/>
      <c r="EA213" s="78"/>
      <c r="EB213" s="78"/>
      <c r="EC213" s="78"/>
      <c r="ED213" s="78"/>
      <c r="EE213" s="78"/>
      <c r="EF213" s="78"/>
      <c r="EG213" s="78"/>
      <c r="EH213" s="78"/>
      <c r="EI213" s="78"/>
      <c r="EJ213" s="78"/>
      <c r="EK213" s="78"/>
      <c r="EL213" s="78"/>
      <c r="EM213" s="78"/>
      <c r="EN213" s="78"/>
      <c r="EO213" s="78"/>
      <c r="EP213" s="78"/>
      <c r="EQ213" s="78"/>
      <c r="ER213" s="78"/>
      <c r="ES213" s="78"/>
      <c r="ET213" s="78"/>
      <c r="EU213" s="78"/>
      <c r="EV213" s="78"/>
      <c r="EW213" s="78"/>
      <c r="EX213" s="78"/>
      <c r="EY213" s="78"/>
      <c r="EZ213" s="78"/>
      <c r="FA213" s="78"/>
      <c r="FB213" s="78"/>
      <c r="FC213" s="78"/>
      <c r="FD213" s="78"/>
      <c r="FE213" s="78"/>
      <c r="FF213" s="78"/>
      <c r="FG213" s="78"/>
      <c r="FH213" s="78"/>
      <c r="FI213" s="78"/>
      <c r="FJ213" s="78"/>
      <c r="FK213" s="78"/>
      <c r="FL213" s="78"/>
      <c r="FM213" s="78"/>
      <c r="FN213" s="78"/>
      <c r="FO213" s="78"/>
      <c r="FP213" s="78"/>
      <c r="FQ213" s="78"/>
      <c r="FR213" s="78"/>
      <c r="FS213" s="78"/>
      <c r="FT213" s="78"/>
      <c r="FU213" s="78"/>
      <c r="FV213" s="78"/>
      <c r="FW213" s="78"/>
      <c r="FX213" s="78"/>
      <c r="FY213" s="78"/>
      <c r="FZ213" s="78"/>
      <c r="GA213" s="78"/>
      <c r="GB213" s="78"/>
      <c r="GC213" s="78"/>
      <c r="GD213" s="78"/>
      <c r="GE213" s="78"/>
      <c r="GF213" s="78"/>
      <c r="GG213" s="78"/>
      <c r="GH213" s="78"/>
      <c r="GI213" s="78"/>
      <c r="GJ213" s="78"/>
      <c r="GK213" s="78"/>
      <c r="GL213" s="78"/>
      <c r="GM213" s="78"/>
      <c r="GN213" s="78"/>
      <c r="GO213" s="78"/>
      <c r="GP213" s="78"/>
      <c r="GQ213" s="78"/>
      <c r="GR213" s="78"/>
      <c r="GS213" s="78"/>
      <c r="GT213" s="78"/>
      <c r="GU213" s="78"/>
      <c r="GV213" s="78"/>
      <c r="GW213" s="78"/>
      <c r="GX213" s="78"/>
      <c r="GY213" s="78"/>
      <c r="GZ213" s="78"/>
      <c r="HA213" s="78"/>
      <c r="HB213" s="78"/>
      <c r="HC213" s="78"/>
      <c r="HD213" s="78"/>
      <c r="HE213" s="78"/>
      <c r="HF213" s="78"/>
      <c r="HG213" s="78"/>
      <c r="HH213" s="78"/>
      <c r="HI213" s="78"/>
      <c r="HJ213" s="78"/>
      <c r="HK213" s="78"/>
    </row>
    <row r="214" spans="1:219" ht="15" customHeight="1">
      <c r="A214" s="149">
        <v>6</v>
      </c>
      <c r="B214" s="176" t="str">
        <f>VLOOKUP(Ruimtestaat[[#This Row],[Code]],Locaties[[Code]:[Locatie]],2,FALSE)</f>
        <v>OBS La Res Noord</v>
      </c>
      <c r="C214" s="176" t="str">
        <f>VLOOKUP(Ruimtestaat[[#This Row],[Code]],Locaties[[#All],[Code]:[Adres]],4,FALSE)</f>
        <v>Schietbaanweg 30</v>
      </c>
      <c r="D214" s="176" t="str">
        <f>VLOOKUP(Ruimtestaat[[#This Row],[Code]],Locaties[[#All],[Code]:[Postcode]],5,FALSE)</f>
        <v>7521 DB</v>
      </c>
      <c r="E214" s="176" t="str">
        <f>VLOOKUP(Ruimtestaat[[#This Row],[Code]],Locaties[#All],6,FALSE)</f>
        <v>Enschede</v>
      </c>
      <c r="F214" s="149"/>
      <c r="G214" s="149"/>
      <c r="H214" s="99" t="s">
        <v>1882</v>
      </c>
      <c r="I214" s="183" t="s">
        <v>1683</v>
      </c>
      <c r="J214" s="99">
        <v>20</v>
      </c>
      <c r="K214" s="183" t="str">
        <f>VLOOKUP(Ruimtestaat[[#This Row],[Ruimte code]],Ruimtegroepen[[#All],[Code]:[Ruimte omschrijving]],2,FALSE)</f>
        <v>Niet in Onderhoud</v>
      </c>
      <c r="L214" s="149" t="s">
        <v>101</v>
      </c>
      <c r="M214" s="301" t="s">
        <v>1698</v>
      </c>
      <c r="N214" s="177"/>
      <c r="O214" s="177">
        <v>11</v>
      </c>
      <c r="P214" s="178">
        <f>VLOOKUP(Ruimtestaat[[#This Row],[Ruimte code]],Ruimtegroepen[],4,FALSE)</f>
        <v>0</v>
      </c>
      <c r="Q214" s="149"/>
      <c r="R214" s="149"/>
      <c r="S214" s="149">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4" s="149">
        <f>IF(S214&gt;0,VLOOKUP($J214,Ruimtegroepen[],3,FALSE)*VLOOKUP($L214,Vloersoorten[],3,FALSE)*VLOOKUP($R214,Frequenties[],3,FALSE)*VLOOKUP($A214,Locaties[],3,FALSE),0)</f>
        <v>0</v>
      </c>
      <c r="U214" s="149">
        <f>Ruimtestaat[[#This Row],[Uitvoeringen werkdagen]]*Ruimtestaat[[#This Row],[Oppervlak (netto)]]</f>
        <v>0</v>
      </c>
      <c r="V214" s="179">
        <f>IF(T214&gt;0,Ruimtestaat[[#This Row],[Prest. (m2 /jaar) werkdagen]]/Ruimtestaat[[#This Row],[Norm (m2/uur) werkdagen]],0)</f>
        <v>0</v>
      </c>
      <c r="W214" s="180">
        <f>Ruimtestaat[[#This Row],[uren / jaar werkdagen]]*Tariefsopbouw!$E$35</f>
        <v>0</v>
      </c>
      <c r="X214" s="149"/>
      <c r="Y214" s="149">
        <f>IF(Ruimtestaat[[#This Row],[Frequentie weekend]]&gt;0,VALUE(LEFT(X214,1))*Q214,0)</f>
        <v>0</v>
      </c>
      <c r="Z214" s="148">
        <f>IF($Y214&gt;0,VLOOKUP($J214,Ruimtegroepen[],3,FALSE)*VLOOKUP($L214,Vloersoorten[],3,FALSE)*VLOOKUP($X214,Frequenties[],3,FALSE)*VLOOKUP(#REF!,Locaties[],3,FALSE),0)</f>
        <v>0</v>
      </c>
      <c r="AA214" s="148">
        <f>Ruimtestaat[[#This Row],[Uitvoeringen weekend]]*Ruimtestaat[[#This Row],[Oppervlak (netto)]]</f>
        <v>0</v>
      </c>
      <c r="AB214" s="148">
        <f>IF(Z214&gt;0,Ruimtestaat[[#This Row],[Prest. (m2 /jaar) weekend]]/Ruimtestaat[[#This Row],[Norm (m2/uur) weekend]],0)</f>
        <v>0</v>
      </c>
      <c r="AC214" s="180">
        <f>Ruimtestaat[[#This Row],[uren / jaar weekend]]*Tariefsopbouw!$D$40</f>
        <v>0</v>
      </c>
      <c r="AD214" s="179">
        <f>Ruimtestaat[[#This Row],[Prest. (m2 /jaar) weekend]]+Ruimtestaat[[#This Row],[Prest. (m2 /jaar) werkdagen]]</f>
        <v>0</v>
      </c>
      <c r="AE214" s="179">
        <f>Ruimtestaat[[#This Row],[uren / jaar weekend]]+Ruimtestaat[[#This Row],[uren / jaar werkdagen]]</f>
        <v>0</v>
      </c>
      <c r="AF214" s="174">
        <f>Ruimtestaat[[#This Row],[kosten / jaar weekend]]+Ruimtestaat[[#This Row],[kosten / jaar werkdagen]]</f>
        <v>0</v>
      </c>
      <c r="AG214" s="174"/>
      <c r="AH214" s="181" t="str">
        <f>IF(Ruimtestaat[[#This Row],[Frequentie werkdagen]]="","",_xlfn.CONCAT(Ruimtestaat[[#This Row],[Ruimte code]],"-",Ruimtestaat[[#This Row],[Frequentie werkdagen]]," ",Ruimtestaat[[#This Row],[Vloer code]]))</f>
        <v/>
      </c>
      <c r="AI214" s="185" t="str">
        <f>_xlfn.IFNA(VLOOKUP($AH214,Programma!$F$3:$G$1101,2,0),"")</f>
        <v/>
      </c>
      <c r="AJ214" s="185" t="str">
        <f>_xlfn.IFNA(VLOOKUP($AH214,Programma!$F$3:$H$1101,3,0),"")</f>
        <v/>
      </c>
      <c r="AK214" s="185" t="str">
        <f>_xlfn.IFNA(VLOOKUP($AH214,Programma!$F$3:$I$1101,4,0),"")</f>
        <v/>
      </c>
      <c r="AL214" s="185" t="str">
        <f>_xlfn.IFNA(VLOOKUP($AH214,Programma!$F$3:$J$1101,5,0),"")</f>
        <v/>
      </c>
      <c r="AM214" s="185" t="str">
        <f>_xlfn.IFNA(VLOOKUP($AH214,Programma!$F$3:$K$1101,6,0),"")</f>
        <v/>
      </c>
      <c r="AN214" s="185" t="str">
        <f>_xlfn.IFNA(VLOOKUP($AH214,Programma!$F$3:$L$1101,7,0),"")</f>
        <v/>
      </c>
      <c r="AO214" s="185" t="str">
        <f>_xlfn.IFNA(VLOOKUP($AH214,Programma!$F$3:$M$1101,8,0),"")</f>
        <v/>
      </c>
      <c r="AP214" s="185" t="str">
        <f>_xlfn.IFNA(VLOOKUP($AH214,Programma!$F$3:$N$1101,9,0),"")</f>
        <v/>
      </c>
      <c r="AQ214" s="185" t="str">
        <f>_xlfn.IFNA(VLOOKUP($AH214,Programma!$F$3:$O$1101,10,0),"")</f>
        <v/>
      </c>
      <c r="AR214" s="185" t="str">
        <f>_xlfn.IFNA(VLOOKUP($AH214,Programma!$F$3:$P$1101,11,0),"")</f>
        <v/>
      </c>
      <c r="AS214" s="185" t="str">
        <f>_xlfn.IFNA(VLOOKUP($AH214,Programma!$F$3:$Q$1101,12,0),"")</f>
        <v/>
      </c>
      <c r="AT214" s="185" t="str">
        <f>_xlfn.IFNA(VLOOKUP($AH214,Programma!$F$3:$R$1101,13,0),"")</f>
        <v/>
      </c>
      <c r="AU214" s="185" t="str">
        <f>_xlfn.IFNA(VLOOKUP($AH214,Programma!$F$3:$S$1101,14,0),"")</f>
        <v/>
      </c>
      <c r="AV214" s="185" t="str">
        <f>_xlfn.IFNA(VLOOKUP($AH214,Programma!$F$3:$T$1101,15,0),"")</f>
        <v/>
      </c>
      <c r="AW214" s="185" t="str">
        <f>_xlfn.IFNA(VLOOKUP($AH214,Programma!$F$3:$U$1101,16,0),"")</f>
        <v/>
      </c>
      <c r="AX214" s="185" t="str">
        <f>_xlfn.IFNA(VLOOKUP($AH214,Programma!$F$3:$V$1101,17,0),"")</f>
        <v/>
      </c>
      <c r="AY214" s="185" t="str">
        <f>_xlfn.IFNA(VLOOKUP($AH214,Programma!$F$3:$W$1101,18,0),"")</f>
        <v/>
      </c>
      <c r="AZ214" s="185" t="str">
        <f>_xlfn.IFNA(VLOOKUP($AH214,Programma!$F$3:$X$1101,19,0),"")</f>
        <v/>
      </c>
      <c r="BA214" s="185" t="str">
        <f>_xlfn.IFNA(VLOOKUP($AH214,Programma!$F$3:$Y$1101,20,0),"")</f>
        <v/>
      </c>
      <c r="BB214" s="182"/>
      <c r="BC214" s="181" t="str">
        <f>IF(Ruimtestaat[[#This Row],[Frequentie weekend]]="","",_xlfn.CONCAT(Ruimtestaat[[#This Row],[Ruimte code]],"-",Ruimtestaat[[#This Row],[Frequentie weekend]]," ",Ruimtestaat[[#This Row],[Vloer code]]))</f>
        <v/>
      </c>
      <c r="BD214" s="185" t="str">
        <f>_xlfn.IFNA(VLOOKUP($BC214,Programma!$F$3:$G$1101,2,0),"")</f>
        <v/>
      </c>
      <c r="BE214" s="185" t="str">
        <f>_xlfn.IFNA(VLOOKUP($BC214,Programma!$F$3:$H$1101,3,0),"")</f>
        <v/>
      </c>
      <c r="BF214" s="185" t="str">
        <f>_xlfn.IFNA(VLOOKUP($BC214,Programma!$F$3:$I$1101,4,0),"")</f>
        <v/>
      </c>
      <c r="BG214" s="185" t="str">
        <f>_xlfn.IFNA(VLOOKUP($BC214,Programma!$F$3:$J$1101,5,0),"")</f>
        <v/>
      </c>
      <c r="BH214" s="185" t="str">
        <f>_xlfn.IFNA(VLOOKUP($BC214,Programma!$F$3:$K$1101,6,0),"")</f>
        <v/>
      </c>
      <c r="BI214" s="185" t="str">
        <f>_xlfn.IFNA(VLOOKUP($BC214,Programma!$F$3:$L$1101,7,0),"")</f>
        <v/>
      </c>
      <c r="BJ214" s="185" t="str">
        <f>_xlfn.IFNA(VLOOKUP($BC214,Programma!$F$3:$M$1101,8,0),"")</f>
        <v/>
      </c>
      <c r="BK214" s="185" t="str">
        <f>_xlfn.IFNA(VLOOKUP($BC214,Programma!$F$3:$N$1101,9,0),"")</f>
        <v/>
      </c>
      <c r="BL214" s="185" t="str">
        <f>_xlfn.IFNA(VLOOKUP($BC214,Programma!$F$3:$O$1101,10,0),"")</f>
        <v/>
      </c>
      <c r="BM214" s="185" t="str">
        <f>_xlfn.IFNA(VLOOKUP($BC214,Programma!$F$3:$P$1101,11,0),"")</f>
        <v/>
      </c>
      <c r="BN214" s="185" t="str">
        <f>_xlfn.IFNA(VLOOKUP($BC214,Programma!$F$3:$Q$1101,12,0),"")</f>
        <v/>
      </c>
      <c r="BO214" s="185" t="str">
        <f>_xlfn.IFNA(VLOOKUP($BC214,Programma!$F$3:$R$1101,13,0),"")</f>
        <v/>
      </c>
      <c r="BP214" s="185" t="str">
        <f>_xlfn.IFNA(VLOOKUP($BC214,Programma!$F$3:$S$1101,14,0),"")</f>
        <v/>
      </c>
      <c r="BQ214" s="185" t="str">
        <f>_xlfn.IFNA(VLOOKUP($BC214,Programma!$F$3:$T$1101,15,0),"")</f>
        <v/>
      </c>
      <c r="BR214" s="185" t="str">
        <f>_xlfn.IFNA(VLOOKUP($BC214,Programma!$F$3:$U$1101,16,0),"")</f>
        <v/>
      </c>
      <c r="BS214" s="185" t="str">
        <f>_xlfn.IFNA(VLOOKUP($BC214,Programma!$F$3:$V$1101,17,0),"")</f>
        <v/>
      </c>
      <c r="BT214" s="185" t="str">
        <f>_xlfn.IFNA(VLOOKUP($BC214,Programma!$F$3:$W$1101,18,0),"")</f>
        <v/>
      </c>
      <c r="BU214" s="185" t="str">
        <f>_xlfn.IFNA(VLOOKUP($BC214,Programma!$F$3:$X$1101,19,0),"")</f>
        <v/>
      </c>
      <c r="BV214" s="185" t="str">
        <f>_xlfn.IFNA(VLOOKUP($BC214,Programma!$F$3:$Y$1101,20,0),"")</f>
        <v/>
      </c>
      <c r="BW214" s="78"/>
      <c r="BX214" s="78"/>
      <c r="BY214" s="78"/>
      <c r="BZ214" s="78"/>
      <c r="CA214" s="78"/>
      <c r="CB214" s="78"/>
      <c r="CC214" s="78"/>
      <c r="CD214" s="78"/>
      <c r="CE214" s="78"/>
      <c r="CF214" s="78"/>
      <c r="CG214" s="78"/>
      <c r="CH214" s="78"/>
      <c r="CI214" s="78"/>
      <c r="CJ214" s="78"/>
      <c r="CK214" s="78"/>
      <c r="CL214" s="78"/>
      <c r="CM214" s="78"/>
      <c r="CN214" s="78"/>
      <c r="CO214" s="78"/>
      <c r="CP214" s="78"/>
      <c r="CQ214" s="78"/>
      <c r="CR214" s="78"/>
      <c r="CS214" s="78"/>
      <c r="CT214" s="78"/>
      <c r="CU214" s="78"/>
      <c r="CV214" s="78"/>
      <c r="CW214" s="78"/>
      <c r="CX214" s="78"/>
      <c r="CY214" s="78"/>
      <c r="CZ214" s="78"/>
      <c r="DA214" s="78"/>
      <c r="DB214" s="78"/>
      <c r="DC214" s="78"/>
      <c r="DD214" s="78"/>
      <c r="DE214" s="78"/>
      <c r="DF214" s="78"/>
      <c r="DG214" s="78"/>
      <c r="DH214" s="78"/>
      <c r="DI214" s="78"/>
      <c r="DJ214" s="78"/>
      <c r="DK214" s="78"/>
      <c r="DL214" s="78"/>
      <c r="DM214" s="78"/>
      <c r="DN214" s="78"/>
      <c r="DO214" s="78"/>
      <c r="DP214" s="78"/>
      <c r="DQ214" s="78"/>
      <c r="DR214" s="78"/>
      <c r="DS214" s="78"/>
      <c r="DT214" s="78"/>
      <c r="DU214" s="78"/>
      <c r="DV214" s="78"/>
      <c r="DW214" s="78"/>
      <c r="DX214" s="78"/>
      <c r="DY214" s="78"/>
      <c r="DZ214" s="78"/>
      <c r="EA214" s="78"/>
      <c r="EB214" s="78"/>
      <c r="EC214" s="78"/>
      <c r="ED214" s="78"/>
      <c r="EE214" s="78"/>
      <c r="EF214" s="78"/>
      <c r="EG214" s="78"/>
      <c r="EH214" s="78"/>
      <c r="EI214" s="78"/>
      <c r="EJ214" s="78"/>
      <c r="EK214" s="78"/>
      <c r="EL214" s="78"/>
      <c r="EM214" s="78"/>
      <c r="EN214" s="78"/>
      <c r="EO214" s="78"/>
      <c r="EP214" s="78"/>
      <c r="EQ214" s="78"/>
      <c r="ER214" s="78"/>
      <c r="ES214" s="78"/>
      <c r="ET214" s="78"/>
      <c r="EU214" s="78"/>
      <c r="EV214" s="78"/>
      <c r="EW214" s="78"/>
      <c r="EX214" s="78"/>
      <c r="EY214" s="78"/>
      <c r="EZ214" s="78"/>
      <c r="FA214" s="78"/>
      <c r="FB214" s="78"/>
      <c r="FC214" s="78"/>
      <c r="FD214" s="78"/>
      <c r="FE214" s="78"/>
      <c r="FF214" s="78"/>
      <c r="FG214" s="78"/>
      <c r="FH214" s="78"/>
      <c r="FI214" s="78"/>
      <c r="FJ214" s="78"/>
      <c r="FK214" s="78"/>
      <c r="FL214" s="78"/>
      <c r="FM214" s="78"/>
      <c r="FN214" s="78"/>
      <c r="FO214" s="78"/>
      <c r="FP214" s="78"/>
      <c r="FQ214" s="78"/>
      <c r="FR214" s="78"/>
      <c r="FS214" s="78"/>
      <c r="FT214" s="78"/>
      <c r="FU214" s="78"/>
      <c r="FV214" s="78"/>
      <c r="FW214" s="78"/>
      <c r="FX214" s="78"/>
      <c r="FY214" s="78"/>
      <c r="FZ214" s="78"/>
      <c r="GA214" s="78"/>
      <c r="GB214" s="78"/>
      <c r="GC214" s="78"/>
      <c r="GD214" s="78"/>
      <c r="GE214" s="78"/>
      <c r="GF214" s="78"/>
      <c r="GG214" s="78"/>
      <c r="GH214" s="78"/>
      <c r="GI214" s="78"/>
      <c r="GJ214" s="78"/>
      <c r="GK214" s="78"/>
      <c r="GL214" s="78"/>
      <c r="GM214" s="78"/>
      <c r="GN214" s="78"/>
      <c r="GO214" s="78"/>
      <c r="GP214" s="78"/>
      <c r="GQ214" s="78"/>
      <c r="GR214" s="78"/>
      <c r="GS214" s="78"/>
      <c r="GT214" s="78"/>
      <c r="GU214" s="78"/>
      <c r="GV214" s="78"/>
      <c r="GW214" s="78"/>
      <c r="GX214" s="78"/>
      <c r="GY214" s="78"/>
      <c r="GZ214" s="78"/>
      <c r="HA214" s="78"/>
      <c r="HB214" s="78"/>
      <c r="HC214" s="78"/>
      <c r="HD214" s="78"/>
      <c r="HE214" s="78"/>
      <c r="HF214" s="78"/>
      <c r="HG214" s="78"/>
      <c r="HH214" s="78"/>
      <c r="HI214" s="78"/>
      <c r="HJ214" s="78"/>
      <c r="HK214" s="78"/>
    </row>
    <row r="215" spans="1:219" ht="15" customHeight="1">
      <c r="A215" s="149">
        <v>6</v>
      </c>
      <c r="B215" s="176" t="str">
        <f>VLOOKUP(Ruimtestaat[[#This Row],[Code]],Locaties[[Code]:[Locatie]],2,FALSE)</f>
        <v>OBS La Res Noord</v>
      </c>
      <c r="C215" s="176" t="str">
        <f>VLOOKUP(Ruimtestaat[[#This Row],[Code]],Locaties[[#All],[Code]:[Adres]],4,FALSE)</f>
        <v>Schietbaanweg 30</v>
      </c>
      <c r="D215" s="176" t="str">
        <f>VLOOKUP(Ruimtestaat[[#This Row],[Code]],Locaties[[#All],[Code]:[Postcode]],5,FALSE)</f>
        <v>7521 DB</v>
      </c>
      <c r="E215" s="176" t="str">
        <f>VLOOKUP(Ruimtestaat[[#This Row],[Code]],Locaties[#All],6,FALSE)</f>
        <v>Enschede</v>
      </c>
      <c r="F215" s="149"/>
      <c r="G215" s="149"/>
      <c r="H215" s="99" t="s">
        <v>1883</v>
      </c>
      <c r="I215" s="183" t="s">
        <v>1683</v>
      </c>
      <c r="J215" s="99">
        <v>20</v>
      </c>
      <c r="K215" s="183" t="str">
        <f>VLOOKUP(Ruimtestaat[[#This Row],[Ruimte code]],Ruimtegroepen[[#All],[Code]:[Ruimte omschrijving]],2,FALSE)</f>
        <v>Niet in Onderhoud</v>
      </c>
      <c r="L215" s="149" t="s">
        <v>101</v>
      </c>
      <c r="M215" s="301" t="s">
        <v>1698</v>
      </c>
      <c r="N215" s="177"/>
      <c r="O215" s="177">
        <v>5</v>
      </c>
      <c r="P215" s="178">
        <f>VLOOKUP(Ruimtestaat[[#This Row],[Ruimte code]],Ruimtegroepen[],4,FALSE)</f>
        <v>0</v>
      </c>
      <c r="Q215" s="149"/>
      <c r="R215" s="149"/>
      <c r="S215" s="149">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5" s="149">
        <f>IF(S215&gt;0,VLOOKUP($J215,Ruimtegroepen[],3,FALSE)*VLOOKUP($L215,Vloersoorten[],3,FALSE)*VLOOKUP($R215,Frequenties[],3,FALSE)*VLOOKUP($A215,Locaties[],3,FALSE),0)</f>
        <v>0</v>
      </c>
      <c r="U215" s="149">
        <f>Ruimtestaat[[#This Row],[Uitvoeringen werkdagen]]*Ruimtestaat[[#This Row],[Oppervlak (netto)]]</f>
        <v>0</v>
      </c>
      <c r="V215" s="179">
        <f>IF(T215&gt;0,Ruimtestaat[[#This Row],[Prest. (m2 /jaar) werkdagen]]/Ruimtestaat[[#This Row],[Norm (m2/uur) werkdagen]],0)</f>
        <v>0</v>
      </c>
      <c r="W215" s="180">
        <f>Ruimtestaat[[#This Row],[uren / jaar werkdagen]]*Tariefsopbouw!$E$35</f>
        <v>0</v>
      </c>
      <c r="X215" s="149"/>
      <c r="Y215" s="149">
        <f>IF(Ruimtestaat[[#This Row],[Frequentie weekend]]&gt;0,VALUE(LEFT(X215,1))*Q215,0)</f>
        <v>0</v>
      </c>
      <c r="Z215" s="148">
        <f>IF($Y215&gt;0,VLOOKUP($J215,Ruimtegroepen[],3,FALSE)*VLOOKUP($L215,Vloersoorten[],3,FALSE)*VLOOKUP($X215,Frequenties[],3,FALSE)*VLOOKUP(#REF!,Locaties[],3,FALSE),0)</f>
        <v>0</v>
      </c>
      <c r="AA215" s="148">
        <f>Ruimtestaat[[#This Row],[Uitvoeringen weekend]]*Ruimtestaat[[#This Row],[Oppervlak (netto)]]</f>
        <v>0</v>
      </c>
      <c r="AB215" s="148">
        <f>IF(Z215&gt;0,Ruimtestaat[[#This Row],[Prest. (m2 /jaar) weekend]]/Ruimtestaat[[#This Row],[Norm (m2/uur) weekend]],0)</f>
        <v>0</v>
      </c>
      <c r="AC215" s="180">
        <f>Ruimtestaat[[#This Row],[uren / jaar weekend]]*Tariefsopbouw!$D$40</f>
        <v>0</v>
      </c>
      <c r="AD215" s="179">
        <f>Ruimtestaat[[#This Row],[Prest. (m2 /jaar) weekend]]+Ruimtestaat[[#This Row],[Prest. (m2 /jaar) werkdagen]]</f>
        <v>0</v>
      </c>
      <c r="AE215" s="179">
        <f>Ruimtestaat[[#This Row],[uren / jaar weekend]]+Ruimtestaat[[#This Row],[uren / jaar werkdagen]]</f>
        <v>0</v>
      </c>
      <c r="AF215" s="174">
        <f>Ruimtestaat[[#This Row],[kosten / jaar weekend]]+Ruimtestaat[[#This Row],[kosten / jaar werkdagen]]</f>
        <v>0</v>
      </c>
      <c r="AG215" s="174"/>
      <c r="AH215" s="181" t="str">
        <f>IF(Ruimtestaat[[#This Row],[Frequentie werkdagen]]="","",_xlfn.CONCAT(Ruimtestaat[[#This Row],[Ruimte code]],"-",Ruimtestaat[[#This Row],[Frequentie werkdagen]]," ",Ruimtestaat[[#This Row],[Vloer code]]))</f>
        <v/>
      </c>
      <c r="AI215" s="185" t="str">
        <f>_xlfn.IFNA(VLOOKUP($AH215,Programma!$F$3:$G$1101,2,0),"")</f>
        <v/>
      </c>
      <c r="AJ215" s="185" t="str">
        <f>_xlfn.IFNA(VLOOKUP($AH215,Programma!$F$3:$H$1101,3,0),"")</f>
        <v/>
      </c>
      <c r="AK215" s="185" t="str">
        <f>_xlfn.IFNA(VLOOKUP($AH215,Programma!$F$3:$I$1101,4,0),"")</f>
        <v/>
      </c>
      <c r="AL215" s="185" t="str">
        <f>_xlfn.IFNA(VLOOKUP($AH215,Programma!$F$3:$J$1101,5,0),"")</f>
        <v/>
      </c>
      <c r="AM215" s="185" t="str">
        <f>_xlfn.IFNA(VLOOKUP($AH215,Programma!$F$3:$K$1101,6,0),"")</f>
        <v/>
      </c>
      <c r="AN215" s="185" t="str">
        <f>_xlfn.IFNA(VLOOKUP($AH215,Programma!$F$3:$L$1101,7,0),"")</f>
        <v/>
      </c>
      <c r="AO215" s="185" t="str">
        <f>_xlfn.IFNA(VLOOKUP($AH215,Programma!$F$3:$M$1101,8,0),"")</f>
        <v/>
      </c>
      <c r="AP215" s="185" t="str">
        <f>_xlfn.IFNA(VLOOKUP($AH215,Programma!$F$3:$N$1101,9,0),"")</f>
        <v/>
      </c>
      <c r="AQ215" s="185" t="str">
        <f>_xlfn.IFNA(VLOOKUP($AH215,Programma!$F$3:$O$1101,10,0),"")</f>
        <v/>
      </c>
      <c r="AR215" s="185" t="str">
        <f>_xlfn.IFNA(VLOOKUP($AH215,Programma!$F$3:$P$1101,11,0),"")</f>
        <v/>
      </c>
      <c r="AS215" s="185" t="str">
        <f>_xlfn.IFNA(VLOOKUP($AH215,Programma!$F$3:$Q$1101,12,0),"")</f>
        <v/>
      </c>
      <c r="AT215" s="185" t="str">
        <f>_xlfn.IFNA(VLOOKUP($AH215,Programma!$F$3:$R$1101,13,0),"")</f>
        <v/>
      </c>
      <c r="AU215" s="185" t="str">
        <f>_xlfn.IFNA(VLOOKUP($AH215,Programma!$F$3:$S$1101,14,0),"")</f>
        <v/>
      </c>
      <c r="AV215" s="185" t="str">
        <f>_xlfn.IFNA(VLOOKUP($AH215,Programma!$F$3:$T$1101,15,0),"")</f>
        <v/>
      </c>
      <c r="AW215" s="185" t="str">
        <f>_xlfn.IFNA(VLOOKUP($AH215,Programma!$F$3:$U$1101,16,0),"")</f>
        <v/>
      </c>
      <c r="AX215" s="185" t="str">
        <f>_xlfn.IFNA(VLOOKUP($AH215,Programma!$F$3:$V$1101,17,0),"")</f>
        <v/>
      </c>
      <c r="AY215" s="185" t="str">
        <f>_xlfn.IFNA(VLOOKUP($AH215,Programma!$F$3:$W$1101,18,0),"")</f>
        <v/>
      </c>
      <c r="AZ215" s="185" t="str">
        <f>_xlfn.IFNA(VLOOKUP($AH215,Programma!$F$3:$X$1101,19,0),"")</f>
        <v/>
      </c>
      <c r="BA215" s="185" t="str">
        <f>_xlfn.IFNA(VLOOKUP($AH215,Programma!$F$3:$Y$1101,20,0),"")</f>
        <v/>
      </c>
      <c r="BB215" s="182"/>
      <c r="BC215" s="181" t="str">
        <f>IF(Ruimtestaat[[#This Row],[Frequentie weekend]]="","",_xlfn.CONCAT(Ruimtestaat[[#This Row],[Ruimte code]],"-",Ruimtestaat[[#This Row],[Frequentie weekend]]," ",Ruimtestaat[[#This Row],[Vloer code]]))</f>
        <v/>
      </c>
      <c r="BD215" s="185" t="str">
        <f>_xlfn.IFNA(VLOOKUP($BC215,Programma!$F$3:$G$1101,2,0),"")</f>
        <v/>
      </c>
      <c r="BE215" s="185" t="str">
        <f>_xlfn.IFNA(VLOOKUP($BC215,Programma!$F$3:$H$1101,3,0),"")</f>
        <v/>
      </c>
      <c r="BF215" s="185" t="str">
        <f>_xlfn.IFNA(VLOOKUP($BC215,Programma!$F$3:$I$1101,4,0),"")</f>
        <v/>
      </c>
      <c r="BG215" s="185" t="str">
        <f>_xlfn.IFNA(VLOOKUP($BC215,Programma!$F$3:$J$1101,5,0),"")</f>
        <v/>
      </c>
      <c r="BH215" s="185" t="str">
        <f>_xlfn.IFNA(VLOOKUP($BC215,Programma!$F$3:$K$1101,6,0),"")</f>
        <v/>
      </c>
      <c r="BI215" s="185" t="str">
        <f>_xlfn.IFNA(VLOOKUP($BC215,Programma!$F$3:$L$1101,7,0),"")</f>
        <v/>
      </c>
      <c r="BJ215" s="185" t="str">
        <f>_xlfn.IFNA(VLOOKUP($BC215,Programma!$F$3:$M$1101,8,0),"")</f>
        <v/>
      </c>
      <c r="BK215" s="185" t="str">
        <f>_xlfn.IFNA(VLOOKUP($BC215,Programma!$F$3:$N$1101,9,0),"")</f>
        <v/>
      </c>
      <c r="BL215" s="185" t="str">
        <f>_xlfn.IFNA(VLOOKUP($BC215,Programma!$F$3:$O$1101,10,0),"")</f>
        <v/>
      </c>
      <c r="BM215" s="185" t="str">
        <f>_xlfn.IFNA(VLOOKUP($BC215,Programma!$F$3:$P$1101,11,0),"")</f>
        <v/>
      </c>
      <c r="BN215" s="185" t="str">
        <f>_xlfn.IFNA(VLOOKUP($BC215,Programma!$F$3:$Q$1101,12,0),"")</f>
        <v/>
      </c>
      <c r="BO215" s="185" t="str">
        <f>_xlfn.IFNA(VLOOKUP($BC215,Programma!$F$3:$R$1101,13,0),"")</f>
        <v/>
      </c>
      <c r="BP215" s="185" t="str">
        <f>_xlfn.IFNA(VLOOKUP($BC215,Programma!$F$3:$S$1101,14,0),"")</f>
        <v/>
      </c>
      <c r="BQ215" s="185" t="str">
        <f>_xlfn.IFNA(VLOOKUP($BC215,Programma!$F$3:$T$1101,15,0),"")</f>
        <v/>
      </c>
      <c r="BR215" s="185" t="str">
        <f>_xlfn.IFNA(VLOOKUP($BC215,Programma!$F$3:$U$1101,16,0),"")</f>
        <v/>
      </c>
      <c r="BS215" s="185" t="str">
        <f>_xlfn.IFNA(VLOOKUP($BC215,Programma!$F$3:$V$1101,17,0),"")</f>
        <v/>
      </c>
      <c r="BT215" s="185" t="str">
        <f>_xlfn.IFNA(VLOOKUP($BC215,Programma!$F$3:$W$1101,18,0),"")</f>
        <v/>
      </c>
      <c r="BU215" s="185" t="str">
        <f>_xlfn.IFNA(VLOOKUP($BC215,Programma!$F$3:$X$1101,19,0),"")</f>
        <v/>
      </c>
      <c r="BV215" s="185" t="str">
        <f>_xlfn.IFNA(VLOOKUP($BC215,Programma!$F$3:$Y$1101,20,0),"")</f>
        <v/>
      </c>
      <c r="BW215" s="78"/>
      <c r="BX215" s="78"/>
      <c r="BY215" s="78"/>
      <c r="BZ215" s="78"/>
      <c r="CA215" s="78"/>
      <c r="CB215" s="78"/>
      <c r="CC215" s="78"/>
      <c r="CD215" s="78"/>
      <c r="CE215" s="78"/>
      <c r="CF215" s="78"/>
      <c r="CG215" s="78"/>
      <c r="CH215" s="78"/>
      <c r="CI215" s="78"/>
      <c r="CJ215" s="78"/>
      <c r="CK215" s="78"/>
      <c r="CL215" s="78"/>
      <c r="CM215" s="78"/>
      <c r="CN215" s="78"/>
      <c r="CO215" s="78"/>
      <c r="CP215" s="78"/>
      <c r="CQ215" s="78"/>
      <c r="CR215" s="78"/>
      <c r="CS215" s="78"/>
      <c r="CT215" s="78"/>
      <c r="CU215" s="78"/>
      <c r="CV215" s="78"/>
      <c r="CW215" s="78"/>
      <c r="CX215" s="78"/>
      <c r="CY215" s="78"/>
      <c r="CZ215" s="78"/>
      <c r="DA215" s="78"/>
      <c r="DB215" s="78"/>
      <c r="DC215" s="78"/>
      <c r="DD215" s="78"/>
      <c r="DE215" s="78"/>
      <c r="DF215" s="78"/>
      <c r="DG215" s="78"/>
      <c r="DH215" s="78"/>
      <c r="DI215" s="78"/>
      <c r="DJ215" s="78"/>
      <c r="DK215" s="78"/>
      <c r="DL215" s="78"/>
      <c r="DM215" s="78"/>
      <c r="DN215" s="78"/>
      <c r="DO215" s="78"/>
      <c r="DP215" s="78"/>
      <c r="DQ215" s="78"/>
      <c r="DR215" s="78"/>
      <c r="DS215" s="78"/>
      <c r="DT215" s="78"/>
      <c r="DU215" s="78"/>
      <c r="DV215" s="78"/>
      <c r="DW215" s="78"/>
      <c r="DX215" s="78"/>
      <c r="DY215" s="78"/>
      <c r="DZ215" s="78"/>
      <c r="EA215" s="78"/>
      <c r="EB215" s="78"/>
      <c r="EC215" s="78"/>
      <c r="ED215" s="78"/>
      <c r="EE215" s="78"/>
      <c r="EF215" s="78"/>
      <c r="EG215" s="78"/>
      <c r="EH215" s="78"/>
      <c r="EI215" s="78"/>
      <c r="EJ215" s="78"/>
      <c r="EK215" s="78"/>
      <c r="EL215" s="78"/>
      <c r="EM215" s="78"/>
      <c r="EN215" s="78"/>
      <c r="EO215" s="78"/>
      <c r="EP215" s="78"/>
      <c r="EQ215" s="78"/>
      <c r="ER215" s="78"/>
      <c r="ES215" s="78"/>
      <c r="ET215" s="78"/>
      <c r="EU215" s="78"/>
      <c r="EV215" s="78"/>
      <c r="EW215" s="78"/>
      <c r="EX215" s="78"/>
      <c r="EY215" s="78"/>
      <c r="EZ215" s="78"/>
      <c r="FA215" s="78"/>
      <c r="FB215" s="78"/>
      <c r="FC215" s="78"/>
      <c r="FD215" s="78"/>
      <c r="FE215" s="78"/>
      <c r="FF215" s="78"/>
      <c r="FG215" s="78"/>
      <c r="FH215" s="78"/>
      <c r="FI215" s="78"/>
      <c r="FJ215" s="78"/>
      <c r="FK215" s="78"/>
      <c r="FL215" s="78"/>
      <c r="FM215" s="78"/>
      <c r="FN215" s="78"/>
      <c r="FO215" s="78"/>
      <c r="FP215" s="78"/>
      <c r="FQ215" s="78"/>
      <c r="FR215" s="78"/>
      <c r="FS215" s="78"/>
      <c r="FT215" s="78"/>
      <c r="FU215" s="78"/>
      <c r="FV215" s="78"/>
      <c r="FW215" s="78"/>
      <c r="FX215" s="78"/>
      <c r="FY215" s="78"/>
      <c r="FZ215" s="78"/>
      <c r="GA215" s="78"/>
      <c r="GB215" s="78"/>
      <c r="GC215" s="78"/>
      <c r="GD215" s="78"/>
      <c r="GE215" s="78"/>
      <c r="GF215" s="78"/>
      <c r="GG215" s="78"/>
      <c r="GH215" s="78"/>
      <c r="GI215" s="78"/>
      <c r="GJ215" s="78"/>
      <c r="GK215" s="78"/>
      <c r="GL215" s="78"/>
      <c r="GM215" s="78"/>
      <c r="GN215" s="78"/>
      <c r="GO215" s="78"/>
      <c r="GP215" s="78"/>
      <c r="GQ215" s="78"/>
      <c r="GR215" s="78"/>
      <c r="GS215" s="78"/>
      <c r="GT215" s="78"/>
      <c r="GU215" s="78"/>
      <c r="GV215" s="78"/>
      <c r="GW215" s="78"/>
      <c r="GX215" s="78"/>
      <c r="GY215" s="78"/>
      <c r="GZ215" s="78"/>
      <c r="HA215" s="78"/>
      <c r="HB215" s="78"/>
      <c r="HC215" s="78"/>
      <c r="HD215" s="78"/>
      <c r="HE215" s="78"/>
      <c r="HF215" s="78"/>
      <c r="HG215" s="78"/>
      <c r="HH215" s="78"/>
      <c r="HI215" s="78"/>
      <c r="HJ215" s="78"/>
      <c r="HK215" s="78"/>
    </row>
    <row r="216" spans="1:219" ht="15" customHeight="1">
      <c r="A216" s="99">
        <v>7</v>
      </c>
      <c r="B216" s="176" t="str">
        <f>VLOOKUP(Ruimtestaat[[#This Row],[Code]],Locaties[[Code]:[Locatie]],2,FALSE)</f>
        <v xml:space="preserve">OBS Molenbeek </v>
      </c>
      <c r="C216" s="176" t="str">
        <f>VLOOKUP(Ruimtestaat[[#This Row],[Code]],Locaties[[#All],[Code]:[Adres]],4,FALSE)</f>
        <v>Lammerinkweg 10</v>
      </c>
      <c r="D216" s="176" t="str">
        <f>VLOOKUP(Ruimtestaat[[#This Row],[Code]],Locaties[[#All],[Code]:[Postcode]],5,FALSE)</f>
        <v>7546 RD</v>
      </c>
      <c r="E216" s="176" t="str">
        <f>VLOOKUP(Ruimtestaat[[#This Row],[Code]],Locaties[#All],6,FALSE)</f>
        <v>Enschede</v>
      </c>
      <c r="F216" s="149"/>
      <c r="G216" s="149" t="s">
        <v>1646</v>
      </c>
      <c r="H216" s="99" t="s">
        <v>1647</v>
      </c>
      <c r="I216" s="183" t="s">
        <v>38</v>
      </c>
      <c r="J216" s="99">
        <v>7</v>
      </c>
      <c r="K216" s="183" t="str">
        <f>VLOOKUP(Ruimtestaat[[#This Row],[Ruimte code]],Ruimtegroepen[[#All],[Code]:[Ruimte omschrijving]],2,FALSE)</f>
        <v>Entree</v>
      </c>
      <c r="L216" s="149" t="s">
        <v>99</v>
      </c>
      <c r="M216" s="301" t="s">
        <v>1700</v>
      </c>
      <c r="N216" s="177">
        <v>4.9000000000000004</v>
      </c>
      <c r="O216" s="177"/>
      <c r="P216" s="178" t="str">
        <f>VLOOKUP(Ruimtestaat[[#This Row],[Ruimte code]],Ruimtegroepen[],4,FALSE)</f>
        <v>Ve</v>
      </c>
      <c r="Q216" s="149">
        <v>40</v>
      </c>
      <c r="R216" s="149" t="s">
        <v>2</v>
      </c>
      <c r="S216" s="149">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6" s="149">
        <f>IF(S216&gt;0,VLOOKUP($J216,Ruimtegroepen[],3,FALSE)*VLOOKUP($L216,Vloersoorten[],3,FALSE)*VLOOKUP($R216,Frequenties[],3,FALSE)*VLOOKUP($A216,Locaties[],3,FALSE),0)</f>
        <v>0</v>
      </c>
      <c r="U216" s="149">
        <f>Ruimtestaat[[#This Row],[Uitvoeringen werkdagen]]*Ruimtestaat[[#This Row],[Oppervlak (netto)]]</f>
        <v>980.00000000000011</v>
      </c>
      <c r="V216" s="179">
        <f>IF(T216&gt;0,Ruimtestaat[[#This Row],[Prest. (m2 /jaar) werkdagen]]/Ruimtestaat[[#This Row],[Norm (m2/uur) werkdagen]],0)</f>
        <v>0</v>
      </c>
      <c r="W216" s="180">
        <f>Ruimtestaat[[#This Row],[uren / jaar werkdagen]]*Tariefsopbouw!$E$35</f>
        <v>0</v>
      </c>
      <c r="X216" s="149"/>
      <c r="Y216" s="149">
        <f>IF(Ruimtestaat[[#This Row],[Frequentie weekend]]&gt;0,VALUE(LEFT(X216,1))*Q216,0)</f>
        <v>0</v>
      </c>
      <c r="Z216" s="148">
        <f>IF($Y216&gt;0,VLOOKUP($J216,Ruimtegroepen[],3,FALSE)*VLOOKUP($L216,Vloersoorten[],3,FALSE)*VLOOKUP($X216,Frequenties[],3,FALSE)*VLOOKUP(Ruimtestaat[[#This Row],[Code]],Locaties[],3,FALSE),0)</f>
        <v>0</v>
      </c>
      <c r="AA216" s="148">
        <f>Ruimtestaat[[#This Row],[Uitvoeringen weekend]]*Ruimtestaat[[#This Row],[Oppervlak (netto)]]</f>
        <v>0</v>
      </c>
      <c r="AB216" s="148">
        <f>IF(Z216&gt;0,Ruimtestaat[[#This Row],[Prest. (m2 /jaar) weekend]]/Ruimtestaat[[#This Row],[Norm (m2/uur) weekend]],0)</f>
        <v>0</v>
      </c>
      <c r="AC216" s="180">
        <f>Ruimtestaat[[#This Row],[uren / jaar weekend]]*Tariefsopbouw!$D$40</f>
        <v>0</v>
      </c>
      <c r="AD216" s="179">
        <f>Ruimtestaat[[#This Row],[Prest. (m2 /jaar) weekend]]+Ruimtestaat[[#This Row],[Prest. (m2 /jaar) werkdagen]]</f>
        <v>980.00000000000011</v>
      </c>
      <c r="AE216" s="179">
        <f>Ruimtestaat[[#This Row],[uren / jaar weekend]]+Ruimtestaat[[#This Row],[uren / jaar werkdagen]]</f>
        <v>0</v>
      </c>
      <c r="AF216" s="174">
        <f>Ruimtestaat[[#This Row],[kosten / jaar weekend]]+Ruimtestaat[[#This Row],[kosten / jaar werkdagen]]</f>
        <v>0</v>
      </c>
      <c r="AG216" s="174"/>
      <c r="AH216" s="181" t="str">
        <f>IF(Ruimtestaat[[#This Row],[Frequentie werkdagen]]="","",_xlfn.CONCAT(Ruimtestaat[[#This Row],[Ruimte code]],"-",Ruimtestaat[[#This Row],[Frequentie werkdagen]]," ",Ruimtestaat[[#This Row],[Vloer code]]))</f>
        <v>7-5w T</v>
      </c>
      <c r="AI216" s="185" t="str">
        <f>_xlfn.IFNA(VLOOKUP($AH216,Programma!$F$3:$G$1101,2,0),"")</f>
        <v>_</v>
      </c>
      <c r="AJ216" s="185" t="str">
        <f>_xlfn.IFNA(VLOOKUP($AH216,Programma!$F$3:$H$1101,3,0),"")</f>
        <v>5w</v>
      </c>
      <c r="AK216" s="185" t="str">
        <f>_xlfn.IFNA(VLOOKUP($AH216,Programma!$F$3:$I$1101,4,0),"")</f>
        <v>_</v>
      </c>
      <c r="AL216" s="185" t="str">
        <f>_xlfn.IFNA(VLOOKUP($AH216,Programma!$F$3:$J$1101,5,0),"")</f>
        <v>_</v>
      </c>
      <c r="AM216" s="185" t="str">
        <f>_xlfn.IFNA(VLOOKUP($AH216,Programma!$F$3:$K$1101,6,0),"")</f>
        <v>_</v>
      </c>
      <c r="AN216" s="185" t="str">
        <f>_xlfn.IFNA(VLOOKUP($AH216,Programma!$F$3:$L$1101,7,0),"")</f>
        <v>_</v>
      </c>
      <c r="AO216" s="185" t="str">
        <f>_xlfn.IFNA(VLOOKUP($AH216,Programma!$F$3:$M$1101,8,0),"")</f>
        <v>_</v>
      </c>
      <c r="AP216" s="185" t="str">
        <f>_xlfn.IFNA(VLOOKUP($AH216,Programma!$F$3:$N$1101,9,0),"")</f>
        <v>_</v>
      </c>
      <c r="AQ216" s="185" t="str">
        <f>_xlfn.IFNA(VLOOKUP($AH216,Programma!$F$3:$O$1101,10,0),"")</f>
        <v>5w</v>
      </c>
      <c r="AR216" s="185" t="str">
        <f>_xlfn.IFNA(VLOOKUP($AH216,Programma!$F$3:$P$1101,11,0),"")</f>
        <v>5w</v>
      </c>
      <c r="AS216" s="185" t="str">
        <f>_xlfn.IFNA(VLOOKUP($AH216,Programma!$F$3:$Q$1101,12,0),"")</f>
        <v>1w</v>
      </c>
      <c r="AT216" s="185" t="str">
        <f>_xlfn.IFNA(VLOOKUP($AH216,Programma!$F$3:$R$1101,13,0),"")</f>
        <v>1w</v>
      </c>
      <c r="AU216" s="185" t="str">
        <f>_xlfn.IFNA(VLOOKUP($AH216,Programma!$F$3:$S$1101,14,0),"")</f>
        <v>1m</v>
      </c>
      <c r="AV216" s="185" t="str">
        <f>_xlfn.IFNA(VLOOKUP($AH216,Programma!$F$3:$T$1101,15,0),"")</f>
        <v>2j</v>
      </c>
      <c r="AW216" s="185" t="str">
        <f>_xlfn.IFNA(VLOOKUP($AH216,Programma!$F$3:$U$1101,16,0),"")</f>
        <v>1j</v>
      </c>
      <c r="AX216" s="185" t="str">
        <f>_xlfn.IFNA(VLOOKUP($AH216,Programma!$F$3:$V$1101,17,0),"")</f>
        <v>_</v>
      </c>
      <c r="AY216" s="185" t="str">
        <f>_xlfn.IFNA(VLOOKUP($AH216,Programma!$F$3:$W$1101,18,0),"")</f>
        <v>_</v>
      </c>
      <c r="AZ216" s="185" t="str">
        <f>_xlfn.IFNA(VLOOKUP($AH216,Programma!$F$3:$X$1101,19,0),"")</f>
        <v>_</v>
      </c>
      <c r="BA216" s="185" t="str">
        <f>_xlfn.IFNA(VLOOKUP($AH216,Programma!$F$3:$Y$1101,20,0),"")</f>
        <v>_</v>
      </c>
      <c r="BB216" s="182"/>
      <c r="BC216" s="181" t="str">
        <f>IF(Ruimtestaat[[#This Row],[Frequentie weekend]]="","",_xlfn.CONCAT(Ruimtestaat[[#This Row],[Ruimte code]],"-",Ruimtestaat[[#This Row],[Frequentie weekend]]," ",Ruimtestaat[[#This Row],[Vloer code]]))</f>
        <v/>
      </c>
      <c r="BD216" s="185" t="str">
        <f>_xlfn.IFNA(VLOOKUP($BC216,Programma!$F$3:$G$1101,2,0),"")</f>
        <v/>
      </c>
      <c r="BE216" s="185" t="str">
        <f>_xlfn.IFNA(VLOOKUP($BC216,Programma!$F$3:$H$1101,3,0),"")</f>
        <v/>
      </c>
      <c r="BF216" s="185" t="str">
        <f>_xlfn.IFNA(VLOOKUP($BC216,Programma!$F$3:$I$1101,4,0),"")</f>
        <v/>
      </c>
      <c r="BG216" s="185" t="str">
        <f>_xlfn.IFNA(VLOOKUP($BC216,Programma!$F$3:$J$1101,5,0),"")</f>
        <v/>
      </c>
      <c r="BH216" s="185" t="str">
        <f>_xlfn.IFNA(VLOOKUP($BC216,Programma!$F$3:$K$1101,6,0),"")</f>
        <v/>
      </c>
      <c r="BI216" s="185" t="str">
        <f>_xlfn.IFNA(VLOOKUP($BC216,Programma!$F$3:$L$1101,7,0),"")</f>
        <v/>
      </c>
      <c r="BJ216" s="185" t="str">
        <f>_xlfn.IFNA(VLOOKUP($BC216,Programma!$F$3:$M$1101,8,0),"")</f>
        <v/>
      </c>
      <c r="BK216" s="185" t="str">
        <f>_xlfn.IFNA(VLOOKUP($BC216,Programma!$F$3:$N$1101,9,0),"")</f>
        <v/>
      </c>
      <c r="BL216" s="185" t="str">
        <f>_xlfn.IFNA(VLOOKUP($BC216,Programma!$F$3:$O$1101,10,0),"")</f>
        <v/>
      </c>
      <c r="BM216" s="185" t="str">
        <f>_xlfn.IFNA(VLOOKUP($BC216,Programma!$F$3:$P$1101,11,0),"")</f>
        <v/>
      </c>
      <c r="BN216" s="185" t="str">
        <f>_xlfn.IFNA(VLOOKUP($BC216,Programma!$F$3:$Q$1101,12,0),"")</f>
        <v/>
      </c>
      <c r="BO216" s="185" t="str">
        <f>_xlfn.IFNA(VLOOKUP($BC216,Programma!$F$3:$R$1101,13,0),"")</f>
        <v/>
      </c>
      <c r="BP216" s="185" t="str">
        <f>_xlfn.IFNA(VLOOKUP($BC216,Programma!$F$3:$S$1101,14,0),"")</f>
        <v/>
      </c>
      <c r="BQ216" s="185" t="str">
        <f>_xlfn.IFNA(VLOOKUP($BC216,Programma!$F$3:$T$1101,15,0),"")</f>
        <v/>
      </c>
      <c r="BR216" s="185" t="str">
        <f>_xlfn.IFNA(VLOOKUP($BC216,Programma!$F$3:$U$1101,16,0),"")</f>
        <v/>
      </c>
      <c r="BS216" s="185" t="str">
        <f>_xlfn.IFNA(VLOOKUP($BC216,Programma!$F$3:$V$1101,17,0),"")</f>
        <v/>
      </c>
      <c r="BT216" s="185" t="str">
        <f>_xlfn.IFNA(VLOOKUP($BC216,Programma!$F$3:$W$1101,18,0),"")</f>
        <v/>
      </c>
      <c r="BU216" s="185" t="str">
        <f>_xlfn.IFNA(VLOOKUP($BC216,Programma!$F$3:$X$1101,19,0),"")</f>
        <v/>
      </c>
      <c r="BV216" s="185" t="str">
        <f>_xlfn.IFNA(VLOOKUP($BC216,Programma!$F$3:$Y$1101,20,0),"")</f>
        <v/>
      </c>
      <c r="BW216" s="78"/>
      <c r="BX216" s="78"/>
      <c r="BY216" s="78"/>
      <c r="BZ216" s="78"/>
      <c r="CA216" s="78"/>
      <c r="CB216" s="78"/>
      <c r="CC216" s="78"/>
      <c r="CD216" s="78"/>
      <c r="CE216" s="78"/>
      <c r="CF216" s="78"/>
      <c r="CG216" s="78"/>
      <c r="CH216" s="78"/>
      <c r="CI216" s="78"/>
      <c r="CJ216" s="78"/>
      <c r="CK216" s="78"/>
      <c r="CL216" s="78"/>
      <c r="CM216" s="78"/>
      <c r="CN216" s="78"/>
      <c r="CO216" s="78"/>
      <c r="CP216" s="78"/>
      <c r="CQ216" s="78"/>
      <c r="CR216" s="78"/>
      <c r="CS216" s="78"/>
      <c r="CT216" s="78"/>
      <c r="CU216" s="78"/>
      <c r="CV216" s="78"/>
      <c r="CW216" s="78"/>
      <c r="CX216" s="78"/>
      <c r="CY216" s="78"/>
      <c r="CZ216" s="78"/>
      <c r="DA216" s="78"/>
      <c r="DB216" s="78"/>
      <c r="DC216" s="78"/>
      <c r="DD216" s="78"/>
      <c r="DE216" s="78"/>
      <c r="DF216" s="78"/>
      <c r="DG216" s="78"/>
      <c r="DH216" s="78"/>
      <c r="DI216" s="78"/>
      <c r="DJ216" s="78"/>
      <c r="DK216" s="78"/>
      <c r="DL216" s="78"/>
      <c r="DM216" s="78"/>
      <c r="DN216" s="78"/>
      <c r="DO216" s="78"/>
      <c r="DP216" s="78"/>
      <c r="DQ216" s="78"/>
      <c r="DR216" s="78"/>
      <c r="DS216" s="78"/>
      <c r="DT216" s="78"/>
      <c r="DU216" s="78"/>
      <c r="DV216" s="78"/>
      <c r="DW216" s="78"/>
      <c r="DX216" s="78"/>
      <c r="DY216" s="78"/>
      <c r="DZ216" s="78"/>
      <c r="EA216" s="78"/>
      <c r="EB216" s="78"/>
      <c r="EC216" s="78"/>
      <c r="ED216" s="78"/>
      <c r="EE216" s="78"/>
      <c r="EF216" s="78"/>
      <c r="EG216" s="78"/>
      <c r="EH216" s="78"/>
      <c r="EI216" s="78"/>
      <c r="EJ216" s="78"/>
      <c r="EK216" s="78"/>
      <c r="EL216" s="78"/>
      <c r="EM216" s="78"/>
      <c r="EN216" s="78"/>
      <c r="EO216" s="78"/>
      <c r="EP216" s="78"/>
      <c r="EQ216" s="78"/>
      <c r="ER216" s="78"/>
      <c r="ES216" s="78"/>
      <c r="ET216" s="78"/>
      <c r="EU216" s="78"/>
      <c r="EV216" s="78"/>
      <c r="EW216" s="78"/>
      <c r="EX216" s="78"/>
      <c r="EY216" s="78"/>
      <c r="EZ216" s="78"/>
      <c r="FA216" s="78"/>
      <c r="FB216" s="78"/>
      <c r="FC216" s="78"/>
      <c r="FD216" s="78"/>
      <c r="FE216" s="78"/>
      <c r="FF216" s="78"/>
      <c r="FG216" s="78"/>
      <c r="FH216" s="78"/>
      <c r="FI216" s="78"/>
      <c r="FJ216" s="78"/>
      <c r="FK216" s="78"/>
      <c r="FL216" s="78"/>
      <c r="FM216" s="78"/>
      <c r="FN216" s="78"/>
      <c r="FO216" s="78"/>
      <c r="FP216" s="78"/>
      <c r="FQ216" s="78"/>
      <c r="FR216" s="78"/>
      <c r="FS216" s="78"/>
      <c r="FT216" s="78"/>
      <c r="FU216" s="78"/>
      <c r="FV216" s="78"/>
      <c r="FW216" s="78"/>
      <c r="FX216" s="78"/>
      <c r="FY216" s="78"/>
      <c r="FZ216" s="78"/>
      <c r="GA216" s="78"/>
      <c r="GB216" s="78"/>
      <c r="GC216" s="78"/>
      <c r="GD216" s="78"/>
      <c r="GE216" s="78"/>
      <c r="GF216" s="78"/>
      <c r="GG216" s="78"/>
      <c r="GH216" s="78"/>
      <c r="GI216" s="78"/>
      <c r="GJ216" s="78"/>
      <c r="GK216" s="78"/>
      <c r="GL216" s="78"/>
      <c r="GM216" s="78"/>
      <c r="GN216" s="78"/>
      <c r="GO216" s="78"/>
      <c r="GP216" s="78"/>
      <c r="GQ216" s="78"/>
      <c r="GR216" s="78"/>
      <c r="GS216" s="78"/>
      <c r="GT216" s="78"/>
      <c r="GU216" s="78"/>
      <c r="GV216" s="78"/>
      <c r="GW216" s="78"/>
      <c r="GX216" s="78"/>
      <c r="GY216" s="78"/>
      <c r="GZ216" s="78"/>
      <c r="HA216" s="78"/>
      <c r="HB216" s="78"/>
      <c r="HC216" s="78"/>
      <c r="HD216" s="78"/>
      <c r="HE216" s="78"/>
      <c r="HF216" s="78"/>
      <c r="HG216" s="78"/>
      <c r="HH216" s="78"/>
      <c r="HI216" s="78"/>
      <c r="HJ216" s="78"/>
      <c r="HK216" s="78"/>
    </row>
    <row r="217" spans="1:219" ht="15" customHeight="1">
      <c r="A217" s="99">
        <v>7</v>
      </c>
      <c r="B217" s="176" t="str">
        <f>VLOOKUP(Ruimtestaat[[#This Row],[Code]],Locaties[[Code]:[Locatie]],2,FALSE)</f>
        <v xml:space="preserve">OBS Molenbeek </v>
      </c>
      <c r="C217" s="176" t="str">
        <f>VLOOKUP(Ruimtestaat[[#This Row],[Code]],Locaties[[#All],[Code]:[Adres]],4,FALSE)</f>
        <v>Lammerinkweg 10</v>
      </c>
      <c r="D217" s="176" t="str">
        <f>VLOOKUP(Ruimtestaat[[#This Row],[Code]],Locaties[[#All],[Code]:[Postcode]],5,FALSE)</f>
        <v>7546 RD</v>
      </c>
      <c r="E217" s="176" t="str">
        <f>VLOOKUP(Ruimtestaat[[#This Row],[Code]],Locaties[#All],6,FALSE)</f>
        <v>Enschede</v>
      </c>
      <c r="F217" s="149"/>
      <c r="G217" s="149" t="s">
        <v>1646</v>
      </c>
      <c r="H217" s="149" t="s">
        <v>1648</v>
      </c>
      <c r="I217" s="183" t="s">
        <v>1655</v>
      </c>
      <c r="J217" s="149">
        <v>5</v>
      </c>
      <c r="K217" s="173" t="str">
        <f>VLOOKUP(Ruimtestaat[[#This Row],[Ruimte code]],Ruimtegroepen[[#All],[Code]:[Ruimte omschrijving]],2,FALSE)</f>
        <v>Sanitair</v>
      </c>
      <c r="L217" s="149" t="s">
        <v>101</v>
      </c>
      <c r="M217" s="301" t="s">
        <v>1682</v>
      </c>
      <c r="N217" s="177">
        <v>3.8</v>
      </c>
      <c r="O217" s="177"/>
      <c r="P217" s="178" t="str">
        <f>VLOOKUP(Ruimtestaat[[#This Row],[Ruimte code]],Ruimtegroepen[],4,FALSE)</f>
        <v>Sa</v>
      </c>
      <c r="Q217" s="149">
        <v>40</v>
      </c>
      <c r="R217" s="149" t="s">
        <v>2</v>
      </c>
      <c r="S217" s="149">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7" s="149">
        <f>IF(S217&gt;0,VLOOKUP($J217,Ruimtegroepen[],3,FALSE)*VLOOKUP($L217,Vloersoorten[],3,FALSE)*VLOOKUP($R217,Frequenties[],3,FALSE)*VLOOKUP($A217,Locaties[],3,FALSE),0)</f>
        <v>0</v>
      </c>
      <c r="U217" s="149">
        <f>Ruimtestaat[[#This Row],[Uitvoeringen werkdagen]]*Ruimtestaat[[#This Row],[Oppervlak (netto)]]</f>
        <v>760</v>
      </c>
      <c r="V217" s="179">
        <f>IF(T217&gt;0,Ruimtestaat[[#This Row],[Prest. (m2 /jaar) werkdagen]]/Ruimtestaat[[#This Row],[Norm (m2/uur) werkdagen]],0)</f>
        <v>0</v>
      </c>
      <c r="W217" s="180">
        <f>Ruimtestaat[[#This Row],[uren / jaar werkdagen]]*Tariefsopbouw!$E$35</f>
        <v>0</v>
      </c>
      <c r="X217" s="149"/>
      <c r="Y217" s="149">
        <f>IF(Ruimtestaat[[#This Row],[Frequentie weekend]]&gt;0,VALUE(LEFT(X217,1))*Q217,0)</f>
        <v>0</v>
      </c>
      <c r="Z217" s="148">
        <f>IF($Y217&gt;0,VLOOKUP($J217,Ruimtegroepen[],3,FALSE)*VLOOKUP($L217,Vloersoorten[],3,FALSE)*VLOOKUP($X217,Frequenties[],3,FALSE)*VLOOKUP(Ruimtestaat[[#This Row],[Code]],Locaties[],3,FALSE),0)</f>
        <v>0</v>
      </c>
      <c r="AA217" s="148">
        <f>Ruimtestaat[[#This Row],[Uitvoeringen weekend]]*Ruimtestaat[[#This Row],[Oppervlak (netto)]]</f>
        <v>0</v>
      </c>
      <c r="AB217" s="148">
        <f>IF(Z217&gt;0,Ruimtestaat[[#This Row],[Prest. (m2 /jaar) weekend]]/Ruimtestaat[[#This Row],[Norm (m2/uur) weekend]],0)</f>
        <v>0</v>
      </c>
      <c r="AC217" s="180">
        <f>Ruimtestaat[[#This Row],[uren / jaar weekend]]*Tariefsopbouw!$D$40</f>
        <v>0</v>
      </c>
      <c r="AD217" s="179">
        <f>Ruimtestaat[[#This Row],[Prest. (m2 /jaar) weekend]]+Ruimtestaat[[#This Row],[Prest. (m2 /jaar) werkdagen]]</f>
        <v>760</v>
      </c>
      <c r="AE217" s="179">
        <f>Ruimtestaat[[#This Row],[uren / jaar weekend]]+Ruimtestaat[[#This Row],[uren / jaar werkdagen]]</f>
        <v>0</v>
      </c>
      <c r="AF217" s="174">
        <f>Ruimtestaat[[#This Row],[kosten / jaar weekend]]+Ruimtestaat[[#This Row],[kosten / jaar werkdagen]]</f>
        <v>0</v>
      </c>
      <c r="AG217" s="174"/>
      <c r="AH217" s="181" t="str">
        <f>IF(Ruimtestaat[[#This Row],[Frequentie werkdagen]]="","",_xlfn.CONCAT(Ruimtestaat[[#This Row],[Ruimte code]],"-",Ruimtestaat[[#This Row],[Frequentie werkdagen]]," ",Ruimtestaat[[#This Row],[Vloer code]]))</f>
        <v>5-5w S</v>
      </c>
      <c r="AI217" s="185" t="str">
        <f>_xlfn.IFNA(VLOOKUP($AH217,Programma!$F$3:$G$1101,2,0),"")</f>
        <v>_</v>
      </c>
      <c r="AJ217" s="185" t="str">
        <f>_xlfn.IFNA(VLOOKUP($AH217,Programma!$F$3:$H$1101,3,0),"")</f>
        <v>_</v>
      </c>
      <c r="AK217" s="185" t="str">
        <f>_xlfn.IFNA(VLOOKUP($AH217,Programma!$F$3:$I$1101,4,0),"")</f>
        <v>_</v>
      </c>
      <c r="AL217" s="185" t="str">
        <f>_xlfn.IFNA(VLOOKUP($AH217,Programma!$F$3:$J$1101,5,0),"")</f>
        <v>4w</v>
      </c>
      <c r="AM217" s="185" t="str">
        <f>_xlfn.IFNA(VLOOKUP($AH217,Programma!$F$3:$K$1101,6,0),"")</f>
        <v>1w</v>
      </c>
      <c r="AN217" s="185" t="str">
        <f>_xlfn.IFNA(VLOOKUP($AH217,Programma!$F$3:$L$1101,7,0),"")</f>
        <v>_</v>
      </c>
      <c r="AO217" s="185" t="str">
        <f>_xlfn.IFNA(VLOOKUP($AH217,Programma!$F$3:$M$1101,8,0),"")</f>
        <v>_</v>
      </c>
      <c r="AP217" s="185" t="str">
        <f>_xlfn.IFNA(VLOOKUP($AH217,Programma!$F$3:$N$1101,9,0),"")</f>
        <v>_</v>
      </c>
      <c r="AQ217" s="185" t="str">
        <f>_xlfn.IFNA(VLOOKUP($AH217,Programma!$F$3:$O$1101,10,0),"")</f>
        <v>_</v>
      </c>
      <c r="AR217" s="185" t="str">
        <f>_xlfn.IFNA(VLOOKUP($AH217,Programma!$F$3:$P$1101,11,0),"")</f>
        <v>_</v>
      </c>
      <c r="AS217" s="185" t="str">
        <f>_xlfn.IFNA(VLOOKUP($AH217,Programma!$F$3:$Q$1101,12,0),"")</f>
        <v>_</v>
      </c>
      <c r="AT217" s="185" t="str">
        <f>_xlfn.IFNA(VLOOKUP($AH217,Programma!$F$3:$R$1101,13,0),"")</f>
        <v>_</v>
      </c>
      <c r="AU217" s="185" t="str">
        <f>_xlfn.IFNA(VLOOKUP($AH217,Programma!$F$3:$S$1101,14,0),"")</f>
        <v>_</v>
      </c>
      <c r="AV217" s="185" t="str">
        <f>_xlfn.IFNA(VLOOKUP($AH217,Programma!$F$3:$T$1101,15,0),"")</f>
        <v>_</v>
      </c>
      <c r="AW217" s="185" t="str">
        <f>_xlfn.IFNA(VLOOKUP($AH217,Programma!$F$3:$U$1101,16,0),"")</f>
        <v>_</v>
      </c>
      <c r="AX217" s="185" t="str">
        <f>_xlfn.IFNA(VLOOKUP($AH217,Programma!$F$3:$V$1101,17,0),"")</f>
        <v>_</v>
      </c>
      <c r="AY217" s="185" t="str">
        <f>_xlfn.IFNA(VLOOKUP($AH217,Programma!$F$3:$W$1101,18,0),"")</f>
        <v>4w</v>
      </c>
      <c r="AZ217" s="185" t="str">
        <f>_xlfn.IFNA(VLOOKUP($AH217,Programma!$F$3:$X$1101,19,0),"")</f>
        <v>1w</v>
      </c>
      <c r="BA217" s="185" t="str">
        <f>_xlfn.IFNA(VLOOKUP($AH217,Programma!$F$3:$Y$1101,20,0),"")</f>
        <v>_</v>
      </c>
      <c r="BB217" s="182"/>
      <c r="BC217" s="181" t="str">
        <f>IF(Ruimtestaat[[#This Row],[Frequentie weekend]]="","",_xlfn.CONCAT(Ruimtestaat[[#This Row],[Ruimte code]],"-",Ruimtestaat[[#This Row],[Frequentie weekend]]," ",Ruimtestaat[[#This Row],[Vloer code]]))</f>
        <v/>
      </c>
      <c r="BD217" s="185" t="str">
        <f>_xlfn.IFNA(VLOOKUP($BC217,Programma!$F$3:$G$1101,2,0),"")</f>
        <v/>
      </c>
      <c r="BE217" s="185" t="str">
        <f>_xlfn.IFNA(VLOOKUP($BC217,Programma!$F$3:$H$1101,3,0),"")</f>
        <v/>
      </c>
      <c r="BF217" s="185" t="str">
        <f>_xlfn.IFNA(VLOOKUP($BC217,Programma!$F$3:$I$1101,4,0),"")</f>
        <v/>
      </c>
      <c r="BG217" s="185" t="str">
        <f>_xlfn.IFNA(VLOOKUP($BC217,Programma!$F$3:$J$1101,5,0),"")</f>
        <v/>
      </c>
      <c r="BH217" s="185" t="str">
        <f>_xlfn.IFNA(VLOOKUP($BC217,Programma!$F$3:$K$1101,6,0),"")</f>
        <v/>
      </c>
      <c r="BI217" s="185" t="str">
        <f>_xlfn.IFNA(VLOOKUP($BC217,Programma!$F$3:$L$1101,7,0),"")</f>
        <v/>
      </c>
      <c r="BJ217" s="185" t="str">
        <f>_xlfn.IFNA(VLOOKUP($BC217,Programma!$F$3:$M$1101,8,0),"")</f>
        <v/>
      </c>
      <c r="BK217" s="185" t="str">
        <f>_xlfn.IFNA(VLOOKUP($BC217,Programma!$F$3:$N$1101,9,0),"")</f>
        <v/>
      </c>
      <c r="BL217" s="185" t="str">
        <f>_xlfn.IFNA(VLOOKUP($BC217,Programma!$F$3:$O$1101,10,0),"")</f>
        <v/>
      </c>
      <c r="BM217" s="185" t="str">
        <f>_xlfn.IFNA(VLOOKUP($BC217,Programma!$F$3:$P$1101,11,0),"")</f>
        <v/>
      </c>
      <c r="BN217" s="185" t="str">
        <f>_xlfn.IFNA(VLOOKUP($BC217,Programma!$F$3:$Q$1101,12,0),"")</f>
        <v/>
      </c>
      <c r="BO217" s="185" t="str">
        <f>_xlfn.IFNA(VLOOKUP($BC217,Programma!$F$3:$R$1101,13,0),"")</f>
        <v/>
      </c>
      <c r="BP217" s="185" t="str">
        <f>_xlfn.IFNA(VLOOKUP($BC217,Programma!$F$3:$S$1101,14,0),"")</f>
        <v/>
      </c>
      <c r="BQ217" s="185" t="str">
        <f>_xlfn.IFNA(VLOOKUP($BC217,Programma!$F$3:$T$1101,15,0),"")</f>
        <v/>
      </c>
      <c r="BR217" s="185" t="str">
        <f>_xlfn.IFNA(VLOOKUP($BC217,Programma!$F$3:$U$1101,16,0),"")</f>
        <v/>
      </c>
      <c r="BS217" s="185" t="str">
        <f>_xlfn.IFNA(VLOOKUP($BC217,Programma!$F$3:$V$1101,17,0),"")</f>
        <v/>
      </c>
      <c r="BT217" s="185" t="str">
        <f>_xlfn.IFNA(VLOOKUP($BC217,Programma!$F$3:$W$1101,18,0),"")</f>
        <v/>
      </c>
      <c r="BU217" s="185" t="str">
        <f>_xlfn.IFNA(VLOOKUP($BC217,Programma!$F$3:$X$1101,19,0),"")</f>
        <v/>
      </c>
      <c r="BV217" s="185" t="str">
        <f>_xlfn.IFNA(VLOOKUP($BC217,Programma!$F$3:$Y$1101,20,0),"")</f>
        <v/>
      </c>
      <c r="BW217" s="78"/>
      <c r="BX217" s="78"/>
      <c r="BY217" s="78"/>
      <c r="BZ217" s="78"/>
      <c r="CA217" s="78"/>
      <c r="CB217" s="78"/>
      <c r="CC217" s="78"/>
      <c r="CD217" s="78"/>
      <c r="CE217" s="78"/>
      <c r="CF217" s="78"/>
      <c r="CG217" s="78"/>
      <c r="CH217" s="78"/>
      <c r="CI217" s="78"/>
      <c r="CJ217" s="78"/>
      <c r="CK217" s="78"/>
      <c r="CL217" s="78"/>
      <c r="CM217" s="78"/>
      <c r="CN217" s="78"/>
      <c r="CO217" s="78"/>
      <c r="CP217" s="78"/>
      <c r="CQ217" s="78"/>
      <c r="CR217" s="78"/>
      <c r="CS217" s="78"/>
      <c r="CT217" s="78"/>
      <c r="CU217" s="78"/>
      <c r="CV217" s="78"/>
      <c r="CW217" s="78"/>
      <c r="CX217" s="78"/>
      <c r="CY217" s="78"/>
      <c r="CZ217" s="78"/>
      <c r="DA217" s="78"/>
      <c r="DB217" s="78"/>
      <c r="DC217" s="78"/>
      <c r="DD217" s="78"/>
      <c r="DE217" s="78"/>
      <c r="DF217" s="78"/>
      <c r="DG217" s="78"/>
      <c r="DH217" s="78"/>
      <c r="DI217" s="78"/>
      <c r="DJ217" s="78"/>
      <c r="DK217" s="78"/>
      <c r="DL217" s="78"/>
      <c r="DM217" s="78"/>
      <c r="DN217" s="78"/>
      <c r="DO217" s="78"/>
      <c r="DP217" s="78"/>
      <c r="DQ217" s="78"/>
      <c r="DR217" s="78"/>
      <c r="DS217" s="78"/>
      <c r="DT217" s="78"/>
      <c r="DU217" s="78"/>
      <c r="DV217" s="78"/>
      <c r="DW217" s="78"/>
      <c r="DX217" s="78"/>
      <c r="DY217" s="78"/>
      <c r="DZ217" s="78"/>
      <c r="EA217" s="78"/>
      <c r="EB217" s="78"/>
      <c r="EC217" s="78"/>
      <c r="ED217" s="78"/>
      <c r="EE217" s="78"/>
      <c r="EF217" s="78"/>
      <c r="EG217" s="78"/>
      <c r="EH217" s="78"/>
      <c r="EI217" s="78"/>
      <c r="EJ217" s="78"/>
      <c r="EK217" s="78"/>
      <c r="EL217" s="78"/>
      <c r="EM217" s="78"/>
      <c r="EN217" s="78"/>
      <c r="EO217" s="78"/>
      <c r="EP217" s="78"/>
      <c r="EQ217" s="78"/>
      <c r="ER217" s="78"/>
      <c r="ES217" s="78"/>
      <c r="ET217" s="78"/>
      <c r="EU217" s="78"/>
      <c r="EV217" s="78"/>
      <c r="EW217" s="78"/>
      <c r="EX217" s="78"/>
      <c r="EY217" s="78"/>
      <c r="EZ217" s="78"/>
      <c r="FA217" s="78"/>
      <c r="FB217" s="78"/>
      <c r="FC217" s="78"/>
      <c r="FD217" s="78"/>
      <c r="FE217" s="78"/>
      <c r="FF217" s="78"/>
      <c r="FG217" s="78"/>
      <c r="FH217" s="78"/>
      <c r="FI217" s="78"/>
      <c r="FJ217" s="78"/>
      <c r="FK217" s="78"/>
      <c r="FL217" s="78"/>
      <c r="FM217" s="78"/>
      <c r="FN217" s="78"/>
      <c r="FO217" s="78"/>
      <c r="FP217" s="78"/>
      <c r="FQ217" s="78"/>
      <c r="FR217" s="78"/>
      <c r="FS217" s="78"/>
      <c r="FT217" s="78"/>
      <c r="FU217" s="78"/>
      <c r="FV217" s="78"/>
      <c r="FW217" s="78"/>
      <c r="FX217" s="78"/>
      <c r="FY217" s="78"/>
      <c r="FZ217" s="78"/>
      <c r="GA217" s="78"/>
      <c r="GB217" s="78"/>
      <c r="GC217" s="78"/>
      <c r="GD217" s="78"/>
      <c r="GE217" s="78"/>
      <c r="GF217" s="78"/>
      <c r="GG217" s="78"/>
      <c r="GH217" s="78"/>
      <c r="GI217" s="78"/>
      <c r="GJ217" s="78"/>
      <c r="GK217" s="78"/>
      <c r="GL217" s="78"/>
      <c r="GM217" s="78"/>
      <c r="GN217" s="78"/>
      <c r="GO217" s="78"/>
      <c r="GP217" s="78"/>
      <c r="GQ217" s="78"/>
      <c r="GR217" s="78"/>
      <c r="GS217" s="78"/>
      <c r="GT217" s="78"/>
      <c r="GU217" s="78"/>
      <c r="GV217" s="78"/>
      <c r="GW217" s="78"/>
      <c r="GX217" s="78"/>
      <c r="GY217" s="78"/>
      <c r="GZ217" s="78"/>
      <c r="HA217" s="78"/>
      <c r="HB217" s="78"/>
      <c r="HC217" s="78"/>
      <c r="HD217" s="78"/>
      <c r="HE217" s="78"/>
      <c r="HF217" s="78"/>
      <c r="HG217" s="78"/>
      <c r="HH217" s="78"/>
      <c r="HI217" s="78"/>
      <c r="HJ217" s="78"/>
      <c r="HK217" s="78"/>
    </row>
    <row r="218" spans="1:219" ht="15" customHeight="1">
      <c r="A218" s="99">
        <v>7</v>
      </c>
      <c r="B218" s="176" t="str">
        <f>VLOOKUP(Ruimtestaat[[#This Row],[Code]],Locaties[[Code]:[Locatie]],2,FALSE)</f>
        <v xml:space="preserve">OBS Molenbeek </v>
      </c>
      <c r="C218" s="176" t="str">
        <f>VLOOKUP(Ruimtestaat[[#This Row],[Code]],Locaties[[#All],[Code]:[Adres]],4,FALSE)</f>
        <v>Lammerinkweg 10</v>
      </c>
      <c r="D218" s="176" t="str">
        <f>VLOOKUP(Ruimtestaat[[#This Row],[Code]],Locaties[[#All],[Code]:[Postcode]],5,FALSE)</f>
        <v>7546 RD</v>
      </c>
      <c r="E218" s="176" t="str">
        <f>VLOOKUP(Ruimtestaat[[#This Row],[Code]],Locaties[#All],6,FALSE)</f>
        <v>Enschede</v>
      </c>
      <c r="F218" s="149"/>
      <c r="G218" s="149" t="s">
        <v>1646</v>
      </c>
      <c r="H218" s="99" t="s">
        <v>1650</v>
      </c>
      <c r="I218" s="183" t="s">
        <v>1649</v>
      </c>
      <c r="J218" s="149">
        <v>2</v>
      </c>
      <c r="K218" s="183" t="str">
        <f>VLOOKUP(Ruimtestaat[[#This Row],[Ruimte code]],Ruimtegroepen[[#All],[Code]:[Ruimte omschrijving]],2,FALSE)</f>
        <v>Kantoren</v>
      </c>
      <c r="L218" s="149" t="s">
        <v>99</v>
      </c>
      <c r="M218" s="301" t="s">
        <v>36</v>
      </c>
      <c r="N218" s="177">
        <v>13.2</v>
      </c>
      <c r="O218" s="177"/>
      <c r="P218" s="178" t="str">
        <f>VLOOKUP(Ruimtestaat[[#This Row],[Ruimte code]],Ruimtegroepen[],4,FALSE)</f>
        <v>Bu</v>
      </c>
      <c r="Q218" s="149">
        <v>40</v>
      </c>
      <c r="R218" s="149" t="s">
        <v>18</v>
      </c>
      <c r="S218" s="149">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18" s="149">
        <f>IF(S218&gt;0,VLOOKUP($J218,Ruimtegroepen[],3,FALSE)*VLOOKUP($L218,Vloersoorten[],3,FALSE)*VLOOKUP($R218,Frequenties[],3,FALSE)*VLOOKUP($A218,Locaties[],3,FALSE),0)</f>
        <v>0</v>
      </c>
      <c r="U218" s="149">
        <f>Ruimtestaat[[#This Row],[Uitvoeringen werkdagen]]*Ruimtestaat[[#This Row],[Oppervlak (netto)]]</f>
        <v>1584</v>
      </c>
      <c r="V218" s="179">
        <f>IF(T218&gt;0,Ruimtestaat[[#This Row],[Prest. (m2 /jaar) werkdagen]]/Ruimtestaat[[#This Row],[Norm (m2/uur) werkdagen]],0)</f>
        <v>0</v>
      </c>
      <c r="W218" s="180">
        <f>Ruimtestaat[[#This Row],[uren / jaar werkdagen]]*Tariefsopbouw!$E$35</f>
        <v>0</v>
      </c>
      <c r="X218" s="149"/>
      <c r="Y218" s="149">
        <f>IF(Ruimtestaat[[#This Row],[Frequentie weekend]]&gt;0,VALUE(LEFT(X218,1))*Q218,0)</f>
        <v>0</v>
      </c>
      <c r="Z218" s="148">
        <f>IF($Y218&gt;0,VLOOKUP($J218,Ruimtegroepen[],3,FALSE)*VLOOKUP($L218,Vloersoorten[],3,FALSE)*VLOOKUP($X218,Frequenties[],3,FALSE)*VLOOKUP(Ruimtestaat[[#This Row],[Code]],Locaties[],3,FALSE),0)</f>
        <v>0</v>
      </c>
      <c r="AA218" s="148">
        <f>Ruimtestaat[[#This Row],[Uitvoeringen weekend]]*Ruimtestaat[[#This Row],[Oppervlak (netto)]]</f>
        <v>0</v>
      </c>
      <c r="AB218" s="148">
        <f>IF(Z218&gt;0,Ruimtestaat[[#This Row],[Prest. (m2 /jaar) weekend]]/Ruimtestaat[[#This Row],[Norm (m2/uur) weekend]],0)</f>
        <v>0</v>
      </c>
      <c r="AC218" s="180">
        <f>Ruimtestaat[[#This Row],[uren / jaar weekend]]*Tariefsopbouw!$D$40</f>
        <v>0</v>
      </c>
      <c r="AD218" s="179">
        <f>Ruimtestaat[[#This Row],[Prest. (m2 /jaar) weekend]]+Ruimtestaat[[#This Row],[Prest. (m2 /jaar) werkdagen]]</f>
        <v>1584</v>
      </c>
      <c r="AE218" s="179">
        <f>Ruimtestaat[[#This Row],[uren / jaar weekend]]+Ruimtestaat[[#This Row],[uren / jaar werkdagen]]</f>
        <v>0</v>
      </c>
      <c r="AF218" s="174">
        <f>Ruimtestaat[[#This Row],[kosten / jaar weekend]]+Ruimtestaat[[#This Row],[kosten / jaar werkdagen]]</f>
        <v>0</v>
      </c>
      <c r="AG218" s="174"/>
      <c r="AH218" s="181" t="str">
        <f>IF(Ruimtestaat[[#This Row],[Frequentie werkdagen]]="","",_xlfn.CONCAT(Ruimtestaat[[#This Row],[Ruimte code]],"-",Ruimtestaat[[#This Row],[Frequentie werkdagen]]," ",Ruimtestaat[[#This Row],[Vloer code]]))</f>
        <v>2-3w T</v>
      </c>
      <c r="AI218" s="185" t="str">
        <f>_xlfn.IFNA(VLOOKUP($AH218,Programma!$F$3:$G$1101,2,0),"")</f>
        <v>2w</v>
      </c>
      <c r="AJ218" s="185" t="str">
        <f>_xlfn.IFNA(VLOOKUP($AH218,Programma!$F$3:$H$1101,3,0),"")</f>
        <v>1w</v>
      </c>
      <c r="AK218" s="185" t="str">
        <f>_xlfn.IFNA(VLOOKUP($AH218,Programma!$F$3:$I$1101,4,0),"")</f>
        <v>_</v>
      </c>
      <c r="AL218" s="185" t="str">
        <f>_xlfn.IFNA(VLOOKUP($AH218,Programma!$F$3:$J$1101,5,0),"")</f>
        <v>_</v>
      </c>
      <c r="AM218" s="185" t="str">
        <f>_xlfn.IFNA(VLOOKUP($AH218,Programma!$F$3:$K$1101,6,0),"")</f>
        <v>_</v>
      </c>
      <c r="AN218" s="185" t="str">
        <f>_xlfn.IFNA(VLOOKUP($AH218,Programma!$F$3:$L$1101,7,0),"")</f>
        <v>_</v>
      </c>
      <c r="AO218" s="185" t="str">
        <f>_xlfn.IFNA(VLOOKUP($AH218,Programma!$F$3:$M$1101,8,0),"")</f>
        <v>_</v>
      </c>
      <c r="AP218" s="185" t="str">
        <f>_xlfn.IFNA(VLOOKUP($AH218,Programma!$F$3:$N$1101,9,0),"")</f>
        <v>_</v>
      </c>
      <c r="AQ218" s="185" t="str">
        <f>_xlfn.IFNA(VLOOKUP($AH218,Programma!$F$3:$O$1101,10,0),"")</f>
        <v>3w</v>
      </c>
      <c r="AR218" s="185" t="str">
        <f>_xlfn.IFNA(VLOOKUP($AH218,Programma!$F$3:$P$1101,11,0),"")</f>
        <v>3w</v>
      </c>
      <c r="AS218" s="185" t="str">
        <f>_xlfn.IFNA(VLOOKUP($AH218,Programma!$F$3:$Q$1101,12,0),"")</f>
        <v>1w</v>
      </c>
      <c r="AT218" s="185" t="str">
        <f>_xlfn.IFNA(VLOOKUP($AH218,Programma!$F$3:$R$1101,13,0),"")</f>
        <v>1w</v>
      </c>
      <c r="AU218" s="185" t="str">
        <f>_xlfn.IFNA(VLOOKUP($AH218,Programma!$F$3:$S$1101,14,0),"")</f>
        <v>1m</v>
      </c>
      <c r="AV218" s="185" t="str">
        <f>_xlfn.IFNA(VLOOKUP($AH218,Programma!$F$3:$T$1101,15,0),"")</f>
        <v>2j</v>
      </c>
      <c r="AW218" s="185" t="str">
        <f>_xlfn.IFNA(VLOOKUP($AH218,Programma!$F$3:$U$1101,16,0),"")</f>
        <v>1j</v>
      </c>
      <c r="AX218" s="185" t="str">
        <f>_xlfn.IFNA(VLOOKUP($AH218,Programma!$F$3:$V$1101,17,0),"")</f>
        <v>_</v>
      </c>
      <c r="AY218" s="185" t="str">
        <f>_xlfn.IFNA(VLOOKUP($AH218,Programma!$F$3:$W$1101,18,0),"")</f>
        <v>_</v>
      </c>
      <c r="AZ218" s="185" t="str">
        <f>_xlfn.IFNA(VLOOKUP($AH218,Programma!$F$3:$X$1101,19,0),"")</f>
        <v>_</v>
      </c>
      <c r="BA218" s="185" t="str">
        <f>_xlfn.IFNA(VLOOKUP($AH218,Programma!$F$3:$Y$1101,20,0),"")</f>
        <v>_</v>
      </c>
      <c r="BB218" s="182"/>
      <c r="BC218" s="181" t="str">
        <f>IF(Ruimtestaat[[#This Row],[Frequentie weekend]]="","",_xlfn.CONCAT(Ruimtestaat[[#This Row],[Ruimte code]],"-",Ruimtestaat[[#This Row],[Frequentie weekend]]," ",Ruimtestaat[[#This Row],[Vloer code]]))</f>
        <v/>
      </c>
      <c r="BD218" s="185" t="str">
        <f>_xlfn.IFNA(VLOOKUP($BC218,Programma!$F$3:$G$1101,2,0),"")</f>
        <v/>
      </c>
      <c r="BE218" s="185" t="str">
        <f>_xlfn.IFNA(VLOOKUP($BC218,Programma!$F$3:$H$1101,3,0),"")</f>
        <v/>
      </c>
      <c r="BF218" s="185" t="str">
        <f>_xlfn.IFNA(VLOOKUP($BC218,Programma!$F$3:$I$1101,4,0),"")</f>
        <v/>
      </c>
      <c r="BG218" s="185" t="str">
        <f>_xlfn.IFNA(VLOOKUP($BC218,Programma!$F$3:$J$1101,5,0),"")</f>
        <v/>
      </c>
      <c r="BH218" s="185" t="str">
        <f>_xlfn.IFNA(VLOOKUP($BC218,Programma!$F$3:$K$1101,6,0),"")</f>
        <v/>
      </c>
      <c r="BI218" s="185" t="str">
        <f>_xlfn.IFNA(VLOOKUP($BC218,Programma!$F$3:$L$1101,7,0),"")</f>
        <v/>
      </c>
      <c r="BJ218" s="185" t="str">
        <f>_xlfn.IFNA(VLOOKUP($BC218,Programma!$F$3:$M$1101,8,0),"")</f>
        <v/>
      </c>
      <c r="BK218" s="185" t="str">
        <f>_xlfn.IFNA(VLOOKUP($BC218,Programma!$F$3:$N$1101,9,0),"")</f>
        <v/>
      </c>
      <c r="BL218" s="185" t="str">
        <f>_xlfn.IFNA(VLOOKUP($BC218,Programma!$F$3:$O$1101,10,0),"")</f>
        <v/>
      </c>
      <c r="BM218" s="185" t="str">
        <f>_xlfn.IFNA(VLOOKUP($BC218,Programma!$F$3:$P$1101,11,0),"")</f>
        <v/>
      </c>
      <c r="BN218" s="185" t="str">
        <f>_xlfn.IFNA(VLOOKUP($BC218,Programma!$F$3:$Q$1101,12,0),"")</f>
        <v/>
      </c>
      <c r="BO218" s="185" t="str">
        <f>_xlfn.IFNA(VLOOKUP($BC218,Programma!$F$3:$R$1101,13,0),"")</f>
        <v/>
      </c>
      <c r="BP218" s="185" t="str">
        <f>_xlfn.IFNA(VLOOKUP($BC218,Programma!$F$3:$S$1101,14,0),"")</f>
        <v/>
      </c>
      <c r="BQ218" s="185" t="str">
        <f>_xlfn.IFNA(VLOOKUP($BC218,Programma!$F$3:$T$1101,15,0),"")</f>
        <v/>
      </c>
      <c r="BR218" s="185" t="str">
        <f>_xlfn.IFNA(VLOOKUP($BC218,Programma!$F$3:$U$1101,16,0),"")</f>
        <v/>
      </c>
      <c r="BS218" s="185" t="str">
        <f>_xlfn.IFNA(VLOOKUP($BC218,Programma!$F$3:$V$1101,17,0),"")</f>
        <v/>
      </c>
      <c r="BT218" s="185" t="str">
        <f>_xlfn.IFNA(VLOOKUP($BC218,Programma!$F$3:$W$1101,18,0),"")</f>
        <v/>
      </c>
      <c r="BU218" s="185" t="str">
        <f>_xlfn.IFNA(VLOOKUP($BC218,Programma!$F$3:$X$1101,19,0),"")</f>
        <v/>
      </c>
      <c r="BV218" s="185" t="str">
        <f>_xlfn.IFNA(VLOOKUP($BC218,Programma!$F$3:$Y$1101,20,0),"")</f>
        <v/>
      </c>
      <c r="BW218" s="78"/>
      <c r="BX218" s="78"/>
      <c r="BY218" s="78"/>
      <c r="BZ218" s="78"/>
      <c r="CA218" s="78"/>
      <c r="CB218" s="78"/>
      <c r="CC218" s="78"/>
      <c r="CD218" s="78"/>
      <c r="CE218" s="78"/>
      <c r="CF218" s="78"/>
      <c r="CG218" s="78"/>
      <c r="CH218" s="78"/>
      <c r="CI218" s="78"/>
      <c r="CJ218" s="78"/>
      <c r="CK218" s="78"/>
      <c r="CL218" s="78"/>
      <c r="CM218" s="78"/>
      <c r="CN218" s="78"/>
      <c r="CO218" s="78"/>
      <c r="CP218" s="78"/>
      <c r="CQ218" s="78"/>
      <c r="CR218" s="78"/>
      <c r="CS218" s="78"/>
      <c r="CT218" s="78"/>
      <c r="CU218" s="78"/>
      <c r="CV218" s="78"/>
      <c r="CW218" s="78"/>
      <c r="CX218" s="78"/>
      <c r="CY218" s="78"/>
      <c r="CZ218" s="78"/>
      <c r="DA218" s="78"/>
      <c r="DB218" s="78"/>
      <c r="DC218" s="78"/>
      <c r="DD218" s="78"/>
      <c r="DE218" s="78"/>
      <c r="DF218" s="78"/>
      <c r="DG218" s="78"/>
      <c r="DH218" s="78"/>
      <c r="DI218" s="78"/>
      <c r="DJ218" s="78"/>
      <c r="DK218" s="78"/>
      <c r="DL218" s="78"/>
      <c r="DM218" s="78"/>
      <c r="DN218" s="78"/>
      <c r="DO218" s="78"/>
      <c r="DP218" s="78"/>
      <c r="DQ218" s="78"/>
      <c r="DR218" s="78"/>
      <c r="DS218" s="78"/>
      <c r="DT218" s="78"/>
      <c r="DU218" s="78"/>
      <c r="DV218" s="78"/>
      <c r="DW218" s="78"/>
      <c r="DX218" s="78"/>
      <c r="DY218" s="78"/>
      <c r="DZ218" s="78"/>
      <c r="EA218" s="78"/>
      <c r="EB218" s="78"/>
      <c r="EC218" s="78"/>
      <c r="ED218" s="78"/>
      <c r="EE218" s="78"/>
      <c r="EF218" s="78"/>
      <c r="EG218" s="78"/>
      <c r="EH218" s="78"/>
      <c r="EI218" s="78"/>
      <c r="EJ218" s="78"/>
      <c r="EK218" s="78"/>
      <c r="EL218" s="78"/>
      <c r="EM218" s="78"/>
      <c r="EN218" s="78"/>
      <c r="EO218" s="78"/>
      <c r="EP218" s="78"/>
      <c r="EQ218" s="78"/>
      <c r="ER218" s="78"/>
      <c r="ES218" s="78"/>
      <c r="ET218" s="78"/>
      <c r="EU218" s="78"/>
      <c r="EV218" s="78"/>
      <c r="EW218" s="78"/>
      <c r="EX218" s="78"/>
      <c r="EY218" s="78"/>
      <c r="EZ218" s="78"/>
      <c r="FA218" s="78"/>
      <c r="FB218" s="78"/>
      <c r="FC218" s="78"/>
      <c r="FD218" s="78"/>
      <c r="FE218" s="78"/>
      <c r="FF218" s="78"/>
      <c r="FG218" s="78"/>
      <c r="FH218" s="78"/>
      <c r="FI218" s="78"/>
      <c r="FJ218" s="78"/>
      <c r="FK218" s="78"/>
      <c r="FL218" s="78"/>
      <c r="FM218" s="78"/>
      <c r="FN218" s="78"/>
      <c r="FO218" s="78"/>
      <c r="FP218" s="78"/>
      <c r="FQ218" s="78"/>
      <c r="FR218" s="78"/>
      <c r="FS218" s="78"/>
      <c r="FT218" s="78"/>
      <c r="FU218" s="78"/>
      <c r="FV218" s="78"/>
      <c r="FW218" s="78"/>
      <c r="FX218" s="78"/>
      <c r="FY218" s="78"/>
      <c r="FZ218" s="78"/>
      <c r="GA218" s="78"/>
      <c r="GB218" s="78"/>
      <c r="GC218" s="78"/>
      <c r="GD218" s="78"/>
      <c r="GE218" s="78"/>
      <c r="GF218" s="78"/>
      <c r="GG218" s="78"/>
      <c r="GH218" s="78"/>
      <c r="GI218" s="78"/>
      <c r="GJ218" s="78"/>
      <c r="GK218" s="78"/>
      <c r="GL218" s="78"/>
      <c r="GM218" s="78"/>
      <c r="GN218" s="78"/>
      <c r="GO218" s="78"/>
      <c r="GP218" s="78"/>
      <c r="GQ218" s="78"/>
      <c r="GR218" s="78"/>
      <c r="GS218" s="78"/>
      <c r="GT218" s="78"/>
      <c r="GU218" s="78"/>
      <c r="GV218" s="78"/>
      <c r="GW218" s="78"/>
      <c r="GX218" s="78"/>
      <c r="GY218" s="78"/>
      <c r="GZ218" s="78"/>
      <c r="HA218" s="78"/>
      <c r="HB218" s="78"/>
      <c r="HC218" s="78"/>
      <c r="HD218" s="78"/>
      <c r="HE218" s="78"/>
      <c r="HF218" s="78"/>
      <c r="HG218" s="78"/>
      <c r="HH218" s="78"/>
      <c r="HI218" s="78"/>
      <c r="HJ218" s="78"/>
      <c r="HK218" s="78"/>
    </row>
    <row r="219" spans="1:219" ht="15" customHeight="1">
      <c r="A219" s="99">
        <v>7</v>
      </c>
      <c r="B219" s="176" t="str">
        <f>VLOOKUP(Ruimtestaat[[#This Row],[Code]],Locaties[[Code]:[Locatie]],2,FALSE)</f>
        <v xml:space="preserve">OBS Molenbeek </v>
      </c>
      <c r="C219" s="176" t="str">
        <f>VLOOKUP(Ruimtestaat[[#This Row],[Code]],Locaties[[#All],[Code]:[Adres]],4,FALSE)</f>
        <v>Lammerinkweg 10</v>
      </c>
      <c r="D219" s="176" t="str">
        <f>VLOOKUP(Ruimtestaat[[#This Row],[Code]],Locaties[[#All],[Code]:[Postcode]],5,FALSE)</f>
        <v>7546 RD</v>
      </c>
      <c r="E219" s="176" t="str">
        <f>VLOOKUP(Ruimtestaat[[#This Row],[Code]],Locaties[#All],6,FALSE)</f>
        <v>Enschede</v>
      </c>
      <c r="F219" s="149"/>
      <c r="G219" s="149" t="s">
        <v>1646</v>
      </c>
      <c r="H219" s="99" t="s">
        <v>1652</v>
      </c>
      <c r="I219" s="183" t="s">
        <v>1272</v>
      </c>
      <c r="J219" s="99">
        <v>18</v>
      </c>
      <c r="K219" s="183" t="str">
        <f>VLOOKUP(Ruimtestaat[[#This Row],[Ruimte code]],Ruimtegroepen[[#All],[Code]:[Ruimte omschrijving]],2,FALSE)</f>
        <v>Gymzaal</v>
      </c>
      <c r="L219" s="149" t="s">
        <v>102</v>
      </c>
      <c r="M219" s="301" t="s">
        <v>1727</v>
      </c>
      <c r="N219" s="177">
        <v>82.7</v>
      </c>
      <c r="O219" s="177"/>
      <c r="P219" s="178" t="str">
        <f>VLOOKUP(Ruimtestaat[[#This Row],[Ruimte code]],Ruimtegroepen[],4,FALSE)</f>
        <v>Sp</v>
      </c>
      <c r="Q219" s="149">
        <v>40</v>
      </c>
      <c r="R219" s="149" t="s">
        <v>2</v>
      </c>
      <c r="S219" s="149">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9" s="149">
        <f>IF(S219&gt;0,VLOOKUP($J219,Ruimtegroepen[],3,FALSE)*VLOOKUP($L219,Vloersoorten[],3,FALSE)*VLOOKUP($R219,Frequenties[],3,FALSE)*VLOOKUP($A219,Locaties[],3,FALSE),0)</f>
        <v>0</v>
      </c>
      <c r="U219" s="149">
        <f>Ruimtestaat[[#This Row],[Uitvoeringen werkdagen]]*Ruimtestaat[[#This Row],[Oppervlak (netto)]]</f>
        <v>16540</v>
      </c>
      <c r="V219" s="179">
        <f>IF(T219&gt;0,Ruimtestaat[[#This Row],[Prest. (m2 /jaar) werkdagen]]/Ruimtestaat[[#This Row],[Norm (m2/uur) werkdagen]],0)</f>
        <v>0</v>
      </c>
      <c r="W219" s="180">
        <f>Ruimtestaat[[#This Row],[uren / jaar werkdagen]]*Tariefsopbouw!$E$35</f>
        <v>0</v>
      </c>
      <c r="X219" s="149"/>
      <c r="Y219" s="149">
        <f>IF(Ruimtestaat[[#This Row],[Frequentie weekend]]&gt;0,VALUE(LEFT(X219,1))*Q219,0)</f>
        <v>0</v>
      </c>
      <c r="Z219" s="148">
        <f>IF($Y219&gt;0,VLOOKUP($J219,Ruimtegroepen[],3,FALSE)*VLOOKUP($L219,Vloersoorten[],3,FALSE)*VLOOKUP($X219,Frequenties[],3,FALSE)*VLOOKUP(Ruimtestaat[[#This Row],[Code]],Locaties[],3,FALSE),0)</f>
        <v>0</v>
      </c>
      <c r="AA219" s="148">
        <f>Ruimtestaat[[#This Row],[Uitvoeringen weekend]]*Ruimtestaat[[#This Row],[Oppervlak (netto)]]</f>
        <v>0</v>
      </c>
      <c r="AB219" s="148">
        <f>IF(Z219&gt;0,Ruimtestaat[[#This Row],[Prest. (m2 /jaar) weekend]]/Ruimtestaat[[#This Row],[Norm (m2/uur) weekend]],0)</f>
        <v>0</v>
      </c>
      <c r="AC219" s="180">
        <f>Ruimtestaat[[#This Row],[uren / jaar weekend]]*Tariefsopbouw!$D$40</f>
        <v>0</v>
      </c>
      <c r="AD219" s="179">
        <f>Ruimtestaat[[#This Row],[Prest. (m2 /jaar) weekend]]+Ruimtestaat[[#This Row],[Prest. (m2 /jaar) werkdagen]]</f>
        <v>16540</v>
      </c>
      <c r="AE219" s="179">
        <f>Ruimtestaat[[#This Row],[uren / jaar weekend]]+Ruimtestaat[[#This Row],[uren / jaar werkdagen]]</f>
        <v>0</v>
      </c>
      <c r="AF219" s="174">
        <f>Ruimtestaat[[#This Row],[kosten / jaar weekend]]+Ruimtestaat[[#This Row],[kosten / jaar werkdagen]]</f>
        <v>0</v>
      </c>
      <c r="AG219" s="174"/>
      <c r="AH219" s="181" t="str">
        <f>IF(Ruimtestaat[[#This Row],[Frequentie werkdagen]]="","",_xlfn.CONCAT(Ruimtestaat[[#This Row],[Ruimte code]],"-",Ruimtestaat[[#This Row],[Frequentie werkdagen]]," ",Ruimtestaat[[#This Row],[Vloer code]]))</f>
        <v>18-5w P</v>
      </c>
      <c r="AI219" s="185" t="str">
        <f>_xlfn.IFNA(VLOOKUP($AH219,Programma!$F$3:$G$1101,2,0),"")</f>
        <v>_</v>
      </c>
      <c r="AJ219" s="185" t="str">
        <f>_xlfn.IFNA(VLOOKUP($AH219,Programma!$F$3:$H$1101,3,0),"")</f>
        <v>_</v>
      </c>
      <c r="AK219" s="185" t="str">
        <f>_xlfn.IFNA(VLOOKUP($AH219,Programma!$F$3:$I$1101,4,0),"")</f>
        <v>4w</v>
      </c>
      <c r="AL219" s="185" t="str">
        <f>_xlfn.IFNA(VLOOKUP($AH219,Programma!$F$3:$J$1101,5,0),"")</f>
        <v>1w</v>
      </c>
      <c r="AM219" s="185" t="str">
        <f>_xlfn.IFNA(VLOOKUP($AH219,Programma!$F$3:$K$1101,6,0),"")</f>
        <v>4j</v>
      </c>
      <c r="AN219" s="185" t="str">
        <f>_xlfn.IFNA(VLOOKUP($AH219,Programma!$F$3:$L$1101,7,0),"")</f>
        <v>_</v>
      </c>
      <c r="AO219" s="185" t="str">
        <f>_xlfn.IFNA(VLOOKUP($AH219,Programma!$F$3:$M$1101,8,0),"")</f>
        <v>_</v>
      </c>
      <c r="AP219" s="185" t="str">
        <f>_xlfn.IFNA(VLOOKUP($AH219,Programma!$F$3:$N$1101,9,0),"")</f>
        <v>_</v>
      </c>
      <c r="AQ219" s="185" t="str">
        <f>_xlfn.IFNA(VLOOKUP($AH219,Programma!$F$3:$O$1101,10,0),"")</f>
        <v>5w</v>
      </c>
      <c r="AR219" s="185" t="str">
        <f>_xlfn.IFNA(VLOOKUP($AH219,Programma!$F$3:$P$1101,11,0),"")</f>
        <v>5w</v>
      </c>
      <c r="AS219" s="185" t="str">
        <f>_xlfn.IFNA(VLOOKUP($AH219,Programma!$F$3:$Q$1101,12,0),"")</f>
        <v>5w</v>
      </c>
      <c r="AT219" s="185" t="str">
        <f>_xlfn.IFNA(VLOOKUP($AH219,Programma!$F$3:$R$1101,13,0),"")</f>
        <v>5w</v>
      </c>
      <c r="AU219" s="185" t="str">
        <f>_xlfn.IFNA(VLOOKUP($AH219,Programma!$F$3:$S$1101,14,0),"")</f>
        <v>1m</v>
      </c>
      <c r="AV219" s="185" t="str">
        <f>_xlfn.IFNA(VLOOKUP($AH219,Programma!$F$3:$T$1101,15,0),"")</f>
        <v>2j</v>
      </c>
      <c r="AW219" s="185" t="str">
        <f>_xlfn.IFNA(VLOOKUP($AH219,Programma!$F$3:$U$1101,16,0),"")</f>
        <v>1j</v>
      </c>
      <c r="AX219" s="185" t="str">
        <f>_xlfn.IFNA(VLOOKUP($AH219,Programma!$F$3:$V$1101,17,0),"")</f>
        <v>_</v>
      </c>
      <c r="AY219" s="185" t="str">
        <f>_xlfn.IFNA(VLOOKUP($AH219,Programma!$F$3:$W$1101,18,0),"")</f>
        <v>_</v>
      </c>
      <c r="AZ219" s="185" t="str">
        <f>_xlfn.IFNA(VLOOKUP($AH219,Programma!$F$3:$X$1101,19,0),"")</f>
        <v>_</v>
      </c>
      <c r="BA219" s="185" t="str">
        <f>_xlfn.IFNA(VLOOKUP($AH219,Programma!$F$3:$Y$1101,20,0),"")</f>
        <v>_</v>
      </c>
      <c r="BB219" s="182"/>
      <c r="BC219" s="181" t="str">
        <f>IF(Ruimtestaat[[#This Row],[Frequentie weekend]]="","",_xlfn.CONCAT(Ruimtestaat[[#This Row],[Ruimte code]],"-",Ruimtestaat[[#This Row],[Frequentie weekend]]," ",Ruimtestaat[[#This Row],[Vloer code]]))</f>
        <v/>
      </c>
      <c r="BD219" s="185" t="str">
        <f>_xlfn.IFNA(VLOOKUP($BC219,Programma!$F$3:$G$1101,2,0),"")</f>
        <v/>
      </c>
      <c r="BE219" s="185" t="str">
        <f>_xlfn.IFNA(VLOOKUP($BC219,Programma!$F$3:$H$1101,3,0),"")</f>
        <v/>
      </c>
      <c r="BF219" s="185" t="str">
        <f>_xlfn.IFNA(VLOOKUP($BC219,Programma!$F$3:$I$1101,4,0),"")</f>
        <v/>
      </c>
      <c r="BG219" s="185" t="str">
        <f>_xlfn.IFNA(VLOOKUP($BC219,Programma!$F$3:$J$1101,5,0),"")</f>
        <v/>
      </c>
      <c r="BH219" s="185" t="str">
        <f>_xlfn.IFNA(VLOOKUP($BC219,Programma!$F$3:$K$1101,6,0),"")</f>
        <v/>
      </c>
      <c r="BI219" s="185" t="str">
        <f>_xlfn.IFNA(VLOOKUP($BC219,Programma!$F$3:$L$1101,7,0),"")</f>
        <v/>
      </c>
      <c r="BJ219" s="185" t="str">
        <f>_xlfn.IFNA(VLOOKUP($BC219,Programma!$F$3:$M$1101,8,0),"")</f>
        <v/>
      </c>
      <c r="BK219" s="185" t="str">
        <f>_xlfn.IFNA(VLOOKUP($BC219,Programma!$F$3:$N$1101,9,0),"")</f>
        <v/>
      </c>
      <c r="BL219" s="185" t="str">
        <f>_xlfn.IFNA(VLOOKUP($BC219,Programma!$F$3:$O$1101,10,0),"")</f>
        <v/>
      </c>
      <c r="BM219" s="185" t="str">
        <f>_xlfn.IFNA(VLOOKUP($BC219,Programma!$F$3:$P$1101,11,0),"")</f>
        <v/>
      </c>
      <c r="BN219" s="185" t="str">
        <f>_xlfn.IFNA(VLOOKUP($BC219,Programma!$F$3:$Q$1101,12,0),"")</f>
        <v/>
      </c>
      <c r="BO219" s="185" t="str">
        <f>_xlfn.IFNA(VLOOKUP($BC219,Programma!$F$3:$R$1101,13,0),"")</f>
        <v/>
      </c>
      <c r="BP219" s="185" t="str">
        <f>_xlfn.IFNA(VLOOKUP($BC219,Programma!$F$3:$S$1101,14,0),"")</f>
        <v/>
      </c>
      <c r="BQ219" s="185" t="str">
        <f>_xlfn.IFNA(VLOOKUP($BC219,Programma!$F$3:$T$1101,15,0),"")</f>
        <v/>
      </c>
      <c r="BR219" s="185" t="str">
        <f>_xlfn.IFNA(VLOOKUP($BC219,Programma!$F$3:$U$1101,16,0),"")</f>
        <v/>
      </c>
      <c r="BS219" s="185" t="str">
        <f>_xlfn.IFNA(VLOOKUP($BC219,Programma!$F$3:$V$1101,17,0),"")</f>
        <v/>
      </c>
      <c r="BT219" s="185" t="str">
        <f>_xlfn.IFNA(VLOOKUP($BC219,Programma!$F$3:$W$1101,18,0),"")</f>
        <v/>
      </c>
      <c r="BU219" s="185" t="str">
        <f>_xlfn.IFNA(VLOOKUP($BC219,Programma!$F$3:$X$1101,19,0),"")</f>
        <v/>
      </c>
      <c r="BV219" s="185" t="str">
        <f>_xlfn.IFNA(VLOOKUP($BC219,Programma!$F$3:$Y$1101,20,0),"")</f>
        <v/>
      </c>
      <c r="BW219" s="78"/>
      <c r="BX219" s="78"/>
      <c r="BY219" s="78"/>
      <c r="BZ219" s="78"/>
      <c r="CA219" s="78"/>
      <c r="CB219" s="78"/>
      <c r="CC219" s="78"/>
      <c r="CD219" s="78"/>
      <c r="CE219" s="78"/>
      <c r="CF219" s="78"/>
      <c r="CG219" s="78"/>
      <c r="CH219" s="78"/>
      <c r="CI219" s="78"/>
      <c r="CJ219" s="78"/>
      <c r="CK219" s="78"/>
      <c r="CL219" s="78"/>
      <c r="CM219" s="78"/>
      <c r="CN219" s="78"/>
      <c r="CO219" s="78"/>
      <c r="CP219" s="78"/>
      <c r="CQ219" s="78"/>
      <c r="CR219" s="78"/>
      <c r="CS219" s="78"/>
      <c r="CT219" s="78"/>
      <c r="CU219" s="78"/>
      <c r="CV219" s="78"/>
      <c r="CW219" s="78"/>
      <c r="CX219" s="78"/>
      <c r="CY219" s="78"/>
      <c r="CZ219" s="78"/>
      <c r="DA219" s="78"/>
      <c r="DB219" s="78"/>
      <c r="DC219" s="78"/>
      <c r="DD219" s="78"/>
      <c r="DE219" s="78"/>
      <c r="DF219" s="78"/>
      <c r="DG219" s="78"/>
      <c r="DH219" s="78"/>
      <c r="DI219" s="78"/>
      <c r="DJ219" s="78"/>
      <c r="DK219" s="78"/>
      <c r="DL219" s="78"/>
      <c r="DM219" s="78"/>
      <c r="DN219" s="78"/>
      <c r="DO219" s="78"/>
      <c r="DP219" s="78"/>
      <c r="DQ219" s="78"/>
      <c r="DR219" s="78"/>
      <c r="DS219" s="78"/>
      <c r="DT219" s="78"/>
      <c r="DU219" s="78"/>
      <c r="DV219" s="78"/>
      <c r="DW219" s="78"/>
      <c r="DX219" s="78"/>
      <c r="DY219" s="78"/>
      <c r="DZ219" s="78"/>
      <c r="EA219" s="78"/>
      <c r="EB219" s="78"/>
      <c r="EC219" s="78"/>
      <c r="ED219" s="78"/>
      <c r="EE219" s="78"/>
      <c r="EF219" s="78"/>
      <c r="EG219" s="78"/>
      <c r="EH219" s="78"/>
      <c r="EI219" s="78"/>
      <c r="EJ219" s="78"/>
      <c r="EK219" s="78"/>
      <c r="EL219" s="78"/>
      <c r="EM219" s="78"/>
      <c r="EN219" s="78"/>
      <c r="EO219" s="78"/>
      <c r="EP219" s="78"/>
      <c r="EQ219" s="78"/>
      <c r="ER219" s="78"/>
      <c r="ES219" s="78"/>
      <c r="ET219" s="78"/>
      <c r="EU219" s="78"/>
      <c r="EV219" s="78"/>
      <c r="EW219" s="78"/>
      <c r="EX219" s="78"/>
      <c r="EY219" s="78"/>
      <c r="EZ219" s="78"/>
      <c r="FA219" s="78"/>
      <c r="FB219" s="78"/>
      <c r="FC219" s="78"/>
      <c r="FD219" s="78"/>
      <c r="FE219" s="78"/>
      <c r="FF219" s="78"/>
      <c r="FG219" s="78"/>
      <c r="FH219" s="78"/>
      <c r="FI219" s="78"/>
      <c r="FJ219" s="78"/>
      <c r="FK219" s="78"/>
      <c r="FL219" s="78"/>
      <c r="FM219" s="78"/>
      <c r="FN219" s="78"/>
      <c r="FO219" s="78"/>
      <c r="FP219" s="78"/>
      <c r="FQ219" s="78"/>
      <c r="FR219" s="78"/>
      <c r="FS219" s="78"/>
      <c r="FT219" s="78"/>
      <c r="FU219" s="78"/>
      <c r="FV219" s="78"/>
      <c r="FW219" s="78"/>
      <c r="FX219" s="78"/>
      <c r="FY219" s="78"/>
      <c r="FZ219" s="78"/>
      <c r="GA219" s="78"/>
      <c r="GB219" s="78"/>
      <c r="GC219" s="78"/>
      <c r="GD219" s="78"/>
      <c r="GE219" s="78"/>
      <c r="GF219" s="78"/>
      <c r="GG219" s="78"/>
      <c r="GH219" s="78"/>
      <c r="GI219" s="78"/>
      <c r="GJ219" s="78"/>
      <c r="GK219" s="78"/>
      <c r="GL219" s="78"/>
      <c r="GM219" s="78"/>
      <c r="GN219" s="78"/>
      <c r="GO219" s="78"/>
      <c r="GP219" s="78"/>
      <c r="GQ219" s="78"/>
      <c r="GR219" s="78"/>
      <c r="GS219" s="78"/>
      <c r="GT219" s="78"/>
      <c r="GU219" s="78"/>
      <c r="GV219" s="78"/>
      <c r="GW219" s="78"/>
      <c r="GX219" s="78"/>
      <c r="GY219" s="78"/>
      <c r="GZ219" s="78"/>
      <c r="HA219" s="78"/>
      <c r="HB219" s="78"/>
      <c r="HC219" s="78"/>
      <c r="HD219" s="78"/>
      <c r="HE219" s="78"/>
      <c r="HF219" s="78"/>
      <c r="HG219" s="78"/>
      <c r="HH219" s="78"/>
      <c r="HI219" s="78"/>
      <c r="HJ219" s="78"/>
      <c r="HK219" s="78"/>
    </row>
    <row r="220" spans="1:219" ht="15" customHeight="1">
      <c r="A220" s="99">
        <v>7</v>
      </c>
      <c r="B220" s="176" t="str">
        <f>VLOOKUP(Ruimtestaat[[#This Row],[Code]],Locaties[[Code]:[Locatie]],2,FALSE)</f>
        <v xml:space="preserve">OBS Molenbeek </v>
      </c>
      <c r="C220" s="176" t="str">
        <f>VLOOKUP(Ruimtestaat[[#This Row],[Code]],Locaties[[#All],[Code]:[Adres]],4,FALSE)</f>
        <v>Lammerinkweg 10</v>
      </c>
      <c r="D220" s="176" t="str">
        <f>VLOOKUP(Ruimtestaat[[#This Row],[Code]],Locaties[[#All],[Code]:[Postcode]],5,FALSE)</f>
        <v>7546 RD</v>
      </c>
      <c r="E220" s="176" t="str">
        <f>VLOOKUP(Ruimtestaat[[#This Row],[Code]],Locaties[#All],6,FALSE)</f>
        <v>Enschede</v>
      </c>
      <c r="F220" s="149"/>
      <c r="G220" s="149" t="s">
        <v>1646</v>
      </c>
      <c r="H220" s="99" t="s">
        <v>1653</v>
      </c>
      <c r="I220" s="183" t="s">
        <v>1651</v>
      </c>
      <c r="J220" s="99">
        <v>16</v>
      </c>
      <c r="K220" s="183" t="str">
        <f>VLOOKUP(Ruimtestaat[[#This Row],[Ruimte code]],Ruimtegroepen[[#All],[Code]:[Ruimte omschrijving]],2,FALSE)</f>
        <v>Leslokalen</v>
      </c>
      <c r="L220" s="149" t="s">
        <v>100</v>
      </c>
      <c r="M220" s="301" t="s">
        <v>1697</v>
      </c>
      <c r="N220" s="177">
        <v>110</v>
      </c>
      <c r="O220" s="177"/>
      <c r="P220" s="178" t="str">
        <f>VLOOKUP(Ruimtestaat[[#This Row],[Ruimte code]],Ruimtegroepen[],4,FALSE)</f>
        <v>Le</v>
      </c>
      <c r="Q220" s="149">
        <v>40</v>
      </c>
      <c r="R220" s="149" t="s">
        <v>2</v>
      </c>
      <c r="S220" s="149">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0" s="149">
        <f>IF(S220&gt;0,VLOOKUP($J220,Ruimtegroepen[],3,FALSE)*VLOOKUP($L220,Vloersoorten[],3,FALSE)*VLOOKUP($R220,Frequenties[],3,FALSE)*VLOOKUP($A220,Locaties[],3,FALSE),0)</f>
        <v>0</v>
      </c>
      <c r="U220" s="149">
        <f>Ruimtestaat[[#This Row],[Uitvoeringen werkdagen]]*Ruimtestaat[[#This Row],[Oppervlak (netto)]]</f>
        <v>22000</v>
      </c>
      <c r="V220" s="179">
        <f>IF(T220&gt;0,Ruimtestaat[[#This Row],[Prest. (m2 /jaar) werkdagen]]/Ruimtestaat[[#This Row],[Norm (m2/uur) werkdagen]],0)</f>
        <v>0</v>
      </c>
      <c r="W220" s="180">
        <f>Ruimtestaat[[#This Row],[uren / jaar werkdagen]]*Tariefsopbouw!$E$35</f>
        <v>0</v>
      </c>
      <c r="X220" s="149"/>
      <c r="Y220" s="149">
        <f>IF(Ruimtestaat[[#This Row],[Frequentie weekend]]&gt;0,VALUE(LEFT(X220,1))*Q220,0)</f>
        <v>0</v>
      </c>
      <c r="Z220" s="148">
        <f>IF($Y220&gt;0,VLOOKUP($J220,Ruimtegroepen[],3,FALSE)*VLOOKUP($L220,Vloersoorten[],3,FALSE)*VLOOKUP($X220,Frequenties[],3,FALSE)*VLOOKUP(Ruimtestaat[[#This Row],[Code]],Locaties[],3,FALSE),0)</f>
        <v>0</v>
      </c>
      <c r="AA220" s="148">
        <f>Ruimtestaat[[#This Row],[Uitvoeringen weekend]]*Ruimtestaat[[#This Row],[Oppervlak (netto)]]</f>
        <v>0</v>
      </c>
      <c r="AB220" s="148">
        <f>IF(Z220&gt;0,Ruimtestaat[[#This Row],[Prest. (m2 /jaar) weekend]]/Ruimtestaat[[#This Row],[Norm (m2/uur) weekend]],0)</f>
        <v>0</v>
      </c>
      <c r="AC220" s="180">
        <f>Ruimtestaat[[#This Row],[uren / jaar weekend]]*Tariefsopbouw!$D$40</f>
        <v>0</v>
      </c>
      <c r="AD220" s="179">
        <f>Ruimtestaat[[#This Row],[Prest. (m2 /jaar) weekend]]+Ruimtestaat[[#This Row],[Prest. (m2 /jaar) werkdagen]]</f>
        <v>22000</v>
      </c>
      <c r="AE220" s="179">
        <f>Ruimtestaat[[#This Row],[uren / jaar weekend]]+Ruimtestaat[[#This Row],[uren / jaar werkdagen]]</f>
        <v>0</v>
      </c>
      <c r="AF220" s="174">
        <f>Ruimtestaat[[#This Row],[kosten / jaar weekend]]+Ruimtestaat[[#This Row],[kosten / jaar werkdagen]]</f>
        <v>0</v>
      </c>
      <c r="AG220" s="174"/>
      <c r="AH220" s="181" t="str">
        <f>IF(Ruimtestaat[[#This Row],[Frequentie werkdagen]]="","",_xlfn.CONCAT(Ruimtestaat[[#This Row],[Ruimte code]],"-",Ruimtestaat[[#This Row],[Frequentie werkdagen]]," ",Ruimtestaat[[#This Row],[Vloer code]]))</f>
        <v>16-5w L</v>
      </c>
      <c r="AI220" s="185" t="str">
        <f>_xlfn.IFNA(VLOOKUP($AH220,Programma!$F$3:$G$1101,2,0),"")</f>
        <v>_</v>
      </c>
      <c r="AJ220" s="185" t="str">
        <f>_xlfn.IFNA(VLOOKUP($AH220,Programma!$F$3:$H$1101,3,0),"")</f>
        <v>_</v>
      </c>
      <c r="AK220" s="185" t="str">
        <f>_xlfn.IFNA(VLOOKUP($AH220,Programma!$F$3:$I$1101,4,0),"")</f>
        <v>4w</v>
      </c>
      <c r="AL220" s="185" t="str">
        <f>_xlfn.IFNA(VLOOKUP($AH220,Programma!$F$3:$J$1101,5,0),"")</f>
        <v>1w</v>
      </c>
      <c r="AM220" s="185" t="str">
        <f>_xlfn.IFNA(VLOOKUP($AH220,Programma!$F$3:$K$1101,6,0),"")</f>
        <v>_</v>
      </c>
      <c r="AN220" s="185" t="str">
        <f>_xlfn.IFNA(VLOOKUP($AH220,Programma!$F$3:$L$1101,7,0),"")</f>
        <v>_</v>
      </c>
      <c r="AO220" s="185" t="str">
        <f>_xlfn.IFNA(VLOOKUP($AH220,Programma!$F$3:$M$1101,8,0),"")</f>
        <v>_</v>
      </c>
      <c r="AP220" s="185" t="str">
        <f>_xlfn.IFNA(VLOOKUP($AH220,Programma!$F$3:$N$1101,9,0),"")</f>
        <v>_</v>
      </c>
      <c r="AQ220" s="185" t="str">
        <f>_xlfn.IFNA(VLOOKUP($AH220,Programma!$F$3:$O$1101,10,0),"")</f>
        <v>5w</v>
      </c>
      <c r="AR220" s="185" t="str">
        <f>_xlfn.IFNA(VLOOKUP($AH220,Programma!$F$3:$P$1101,11,0),"")</f>
        <v>5w</v>
      </c>
      <c r="AS220" s="185" t="str">
        <f>_xlfn.IFNA(VLOOKUP($AH220,Programma!$F$3:$Q$1101,12,0),"")</f>
        <v>1w</v>
      </c>
      <c r="AT220" s="185" t="str">
        <f>_xlfn.IFNA(VLOOKUP($AH220,Programma!$F$3:$R$1101,13,0),"")</f>
        <v>1w</v>
      </c>
      <c r="AU220" s="185" t="str">
        <f>_xlfn.IFNA(VLOOKUP($AH220,Programma!$F$3:$S$1101,14,0),"")</f>
        <v>1m</v>
      </c>
      <c r="AV220" s="185" t="str">
        <f>_xlfn.IFNA(VLOOKUP($AH220,Programma!$F$3:$T$1101,15,0),"")</f>
        <v>2j</v>
      </c>
      <c r="AW220" s="185" t="str">
        <f>_xlfn.IFNA(VLOOKUP($AH220,Programma!$F$3:$U$1101,16,0),"")</f>
        <v>1j</v>
      </c>
      <c r="AX220" s="185" t="str">
        <f>_xlfn.IFNA(VLOOKUP($AH220,Programma!$F$3:$V$1101,17,0),"")</f>
        <v>_</v>
      </c>
      <c r="AY220" s="185" t="str">
        <f>_xlfn.IFNA(VLOOKUP($AH220,Programma!$F$3:$W$1101,18,0),"")</f>
        <v>_</v>
      </c>
      <c r="AZ220" s="185" t="str">
        <f>_xlfn.IFNA(VLOOKUP($AH220,Programma!$F$3:$X$1101,19,0),"")</f>
        <v>_</v>
      </c>
      <c r="BA220" s="185" t="str">
        <f>_xlfn.IFNA(VLOOKUP($AH220,Programma!$F$3:$Y$1101,20,0),"")</f>
        <v>_</v>
      </c>
      <c r="BB220" s="182"/>
      <c r="BC220" s="181" t="str">
        <f>IF(Ruimtestaat[[#This Row],[Frequentie weekend]]="","",_xlfn.CONCAT(Ruimtestaat[[#This Row],[Ruimte code]],"-",Ruimtestaat[[#This Row],[Frequentie weekend]]," ",Ruimtestaat[[#This Row],[Vloer code]]))</f>
        <v/>
      </c>
      <c r="BD220" s="185" t="str">
        <f>_xlfn.IFNA(VLOOKUP($BC220,Programma!$F$3:$G$1101,2,0),"")</f>
        <v/>
      </c>
      <c r="BE220" s="185" t="str">
        <f>_xlfn.IFNA(VLOOKUP($BC220,Programma!$F$3:$H$1101,3,0),"")</f>
        <v/>
      </c>
      <c r="BF220" s="185" t="str">
        <f>_xlfn.IFNA(VLOOKUP($BC220,Programma!$F$3:$I$1101,4,0),"")</f>
        <v/>
      </c>
      <c r="BG220" s="185" t="str">
        <f>_xlfn.IFNA(VLOOKUP($BC220,Programma!$F$3:$J$1101,5,0),"")</f>
        <v/>
      </c>
      <c r="BH220" s="185" t="str">
        <f>_xlfn.IFNA(VLOOKUP($BC220,Programma!$F$3:$K$1101,6,0),"")</f>
        <v/>
      </c>
      <c r="BI220" s="185" t="str">
        <f>_xlfn.IFNA(VLOOKUP($BC220,Programma!$F$3:$L$1101,7,0),"")</f>
        <v/>
      </c>
      <c r="BJ220" s="185" t="str">
        <f>_xlfn.IFNA(VLOOKUP($BC220,Programma!$F$3:$M$1101,8,0),"")</f>
        <v/>
      </c>
      <c r="BK220" s="185" t="str">
        <f>_xlfn.IFNA(VLOOKUP($BC220,Programma!$F$3:$N$1101,9,0),"")</f>
        <v/>
      </c>
      <c r="BL220" s="185" t="str">
        <f>_xlfn.IFNA(VLOOKUP($BC220,Programma!$F$3:$O$1101,10,0),"")</f>
        <v/>
      </c>
      <c r="BM220" s="185" t="str">
        <f>_xlfn.IFNA(VLOOKUP($BC220,Programma!$F$3:$P$1101,11,0),"")</f>
        <v/>
      </c>
      <c r="BN220" s="185" t="str">
        <f>_xlfn.IFNA(VLOOKUP($BC220,Programma!$F$3:$Q$1101,12,0),"")</f>
        <v/>
      </c>
      <c r="BO220" s="185" t="str">
        <f>_xlfn.IFNA(VLOOKUP($BC220,Programma!$F$3:$R$1101,13,0),"")</f>
        <v/>
      </c>
      <c r="BP220" s="185" t="str">
        <f>_xlfn.IFNA(VLOOKUP($BC220,Programma!$F$3:$S$1101,14,0),"")</f>
        <v/>
      </c>
      <c r="BQ220" s="185" t="str">
        <f>_xlfn.IFNA(VLOOKUP($BC220,Programma!$F$3:$T$1101,15,0),"")</f>
        <v/>
      </c>
      <c r="BR220" s="185" t="str">
        <f>_xlfn.IFNA(VLOOKUP($BC220,Programma!$F$3:$U$1101,16,0),"")</f>
        <v/>
      </c>
      <c r="BS220" s="185" t="str">
        <f>_xlfn.IFNA(VLOOKUP($BC220,Programma!$F$3:$V$1101,17,0),"")</f>
        <v/>
      </c>
      <c r="BT220" s="185" t="str">
        <f>_xlfn.IFNA(VLOOKUP($BC220,Programma!$F$3:$W$1101,18,0),"")</f>
        <v/>
      </c>
      <c r="BU220" s="185" t="str">
        <f>_xlfn.IFNA(VLOOKUP($BC220,Programma!$F$3:$X$1101,19,0),"")</f>
        <v/>
      </c>
      <c r="BV220" s="185" t="str">
        <f>_xlfn.IFNA(VLOOKUP($BC220,Programma!$F$3:$Y$1101,20,0),"")</f>
        <v/>
      </c>
      <c r="BW220" s="78"/>
      <c r="BX220" s="78"/>
      <c r="BY220" s="78"/>
      <c r="BZ220" s="78"/>
      <c r="CA220" s="78"/>
      <c r="CB220" s="78"/>
      <c r="CC220" s="78"/>
      <c r="CD220" s="78"/>
      <c r="CE220" s="78"/>
      <c r="CF220" s="78"/>
      <c r="CG220" s="78"/>
      <c r="CH220" s="78"/>
      <c r="CI220" s="78"/>
      <c r="CJ220" s="78"/>
      <c r="CK220" s="78"/>
      <c r="CL220" s="78"/>
      <c r="CM220" s="78"/>
      <c r="CN220" s="78"/>
      <c r="CO220" s="78"/>
      <c r="CP220" s="78"/>
      <c r="CQ220" s="78"/>
      <c r="CR220" s="78"/>
      <c r="CS220" s="78"/>
      <c r="CT220" s="78"/>
      <c r="CU220" s="78"/>
      <c r="CV220" s="78"/>
      <c r="CW220" s="78"/>
      <c r="CX220" s="78"/>
      <c r="CY220" s="78"/>
      <c r="CZ220" s="78"/>
      <c r="DA220" s="78"/>
      <c r="DB220" s="78"/>
      <c r="DC220" s="78"/>
      <c r="DD220" s="78"/>
      <c r="DE220" s="78"/>
      <c r="DF220" s="78"/>
      <c r="DG220" s="78"/>
      <c r="DH220" s="78"/>
      <c r="DI220" s="78"/>
      <c r="DJ220" s="78"/>
      <c r="DK220" s="78"/>
      <c r="DL220" s="78"/>
      <c r="DM220" s="78"/>
      <c r="DN220" s="78"/>
      <c r="DO220" s="78"/>
      <c r="DP220" s="78"/>
      <c r="DQ220" s="78"/>
      <c r="DR220" s="78"/>
      <c r="DS220" s="78"/>
      <c r="DT220" s="78"/>
      <c r="DU220" s="78"/>
      <c r="DV220" s="78"/>
      <c r="DW220" s="78"/>
      <c r="DX220" s="78"/>
      <c r="DY220" s="78"/>
      <c r="DZ220" s="78"/>
      <c r="EA220" s="78"/>
      <c r="EB220" s="78"/>
      <c r="EC220" s="78"/>
      <c r="ED220" s="78"/>
      <c r="EE220" s="78"/>
      <c r="EF220" s="78"/>
      <c r="EG220" s="78"/>
      <c r="EH220" s="78"/>
      <c r="EI220" s="78"/>
      <c r="EJ220" s="78"/>
      <c r="EK220" s="78"/>
      <c r="EL220" s="78"/>
      <c r="EM220" s="78"/>
      <c r="EN220" s="78"/>
      <c r="EO220" s="78"/>
      <c r="EP220" s="78"/>
      <c r="EQ220" s="78"/>
      <c r="ER220" s="78"/>
      <c r="ES220" s="78"/>
      <c r="ET220" s="78"/>
      <c r="EU220" s="78"/>
      <c r="EV220" s="78"/>
      <c r="EW220" s="78"/>
      <c r="EX220" s="78"/>
      <c r="EY220" s="78"/>
      <c r="EZ220" s="78"/>
      <c r="FA220" s="78"/>
      <c r="FB220" s="78"/>
      <c r="FC220" s="78"/>
      <c r="FD220" s="78"/>
      <c r="FE220" s="78"/>
      <c r="FF220" s="78"/>
      <c r="FG220" s="78"/>
      <c r="FH220" s="78"/>
      <c r="FI220" s="78"/>
      <c r="FJ220" s="78"/>
      <c r="FK220" s="78"/>
      <c r="FL220" s="78"/>
      <c r="FM220" s="78"/>
      <c r="FN220" s="78"/>
      <c r="FO220" s="78"/>
      <c r="FP220" s="78"/>
      <c r="FQ220" s="78"/>
      <c r="FR220" s="78"/>
      <c r="FS220" s="78"/>
      <c r="FT220" s="78"/>
      <c r="FU220" s="78"/>
      <c r="FV220" s="78"/>
      <c r="FW220" s="78"/>
      <c r="FX220" s="78"/>
      <c r="FY220" s="78"/>
      <c r="FZ220" s="78"/>
      <c r="GA220" s="78"/>
      <c r="GB220" s="78"/>
      <c r="GC220" s="78"/>
      <c r="GD220" s="78"/>
      <c r="GE220" s="78"/>
      <c r="GF220" s="78"/>
      <c r="GG220" s="78"/>
      <c r="GH220" s="78"/>
      <c r="GI220" s="78"/>
      <c r="GJ220" s="78"/>
      <c r="GK220" s="78"/>
      <c r="GL220" s="78"/>
      <c r="GM220" s="78"/>
      <c r="GN220" s="78"/>
      <c r="GO220" s="78"/>
      <c r="GP220" s="78"/>
      <c r="GQ220" s="78"/>
      <c r="GR220" s="78"/>
      <c r="GS220" s="78"/>
      <c r="GT220" s="78"/>
      <c r="GU220" s="78"/>
      <c r="GV220" s="78"/>
      <c r="GW220" s="78"/>
      <c r="GX220" s="78"/>
      <c r="GY220" s="78"/>
      <c r="GZ220" s="78"/>
      <c r="HA220" s="78"/>
      <c r="HB220" s="78"/>
      <c r="HC220" s="78"/>
      <c r="HD220" s="78"/>
      <c r="HE220" s="78"/>
      <c r="HF220" s="78"/>
      <c r="HG220" s="78"/>
      <c r="HH220" s="78"/>
      <c r="HI220" s="78"/>
      <c r="HJ220" s="78"/>
      <c r="HK220" s="78"/>
    </row>
    <row r="221" spans="1:219" ht="15" customHeight="1">
      <c r="A221" s="99">
        <v>7</v>
      </c>
      <c r="B221" s="176" t="str">
        <f>VLOOKUP(Ruimtestaat[[#This Row],[Code]],Locaties[[Code]:[Locatie]],2,FALSE)</f>
        <v xml:space="preserve">OBS Molenbeek </v>
      </c>
      <c r="C221" s="176" t="str">
        <f>VLOOKUP(Ruimtestaat[[#This Row],[Code]],Locaties[[#All],[Code]:[Adres]],4,FALSE)</f>
        <v>Lammerinkweg 10</v>
      </c>
      <c r="D221" s="176" t="str">
        <f>VLOOKUP(Ruimtestaat[[#This Row],[Code]],Locaties[[#All],[Code]:[Postcode]],5,FALSE)</f>
        <v>7546 RD</v>
      </c>
      <c r="E221" s="176" t="str">
        <f>VLOOKUP(Ruimtestaat[[#This Row],[Code]],Locaties[#All],6,FALSE)</f>
        <v>Enschede</v>
      </c>
      <c r="F221" s="149"/>
      <c r="G221" s="149" t="s">
        <v>1646</v>
      </c>
      <c r="H221" s="99" t="s">
        <v>1654</v>
      </c>
      <c r="I221" s="183" t="s">
        <v>1655</v>
      </c>
      <c r="J221" s="99">
        <v>5</v>
      </c>
      <c r="K221" s="183" t="str">
        <f>VLOOKUP(Ruimtestaat[[#This Row],[Ruimte code]],Ruimtegroepen[[#All],[Code]:[Ruimte omschrijving]],2,FALSE)</f>
        <v>Sanitair</v>
      </c>
      <c r="L221" s="149" t="s">
        <v>101</v>
      </c>
      <c r="M221" s="301" t="s">
        <v>1682</v>
      </c>
      <c r="N221" s="177">
        <v>7.8</v>
      </c>
      <c r="O221" s="177"/>
      <c r="P221" s="178" t="str">
        <f>VLOOKUP(Ruimtestaat[[#This Row],[Ruimte code]],Ruimtegroepen[],4,FALSE)</f>
        <v>Sa</v>
      </c>
      <c r="Q221" s="149">
        <v>40</v>
      </c>
      <c r="R221" s="149" t="s">
        <v>2</v>
      </c>
      <c r="S221" s="149">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1" s="149">
        <f>IF(S221&gt;0,VLOOKUP($J221,Ruimtegroepen[],3,FALSE)*VLOOKUP($L221,Vloersoorten[],3,FALSE)*VLOOKUP($R221,Frequenties[],3,FALSE)*VLOOKUP($A221,Locaties[],3,FALSE),0)</f>
        <v>0</v>
      </c>
      <c r="U221" s="149">
        <f>Ruimtestaat[[#This Row],[Uitvoeringen werkdagen]]*Ruimtestaat[[#This Row],[Oppervlak (netto)]]</f>
        <v>1560</v>
      </c>
      <c r="V221" s="179">
        <f>IF(T221&gt;0,Ruimtestaat[[#This Row],[Prest. (m2 /jaar) werkdagen]]/Ruimtestaat[[#This Row],[Norm (m2/uur) werkdagen]],0)</f>
        <v>0</v>
      </c>
      <c r="W221" s="180">
        <f>Ruimtestaat[[#This Row],[uren / jaar werkdagen]]*Tariefsopbouw!$E$35</f>
        <v>0</v>
      </c>
      <c r="X221" s="149"/>
      <c r="Y221" s="149">
        <f>IF(Ruimtestaat[[#This Row],[Frequentie weekend]]&gt;0,VALUE(LEFT(X221,1))*Q221,0)</f>
        <v>0</v>
      </c>
      <c r="Z221" s="148">
        <f>IF($Y221&gt;0,VLOOKUP($J221,Ruimtegroepen[],3,FALSE)*VLOOKUP($L221,Vloersoorten[],3,FALSE)*VLOOKUP($X221,Frequenties[],3,FALSE)*VLOOKUP(Ruimtestaat[[#This Row],[Code]],Locaties[],3,FALSE),0)</f>
        <v>0</v>
      </c>
      <c r="AA221" s="148">
        <f>Ruimtestaat[[#This Row],[Uitvoeringen weekend]]*Ruimtestaat[[#This Row],[Oppervlak (netto)]]</f>
        <v>0</v>
      </c>
      <c r="AB221" s="148">
        <f>IF(Z221&gt;0,Ruimtestaat[[#This Row],[Prest. (m2 /jaar) weekend]]/Ruimtestaat[[#This Row],[Norm (m2/uur) weekend]],0)</f>
        <v>0</v>
      </c>
      <c r="AC221" s="180">
        <f>Ruimtestaat[[#This Row],[uren / jaar weekend]]*Tariefsopbouw!$D$40</f>
        <v>0</v>
      </c>
      <c r="AD221" s="179">
        <f>Ruimtestaat[[#This Row],[Prest. (m2 /jaar) weekend]]+Ruimtestaat[[#This Row],[Prest. (m2 /jaar) werkdagen]]</f>
        <v>1560</v>
      </c>
      <c r="AE221" s="179">
        <f>Ruimtestaat[[#This Row],[uren / jaar weekend]]+Ruimtestaat[[#This Row],[uren / jaar werkdagen]]</f>
        <v>0</v>
      </c>
      <c r="AF221" s="174">
        <f>Ruimtestaat[[#This Row],[kosten / jaar weekend]]+Ruimtestaat[[#This Row],[kosten / jaar werkdagen]]</f>
        <v>0</v>
      </c>
      <c r="AG221" s="174"/>
      <c r="AH221" s="181" t="str">
        <f>IF(Ruimtestaat[[#This Row],[Frequentie werkdagen]]="","",_xlfn.CONCAT(Ruimtestaat[[#This Row],[Ruimte code]],"-",Ruimtestaat[[#This Row],[Frequentie werkdagen]]," ",Ruimtestaat[[#This Row],[Vloer code]]))</f>
        <v>5-5w S</v>
      </c>
      <c r="AI221" s="185" t="str">
        <f>_xlfn.IFNA(VLOOKUP($AH221,Programma!$F$3:$G$1101,2,0),"")</f>
        <v>_</v>
      </c>
      <c r="AJ221" s="185" t="str">
        <f>_xlfn.IFNA(VLOOKUP($AH221,Programma!$F$3:$H$1101,3,0),"")</f>
        <v>_</v>
      </c>
      <c r="AK221" s="185" t="str">
        <f>_xlfn.IFNA(VLOOKUP($AH221,Programma!$F$3:$I$1101,4,0),"")</f>
        <v>_</v>
      </c>
      <c r="AL221" s="185" t="str">
        <f>_xlfn.IFNA(VLOOKUP($AH221,Programma!$F$3:$J$1101,5,0),"")</f>
        <v>4w</v>
      </c>
      <c r="AM221" s="185" t="str">
        <f>_xlfn.IFNA(VLOOKUP($AH221,Programma!$F$3:$K$1101,6,0),"")</f>
        <v>1w</v>
      </c>
      <c r="AN221" s="185" t="str">
        <f>_xlfn.IFNA(VLOOKUP($AH221,Programma!$F$3:$L$1101,7,0),"")</f>
        <v>_</v>
      </c>
      <c r="AO221" s="185" t="str">
        <f>_xlfn.IFNA(VLOOKUP($AH221,Programma!$F$3:$M$1101,8,0),"")</f>
        <v>_</v>
      </c>
      <c r="AP221" s="185" t="str">
        <f>_xlfn.IFNA(VLOOKUP($AH221,Programma!$F$3:$N$1101,9,0),"")</f>
        <v>_</v>
      </c>
      <c r="AQ221" s="185" t="str">
        <f>_xlfn.IFNA(VLOOKUP($AH221,Programma!$F$3:$O$1101,10,0),"")</f>
        <v>_</v>
      </c>
      <c r="AR221" s="185" t="str">
        <f>_xlfn.IFNA(VLOOKUP($AH221,Programma!$F$3:$P$1101,11,0),"")</f>
        <v>_</v>
      </c>
      <c r="AS221" s="185" t="str">
        <f>_xlfn.IFNA(VLOOKUP($AH221,Programma!$F$3:$Q$1101,12,0),"")</f>
        <v>_</v>
      </c>
      <c r="AT221" s="185" t="str">
        <f>_xlfn.IFNA(VLOOKUP($AH221,Programma!$F$3:$R$1101,13,0),"")</f>
        <v>_</v>
      </c>
      <c r="AU221" s="185" t="str">
        <f>_xlfn.IFNA(VLOOKUP($AH221,Programma!$F$3:$S$1101,14,0),"")</f>
        <v>_</v>
      </c>
      <c r="AV221" s="185" t="str">
        <f>_xlfn.IFNA(VLOOKUP($AH221,Programma!$F$3:$T$1101,15,0),"")</f>
        <v>_</v>
      </c>
      <c r="AW221" s="185" t="str">
        <f>_xlfn.IFNA(VLOOKUP($AH221,Programma!$F$3:$U$1101,16,0),"")</f>
        <v>_</v>
      </c>
      <c r="AX221" s="185" t="str">
        <f>_xlfn.IFNA(VLOOKUP($AH221,Programma!$F$3:$V$1101,17,0),"")</f>
        <v>_</v>
      </c>
      <c r="AY221" s="185" t="str">
        <f>_xlfn.IFNA(VLOOKUP($AH221,Programma!$F$3:$W$1101,18,0),"")</f>
        <v>4w</v>
      </c>
      <c r="AZ221" s="185" t="str">
        <f>_xlfn.IFNA(VLOOKUP($AH221,Programma!$F$3:$X$1101,19,0),"")</f>
        <v>1w</v>
      </c>
      <c r="BA221" s="185" t="str">
        <f>_xlfn.IFNA(VLOOKUP($AH221,Programma!$F$3:$Y$1101,20,0),"")</f>
        <v>_</v>
      </c>
      <c r="BB221" s="182"/>
      <c r="BC221" s="181" t="str">
        <f>IF(Ruimtestaat[[#This Row],[Frequentie weekend]]="","",_xlfn.CONCAT(Ruimtestaat[[#This Row],[Ruimte code]],"-",Ruimtestaat[[#This Row],[Frequentie weekend]]," ",Ruimtestaat[[#This Row],[Vloer code]]))</f>
        <v/>
      </c>
      <c r="BD221" s="185" t="str">
        <f>_xlfn.IFNA(VLOOKUP($BC221,Programma!$F$3:$G$1101,2,0),"")</f>
        <v/>
      </c>
      <c r="BE221" s="185" t="str">
        <f>_xlfn.IFNA(VLOOKUP($BC221,Programma!$F$3:$H$1101,3,0),"")</f>
        <v/>
      </c>
      <c r="BF221" s="185" t="str">
        <f>_xlfn.IFNA(VLOOKUP($BC221,Programma!$F$3:$I$1101,4,0),"")</f>
        <v/>
      </c>
      <c r="BG221" s="185" t="str">
        <f>_xlfn.IFNA(VLOOKUP($BC221,Programma!$F$3:$J$1101,5,0),"")</f>
        <v/>
      </c>
      <c r="BH221" s="185" t="str">
        <f>_xlfn.IFNA(VLOOKUP($BC221,Programma!$F$3:$K$1101,6,0),"")</f>
        <v/>
      </c>
      <c r="BI221" s="185" t="str">
        <f>_xlfn.IFNA(VLOOKUP($BC221,Programma!$F$3:$L$1101,7,0),"")</f>
        <v/>
      </c>
      <c r="BJ221" s="185" t="str">
        <f>_xlfn.IFNA(VLOOKUP($BC221,Programma!$F$3:$M$1101,8,0),"")</f>
        <v/>
      </c>
      <c r="BK221" s="185" t="str">
        <f>_xlfn.IFNA(VLOOKUP($BC221,Programma!$F$3:$N$1101,9,0),"")</f>
        <v/>
      </c>
      <c r="BL221" s="185" t="str">
        <f>_xlfn.IFNA(VLOOKUP($BC221,Programma!$F$3:$O$1101,10,0),"")</f>
        <v/>
      </c>
      <c r="BM221" s="185" t="str">
        <f>_xlfn.IFNA(VLOOKUP($BC221,Programma!$F$3:$P$1101,11,0),"")</f>
        <v/>
      </c>
      <c r="BN221" s="185" t="str">
        <f>_xlfn.IFNA(VLOOKUP($BC221,Programma!$F$3:$Q$1101,12,0),"")</f>
        <v/>
      </c>
      <c r="BO221" s="185" t="str">
        <f>_xlfn.IFNA(VLOOKUP($BC221,Programma!$F$3:$R$1101,13,0),"")</f>
        <v/>
      </c>
      <c r="BP221" s="185" t="str">
        <f>_xlfn.IFNA(VLOOKUP($BC221,Programma!$F$3:$S$1101,14,0),"")</f>
        <v/>
      </c>
      <c r="BQ221" s="185" t="str">
        <f>_xlfn.IFNA(VLOOKUP($BC221,Programma!$F$3:$T$1101,15,0),"")</f>
        <v/>
      </c>
      <c r="BR221" s="185" t="str">
        <f>_xlfn.IFNA(VLOOKUP($BC221,Programma!$F$3:$U$1101,16,0),"")</f>
        <v/>
      </c>
      <c r="BS221" s="185" t="str">
        <f>_xlfn.IFNA(VLOOKUP($BC221,Programma!$F$3:$V$1101,17,0),"")</f>
        <v/>
      </c>
      <c r="BT221" s="185" t="str">
        <f>_xlfn.IFNA(VLOOKUP($BC221,Programma!$F$3:$W$1101,18,0),"")</f>
        <v/>
      </c>
      <c r="BU221" s="185" t="str">
        <f>_xlfn.IFNA(VLOOKUP($BC221,Programma!$F$3:$X$1101,19,0),"")</f>
        <v/>
      </c>
      <c r="BV221" s="185" t="str">
        <f>_xlfn.IFNA(VLOOKUP($BC221,Programma!$F$3:$Y$1101,20,0),"")</f>
        <v/>
      </c>
      <c r="BW221" s="78"/>
      <c r="BX221" s="78"/>
      <c r="BY221" s="78"/>
      <c r="BZ221" s="78"/>
      <c r="CA221" s="78"/>
      <c r="CB221" s="78"/>
      <c r="CC221" s="78"/>
      <c r="CD221" s="78"/>
      <c r="CE221" s="78"/>
      <c r="CF221" s="78"/>
      <c r="CG221" s="78"/>
      <c r="CH221" s="78"/>
      <c r="CI221" s="78"/>
      <c r="CJ221" s="78"/>
      <c r="CK221" s="78"/>
      <c r="CL221" s="78"/>
      <c r="CM221" s="78"/>
      <c r="CN221" s="78"/>
      <c r="CO221" s="78"/>
      <c r="CP221" s="78"/>
      <c r="CQ221" s="78"/>
      <c r="CR221" s="78"/>
      <c r="CS221" s="78"/>
      <c r="CT221" s="78"/>
      <c r="CU221" s="78"/>
      <c r="CV221" s="78"/>
      <c r="CW221" s="78"/>
      <c r="CX221" s="78"/>
      <c r="CY221" s="78"/>
      <c r="CZ221" s="78"/>
      <c r="DA221" s="78"/>
      <c r="DB221" s="78"/>
      <c r="DC221" s="78"/>
      <c r="DD221" s="78"/>
      <c r="DE221" s="78"/>
      <c r="DF221" s="78"/>
      <c r="DG221" s="78"/>
      <c r="DH221" s="78"/>
      <c r="DI221" s="78"/>
      <c r="DJ221" s="78"/>
      <c r="DK221" s="78"/>
      <c r="DL221" s="78"/>
      <c r="DM221" s="78"/>
      <c r="DN221" s="78"/>
      <c r="DO221" s="78"/>
      <c r="DP221" s="78"/>
      <c r="DQ221" s="78"/>
      <c r="DR221" s="78"/>
      <c r="DS221" s="78"/>
      <c r="DT221" s="78"/>
      <c r="DU221" s="78"/>
      <c r="DV221" s="78"/>
      <c r="DW221" s="78"/>
      <c r="DX221" s="78"/>
      <c r="DY221" s="78"/>
      <c r="DZ221" s="78"/>
      <c r="EA221" s="78"/>
      <c r="EB221" s="78"/>
      <c r="EC221" s="78"/>
      <c r="ED221" s="78"/>
      <c r="EE221" s="78"/>
      <c r="EF221" s="78"/>
      <c r="EG221" s="78"/>
      <c r="EH221" s="78"/>
      <c r="EI221" s="78"/>
      <c r="EJ221" s="78"/>
      <c r="EK221" s="78"/>
      <c r="EL221" s="78"/>
      <c r="EM221" s="78"/>
      <c r="EN221" s="78"/>
      <c r="EO221" s="78"/>
      <c r="EP221" s="78"/>
      <c r="EQ221" s="78"/>
      <c r="ER221" s="78"/>
      <c r="ES221" s="78"/>
      <c r="ET221" s="78"/>
      <c r="EU221" s="78"/>
      <c r="EV221" s="78"/>
      <c r="EW221" s="78"/>
      <c r="EX221" s="78"/>
      <c r="EY221" s="78"/>
      <c r="EZ221" s="78"/>
      <c r="FA221" s="78"/>
      <c r="FB221" s="78"/>
      <c r="FC221" s="78"/>
      <c r="FD221" s="78"/>
      <c r="FE221" s="78"/>
      <c r="FF221" s="78"/>
      <c r="FG221" s="78"/>
      <c r="FH221" s="78"/>
      <c r="FI221" s="78"/>
      <c r="FJ221" s="78"/>
      <c r="FK221" s="78"/>
      <c r="FL221" s="78"/>
      <c r="FM221" s="78"/>
      <c r="FN221" s="78"/>
      <c r="FO221" s="78"/>
      <c r="FP221" s="78"/>
      <c r="FQ221" s="78"/>
      <c r="FR221" s="78"/>
      <c r="FS221" s="78"/>
      <c r="FT221" s="78"/>
      <c r="FU221" s="78"/>
      <c r="FV221" s="78"/>
      <c r="FW221" s="78"/>
      <c r="FX221" s="78"/>
      <c r="FY221" s="78"/>
      <c r="FZ221" s="78"/>
      <c r="GA221" s="78"/>
      <c r="GB221" s="78"/>
      <c r="GC221" s="78"/>
      <c r="GD221" s="78"/>
      <c r="GE221" s="78"/>
      <c r="GF221" s="78"/>
      <c r="GG221" s="78"/>
      <c r="GH221" s="78"/>
      <c r="GI221" s="78"/>
      <c r="GJ221" s="78"/>
      <c r="GK221" s="78"/>
      <c r="GL221" s="78"/>
      <c r="GM221" s="78"/>
      <c r="GN221" s="78"/>
      <c r="GO221" s="78"/>
      <c r="GP221" s="78"/>
      <c r="GQ221" s="78"/>
      <c r="GR221" s="78"/>
      <c r="GS221" s="78"/>
      <c r="GT221" s="78"/>
      <c r="GU221" s="78"/>
      <c r="GV221" s="78"/>
      <c r="GW221" s="78"/>
      <c r="GX221" s="78"/>
      <c r="GY221" s="78"/>
      <c r="GZ221" s="78"/>
      <c r="HA221" s="78"/>
      <c r="HB221" s="78"/>
      <c r="HC221" s="78"/>
      <c r="HD221" s="78"/>
      <c r="HE221" s="78"/>
      <c r="HF221" s="78"/>
      <c r="HG221" s="78"/>
      <c r="HH221" s="78"/>
      <c r="HI221" s="78"/>
      <c r="HJ221" s="78"/>
      <c r="HK221" s="78"/>
    </row>
    <row r="222" spans="1:219" ht="15" customHeight="1">
      <c r="A222" s="99">
        <v>7</v>
      </c>
      <c r="B222" s="176" t="str">
        <f>VLOOKUP(Ruimtestaat[[#This Row],[Code]],Locaties[[Code]:[Locatie]],2,FALSE)</f>
        <v xml:space="preserve">OBS Molenbeek </v>
      </c>
      <c r="C222" s="176" t="str">
        <f>VLOOKUP(Ruimtestaat[[#This Row],[Code]],Locaties[[#All],[Code]:[Adres]],4,FALSE)</f>
        <v>Lammerinkweg 10</v>
      </c>
      <c r="D222" s="176" t="str">
        <f>VLOOKUP(Ruimtestaat[[#This Row],[Code]],Locaties[[#All],[Code]:[Postcode]],5,FALSE)</f>
        <v>7546 RD</v>
      </c>
      <c r="E222" s="176" t="str">
        <f>VLOOKUP(Ruimtestaat[[#This Row],[Code]],Locaties[#All],6,FALSE)</f>
        <v>Enschede</v>
      </c>
      <c r="F222" s="149"/>
      <c r="G222" s="149" t="s">
        <v>1646</v>
      </c>
      <c r="H222" s="99" t="s">
        <v>1656</v>
      </c>
      <c r="I222" s="183" t="s">
        <v>1649</v>
      </c>
      <c r="J222" s="99">
        <v>2</v>
      </c>
      <c r="K222" s="183" t="str">
        <f>VLOOKUP(Ruimtestaat[[#This Row],[Ruimte code]],Ruimtegroepen[[#All],[Code]:[Ruimte omschrijving]],2,FALSE)</f>
        <v>Kantoren</v>
      </c>
      <c r="L222" s="149" t="s">
        <v>99</v>
      </c>
      <c r="M222" s="301" t="s">
        <v>36</v>
      </c>
      <c r="N222" s="177">
        <v>21.6</v>
      </c>
      <c r="O222" s="177"/>
      <c r="P222" s="178" t="str">
        <f>VLOOKUP(Ruimtestaat[[#This Row],[Ruimte code]],Ruimtegroepen[],4,FALSE)</f>
        <v>Bu</v>
      </c>
      <c r="Q222" s="149">
        <v>40</v>
      </c>
      <c r="R222" s="149" t="s">
        <v>18</v>
      </c>
      <c r="S222" s="149">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22" s="149">
        <f>IF(S222&gt;0,VLOOKUP($J222,Ruimtegroepen[],3,FALSE)*VLOOKUP($L222,Vloersoorten[],3,FALSE)*VLOOKUP($R222,Frequenties[],3,FALSE)*VLOOKUP($A222,Locaties[],3,FALSE),0)</f>
        <v>0</v>
      </c>
      <c r="U222" s="149">
        <f>Ruimtestaat[[#This Row],[Uitvoeringen werkdagen]]*Ruimtestaat[[#This Row],[Oppervlak (netto)]]</f>
        <v>2592</v>
      </c>
      <c r="V222" s="179">
        <f>IF(T222&gt;0,Ruimtestaat[[#This Row],[Prest. (m2 /jaar) werkdagen]]/Ruimtestaat[[#This Row],[Norm (m2/uur) werkdagen]],0)</f>
        <v>0</v>
      </c>
      <c r="W222" s="180">
        <f>Ruimtestaat[[#This Row],[uren / jaar werkdagen]]*Tariefsopbouw!$E$35</f>
        <v>0</v>
      </c>
      <c r="X222" s="149"/>
      <c r="Y222" s="149">
        <f>IF(Ruimtestaat[[#This Row],[Frequentie weekend]]&gt;0,VALUE(LEFT(X222,1))*Q222,0)</f>
        <v>0</v>
      </c>
      <c r="Z222" s="148">
        <f>IF($Y222&gt;0,VLOOKUP($J222,Ruimtegroepen[],3,FALSE)*VLOOKUP($L222,Vloersoorten[],3,FALSE)*VLOOKUP($X222,Frequenties[],3,FALSE)*VLOOKUP(Ruimtestaat[[#This Row],[Code]],Locaties[],3,FALSE),0)</f>
        <v>0</v>
      </c>
      <c r="AA222" s="148">
        <f>Ruimtestaat[[#This Row],[Uitvoeringen weekend]]*Ruimtestaat[[#This Row],[Oppervlak (netto)]]</f>
        <v>0</v>
      </c>
      <c r="AB222" s="148">
        <f>IF(Z222&gt;0,Ruimtestaat[[#This Row],[Prest. (m2 /jaar) weekend]]/Ruimtestaat[[#This Row],[Norm (m2/uur) weekend]],0)</f>
        <v>0</v>
      </c>
      <c r="AC222" s="180">
        <f>Ruimtestaat[[#This Row],[uren / jaar weekend]]*Tariefsopbouw!$D$40</f>
        <v>0</v>
      </c>
      <c r="AD222" s="179">
        <f>Ruimtestaat[[#This Row],[Prest. (m2 /jaar) weekend]]+Ruimtestaat[[#This Row],[Prest. (m2 /jaar) werkdagen]]</f>
        <v>2592</v>
      </c>
      <c r="AE222" s="179">
        <f>Ruimtestaat[[#This Row],[uren / jaar weekend]]+Ruimtestaat[[#This Row],[uren / jaar werkdagen]]</f>
        <v>0</v>
      </c>
      <c r="AF222" s="174">
        <f>Ruimtestaat[[#This Row],[kosten / jaar weekend]]+Ruimtestaat[[#This Row],[kosten / jaar werkdagen]]</f>
        <v>0</v>
      </c>
      <c r="AG222" s="174"/>
      <c r="AH222" s="181" t="str">
        <f>IF(Ruimtestaat[[#This Row],[Frequentie werkdagen]]="","",_xlfn.CONCAT(Ruimtestaat[[#This Row],[Ruimte code]],"-",Ruimtestaat[[#This Row],[Frequentie werkdagen]]," ",Ruimtestaat[[#This Row],[Vloer code]]))</f>
        <v>2-3w T</v>
      </c>
      <c r="AI222" s="185" t="str">
        <f>_xlfn.IFNA(VLOOKUP($AH222,Programma!$F$3:$G$1101,2,0),"")</f>
        <v>2w</v>
      </c>
      <c r="AJ222" s="185" t="str">
        <f>_xlfn.IFNA(VLOOKUP($AH222,Programma!$F$3:$H$1101,3,0),"")</f>
        <v>1w</v>
      </c>
      <c r="AK222" s="185" t="str">
        <f>_xlfn.IFNA(VLOOKUP($AH222,Programma!$F$3:$I$1101,4,0),"")</f>
        <v>_</v>
      </c>
      <c r="AL222" s="185" t="str">
        <f>_xlfn.IFNA(VLOOKUP($AH222,Programma!$F$3:$J$1101,5,0),"")</f>
        <v>_</v>
      </c>
      <c r="AM222" s="185" t="str">
        <f>_xlfn.IFNA(VLOOKUP($AH222,Programma!$F$3:$K$1101,6,0),"")</f>
        <v>_</v>
      </c>
      <c r="AN222" s="185" t="str">
        <f>_xlfn.IFNA(VLOOKUP($AH222,Programma!$F$3:$L$1101,7,0),"")</f>
        <v>_</v>
      </c>
      <c r="AO222" s="185" t="str">
        <f>_xlfn.IFNA(VLOOKUP($AH222,Programma!$F$3:$M$1101,8,0),"")</f>
        <v>_</v>
      </c>
      <c r="AP222" s="185" t="str">
        <f>_xlfn.IFNA(VLOOKUP($AH222,Programma!$F$3:$N$1101,9,0),"")</f>
        <v>_</v>
      </c>
      <c r="AQ222" s="185" t="str">
        <f>_xlfn.IFNA(VLOOKUP($AH222,Programma!$F$3:$O$1101,10,0),"")</f>
        <v>3w</v>
      </c>
      <c r="AR222" s="185" t="str">
        <f>_xlfn.IFNA(VLOOKUP($AH222,Programma!$F$3:$P$1101,11,0),"")</f>
        <v>3w</v>
      </c>
      <c r="AS222" s="185" t="str">
        <f>_xlfn.IFNA(VLOOKUP($AH222,Programma!$F$3:$Q$1101,12,0),"")</f>
        <v>1w</v>
      </c>
      <c r="AT222" s="185" t="str">
        <f>_xlfn.IFNA(VLOOKUP($AH222,Programma!$F$3:$R$1101,13,0),"")</f>
        <v>1w</v>
      </c>
      <c r="AU222" s="185" t="str">
        <f>_xlfn.IFNA(VLOOKUP($AH222,Programma!$F$3:$S$1101,14,0),"")</f>
        <v>1m</v>
      </c>
      <c r="AV222" s="185" t="str">
        <f>_xlfn.IFNA(VLOOKUP($AH222,Programma!$F$3:$T$1101,15,0),"")</f>
        <v>2j</v>
      </c>
      <c r="AW222" s="185" t="str">
        <f>_xlfn.IFNA(VLOOKUP($AH222,Programma!$F$3:$U$1101,16,0),"")</f>
        <v>1j</v>
      </c>
      <c r="AX222" s="185" t="str">
        <f>_xlfn.IFNA(VLOOKUP($AH222,Programma!$F$3:$V$1101,17,0),"")</f>
        <v>_</v>
      </c>
      <c r="AY222" s="185" t="str">
        <f>_xlfn.IFNA(VLOOKUP($AH222,Programma!$F$3:$W$1101,18,0),"")</f>
        <v>_</v>
      </c>
      <c r="AZ222" s="185" t="str">
        <f>_xlfn.IFNA(VLOOKUP($AH222,Programma!$F$3:$X$1101,19,0),"")</f>
        <v>_</v>
      </c>
      <c r="BA222" s="185" t="str">
        <f>_xlfn.IFNA(VLOOKUP($AH222,Programma!$F$3:$Y$1101,20,0),"")</f>
        <v>_</v>
      </c>
      <c r="BB222" s="182"/>
      <c r="BC222" s="181" t="str">
        <f>IF(Ruimtestaat[[#This Row],[Frequentie weekend]]="","",_xlfn.CONCAT(Ruimtestaat[[#This Row],[Ruimte code]],"-",Ruimtestaat[[#This Row],[Frequentie weekend]]," ",Ruimtestaat[[#This Row],[Vloer code]]))</f>
        <v/>
      </c>
      <c r="BD222" s="185" t="str">
        <f>_xlfn.IFNA(VLOOKUP($BC222,Programma!$F$3:$G$1101,2,0),"")</f>
        <v/>
      </c>
      <c r="BE222" s="185" t="str">
        <f>_xlfn.IFNA(VLOOKUP($BC222,Programma!$F$3:$H$1101,3,0),"")</f>
        <v/>
      </c>
      <c r="BF222" s="185" t="str">
        <f>_xlfn.IFNA(VLOOKUP($BC222,Programma!$F$3:$I$1101,4,0),"")</f>
        <v/>
      </c>
      <c r="BG222" s="185" t="str">
        <f>_xlfn.IFNA(VLOOKUP($BC222,Programma!$F$3:$J$1101,5,0),"")</f>
        <v/>
      </c>
      <c r="BH222" s="185" t="str">
        <f>_xlfn.IFNA(VLOOKUP($BC222,Programma!$F$3:$K$1101,6,0),"")</f>
        <v/>
      </c>
      <c r="BI222" s="185" t="str">
        <f>_xlfn.IFNA(VLOOKUP($BC222,Programma!$F$3:$L$1101,7,0),"")</f>
        <v/>
      </c>
      <c r="BJ222" s="185" t="str">
        <f>_xlfn.IFNA(VLOOKUP($BC222,Programma!$F$3:$M$1101,8,0),"")</f>
        <v/>
      </c>
      <c r="BK222" s="185" t="str">
        <f>_xlfn.IFNA(VLOOKUP($BC222,Programma!$F$3:$N$1101,9,0),"")</f>
        <v/>
      </c>
      <c r="BL222" s="185" t="str">
        <f>_xlfn.IFNA(VLOOKUP($BC222,Programma!$F$3:$O$1101,10,0),"")</f>
        <v/>
      </c>
      <c r="BM222" s="185" t="str">
        <f>_xlfn.IFNA(VLOOKUP($BC222,Programma!$F$3:$P$1101,11,0),"")</f>
        <v/>
      </c>
      <c r="BN222" s="185" t="str">
        <f>_xlfn.IFNA(VLOOKUP($BC222,Programma!$F$3:$Q$1101,12,0),"")</f>
        <v/>
      </c>
      <c r="BO222" s="185" t="str">
        <f>_xlfn.IFNA(VLOOKUP($BC222,Programma!$F$3:$R$1101,13,0),"")</f>
        <v/>
      </c>
      <c r="BP222" s="185" t="str">
        <f>_xlfn.IFNA(VLOOKUP($BC222,Programma!$F$3:$S$1101,14,0),"")</f>
        <v/>
      </c>
      <c r="BQ222" s="185" t="str">
        <f>_xlfn.IFNA(VLOOKUP($BC222,Programma!$F$3:$T$1101,15,0),"")</f>
        <v/>
      </c>
      <c r="BR222" s="185" t="str">
        <f>_xlfn.IFNA(VLOOKUP($BC222,Programma!$F$3:$U$1101,16,0),"")</f>
        <v/>
      </c>
      <c r="BS222" s="185" t="str">
        <f>_xlfn.IFNA(VLOOKUP($BC222,Programma!$F$3:$V$1101,17,0),"")</f>
        <v/>
      </c>
      <c r="BT222" s="185" t="str">
        <f>_xlfn.IFNA(VLOOKUP($BC222,Programma!$F$3:$W$1101,18,0),"")</f>
        <v/>
      </c>
      <c r="BU222" s="185" t="str">
        <f>_xlfn.IFNA(VLOOKUP($BC222,Programma!$F$3:$X$1101,19,0),"")</f>
        <v/>
      </c>
      <c r="BV222" s="185" t="str">
        <f>_xlfn.IFNA(VLOOKUP($BC222,Programma!$F$3:$Y$1101,20,0),"")</f>
        <v/>
      </c>
      <c r="BW222" s="78"/>
      <c r="BX222" s="78"/>
      <c r="BY222" s="78"/>
      <c r="BZ222" s="78"/>
      <c r="CA222" s="78"/>
      <c r="CB222" s="78"/>
      <c r="CC222" s="78"/>
      <c r="CD222" s="78"/>
      <c r="CE222" s="78"/>
      <c r="CF222" s="78"/>
      <c r="CG222" s="78"/>
      <c r="CH222" s="78"/>
      <c r="CI222" s="78"/>
      <c r="CJ222" s="78"/>
      <c r="CK222" s="78"/>
      <c r="CL222" s="78"/>
      <c r="CM222" s="78"/>
      <c r="CN222" s="78"/>
      <c r="CO222" s="78"/>
      <c r="CP222" s="78"/>
      <c r="CQ222" s="78"/>
      <c r="CR222" s="78"/>
      <c r="CS222" s="78"/>
      <c r="CT222" s="78"/>
      <c r="CU222" s="78"/>
      <c r="CV222" s="78"/>
      <c r="CW222" s="78"/>
      <c r="CX222" s="78"/>
      <c r="CY222" s="78"/>
      <c r="CZ222" s="78"/>
      <c r="DA222" s="78"/>
      <c r="DB222" s="78"/>
      <c r="DC222" s="78"/>
      <c r="DD222" s="78"/>
      <c r="DE222" s="78"/>
      <c r="DF222" s="78"/>
      <c r="DG222" s="78"/>
      <c r="DH222" s="78"/>
      <c r="DI222" s="78"/>
      <c r="DJ222" s="78"/>
      <c r="DK222" s="78"/>
      <c r="DL222" s="78"/>
      <c r="DM222" s="78"/>
      <c r="DN222" s="78"/>
      <c r="DO222" s="78"/>
      <c r="DP222" s="78"/>
      <c r="DQ222" s="78"/>
      <c r="DR222" s="78"/>
      <c r="DS222" s="78"/>
      <c r="DT222" s="78"/>
      <c r="DU222" s="78"/>
      <c r="DV222" s="78"/>
      <c r="DW222" s="78"/>
      <c r="DX222" s="78"/>
      <c r="DY222" s="78"/>
      <c r="DZ222" s="78"/>
      <c r="EA222" s="78"/>
      <c r="EB222" s="78"/>
      <c r="EC222" s="78"/>
      <c r="ED222" s="78"/>
      <c r="EE222" s="78"/>
      <c r="EF222" s="78"/>
      <c r="EG222" s="78"/>
      <c r="EH222" s="78"/>
      <c r="EI222" s="78"/>
      <c r="EJ222" s="78"/>
      <c r="EK222" s="78"/>
      <c r="EL222" s="78"/>
      <c r="EM222" s="78"/>
      <c r="EN222" s="78"/>
      <c r="EO222" s="78"/>
      <c r="EP222" s="78"/>
      <c r="EQ222" s="78"/>
      <c r="ER222" s="78"/>
      <c r="ES222" s="78"/>
      <c r="ET222" s="78"/>
      <c r="EU222" s="78"/>
      <c r="EV222" s="78"/>
      <c r="EW222" s="78"/>
      <c r="EX222" s="78"/>
      <c r="EY222" s="78"/>
      <c r="EZ222" s="78"/>
      <c r="FA222" s="78"/>
      <c r="FB222" s="78"/>
      <c r="FC222" s="78"/>
      <c r="FD222" s="78"/>
      <c r="FE222" s="78"/>
      <c r="FF222" s="78"/>
      <c r="FG222" s="78"/>
      <c r="FH222" s="78"/>
      <c r="FI222" s="78"/>
      <c r="FJ222" s="78"/>
      <c r="FK222" s="78"/>
      <c r="FL222" s="78"/>
      <c r="FM222" s="78"/>
      <c r="FN222" s="78"/>
      <c r="FO222" s="78"/>
      <c r="FP222" s="78"/>
      <c r="FQ222" s="78"/>
      <c r="FR222" s="78"/>
      <c r="FS222" s="78"/>
      <c r="FT222" s="78"/>
      <c r="FU222" s="78"/>
      <c r="FV222" s="78"/>
      <c r="FW222" s="78"/>
      <c r="FX222" s="78"/>
      <c r="FY222" s="78"/>
      <c r="FZ222" s="78"/>
      <c r="GA222" s="78"/>
      <c r="GB222" s="78"/>
      <c r="GC222" s="78"/>
      <c r="GD222" s="78"/>
      <c r="GE222" s="78"/>
      <c r="GF222" s="78"/>
      <c r="GG222" s="78"/>
      <c r="GH222" s="78"/>
      <c r="GI222" s="78"/>
      <c r="GJ222" s="78"/>
      <c r="GK222" s="78"/>
      <c r="GL222" s="78"/>
      <c r="GM222" s="78"/>
      <c r="GN222" s="78"/>
      <c r="GO222" s="78"/>
      <c r="GP222" s="78"/>
      <c r="GQ222" s="78"/>
      <c r="GR222" s="78"/>
      <c r="GS222" s="78"/>
      <c r="GT222" s="78"/>
      <c r="GU222" s="78"/>
      <c r="GV222" s="78"/>
      <c r="GW222" s="78"/>
      <c r="GX222" s="78"/>
      <c r="GY222" s="78"/>
      <c r="GZ222" s="78"/>
      <c r="HA222" s="78"/>
      <c r="HB222" s="78"/>
      <c r="HC222" s="78"/>
      <c r="HD222" s="78"/>
      <c r="HE222" s="78"/>
      <c r="HF222" s="78"/>
      <c r="HG222" s="78"/>
      <c r="HH222" s="78"/>
      <c r="HI222" s="78"/>
      <c r="HJ222" s="78"/>
      <c r="HK222" s="78"/>
    </row>
    <row r="223" spans="1:219" ht="15" customHeight="1">
      <c r="A223" s="99">
        <v>7</v>
      </c>
      <c r="B223" s="176" t="str">
        <f>VLOOKUP(Ruimtestaat[[#This Row],[Code]],Locaties[[Code]:[Locatie]],2,FALSE)</f>
        <v xml:space="preserve">OBS Molenbeek </v>
      </c>
      <c r="C223" s="176" t="str">
        <f>VLOOKUP(Ruimtestaat[[#This Row],[Code]],Locaties[[#All],[Code]:[Adres]],4,FALSE)</f>
        <v>Lammerinkweg 10</v>
      </c>
      <c r="D223" s="176" t="str">
        <f>VLOOKUP(Ruimtestaat[[#This Row],[Code]],Locaties[[#All],[Code]:[Postcode]],5,FALSE)</f>
        <v>7546 RD</v>
      </c>
      <c r="E223" s="176" t="str">
        <f>VLOOKUP(Ruimtestaat[[#This Row],[Code]],Locaties[#All],6,FALSE)</f>
        <v>Enschede</v>
      </c>
      <c r="F223" s="149"/>
      <c r="G223" s="149" t="s">
        <v>1646</v>
      </c>
      <c r="H223" s="99" t="s">
        <v>1657</v>
      </c>
      <c r="I223" s="183" t="s">
        <v>1651</v>
      </c>
      <c r="J223" s="99">
        <v>16</v>
      </c>
      <c r="K223" s="183" t="str">
        <f>VLOOKUP(Ruimtestaat[[#This Row],[Ruimte code]],Ruimtegroepen[[#All],[Code]:[Ruimte omschrijving]],2,FALSE)</f>
        <v>Leslokalen</v>
      </c>
      <c r="L223" s="149" t="s">
        <v>100</v>
      </c>
      <c r="M223" s="301" t="s">
        <v>1697</v>
      </c>
      <c r="N223" s="177">
        <v>52.8</v>
      </c>
      <c r="O223" s="177"/>
      <c r="P223" s="178" t="str">
        <f>VLOOKUP(Ruimtestaat[[#This Row],[Ruimte code]],Ruimtegroepen[],4,FALSE)</f>
        <v>Le</v>
      </c>
      <c r="Q223" s="149">
        <v>40</v>
      </c>
      <c r="R223" s="149" t="s">
        <v>2</v>
      </c>
      <c r="S223" s="149">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3" s="149">
        <f>IF(S223&gt;0,VLOOKUP($J223,Ruimtegroepen[],3,FALSE)*VLOOKUP($L223,Vloersoorten[],3,FALSE)*VLOOKUP($R223,Frequenties[],3,FALSE)*VLOOKUP($A223,Locaties[],3,FALSE),0)</f>
        <v>0</v>
      </c>
      <c r="U223" s="149">
        <f>Ruimtestaat[[#This Row],[Uitvoeringen werkdagen]]*Ruimtestaat[[#This Row],[Oppervlak (netto)]]</f>
        <v>10560</v>
      </c>
      <c r="V223" s="179">
        <f>IF(T223&gt;0,Ruimtestaat[[#This Row],[Prest. (m2 /jaar) werkdagen]]/Ruimtestaat[[#This Row],[Norm (m2/uur) werkdagen]],0)</f>
        <v>0</v>
      </c>
      <c r="W223" s="180">
        <f>Ruimtestaat[[#This Row],[uren / jaar werkdagen]]*Tariefsopbouw!$E$35</f>
        <v>0</v>
      </c>
      <c r="X223" s="149"/>
      <c r="Y223" s="149">
        <f>IF(Ruimtestaat[[#This Row],[Frequentie weekend]]&gt;0,VALUE(LEFT(X223,1))*Q223,0)</f>
        <v>0</v>
      </c>
      <c r="Z223" s="148">
        <f>IF($Y223&gt;0,VLOOKUP($J223,Ruimtegroepen[],3,FALSE)*VLOOKUP($L223,Vloersoorten[],3,FALSE)*VLOOKUP($X223,Frequenties[],3,FALSE)*VLOOKUP(Ruimtestaat[[#This Row],[Code]],Locaties[],3,FALSE),0)</f>
        <v>0</v>
      </c>
      <c r="AA223" s="148">
        <f>Ruimtestaat[[#This Row],[Uitvoeringen weekend]]*Ruimtestaat[[#This Row],[Oppervlak (netto)]]</f>
        <v>0</v>
      </c>
      <c r="AB223" s="148">
        <f>IF(Z223&gt;0,Ruimtestaat[[#This Row],[Prest. (m2 /jaar) weekend]]/Ruimtestaat[[#This Row],[Norm (m2/uur) weekend]],0)</f>
        <v>0</v>
      </c>
      <c r="AC223" s="180">
        <f>Ruimtestaat[[#This Row],[uren / jaar weekend]]*Tariefsopbouw!$D$40</f>
        <v>0</v>
      </c>
      <c r="AD223" s="179">
        <f>Ruimtestaat[[#This Row],[Prest. (m2 /jaar) weekend]]+Ruimtestaat[[#This Row],[Prest. (m2 /jaar) werkdagen]]</f>
        <v>10560</v>
      </c>
      <c r="AE223" s="179">
        <f>Ruimtestaat[[#This Row],[uren / jaar weekend]]+Ruimtestaat[[#This Row],[uren / jaar werkdagen]]</f>
        <v>0</v>
      </c>
      <c r="AF223" s="174">
        <f>Ruimtestaat[[#This Row],[kosten / jaar weekend]]+Ruimtestaat[[#This Row],[kosten / jaar werkdagen]]</f>
        <v>0</v>
      </c>
      <c r="AG223" s="174"/>
      <c r="AH223" s="181" t="str">
        <f>IF(Ruimtestaat[[#This Row],[Frequentie werkdagen]]="","",_xlfn.CONCAT(Ruimtestaat[[#This Row],[Ruimte code]],"-",Ruimtestaat[[#This Row],[Frequentie werkdagen]]," ",Ruimtestaat[[#This Row],[Vloer code]]))</f>
        <v>16-5w L</v>
      </c>
      <c r="AI223" s="185" t="str">
        <f>_xlfn.IFNA(VLOOKUP($AH223,Programma!$F$3:$G$1101,2,0),"")</f>
        <v>_</v>
      </c>
      <c r="AJ223" s="185" t="str">
        <f>_xlfn.IFNA(VLOOKUP($AH223,Programma!$F$3:$H$1101,3,0),"")</f>
        <v>_</v>
      </c>
      <c r="AK223" s="185" t="str">
        <f>_xlfn.IFNA(VLOOKUP($AH223,Programma!$F$3:$I$1101,4,0),"")</f>
        <v>4w</v>
      </c>
      <c r="AL223" s="185" t="str">
        <f>_xlfn.IFNA(VLOOKUP($AH223,Programma!$F$3:$J$1101,5,0),"")</f>
        <v>1w</v>
      </c>
      <c r="AM223" s="185" t="str">
        <f>_xlfn.IFNA(VLOOKUP($AH223,Programma!$F$3:$K$1101,6,0),"")</f>
        <v>_</v>
      </c>
      <c r="AN223" s="185" t="str">
        <f>_xlfn.IFNA(VLOOKUP($AH223,Programma!$F$3:$L$1101,7,0),"")</f>
        <v>_</v>
      </c>
      <c r="AO223" s="185" t="str">
        <f>_xlfn.IFNA(VLOOKUP($AH223,Programma!$F$3:$M$1101,8,0),"")</f>
        <v>_</v>
      </c>
      <c r="AP223" s="185" t="str">
        <f>_xlfn.IFNA(VLOOKUP($AH223,Programma!$F$3:$N$1101,9,0),"")</f>
        <v>_</v>
      </c>
      <c r="AQ223" s="185" t="str">
        <f>_xlfn.IFNA(VLOOKUP($AH223,Programma!$F$3:$O$1101,10,0),"")</f>
        <v>5w</v>
      </c>
      <c r="AR223" s="185" t="str">
        <f>_xlfn.IFNA(VLOOKUP($AH223,Programma!$F$3:$P$1101,11,0),"")</f>
        <v>5w</v>
      </c>
      <c r="AS223" s="185" t="str">
        <f>_xlfn.IFNA(VLOOKUP($AH223,Programma!$F$3:$Q$1101,12,0),"")</f>
        <v>1w</v>
      </c>
      <c r="AT223" s="185" t="str">
        <f>_xlfn.IFNA(VLOOKUP($AH223,Programma!$F$3:$R$1101,13,0),"")</f>
        <v>1w</v>
      </c>
      <c r="AU223" s="185" t="str">
        <f>_xlfn.IFNA(VLOOKUP($AH223,Programma!$F$3:$S$1101,14,0),"")</f>
        <v>1m</v>
      </c>
      <c r="AV223" s="185" t="str">
        <f>_xlfn.IFNA(VLOOKUP($AH223,Programma!$F$3:$T$1101,15,0),"")</f>
        <v>2j</v>
      </c>
      <c r="AW223" s="185" t="str">
        <f>_xlfn.IFNA(VLOOKUP($AH223,Programma!$F$3:$U$1101,16,0),"")</f>
        <v>1j</v>
      </c>
      <c r="AX223" s="185" t="str">
        <f>_xlfn.IFNA(VLOOKUP($AH223,Programma!$F$3:$V$1101,17,0),"")</f>
        <v>_</v>
      </c>
      <c r="AY223" s="185" t="str">
        <f>_xlfn.IFNA(VLOOKUP($AH223,Programma!$F$3:$W$1101,18,0),"")</f>
        <v>_</v>
      </c>
      <c r="AZ223" s="185" t="str">
        <f>_xlfn.IFNA(VLOOKUP($AH223,Programma!$F$3:$X$1101,19,0),"")</f>
        <v>_</v>
      </c>
      <c r="BA223" s="185" t="str">
        <f>_xlfn.IFNA(VLOOKUP($AH223,Programma!$F$3:$Y$1101,20,0),"")</f>
        <v>_</v>
      </c>
      <c r="BB223" s="182"/>
      <c r="BC223" s="181" t="str">
        <f>IF(Ruimtestaat[[#This Row],[Frequentie weekend]]="","",_xlfn.CONCAT(Ruimtestaat[[#This Row],[Ruimte code]],"-",Ruimtestaat[[#This Row],[Frequentie weekend]]," ",Ruimtestaat[[#This Row],[Vloer code]]))</f>
        <v/>
      </c>
      <c r="BD223" s="185" t="str">
        <f>_xlfn.IFNA(VLOOKUP($BC223,Programma!$F$3:$G$1101,2,0),"")</f>
        <v/>
      </c>
      <c r="BE223" s="185" t="str">
        <f>_xlfn.IFNA(VLOOKUP($BC223,Programma!$F$3:$H$1101,3,0),"")</f>
        <v/>
      </c>
      <c r="BF223" s="185" t="str">
        <f>_xlfn.IFNA(VLOOKUP($BC223,Programma!$F$3:$I$1101,4,0),"")</f>
        <v/>
      </c>
      <c r="BG223" s="185" t="str">
        <f>_xlfn.IFNA(VLOOKUP($BC223,Programma!$F$3:$J$1101,5,0),"")</f>
        <v/>
      </c>
      <c r="BH223" s="185" t="str">
        <f>_xlfn.IFNA(VLOOKUP($BC223,Programma!$F$3:$K$1101,6,0),"")</f>
        <v/>
      </c>
      <c r="BI223" s="185" t="str">
        <f>_xlfn.IFNA(VLOOKUP($BC223,Programma!$F$3:$L$1101,7,0),"")</f>
        <v/>
      </c>
      <c r="BJ223" s="185" t="str">
        <f>_xlfn.IFNA(VLOOKUP($BC223,Programma!$F$3:$M$1101,8,0),"")</f>
        <v/>
      </c>
      <c r="BK223" s="185" t="str">
        <f>_xlfn.IFNA(VLOOKUP($BC223,Programma!$F$3:$N$1101,9,0),"")</f>
        <v/>
      </c>
      <c r="BL223" s="185" t="str">
        <f>_xlfn.IFNA(VLOOKUP($BC223,Programma!$F$3:$O$1101,10,0),"")</f>
        <v/>
      </c>
      <c r="BM223" s="185" t="str">
        <f>_xlfn.IFNA(VLOOKUP($BC223,Programma!$F$3:$P$1101,11,0),"")</f>
        <v/>
      </c>
      <c r="BN223" s="185" t="str">
        <f>_xlfn.IFNA(VLOOKUP($BC223,Programma!$F$3:$Q$1101,12,0),"")</f>
        <v/>
      </c>
      <c r="BO223" s="185" t="str">
        <f>_xlfn.IFNA(VLOOKUP($BC223,Programma!$F$3:$R$1101,13,0),"")</f>
        <v/>
      </c>
      <c r="BP223" s="185" t="str">
        <f>_xlfn.IFNA(VLOOKUP($BC223,Programma!$F$3:$S$1101,14,0),"")</f>
        <v/>
      </c>
      <c r="BQ223" s="185" t="str">
        <f>_xlfn.IFNA(VLOOKUP($BC223,Programma!$F$3:$T$1101,15,0),"")</f>
        <v/>
      </c>
      <c r="BR223" s="185" t="str">
        <f>_xlfn.IFNA(VLOOKUP($BC223,Programma!$F$3:$U$1101,16,0),"")</f>
        <v/>
      </c>
      <c r="BS223" s="185" t="str">
        <f>_xlfn.IFNA(VLOOKUP($BC223,Programma!$F$3:$V$1101,17,0),"")</f>
        <v/>
      </c>
      <c r="BT223" s="185" t="str">
        <f>_xlfn.IFNA(VLOOKUP($BC223,Programma!$F$3:$W$1101,18,0),"")</f>
        <v/>
      </c>
      <c r="BU223" s="185" t="str">
        <f>_xlfn.IFNA(VLOOKUP($BC223,Programma!$F$3:$X$1101,19,0),"")</f>
        <v/>
      </c>
      <c r="BV223" s="185" t="str">
        <f>_xlfn.IFNA(VLOOKUP($BC223,Programma!$F$3:$Y$1101,20,0),"")</f>
        <v/>
      </c>
      <c r="BW223" s="78"/>
      <c r="BX223" s="78"/>
      <c r="BY223" s="78"/>
      <c r="BZ223" s="78"/>
      <c r="CA223" s="78"/>
      <c r="CB223" s="78"/>
      <c r="CC223" s="78"/>
      <c r="CD223" s="78"/>
      <c r="CE223" s="78"/>
      <c r="CF223" s="78"/>
      <c r="CG223" s="78"/>
      <c r="CH223" s="78"/>
      <c r="CI223" s="78"/>
      <c r="CJ223" s="78"/>
      <c r="CK223" s="78"/>
      <c r="CL223" s="78"/>
      <c r="CM223" s="78"/>
      <c r="CN223" s="78"/>
      <c r="CO223" s="78"/>
      <c r="CP223" s="78"/>
      <c r="CQ223" s="78"/>
      <c r="CR223" s="78"/>
      <c r="CS223" s="78"/>
      <c r="CT223" s="78"/>
      <c r="CU223" s="78"/>
      <c r="CV223" s="78"/>
      <c r="CW223" s="78"/>
      <c r="CX223" s="78"/>
      <c r="CY223" s="78"/>
      <c r="CZ223" s="78"/>
      <c r="DA223" s="78"/>
      <c r="DB223" s="78"/>
      <c r="DC223" s="78"/>
      <c r="DD223" s="78"/>
      <c r="DE223" s="78"/>
      <c r="DF223" s="78"/>
      <c r="DG223" s="78"/>
      <c r="DH223" s="78"/>
      <c r="DI223" s="78"/>
      <c r="DJ223" s="78"/>
      <c r="DK223" s="78"/>
      <c r="DL223" s="78"/>
      <c r="DM223" s="78"/>
      <c r="DN223" s="78"/>
      <c r="DO223" s="78"/>
      <c r="DP223" s="78"/>
      <c r="DQ223" s="78"/>
      <c r="DR223" s="78"/>
      <c r="DS223" s="78"/>
      <c r="DT223" s="78"/>
      <c r="DU223" s="78"/>
      <c r="DV223" s="78"/>
      <c r="DW223" s="78"/>
      <c r="DX223" s="78"/>
      <c r="DY223" s="78"/>
      <c r="DZ223" s="78"/>
      <c r="EA223" s="78"/>
      <c r="EB223" s="78"/>
      <c r="EC223" s="78"/>
      <c r="ED223" s="78"/>
      <c r="EE223" s="78"/>
      <c r="EF223" s="78"/>
      <c r="EG223" s="78"/>
      <c r="EH223" s="78"/>
      <c r="EI223" s="78"/>
      <c r="EJ223" s="78"/>
      <c r="EK223" s="78"/>
      <c r="EL223" s="78"/>
      <c r="EM223" s="78"/>
      <c r="EN223" s="78"/>
      <c r="EO223" s="78"/>
      <c r="EP223" s="78"/>
      <c r="EQ223" s="78"/>
      <c r="ER223" s="78"/>
      <c r="ES223" s="78"/>
      <c r="ET223" s="78"/>
      <c r="EU223" s="78"/>
      <c r="EV223" s="78"/>
      <c r="EW223" s="78"/>
      <c r="EX223" s="78"/>
      <c r="EY223" s="78"/>
      <c r="EZ223" s="78"/>
      <c r="FA223" s="78"/>
      <c r="FB223" s="78"/>
      <c r="FC223" s="78"/>
      <c r="FD223" s="78"/>
      <c r="FE223" s="78"/>
      <c r="FF223" s="78"/>
      <c r="FG223" s="78"/>
      <c r="FH223" s="78"/>
      <c r="FI223" s="78"/>
      <c r="FJ223" s="78"/>
      <c r="FK223" s="78"/>
      <c r="FL223" s="78"/>
      <c r="FM223" s="78"/>
      <c r="FN223" s="78"/>
      <c r="FO223" s="78"/>
      <c r="FP223" s="78"/>
      <c r="FQ223" s="78"/>
      <c r="FR223" s="78"/>
      <c r="FS223" s="78"/>
      <c r="FT223" s="78"/>
      <c r="FU223" s="78"/>
      <c r="FV223" s="78"/>
      <c r="FW223" s="78"/>
      <c r="FX223" s="78"/>
      <c r="FY223" s="78"/>
      <c r="FZ223" s="78"/>
      <c r="GA223" s="78"/>
      <c r="GB223" s="78"/>
      <c r="GC223" s="78"/>
      <c r="GD223" s="78"/>
      <c r="GE223" s="78"/>
      <c r="GF223" s="78"/>
      <c r="GG223" s="78"/>
      <c r="GH223" s="78"/>
      <c r="GI223" s="78"/>
      <c r="GJ223" s="78"/>
      <c r="GK223" s="78"/>
      <c r="GL223" s="78"/>
      <c r="GM223" s="78"/>
      <c r="GN223" s="78"/>
      <c r="GO223" s="78"/>
      <c r="GP223" s="78"/>
      <c r="GQ223" s="78"/>
      <c r="GR223" s="78"/>
      <c r="GS223" s="78"/>
      <c r="GT223" s="78"/>
      <c r="GU223" s="78"/>
      <c r="GV223" s="78"/>
      <c r="GW223" s="78"/>
      <c r="GX223" s="78"/>
      <c r="GY223" s="78"/>
      <c r="GZ223" s="78"/>
      <c r="HA223" s="78"/>
      <c r="HB223" s="78"/>
      <c r="HC223" s="78"/>
      <c r="HD223" s="78"/>
      <c r="HE223" s="78"/>
      <c r="HF223" s="78"/>
      <c r="HG223" s="78"/>
      <c r="HH223" s="78"/>
      <c r="HI223" s="78"/>
      <c r="HJ223" s="78"/>
      <c r="HK223" s="78"/>
    </row>
    <row r="224" spans="1:219" ht="15" customHeight="1">
      <c r="A224" s="99">
        <v>7</v>
      </c>
      <c r="B224" s="176" t="str">
        <f>VLOOKUP(Ruimtestaat[[#This Row],[Code]],Locaties[[Code]:[Locatie]],2,FALSE)</f>
        <v xml:space="preserve">OBS Molenbeek </v>
      </c>
      <c r="C224" s="176" t="str">
        <f>VLOOKUP(Ruimtestaat[[#This Row],[Code]],Locaties[[#All],[Code]:[Adres]],4,FALSE)</f>
        <v>Lammerinkweg 10</v>
      </c>
      <c r="D224" s="176" t="str">
        <f>VLOOKUP(Ruimtestaat[[#This Row],[Code]],Locaties[[#All],[Code]:[Postcode]],5,FALSE)</f>
        <v>7546 RD</v>
      </c>
      <c r="E224" s="176" t="str">
        <f>VLOOKUP(Ruimtestaat[[#This Row],[Code]],Locaties[#All],6,FALSE)</f>
        <v>Enschede</v>
      </c>
      <c r="F224" s="149"/>
      <c r="G224" s="149" t="s">
        <v>1646</v>
      </c>
      <c r="H224" s="99" t="s">
        <v>1659</v>
      </c>
      <c r="I224" s="183" t="s">
        <v>1655</v>
      </c>
      <c r="J224" s="99">
        <v>5</v>
      </c>
      <c r="K224" s="183" t="str">
        <f>VLOOKUP(Ruimtestaat[[#This Row],[Ruimte code]],Ruimtegroepen[[#All],[Code]:[Ruimte omschrijving]],2,FALSE)</f>
        <v>Sanitair</v>
      </c>
      <c r="L224" s="149" t="s">
        <v>101</v>
      </c>
      <c r="M224" s="301" t="s">
        <v>1682</v>
      </c>
      <c r="N224" s="177">
        <v>10.4</v>
      </c>
      <c r="O224" s="177"/>
      <c r="P224" s="178" t="str">
        <f>VLOOKUP(Ruimtestaat[[#This Row],[Ruimte code]],Ruimtegroepen[],4,FALSE)</f>
        <v>Sa</v>
      </c>
      <c r="Q224" s="149">
        <v>40</v>
      </c>
      <c r="R224" s="149" t="s">
        <v>2</v>
      </c>
      <c r="S224" s="149">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4" s="149">
        <f>IF(S224&gt;0,VLOOKUP($J224,Ruimtegroepen[],3,FALSE)*VLOOKUP($L224,Vloersoorten[],3,FALSE)*VLOOKUP($R224,Frequenties[],3,FALSE)*VLOOKUP($A224,Locaties[],3,FALSE),0)</f>
        <v>0</v>
      </c>
      <c r="U224" s="149">
        <f>Ruimtestaat[[#This Row],[Uitvoeringen werkdagen]]*Ruimtestaat[[#This Row],[Oppervlak (netto)]]</f>
        <v>2080</v>
      </c>
      <c r="V224" s="179">
        <f>IF(T224&gt;0,Ruimtestaat[[#This Row],[Prest. (m2 /jaar) werkdagen]]/Ruimtestaat[[#This Row],[Norm (m2/uur) werkdagen]],0)</f>
        <v>0</v>
      </c>
      <c r="W224" s="180">
        <f>Ruimtestaat[[#This Row],[uren / jaar werkdagen]]*Tariefsopbouw!$E$35</f>
        <v>0</v>
      </c>
      <c r="X224" s="149"/>
      <c r="Y224" s="149">
        <f>IF(Ruimtestaat[[#This Row],[Frequentie weekend]]&gt;0,VALUE(LEFT(X224,1))*Q224,0)</f>
        <v>0</v>
      </c>
      <c r="Z224" s="148">
        <f>IF($Y224&gt;0,VLOOKUP($J224,Ruimtegroepen[],3,FALSE)*VLOOKUP($L224,Vloersoorten[],3,FALSE)*VLOOKUP($X224,Frequenties[],3,FALSE)*VLOOKUP(Ruimtestaat[[#This Row],[Code]],Locaties[],3,FALSE),0)</f>
        <v>0</v>
      </c>
      <c r="AA224" s="148">
        <f>Ruimtestaat[[#This Row],[Uitvoeringen weekend]]*Ruimtestaat[[#This Row],[Oppervlak (netto)]]</f>
        <v>0</v>
      </c>
      <c r="AB224" s="148">
        <f>IF(Z224&gt;0,Ruimtestaat[[#This Row],[Prest. (m2 /jaar) weekend]]/Ruimtestaat[[#This Row],[Norm (m2/uur) weekend]],0)</f>
        <v>0</v>
      </c>
      <c r="AC224" s="180">
        <f>Ruimtestaat[[#This Row],[uren / jaar weekend]]*Tariefsopbouw!$D$40</f>
        <v>0</v>
      </c>
      <c r="AD224" s="179">
        <f>Ruimtestaat[[#This Row],[Prest. (m2 /jaar) weekend]]+Ruimtestaat[[#This Row],[Prest. (m2 /jaar) werkdagen]]</f>
        <v>2080</v>
      </c>
      <c r="AE224" s="179">
        <f>Ruimtestaat[[#This Row],[uren / jaar weekend]]+Ruimtestaat[[#This Row],[uren / jaar werkdagen]]</f>
        <v>0</v>
      </c>
      <c r="AF224" s="174">
        <f>Ruimtestaat[[#This Row],[kosten / jaar weekend]]+Ruimtestaat[[#This Row],[kosten / jaar werkdagen]]</f>
        <v>0</v>
      </c>
      <c r="AG224" s="174"/>
      <c r="AH224" s="181" t="str">
        <f>IF(Ruimtestaat[[#This Row],[Frequentie werkdagen]]="","",_xlfn.CONCAT(Ruimtestaat[[#This Row],[Ruimte code]],"-",Ruimtestaat[[#This Row],[Frequentie werkdagen]]," ",Ruimtestaat[[#This Row],[Vloer code]]))</f>
        <v>5-5w S</v>
      </c>
      <c r="AI224" s="185" t="str">
        <f>_xlfn.IFNA(VLOOKUP($AH224,Programma!$F$3:$G$1101,2,0),"")</f>
        <v>_</v>
      </c>
      <c r="AJ224" s="185" t="str">
        <f>_xlfn.IFNA(VLOOKUP($AH224,Programma!$F$3:$H$1101,3,0),"")</f>
        <v>_</v>
      </c>
      <c r="AK224" s="185" t="str">
        <f>_xlfn.IFNA(VLOOKUP($AH224,Programma!$F$3:$I$1101,4,0),"")</f>
        <v>_</v>
      </c>
      <c r="AL224" s="185" t="str">
        <f>_xlfn.IFNA(VLOOKUP($AH224,Programma!$F$3:$J$1101,5,0),"")</f>
        <v>4w</v>
      </c>
      <c r="AM224" s="185" t="str">
        <f>_xlfn.IFNA(VLOOKUP($AH224,Programma!$F$3:$K$1101,6,0),"")</f>
        <v>1w</v>
      </c>
      <c r="AN224" s="185" t="str">
        <f>_xlfn.IFNA(VLOOKUP($AH224,Programma!$F$3:$L$1101,7,0),"")</f>
        <v>_</v>
      </c>
      <c r="AO224" s="185" t="str">
        <f>_xlfn.IFNA(VLOOKUP($AH224,Programma!$F$3:$M$1101,8,0),"")</f>
        <v>_</v>
      </c>
      <c r="AP224" s="185" t="str">
        <f>_xlfn.IFNA(VLOOKUP($AH224,Programma!$F$3:$N$1101,9,0),"")</f>
        <v>_</v>
      </c>
      <c r="AQ224" s="185" t="str">
        <f>_xlfn.IFNA(VLOOKUP($AH224,Programma!$F$3:$O$1101,10,0),"")</f>
        <v>_</v>
      </c>
      <c r="AR224" s="185" t="str">
        <f>_xlfn.IFNA(VLOOKUP($AH224,Programma!$F$3:$P$1101,11,0),"")</f>
        <v>_</v>
      </c>
      <c r="AS224" s="185" t="str">
        <f>_xlfn.IFNA(VLOOKUP($AH224,Programma!$F$3:$Q$1101,12,0),"")</f>
        <v>_</v>
      </c>
      <c r="AT224" s="185" t="str">
        <f>_xlfn.IFNA(VLOOKUP($AH224,Programma!$F$3:$R$1101,13,0),"")</f>
        <v>_</v>
      </c>
      <c r="AU224" s="185" t="str">
        <f>_xlfn.IFNA(VLOOKUP($AH224,Programma!$F$3:$S$1101,14,0),"")</f>
        <v>_</v>
      </c>
      <c r="AV224" s="185" t="str">
        <f>_xlfn.IFNA(VLOOKUP($AH224,Programma!$F$3:$T$1101,15,0),"")</f>
        <v>_</v>
      </c>
      <c r="AW224" s="185" t="str">
        <f>_xlfn.IFNA(VLOOKUP($AH224,Programma!$F$3:$U$1101,16,0),"")</f>
        <v>_</v>
      </c>
      <c r="AX224" s="185" t="str">
        <f>_xlfn.IFNA(VLOOKUP($AH224,Programma!$F$3:$V$1101,17,0),"")</f>
        <v>_</v>
      </c>
      <c r="AY224" s="185" t="str">
        <f>_xlfn.IFNA(VLOOKUP($AH224,Programma!$F$3:$W$1101,18,0),"")</f>
        <v>4w</v>
      </c>
      <c r="AZ224" s="185" t="str">
        <f>_xlfn.IFNA(VLOOKUP($AH224,Programma!$F$3:$X$1101,19,0),"")</f>
        <v>1w</v>
      </c>
      <c r="BA224" s="185" t="str">
        <f>_xlfn.IFNA(VLOOKUP($AH224,Programma!$F$3:$Y$1101,20,0),"")</f>
        <v>_</v>
      </c>
      <c r="BB224" s="182"/>
      <c r="BC224" s="181" t="str">
        <f>IF(Ruimtestaat[[#This Row],[Frequentie weekend]]="","",_xlfn.CONCAT(Ruimtestaat[[#This Row],[Ruimte code]],"-",Ruimtestaat[[#This Row],[Frequentie weekend]]," ",Ruimtestaat[[#This Row],[Vloer code]]))</f>
        <v/>
      </c>
      <c r="BD224" s="185" t="str">
        <f>_xlfn.IFNA(VLOOKUP($BC224,Programma!$F$3:$G$1101,2,0),"")</f>
        <v/>
      </c>
      <c r="BE224" s="185" t="str">
        <f>_xlfn.IFNA(VLOOKUP($BC224,Programma!$F$3:$H$1101,3,0),"")</f>
        <v/>
      </c>
      <c r="BF224" s="185" t="str">
        <f>_xlfn.IFNA(VLOOKUP($BC224,Programma!$F$3:$I$1101,4,0),"")</f>
        <v/>
      </c>
      <c r="BG224" s="185" t="str">
        <f>_xlfn.IFNA(VLOOKUP($BC224,Programma!$F$3:$J$1101,5,0),"")</f>
        <v/>
      </c>
      <c r="BH224" s="185" t="str">
        <f>_xlfn.IFNA(VLOOKUP($BC224,Programma!$F$3:$K$1101,6,0),"")</f>
        <v/>
      </c>
      <c r="BI224" s="185" t="str">
        <f>_xlfn.IFNA(VLOOKUP($BC224,Programma!$F$3:$L$1101,7,0),"")</f>
        <v/>
      </c>
      <c r="BJ224" s="185" t="str">
        <f>_xlfn.IFNA(VLOOKUP($BC224,Programma!$F$3:$M$1101,8,0),"")</f>
        <v/>
      </c>
      <c r="BK224" s="185" t="str">
        <f>_xlfn.IFNA(VLOOKUP($BC224,Programma!$F$3:$N$1101,9,0),"")</f>
        <v/>
      </c>
      <c r="BL224" s="185" t="str">
        <f>_xlfn.IFNA(VLOOKUP($BC224,Programma!$F$3:$O$1101,10,0),"")</f>
        <v/>
      </c>
      <c r="BM224" s="185" t="str">
        <f>_xlfn.IFNA(VLOOKUP($BC224,Programma!$F$3:$P$1101,11,0),"")</f>
        <v/>
      </c>
      <c r="BN224" s="185" t="str">
        <f>_xlfn.IFNA(VLOOKUP($BC224,Programma!$F$3:$Q$1101,12,0),"")</f>
        <v/>
      </c>
      <c r="BO224" s="185" t="str">
        <f>_xlfn.IFNA(VLOOKUP($BC224,Programma!$F$3:$R$1101,13,0),"")</f>
        <v/>
      </c>
      <c r="BP224" s="185" t="str">
        <f>_xlfn.IFNA(VLOOKUP($BC224,Programma!$F$3:$S$1101,14,0),"")</f>
        <v/>
      </c>
      <c r="BQ224" s="185" t="str">
        <f>_xlfn.IFNA(VLOOKUP($BC224,Programma!$F$3:$T$1101,15,0),"")</f>
        <v/>
      </c>
      <c r="BR224" s="185" t="str">
        <f>_xlfn.IFNA(VLOOKUP($BC224,Programma!$F$3:$U$1101,16,0),"")</f>
        <v/>
      </c>
      <c r="BS224" s="185" t="str">
        <f>_xlfn.IFNA(VLOOKUP($BC224,Programma!$F$3:$V$1101,17,0),"")</f>
        <v/>
      </c>
      <c r="BT224" s="185" t="str">
        <f>_xlfn.IFNA(VLOOKUP($BC224,Programma!$F$3:$W$1101,18,0),"")</f>
        <v/>
      </c>
      <c r="BU224" s="185" t="str">
        <f>_xlfn.IFNA(VLOOKUP($BC224,Programma!$F$3:$X$1101,19,0),"")</f>
        <v/>
      </c>
      <c r="BV224" s="185" t="str">
        <f>_xlfn.IFNA(VLOOKUP($BC224,Programma!$F$3:$Y$1101,20,0),"")</f>
        <v/>
      </c>
      <c r="BW224" s="78"/>
      <c r="BX224" s="78"/>
      <c r="BY224" s="78"/>
      <c r="BZ224" s="78"/>
      <c r="CA224" s="78"/>
      <c r="CB224" s="78"/>
      <c r="CC224" s="78"/>
      <c r="CD224" s="78"/>
      <c r="CE224" s="78"/>
      <c r="CF224" s="78"/>
      <c r="CG224" s="78"/>
      <c r="CH224" s="78"/>
      <c r="CI224" s="78"/>
      <c r="CJ224" s="78"/>
      <c r="CK224" s="78"/>
      <c r="CL224" s="78"/>
      <c r="CM224" s="78"/>
      <c r="CN224" s="78"/>
      <c r="CO224" s="78"/>
      <c r="CP224" s="78"/>
      <c r="CQ224" s="78"/>
      <c r="CR224" s="78"/>
      <c r="CS224" s="78"/>
      <c r="CT224" s="78"/>
      <c r="CU224" s="78"/>
      <c r="CV224" s="78"/>
      <c r="CW224" s="78"/>
      <c r="CX224" s="78"/>
      <c r="CY224" s="78"/>
      <c r="CZ224" s="78"/>
      <c r="DA224" s="78"/>
      <c r="DB224" s="78"/>
      <c r="DC224" s="78"/>
      <c r="DD224" s="78"/>
      <c r="DE224" s="78"/>
      <c r="DF224" s="78"/>
      <c r="DG224" s="78"/>
      <c r="DH224" s="78"/>
      <c r="DI224" s="78"/>
      <c r="DJ224" s="78"/>
      <c r="DK224" s="78"/>
      <c r="DL224" s="78"/>
      <c r="DM224" s="78"/>
      <c r="DN224" s="78"/>
      <c r="DO224" s="78"/>
      <c r="DP224" s="78"/>
      <c r="DQ224" s="78"/>
      <c r="DR224" s="78"/>
      <c r="DS224" s="78"/>
      <c r="DT224" s="78"/>
      <c r="DU224" s="78"/>
      <c r="DV224" s="78"/>
      <c r="DW224" s="78"/>
      <c r="DX224" s="78"/>
      <c r="DY224" s="78"/>
      <c r="DZ224" s="78"/>
      <c r="EA224" s="78"/>
      <c r="EB224" s="78"/>
      <c r="EC224" s="78"/>
      <c r="ED224" s="78"/>
      <c r="EE224" s="78"/>
      <c r="EF224" s="78"/>
      <c r="EG224" s="78"/>
      <c r="EH224" s="78"/>
      <c r="EI224" s="78"/>
      <c r="EJ224" s="78"/>
      <c r="EK224" s="78"/>
      <c r="EL224" s="78"/>
      <c r="EM224" s="78"/>
      <c r="EN224" s="78"/>
      <c r="EO224" s="78"/>
      <c r="EP224" s="78"/>
      <c r="EQ224" s="78"/>
      <c r="ER224" s="78"/>
      <c r="ES224" s="78"/>
      <c r="ET224" s="78"/>
      <c r="EU224" s="78"/>
      <c r="EV224" s="78"/>
      <c r="EW224" s="78"/>
      <c r="EX224" s="78"/>
      <c r="EY224" s="78"/>
      <c r="EZ224" s="78"/>
      <c r="FA224" s="78"/>
      <c r="FB224" s="78"/>
      <c r="FC224" s="78"/>
      <c r="FD224" s="78"/>
      <c r="FE224" s="78"/>
      <c r="FF224" s="78"/>
      <c r="FG224" s="78"/>
      <c r="FH224" s="78"/>
      <c r="FI224" s="78"/>
      <c r="FJ224" s="78"/>
      <c r="FK224" s="78"/>
      <c r="FL224" s="78"/>
      <c r="FM224" s="78"/>
      <c r="FN224" s="78"/>
      <c r="FO224" s="78"/>
      <c r="FP224" s="78"/>
      <c r="FQ224" s="78"/>
      <c r="FR224" s="78"/>
      <c r="FS224" s="78"/>
      <c r="FT224" s="78"/>
      <c r="FU224" s="78"/>
      <c r="FV224" s="78"/>
      <c r="FW224" s="78"/>
      <c r="FX224" s="78"/>
      <c r="FY224" s="78"/>
      <c r="FZ224" s="78"/>
      <c r="GA224" s="78"/>
      <c r="GB224" s="78"/>
      <c r="GC224" s="78"/>
      <c r="GD224" s="78"/>
      <c r="GE224" s="78"/>
      <c r="GF224" s="78"/>
      <c r="GG224" s="78"/>
      <c r="GH224" s="78"/>
      <c r="GI224" s="78"/>
      <c r="GJ224" s="78"/>
      <c r="GK224" s="78"/>
      <c r="GL224" s="78"/>
      <c r="GM224" s="78"/>
      <c r="GN224" s="78"/>
      <c r="GO224" s="78"/>
      <c r="GP224" s="78"/>
      <c r="GQ224" s="78"/>
      <c r="GR224" s="78"/>
      <c r="GS224" s="78"/>
      <c r="GT224" s="78"/>
      <c r="GU224" s="78"/>
      <c r="GV224" s="78"/>
      <c r="GW224" s="78"/>
      <c r="GX224" s="78"/>
      <c r="GY224" s="78"/>
      <c r="GZ224" s="78"/>
      <c r="HA224" s="78"/>
      <c r="HB224" s="78"/>
      <c r="HC224" s="78"/>
      <c r="HD224" s="78"/>
      <c r="HE224" s="78"/>
      <c r="HF224" s="78"/>
      <c r="HG224" s="78"/>
      <c r="HH224" s="78"/>
      <c r="HI224" s="78"/>
      <c r="HJ224" s="78"/>
      <c r="HK224" s="78"/>
    </row>
    <row r="225" spans="1:219" ht="15" customHeight="1">
      <c r="A225" s="99">
        <v>7</v>
      </c>
      <c r="B225" s="176" t="str">
        <f>VLOOKUP(Ruimtestaat[[#This Row],[Code]],Locaties[[Code]:[Locatie]],2,FALSE)</f>
        <v xml:space="preserve">OBS Molenbeek </v>
      </c>
      <c r="C225" s="176" t="str">
        <f>VLOOKUP(Ruimtestaat[[#This Row],[Code]],Locaties[[#All],[Code]:[Adres]],4,FALSE)</f>
        <v>Lammerinkweg 10</v>
      </c>
      <c r="D225" s="176" t="str">
        <f>VLOOKUP(Ruimtestaat[[#This Row],[Code]],Locaties[[#All],[Code]:[Postcode]],5,FALSE)</f>
        <v>7546 RD</v>
      </c>
      <c r="E225" s="176" t="str">
        <f>VLOOKUP(Ruimtestaat[[#This Row],[Code]],Locaties[#All],6,FALSE)</f>
        <v>Enschede</v>
      </c>
      <c r="F225" s="149"/>
      <c r="G225" s="149" t="s">
        <v>1646</v>
      </c>
      <c r="H225" s="99" t="s">
        <v>1660</v>
      </c>
      <c r="I225" s="183" t="s">
        <v>1655</v>
      </c>
      <c r="J225" s="99">
        <v>5</v>
      </c>
      <c r="K225" s="183" t="str">
        <f>VLOOKUP(Ruimtestaat[[#This Row],[Ruimte code]],Ruimtegroepen[[#All],[Code]:[Ruimte omschrijving]],2,FALSE)</f>
        <v>Sanitair</v>
      </c>
      <c r="L225" s="149" t="s">
        <v>101</v>
      </c>
      <c r="M225" s="301" t="s">
        <v>1682</v>
      </c>
      <c r="N225" s="177">
        <v>5.6</v>
      </c>
      <c r="O225" s="177"/>
      <c r="P225" s="178" t="str">
        <f>VLOOKUP(Ruimtestaat[[#This Row],[Ruimte code]],Ruimtegroepen[],4,FALSE)</f>
        <v>Sa</v>
      </c>
      <c r="Q225" s="149">
        <v>40</v>
      </c>
      <c r="R225" s="149" t="s">
        <v>2</v>
      </c>
      <c r="S225" s="149">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5" s="149">
        <f>IF(S225&gt;0,VLOOKUP($J225,Ruimtegroepen[],3,FALSE)*VLOOKUP($L225,Vloersoorten[],3,FALSE)*VLOOKUP($R225,Frequenties[],3,FALSE)*VLOOKUP($A225,Locaties[],3,FALSE),0)</f>
        <v>0</v>
      </c>
      <c r="U225" s="149">
        <f>Ruimtestaat[[#This Row],[Uitvoeringen werkdagen]]*Ruimtestaat[[#This Row],[Oppervlak (netto)]]</f>
        <v>1120</v>
      </c>
      <c r="V225" s="179">
        <f>IF(T225&gt;0,Ruimtestaat[[#This Row],[Prest. (m2 /jaar) werkdagen]]/Ruimtestaat[[#This Row],[Norm (m2/uur) werkdagen]],0)</f>
        <v>0</v>
      </c>
      <c r="W225" s="180">
        <f>Ruimtestaat[[#This Row],[uren / jaar werkdagen]]*Tariefsopbouw!$E$35</f>
        <v>0</v>
      </c>
      <c r="X225" s="149"/>
      <c r="Y225" s="149">
        <f>IF(Ruimtestaat[[#This Row],[Frequentie weekend]]&gt;0,VALUE(LEFT(X225,1))*Q225,0)</f>
        <v>0</v>
      </c>
      <c r="Z225" s="148">
        <f>IF($Y225&gt;0,VLOOKUP($J225,Ruimtegroepen[],3,FALSE)*VLOOKUP($L225,Vloersoorten[],3,FALSE)*VLOOKUP($X225,Frequenties[],3,FALSE)*VLOOKUP(Ruimtestaat[[#This Row],[Code]],Locaties[],3,FALSE),0)</f>
        <v>0</v>
      </c>
      <c r="AA225" s="148">
        <f>Ruimtestaat[[#This Row],[Uitvoeringen weekend]]*Ruimtestaat[[#This Row],[Oppervlak (netto)]]</f>
        <v>0</v>
      </c>
      <c r="AB225" s="148">
        <f>IF(Z225&gt;0,Ruimtestaat[[#This Row],[Prest. (m2 /jaar) weekend]]/Ruimtestaat[[#This Row],[Norm (m2/uur) weekend]],0)</f>
        <v>0</v>
      </c>
      <c r="AC225" s="180">
        <f>Ruimtestaat[[#This Row],[uren / jaar weekend]]*Tariefsopbouw!$D$40</f>
        <v>0</v>
      </c>
      <c r="AD225" s="179">
        <f>Ruimtestaat[[#This Row],[Prest. (m2 /jaar) weekend]]+Ruimtestaat[[#This Row],[Prest. (m2 /jaar) werkdagen]]</f>
        <v>1120</v>
      </c>
      <c r="AE225" s="179">
        <f>Ruimtestaat[[#This Row],[uren / jaar weekend]]+Ruimtestaat[[#This Row],[uren / jaar werkdagen]]</f>
        <v>0</v>
      </c>
      <c r="AF225" s="174">
        <f>Ruimtestaat[[#This Row],[kosten / jaar weekend]]+Ruimtestaat[[#This Row],[kosten / jaar werkdagen]]</f>
        <v>0</v>
      </c>
      <c r="AG225" s="174"/>
      <c r="AH225" s="181" t="str">
        <f>IF(Ruimtestaat[[#This Row],[Frequentie werkdagen]]="","",_xlfn.CONCAT(Ruimtestaat[[#This Row],[Ruimte code]],"-",Ruimtestaat[[#This Row],[Frequentie werkdagen]]," ",Ruimtestaat[[#This Row],[Vloer code]]))</f>
        <v>5-5w S</v>
      </c>
      <c r="AI225" s="185" t="str">
        <f>_xlfn.IFNA(VLOOKUP($AH225,Programma!$F$3:$G$1101,2,0),"")</f>
        <v>_</v>
      </c>
      <c r="AJ225" s="185" t="str">
        <f>_xlfn.IFNA(VLOOKUP($AH225,Programma!$F$3:$H$1101,3,0),"")</f>
        <v>_</v>
      </c>
      <c r="AK225" s="185" t="str">
        <f>_xlfn.IFNA(VLOOKUP($AH225,Programma!$F$3:$I$1101,4,0),"")</f>
        <v>_</v>
      </c>
      <c r="AL225" s="185" t="str">
        <f>_xlfn.IFNA(VLOOKUP($AH225,Programma!$F$3:$J$1101,5,0),"")</f>
        <v>4w</v>
      </c>
      <c r="AM225" s="185" t="str">
        <f>_xlfn.IFNA(VLOOKUP($AH225,Programma!$F$3:$K$1101,6,0),"")</f>
        <v>1w</v>
      </c>
      <c r="AN225" s="185" t="str">
        <f>_xlfn.IFNA(VLOOKUP($AH225,Programma!$F$3:$L$1101,7,0),"")</f>
        <v>_</v>
      </c>
      <c r="AO225" s="185" t="str">
        <f>_xlfn.IFNA(VLOOKUP($AH225,Programma!$F$3:$M$1101,8,0),"")</f>
        <v>_</v>
      </c>
      <c r="AP225" s="185" t="str">
        <f>_xlfn.IFNA(VLOOKUP($AH225,Programma!$F$3:$N$1101,9,0),"")</f>
        <v>_</v>
      </c>
      <c r="AQ225" s="185" t="str">
        <f>_xlfn.IFNA(VLOOKUP($AH225,Programma!$F$3:$O$1101,10,0),"")</f>
        <v>_</v>
      </c>
      <c r="AR225" s="185" t="str">
        <f>_xlfn.IFNA(VLOOKUP($AH225,Programma!$F$3:$P$1101,11,0),"")</f>
        <v>_</v>
      </c>
      <c r="AS225" s="185" t="str">
        <f>_xlfn.IFNA(VLOOKUP($AH225,Programma!$F$3:$Q$1101,12,0),"")</f>
        <v>_</v>
      </c>
      <c r="AT225" s="185" t="str">
        <f>_xlfn.IFNA(VLOOKUP($AH225,Programma!$F$3:$R$1101,13,0),"")</f>
        <v>_</v>
      </c>
      <c r="AU225" s="185" t="str">
        <f>_xlfn.IFNA(VLOOKUP($AH225,Programma!$F$3:$S$1101,14,0),"")</f>
        <v>_</v>
      </c>
      <c r="AV225" s="185" t="str">
        <f>_xlfn.IFNA(VLOOKUP($AH225,Programma!$F$3:$T$1101,15,0),"")</f>
        <v>_</v>
      </c>
      <c r="AW225" s="185" t="str">
        <f>_xlfn.IFNA(VLOOKUP($AH225,Programma!$F$3:$U$1101,16,0),"")</f>
        <v>_</v>
      </c>
      <c r="AX225" s="185" t="str">
        <f>_xlfn.IFNA(VLOOKUP($AH225,Programma!$F$3:$V$1101,17,0),"")</f>
        <v>_</v>
      </c>
      <c r="AY225" s="185" t="str">
        <f>_xlfn.IFNA(VLOOKUP($AH225,Programma!$F$3:$W$1101,18,0),"")</f>
        <v>4w</v>
      </c>
      <c r="AZ225" s="185" t="str">
        <f>_xlfn.IFNA(VLOOKUP($AH225,Programma!$F$3:$X$1101,19,0),"")</f>
        <v>1w</v>
      </c>
      <c r="BA225" s="185" t="str">
        <f>_xlfn.IFNA(VLOOKUP($AH225,Programma!$F$3:$Y$1101,20,0),"")</f>
        <v>_</v>
      </c>
      <c r="BB225" s="182"/>
      <c r="BC225" s="181" t="str">
        <f>IF(Ruimtestaat[[#This Row],[Frequentie weekend]]="","",_xlfn.CONCAT(Ruimtestaat[[#This Row],[Ruimte code]],"-",Ruimtestaat[[#This Row],[Frequentie weekend]]," ",Ruimtestaat[[#This Row],[Vloer code]]))</f>
        <v/>
      </c>
      <c r="BD225" s="185" t="str">
        <f>_xlfn.IFNA(VLOOKUP($BC225,Programma!$F$3:$G$1101,2,0),"")</f>
        <v/>
      </c>
      <c r="BE225" s="185" t="str">
        <f>_xlfn.IFNA(VLOOKUP($BC225,Programma!$F$3:$H$1101,3,0),"")</f>
        <v/>
      </c>
      <c r="BF225" s="185" t="str">
        <f>_xlfn.IFNA(VLOOKUP($BC225,Programma!$F$3:$I$1101,4,0),"")</f>
        <v/>
      </c>
      <c r="BG225" s="185" t="str">
        <f>_xlfn.IFNA(VLOOKUP($BC225,Programma!$F$3:$J$1101,5,0),"")</f>
        <v/>
      </c>
      <c r="BH225" s="185" t="str">
        <f>_xlfn.IFNA(VLOOKUP($BC225,Programma!$F$3:$K$1101,6,0),"")</f>
        <v/>
      </c>
      <c r="BI225" s="185" t="str">
        <f>_xlfn.IFNA(VLOOKUP($BC225,Programma!$F$3:$L$1101,7,0),"")</f>
        <v/>
      </c>
      <c r="BJ225" s="185" t="str">
        <f>_xlfn.IFNA(VLOOKUP($BC225,Programma!$F$3:$M$1101,8,0),"")</f>
        <v/>
      </c>
      <c r="BK225" s="185" t="str">
        <f>_xlfn.IFNA(VLOOKUP($BC225,Programma!$F$3:$N$1101,9,0),"")</f>
        <v/>
      </c>
      <c r="BL225" s="185" t="str">
        <f>_xlfn.IFNA(VLOOKUP($BC225,Programma!$F$3:$O$1101,10,0),"")</f>
        <v/>
      </c>
      <c r="BM225" s="185" t="str">
        <f>_xlfn.IFNA(VLOOKUP($BC225,Programma!$F$3:$P$1101,11,0),"")</f>
        <v/>
      </c>
      <c r="BN225" s="185" t="str">
        <f>_xlfn.IFNA(VLOOKUP($BC225,Programma!$F$3:$Q$1101,12,0),"")</f>
        <v/>
      </c>
      <c r="BO225" s="185" t="str">
        <f>_xlfn.IFNA(VLOOKUP($BC225,Programma!$F$3:$R$1101,13,0),"")</f>
        <v/>
      </c>
      <c r="BP225" s="185" t="str">
        <f>_xlfn.IFNA(VLOOKUP($BC225,Programma!$F$3:$S$1101,14,0),"")</f>
        <v/>
      </c>
      <c r="BQ225" s="185" t="str">
        <f>_xlfn.IFNA(VLOOKUP($BC225,Programma!$F$3:$T$1101,15,0),"")</f>
        <v/>
      </c>
      <c r="BR225" s="185" t="str">
        <f>_xlfn.IFNA(VLOOKUP($BC225,Programma!$F$3:$U$1101,16,0),"")</f>
        <v/>
      </c>
      <c r="BS225" s="185" t="str">
        <f>_xlfn.IFNA(VLOOKUP($BC225,Programma!$F$3:$V$1101,17,0),"")</f>
        <v/>
      </c>
      <c r="BT225" s="185" t="str">
        <f>_xlfn.IFNA(VLOOKUP($BC225,Programma!$F$3:$W$1101,18,0),"")</f>
        <v/>
      </c>
      <c r="BU225" s="185" t="str">
        <f>_xlfn.IFNA(VLOOKUP($BC225,Programma!$F$3:$X$1101,19,0),"")</f>
        <v/>
      </c>
      <c r="BV225" s="185" t="str">
        <f>_xlfn.IFNA(VLOOKUP($BC225,Programma!$F$3:$Y$1101,20,0),"")</f>
        <v/>
      </c>
      <c r="BW225" s="78"/>
      <c r="BX225" s="78"/>
      <c r="BY225" s="78"/>
      <c r="BZ225" s="78"/>
      <c r="CA225" s="78"/>
      <c r="CB225" s="78"/>
      <c r="CC225" s="78"/>
      <c r="CD225" s="78"/>
      <c r="CE225" s="78"/>
      <c r="CF225" s="78"/>
      <c r="CG225" s="78"/>
      <c r="CH225" s="78"/>
      <c r="CI225" s="78"/>
      <c r="CJ225" s="78"/>
      <c r="CK225" s="78"/>
      <c r="CL225" s="78"/>
      <c r="CM225" s="78"/>
      <c r="CN225" s="78"/>
      <c r="CO225" s="78"/>
      <c r="CP225" s="78"/>
      <c r="CQ225" s="78"/>
      <c r="CR225" s="78"/>
      <c r="CS225" s="78"/>
      <c r="CT225" s="78"/>
      <c r="CU225" s="78"/>
      <c r="CV225" s="78"/>
      <c r="CW225" s="78"/>
      <c r="CX225" s="78"/>
      <c r="CY225" s="78"/>
      <c r="CZ225" s="78"/>
      <c r="DA225" s="78"/>
      <c r="DB225" s="78"/>
      <c r="DC225" s="78"/>
      <c r="DD225" s="78"/>
      <c r="DE225" s="78"/>
      <c r="DF225" s="78"/>
      <c r="DG225" s="78"/>
      <c r="DH225" s="78"/>
      <c r="DI225" s="78"/>
      <c r="DJ225" s="78"/>
      <c r="DK225" s="78"/>
      <c r="DL225" s="78"/>
      <c r="DM225" s="78"/>
      <c r="DN225" s="78"/>
      <c r="DO225" s="78"/>
      <c r="DP225" s="78"/>
      <c r="DQ225" s="78"/>
      <c r="DR225" s="78"/>
      <c r="DS225" s="78"/>
      <c r="DT225" s="78"/>
      <c r="DU225" s="78"/>
      <c r="DV225" s="78"/>
      <c r="DW225" s="78"/>
      <c r="DX225" s="78"/>
      <c r="DY225" s="78"/>
      <c r="DZ225" s="78"/>
      <c r="EA225" s="78"/>
      <c r="EB225" s="78"/>
      <c r="EC225" s="78"/>
      <c r="ED225" s="78"/>
      <c r="EE225" s="78"/>
      <c r="EF225" s="78"/>
      <c r="EG225" s="78"/>
      <c r="EH225" s="78"/>
      <c r="EI225" s="78"/>
      <c r="EJ225" s="78"/>
      <c r="EK225" s="78"/>
      <c r="EL225" s="78"/>
      <c r="EM225" s="78"/>
      <c r="EN225" s="78"/>
      <c r="EO225" s="78"/>
      <c r="EP225" s="78"/>
      <c r="EQ225" s="78"/>
      <c r="ER225" s="78"/>
      <c r="ES225" s="78"/>
      <c r="ET225" s="78"/>
      <c r="EU225" s="78"/>
      <c r="EV225" s="78"/>
      <c r="EW225" s="78"/>
      <c r="EX225" s="78"/>
      <c r="EY225" s="78"/>
      <c r="EZ225" s="78"/>
      <c r="FA225" s="78"/>
      <c r="FB225" s="78"/>
      <c r="FC225" s="78"/>
      <c r="FD225" s="78"/>
      <c r="FE225" s="78"/>
      <c r="FF225" s="78"/>
      <c r="FG225" s="78"/>
      <c r="FH225" s="78"/>
      <c r="FI225" s="78"/>
      <c r="FJ225" s="78"/>
      <c r="FK225" s="78"/>
      <c r="FL225" s="78"/>
      <c r="FM225" s="78"/>
      <c r="FN225" s="78"/>
      <c r="FO225" s="78"/>
      <c r="FP225" s="78"/>
      <c r="FQ225" s="78"/>
      <c r="FR225" s="78"/>
      <c r="FS225" s="78"/>
      <c r="FT225" s="78"/>
      <c r="FU225" s="78"/>
      <c r="FV225" s="78"/>
      <c r="FW225" s="78"/>
      <c r="FX225" s="78"/>
      <c r="FY225" s="78"/>
      <c r="FZ225" s="78"/>
      <c r="GA225" s="78"/>
      <c r="GB225" s="78"/>
      <c r="GC225" s="78"/>
      <c r="GD225" s="78"/>
      <c r="GE225" s="78"/>
      <c r="GF225" s="78"/>
      <c r="GG225" s="78"/>
      <c r="GH225" s="78"/>
      <c r="GI225" s="78"/>
      <c r="GJ225" s="78"/>
      <c r="GK225" s="78"/>
      <c r="GL225" s="78"/>
      <c r="GM225" s="78"/>
      <c r="GN225" s="78"/>
      <c r="GO225" s="78"/>
      <c r="GP225" s="78"/>
      <c r="GQ225" s="78"/>
      <c r="GR225" s="78"/>
      <c r="GS225" s="78"/>
      <c r="GT225" s="78"/>
      <c r="GU225" s="78"/>
      <c r="GV225" s="78"/>
      <c r="GW225" s="78"/>
      <c r="GX225" s="78"/>
      <c r="GY225" s="78"/>
      <c r="GZ225" s="78"/>
      <c r="HA225" s="78"/>
      <c r="HB225" s="78"/>
      <c r="HC225" s="78"/>
      <c r="HD225" s="78"/>
      <c r="HE225" s="78"/>
      <c r="HF225" s="78"/>
      <c r="HG225" s="78"/>
      <c r="HH225" s="78"/>
      <c r="HI225" s="78"/>
      <c r="HJ225" s="78"/>
      <c r="HK225" s="78"/>
    </row>
    <row r="226" spans="1:219" ht="15" customHeight="1">
      <c r="A226" s="99">
        <v>7</v>
      </c>
      <c r="B226" s="176" t="str">
        <f>VLOOKUP(Ruimtestaat[[#This Row],[Code]],Locaties[[Code]:[Locatie]],2,FALSE)</f>
        <v xml:space="preserve">OBS Molenbeek </v>
      </c>
      <c r="C226" s="176" t="str">
        <f>VLOOKUP(Ruimtestaat[[#This Row],[Code]],Locaties[[#All],[Code]:[Adres]],4,FALSE)</f>
        <v>Lammerinkweg 10</v>
      </c>
      <c r="D226" s="176" t="str">
        <f>VLOOKUP(Ruimtestaat[[#This Row],[Code]],Locaties[[#All],[Code]:[Postcode]],5,FALSE)</f>
        <v>7546 RD</v>
      </c>
      <c r="E226" s="176" t="str">
        <f>VLOOKUP(Ruimtestaat[[#This Row],[Code]],Locaties[#All],6,FALSE)</f>
        <v>Enschede</v>
      </c>
      <c r="F226" s="149"/>
      <c r="G226" s="149" t="s">
        <v>1646</v>
      </c>
      <c r="H226" s="99" t="s">
        <v>1661</v>
      </c>
      <c r="I226" s="183" t="s">
        <v>1651</v>
      </c>
      <c r="J226" s="99">
        <v>16</v>
      </c>
      <c r="K226" s="183" t="str">
        <f>VLOOKUP(Ruimtestaat[[#This Row],[Ruimte code]],Ruimtegroepen[[#All],[Code]:[Ruimte omschrijving]],2,FALSE)</f>
        <v>Leslokalen</v>
      </c>
      <c r="L226" s="149" t="s">
        <v>100</v>
      </c>
      <c r="M226" s="301" t="s">
        <v>1697</v>
      </c>
      <c r="N226" s="177">
        <v>50.6</v>
      </c>
      <c r="O226" s="177"/>
      <c r="P226" s="178" t="str">
        <f>VLOOKUP(Ruimtestaat[[#This Row],[Ruimte code]],Ruimtegroepen[],4,FALSE)</f>
        <v>Le</v>
      </c>
      <c r="Q226" s="149">
        <v>40</v>
      </c>
      <c r="R226" s="149" t="s">
        <v>2</v>
      </c>
      <c r="S226" s="149">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6" s="149">
        <f>IF(S226&gt;0,VLOOKUP($J226,Ruimtegroepen[],3,FALSE)*VLOOKUP($L226,Vloersoorten[],3,FALSE)*VLOOKUP($R226,Frequenties[],3,FALSE)*VLOOKUP($A226,Locaties[],3,FALSE),0)</f>
        <v>0</v>
      </c>
      <c r="U226" s="149">
        <f>Ruimtestaat[[#This Row],[Uitvoeringen werkdagen]]*Ruimtestaat[[#This Row],[Oppervlak (netto)]]</f>
        <v>10120</v>
      </c>
      <c r="V226" s="179">
        <f>IF(T226&gt;0,Ruimtestaat[[#This Row],[Prest. (m2 /jaar) werkdagen]]/Ruimtestaat[[#This Row],[Norm (m2/uur) werkdagen]],0)</f>
        <v>0</v>
      </c>
      <c r="W226" s="180">
        <f>Ruimtestaat[[#This Row],[uren / jaar werkdagen]]*Tariefsopbouw!$E$35</f>
        <v>0</v>
      </c>
      <c r="X226" s="149"/>
      <c r="Y226" s="149">
        <f>IF(Ruimtestaat[[#This Row],[Frequentie weekend]]&gt;0,VALUE(LEFT(X226,1))*Q226,0)</f>
        <v>0</v>
      </c>
      <c r="Z226" s="148">
        <f>IF($Y226&gt;0,VLOOKUP($J226,Ruimtegroepen[],3,FALSE)*VLOOKUP($L226,Vloersoorten[],3,FALSE)*VLOOKUP($X226,Frequenties[],3,FALSE)*VLOOKUP(Ruimtestaat[[#This Row],[Code]],Locaties[],3,FALSE),0)</f>
        <v>0</v>
      </c>
      <c r="AA226" s="148">
        <f>Ruimtestaat[[#This Row],[Uitvoeringen weekend]]*Ruimtestaat[[#This Row],[Oppervlak (netto)]]</f>
        <v>0</v>
      </c>
      <c r="AB226" s="148">
        <f>IF(Z226&gt;0,Ruimtestaat[[#This Row],[Prest. (m2 /jaar) weekend]]/Ruimtestaat[[#This Row],[Norm (m2/uur) weekend]],0)</f>
        <v>0</v>
      </c>
      <c r="AC226" s="180">
        <f>Ruimtestaat[[#This Row],[uren / jaar weekend]]*Tariefsopbouw!$D$40</f>
        <v>0</v>
      </c>
      <c r="AD226" s="179">
        <f>Ruimtestaat[[#This Row],[Prest. (m2 /jaar) weekend]]+Ruimtestaat[[#This Row],[Prest. (m2 /jaar) werkdagen]]</f>
        <v>10120</v>
      </c>
      <c r="AE226" s="179">
        <f>Ruimtestaat[[#This Row],[uren / jaar weekend]]+Ruimtestaat[[#This Row],[uren / jaar werkdagen]]</f>
        <v>0</v>
      </c>
      <c r="AF226" s="174">
        <f>Ruimtestaat[[#This Row],[kosten / jaar weekend]]+Ruimtestaat[[#This Row],[kosten / jaar werkdagen]]</f>
        <v>0</v>
      </c>
      <c r="AG226" s="174"/>
      <c r="AH226" s="181" t="str">
        <f>IF(Ruimtestaat[[#This Row],[Frequentie werkdagen]]="","",_xlfn.CONCAT(Ruimtestaat[[#This Row],[Ruimte code]],"-",Ruimtestaat[[#This Row],[Frequentie werkdagen]]," ",Ruimtestaat[[#This Row],[Vloer code]]))</f>
        <v>16-5w L</v>
      </c>
      <c r="AI226" s="185" t="str">
        <f>_xlfn.IFNA(VLOOKUP($AH226,Programma!$F$3:$G$1101,2,0),"")</f>
        <v>_</v>
      </c>
      <c r="AJ226" s="185" t="str">
        <f>_xlfn.IFNA(VLOOKUP($AH226,Programma!$F$3:$H$1101,3,0),"")</f>
        <v>_</v>
      </c>
      <c r="AK226" s="185" t="str">
        <f>_xlfn.IFNA(VLOOKUP($AH226,Programma!$F$3:$I$1101,4,0),"")</f>
        <v>4w</v>
      </c>
      <c r="AL226" s="185" t="str">
        <f>_xlfn.IFNA(VLOOKUP($AH226,Programma!$F$3:$J$1101,5,0),"")</f>
        <v>1w</v>
      </c>
      <c r="AM226" s="185" t="str">
        <f>_xlfn.IFNA(VLOOKUP($AH226,Programma!$F$3:$K$1101,6,0),"")</f>
        <v>_</v>
      </c>
      <c r="AN226" s="185" t="str">
        <f>_xlfn.IFNA(VLOOKUP($AH226,Programma!$F$3:$L$1101,7,0),"")</f>
        <v>_</v>
      </c>
      <c r="AO226" s="185" t="str">
        <f>_xlfn.IFNA(VLOOKUP($AH226,Programma!$F$3:$M$1101,8,0),"")</f>
        <v>_</v>
      </c>
      <c r="AP226" s="185" t="str">
        <f>_xlfn.IFNA(VLOOKUP($AH226,Programma!$F$3:$N$1101,9,0),"")</f>
        <v>_</v>
      </c>
      <c r="AQ226" s="185" t="str">
        <f>_xlfn.IFNA(VLOOKUP($AH226,Programma!$F$3:$O$1101,10,0),"")</f>
        <v>5w</v>
      </c>
      <c r="AR226" s="185" t="str">
        <f>_xlfn.IFNA(VLOOKUP($AH226,Programma!$F$3:$P$1101,11,0),"")</f>
        <v>5w</v>
      </c>
      <c r="AS226" s="185" t="str">
        <f>_xlfn.IFNA(VLOOKUP($AH226,Programma!$F$3:$Q$1101,12,0),"")</f>
        <v>1w</v>
      </c>
      <c r="AT226" s="185" t="str">
        <f>_xlfn.IFNA(VLOOKUP($AH226,Programma!$F$3:$R$1101,13,0),"")</f>
        <v>1w</v>
      </c>
      <c r="AU226" s="185" t="str">
        <f>_xlfn.IFNA(VLOOKUP($AH226,Programma!$F$3:$S$1101,14,0),"")</f>
        <v>1m</v>
      </c>
      <c r="AV226" s="185" t="str">
        <f>_xlfn.IFNA(VLOOKUP($AH226,Programma!$F$3:$T$1101,15,0),"")</f>
        <v>2j</v>
      </c>
      <c r="AW226" s="185" t="str">
        <f>_xlfn.IFNA(VLOOKUP($AH226,Programma!$F$3:$U$1101,16,0),"")</f>
        <v>1j</v>
      </c>
      <c r="AX226" s="185" t="str">
        <f>_xlfn.IFNA(VLOOKUP($AH226,Programma!$F$3:$V$1101,17,0),"")</f>
        <v>_</v>
      </c>
      <c r="AY226" s="185" t="str">
        <f>_xlfn.IFNA(VLOOKUP($AH226,Programma!$F$3:$W$1101,18,0),"")</f>
        <v>_</v>
      </c>
      <c r="AZ226" s="185" t="str">
        <f>_xlfn.IFNA(VLOOKUP($AH226,Programma!$F$3:$X$1101,19,0),"")</f>
        <v>_</v>
      </c>
      <c r="BA226" s="185" t="str">
        <f>_xlfn.IFNA(VLOOKUP($AH226,Programma!$F$3:$Y$1101,20,0),"")</f>
        <v>_</v>
      </c>
      <c r="BB226" s="182"/>
      <c r="BC226" s="181" t="str">
        <f>IF(Ruimtestaat[[#This Row],[Frequentie weekend]]="","",_xlfn.CONCAT(Ruimtestaat[[#This Row],[Ruimte code]],"-",Ruimtestaat[[#This Row],[Frequentie weekend]]," ",Ruimtestaat[[#This Row],[Vloer code]]))</f>
        <v/>
      </c>
      <c r="BD226" s="185" t="str">
        <f>_xlfn.IFNA(VLOOKUP($BC226,Programma!$F$3:$G$1101,2,0),"")</f>
        <v/>
      </c>
      <c r="BE226" s="185" t="str">
        <f>_xlfn.IFNA(VLOOKUP($BC226,Programma!$F$3:$H$1101,3,0),"")</f>
        <v/>
      </c>
      <c r="BF226" s="185" t="str">
        <f>_xlfn.IFNA(VLOOKUP($BC226,Programma!$F$3:$I$1101,4,0),"")</f>
        <v/>
      </c>
      <c r="BG226" s="185" t="str">
        <f>_xlfn.IFNA(VLOOKUP($BC226,Programma!$F$3:$J$1101,5,0),"")</f>
        <v/>
      </c>
      <c r="BH226" s="185" t="str">
        <f>_xlfn.IFNA(VLOOKUP($BC226,Programma!$F$3:$K$1101,6,0),"")</f>
        <v/>
      </c>
      <c r="BI226" s="185" t="str">
        <f>_xlfn.IFNA(VLOOKUP($BC226,Programma!$F$3:$L$1101,7,0),"")</f>
        <v/>
      </c>
      <c r="BJ226" s="185" t="str">
        <f>_xlfn.IFNA(VLOOKUP($BC226,Programma!$F$3:$M$1101,8,0),"")</f>
        <v/>
      </c>
      <c r="BK226" s="185" t="str">
        <f>_xlfn.IFNA(VLOOKUP($BC226,Programma!$F$3:$N$1101,9,0),"")</f>
        <v/>
      </c>
      <c r="BL226" s="185" t="str">
        <f>_xlfn.IFNA(VLOOKUP($BC226,Programma!$F$3:$O$1101,10,0),"")</f>
        <v/>
      </c>
      <c r="BM226" s="185" t="str">
        <f>_xlfn.IFNA(VLOOKUP($BC226,Programma!$F$3:$P$1101,11,0),"")</f>
        <v/>
      </c>
      <c r="BN226" s="185" t="str">
        <f>_xlfn.IFNA(VLOOKUP($BC226,Programma!$F$3:$Q$1101,12,0),"")</f>
        <v/>
      </c>
      <c r="BO226" s="185" t="str">
        <f>_xlfn.IFNA(VLOOKUP($BC226,Programma!$F$3:$R$1101,13,0),"")</f>
        <v/>
      </c>
      <c r="BP226" s="185" t="str">
        <f>_xlfn.IFNA(VLOOKUP($BC226,Programma!$F$3:$S$1101,14,0),"")</f>
        <v/>
      </c>
      <c r="BQ226" s="185" t="str">
        <f>_xlfn.IFNA(VLOOKUP($BC226,Programma!$F$3:$T$1101,15,0),"")</f>
        <v/>
      </c>
      <c r="BR226" s="185" t="str">
        <f>_xlfn.IFNA(VLOOKUP($BC226,Programma!$F$3:$U$1101,16,0),"")</f>
        <v/>
      </c>
      <c r="BS226" s="185" t="str">
        <f>_xlfn.IFNA(VLOOKUP($BC226,Programma!$F$3:$V$1101,17,0),"")</f>
        <v/>
      </c>
      <c r="BT226" s="185" t="str">
        <f>_xlfn.IFNA(VLOOKUP($BC226,Programma!$F$3:$W$1101,18,0),"")</f>
        <v/>
      </c>
      <c r="BU226" s="185" t="str">
        <f>_xlfn.IFNA(VLOOKUP($BC226,Programma!$F$3:$X$1101,19,0),"")</f>
        <v/>
      </c>
      <c r="BV226" s="185" t="str">
        <f>_xlfn.IFNA(VLOOKUP($BC226,Programma!$F$3:$Y$1101,20,0),"")</f>
        <v/>
      </c>
      <c r="BW226" s="78"/>
      <c r="BX226" s="78"/>
      <c r="BY226" s="78"/>
      <c r="BZ226" s="78"/>
      <c r="CA226" s="78"/>
      <c r="CB226" s="78"/>
      <c r="CC226" s="78"/>
      <c r="CD226" s="78"/>
      <c r="CE226" s="78"/>
      <c r="CF226" s="78"/>
      <c r="CG226" s="78"/>
      <c r="CH226" s="78"/>
      <c r="CI226" s="78"/>
      <c r="CJ226" s="78"/>
      <c r="CK226" s="78"/>
      <c r="CL226" s="78"/>
      <c r="CM226" s="78"/>
      <c r="CN226" s="78"/>
      <c r="CO226" s="78"/>
      <c r="CP226" s="78"/>
      <c r="CQ226" s="78"/>
      <c r="CR226" s="78"/>
      <c r="CS226" s="78"/>
      <c r="CT226" s="78"/>
      <c r="CU226" s="78"/>
      <c r="CV226" s="78"/>
      <c r="CW226" s="78"/>
      <c r="CX226" s="78"/>
      <c r="CY226" s="78"/>
      <c r="CZ226" s="78"/>
      <c r="DA226" s="78"/>
      <c r="DB226" s="78"/>
      <c r="DC226" s="78"/>
      <c r="DD226" s="78"/>
      <c r="DE226" s="78"/>
      <c r="DF226" s="78"/>
      <c r="DG226" s="78"/>
      <c r="DH226" s="78"/>
      <c r="DI226" s="78"/>
      <c r="DJ226" s="78"/>
      <c r="DK226" s="78"/>
      <c r="DL226" s="78"/>
      <c r="DM226" s="78"/>
      <c r="DN226" s="78"/>
      <c r="DO226" s="78"/>
      <c r="DP226" s="78"/>
      <c r="DQ226" s="78"/>
      <c r="DR226" s="78"/>
      <c r="DS226" s="78"/>
      <c r="DT226" s="78"/>
      <c r="DU226" s="78"/>
      <c r="DV226" s="78"/>
      <c r="DW226" s="78"/>
      <c r="DX226" s="78"/>
      <c r="DY226" s="78"/>
      <c r="DZ226" s="78"/>
      <c r="EA226" s="78"/>
      <c r="EB226" s="78"/>
      <c r="EC226" s="78"/>
      <c r="ED226" s="78"/>
      <c r="EE226" s="78"/>
      <c r="EF226" s="78"/>
      <c r="EG226" s="78"/>
      <c r="EH226" s="78"/>
      <c r="EI226" s="78"/>
      <c r="EJ226" s="78"/>
      <c r="EK226" s="78"/>
      <c r="EL226" s="78"/>
      <c r="EM226" s="78"/>
      <c r="EN226" s="78"/>
      <c r="EO226" s="78"/>
      <c r="EP226" s="78"/>
      <c r="EQ226" s="78"/>
      <c r="ER226" s="78"/>
      <c r="ES226" s="78"/>
      <c r="ET226" s="78"/>
      <c r="EU226" s="78"/>
      <c r="EV226" s="78"/>
      <c r="EW226" s="78"/>
      <c r="EX226" s="78"/>
      <c r="EY226" s="78"/>
      <c r="EZ226" s="78"/>
      <c r="FA226" s="78"/>
      <c r="FB226" s="78"/>
      <c r="FC226" s="78"/>
      <c r="FD226" s="78"/>
      <c r="FE226" s="78"/>
      <c r="FF226" s="78"/>
      <c r="FG226" s="78"/>
      <c r="FH226" s="78"/>
      <c r="FI226" s="78"/>
      <c r="FJ226" s="78"/>
      <c r="FK226" s="78"/>
      <c r="FL226" s="78"/>
      <c r="FM226" s="78"/>
      <c r="FN226" s="78"/>
      <c r="FO226" s="78"/>
      <c r="FP226" s="78"/>
      <c r="FQ226" s="78"/>
      <c r="FR226" s="78"/>
      <c r="FS226" s="78"/>
      <c r="FT226" s="78"/>
      <c r="FU226" s="78"/>
      <c r="FV226" s="78"/>
      <c r="FW226" s="78"/>
      <c r="FX226" s="78"/>
      <c r="FY226" s="78"/>
      <c r="FZ226" s="78"/>
      <c r="GA226" s="78"/>
      <c r="GB226" s="78"/>
      <c r="GC226" s="78"/>
      <c r="GD226" s="78"/>
      <c r="GE226" s="78"/>
      <c r="GF226" s="78"/>
      <c r="GG226" s="78"/>
      <c r="GH226" s="78"/>
      <c r="GI226" s="78"/>
      <c r="GJ226" s="78"/>
      <c r="GK226" s="78"/>
      <c r="GL226" s="78"/>
      <c r="GM226" s="78"/>
      <c r="GN226" s="78"/>
      <c r="GO226" s="78"/>
      <c r="GP226" s="78"/>
      <c r="GQ226" s="78"/>
      <c r="GR226" s="78"/>
      <c r="GS226" s="78"/>
      <c r="GT226" s="78"/>
      <c r="GU226" s="78"/>
      <c r="GV226" s="78"/>
      <c r="GW226" s="78"/>
      <c r="GX226" s="78"/>
      <c r="GY226" s="78"/>
      <c r="GZ226" s="78"/>
      <c r="HA226" s="78"/>
      <c r="HB226" s="78"/>
      <c r="HC226" s="78"/>
      <c r="HD226" s="78"/>
      <c r="HE226" s="78"/>
      <c r="HF226" s="78"/>
      <c r="HG226" s="78"/>
      <c r="HH226" s="78"/>
      <c r="HI226" s="78"/>
      <c r="HJ226" s="78"/>
      <c r="HK226" s="78"/>
    </row>
    <row r="227" spans="1:219" ht="15" customHeight="1">
      <c r="A227" s="99">
        <v>7</v>
      </c>
      <c r="B227" s="176" t="str">
        <f>VLOOKUP(Ruimtestaat[[#This Row],[Code]],Locaties[[Code]:[Locatie]],2,FALSE)</f>
        <v xml:space="preserve">OBS Molenbeek </v>
      </c>
      <c r="C227" s="176" t="str">
        <f>VLOOKUP(Ruimtestaat[[#This Row],[Code]],Locaties[[#All],[Code]:[Adres]],4,FALSE)</f>
        <v>Lammerinkweg 10</v>
      </c>
      <c r="D227" s="176" t="str">
        <f>VLOOKUP(Ruimtestaat[[#This Row],[Code]],Locaties[[#All],[Code]:[Postcode]],5,FALSE)</f>
        <v>7546 RD</v>
      </c>
      <c r="E227" s="176" t="str">
        <f>VLOOKUP(Ruimtestaat[[#This Row],[Code]],Locaties[#All],6,FALSE)</f>
        <v>Enschede</v>
      </c>
      <c r="F227" s="149"/>
      <c r="G227" s="149" t="s">
        <v>1646</v>
      </c>
      <c r="H227" s="99" t="s">
        <v>1662</v>
      </c>
      <c r="I227" s="183" t="s">
        <v>1681</v>
      </c>
      <c r="J227" s="99">
        <v>6</v>
      </c>
      <c r="K227" s="183" t="str">
        <f>VLOOKUP(Ruimtestaat[[#This Row],[Ruimte code]],Ruimtegroepen[[#All],[Code]:[Ruimte omschrijving]],2,FALSE)</f>
        <v>Gangen/hallen</v>
      </c>
      <c r="L227" s="149" t="s">
        <v>100</v>
      </c>
      <c r="M227" s="301" t="s">
        <v>1697</v>
      </c>
      <c r="N227" s="177">
        <v>113</v>
      </c>
      <c r="O227" s="177"/>
      <c r="P227" s="178" t="str">
        <f>VLOOKUP(Ruimtestaat[[#This Row],[Ruimte code]],Ruimtegroepen[],4,FALSE)</f>
        <v>Ve</v>
      </c>
      <c r="Q227" s="149">
        <v>40</v>
      </c>
      <c r="R227" s="149" t="s">
        <v>2</v>
      </c>
      <c r="S227" s="149">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7" s="149">
        <f>IF(S227&gt;0,VLOOKUP($J227,Ruimtegroepen[],3,FALSE)*VLOOKUP($L227,Vloersoorten[],3,FALSE)*VLOOKUP($R227,Frequenties[],3,FALSE)*VLOOKUP($A227,Locaties[],3,FALSE),0)</f>
        <v>0</v>
      </c>
      <c r="U227" s="149">
        <f>Ruimtestaat[[#This Row],[Uitvoeringen werkdagen]]*Ruimtestaat[[#This Row],[Oppervlak (netto)]]</f>
        <v>22600</v>
      </c>
      <c r="V227" s="179">
        <f>IF(T227&gt;0,Ruimtestaat[[#This Row],[Prest. (m2 /jaar) werkdagen]]/Ruimtestaat[[#This Row],[Norm (m2/uur) werkdagen]],0)</f>
        <v>0</v>
      </c>
      <c r="W227" s="180">
        <f>Ruimtestaat[[#This Row],[uren / jaar werkdagen]]*Tariefsopbouw!$E$35</f>
        <v>0</v>
      </c>
      <c r="X227" s="149"/>
      <c r="Y227" s="149">
        <f>IF(Ruimtestaat[[#This Row],[Frequentie weekend]]&gt;0,VALUE(LEFT(X227,1))*Q227,0)</f>
        <v>0</v>
      </c>
      <c r="Z227" s="148">
        <f>IF($Y227&gt;0,VLOOKUP($J227,Ruimtegroepen[],3,FALSE)*VLOOKUP($L227,Vloersoorten[],3,FALSE)*VLOOKUP($X227,Frequenties[],3,FALSE)*VLOOKUP(Ruimtestaat[[#This Row],[Code]],Locaties[],3,FALSE),0)</f>
        <v>0</v>
      </c>
      <c r="AA227" s="148">
        <f>Ruimtestaat[[#This Row],[Uitvoeringen weekend]]*Ruimtestaat[[#This Row],[Oppervlak (netto)]]</f>
        <v>0</v>
      </c>
      <c r="AB227" s="148">
        <f>IF(Z227&gt;0,Ruimtestaat[[#This Row],[Prest. (m2 /jaar) weekend]]/Ruimtestaat[[#This Row],[Norm (m2/uur) weekend]],0)</f>
        <v>0</v>
      </c>
      <c r="AC227" s="180">
        <f>Ruimtestaat[[#This Row],[uren / jaar weekend]]*Tariefsopbouw!$D$40</f>
        <v>0</v>
      </c>
      <c r="AD227" s="179">
        <f>Ruimtestaat[[#This Row],[Prest. (m2 /jaar) weekend]]+Ruimtestaat[[#This Row],[Prest. (m2 /jaar) werkdagen]]</f>
        <v>22600</v>
      </c>
      <c r="AE227" s="179">
        <f>Ruimtestaat[[#This Row],[uren / jaar weekend]]+Ruimtestaat[[#This Row],[uren / jaar werkdagen]]</f>
        <v>0</v>
      </c>
      <c r="AF227" s="174">
        <f>Ruimtestaat[[#This Row],[kosten / jaar weekend]]+Ruimtestaat[[#This Row],[kosten / jaar werkdagen]]</f>
        <v>0</v>
      </c>
      <c r="AG227" s="174"/>
      <c r="AH227" s="181" t="str">
        <f>IF(Ruimtestaat[[#This Row],[Frequentie werkdagen]]="","",_xlfn.CONCAT(Ruimtestaat[[#This Row],[Ruimte code]],"-",Ruimtestaat[[#This Row],[Frequentie werkdagen]]," ",Ruimtestaat[[#This Row],[Vloer code]]))</f>
        <v>6-5w L</v>
      </c>
      <c r="AI227" s="185" t="str">
        <f>_xlfn.IFNA(VLOOKUP($AH227,Programma!$F$3:$G$1101,2,0),"")</f>
        <v>_</v>
      </c>
      <c r="AJ227" s="185" t="str">
        <f>_xlfn.IFNA(VLOOKUP($AH227,Programma!$F$3:$H$1101,3,0),"")</f>
        <v>_</v>
      </c>
      <c r="AK227" s="185" t="str">
        <f>_xlfn.IFNA(VLOOKUP($AH227,Programma!$F$3:$I$1101,4,0),"")</f>
        <v>_</v>
      </c>
      <c r="AL227" s="185" t="str">
        <f>_xlfn.IFNA(VLOOKUP($AH227,Programma!$F$3:$J$1101,5,0),"")</f>
        <v>5w</v>
      </c>
      <c r="AM227" s="185" t="str">
        <f>_xlfn.IFNA(VLOOKUP($AH227,Programma!$F$3:$K$1101,6,0),"")</f>
        <v>_</v>
      </c>
      <c r="AN227" s="185" t="str">
        <f>_xlfn.IFNA(VLOOKUP($AH227,Programma!$F$3:$L$1101,7,0),"")</f>
        <v>_</v>
      </c>
      <c r="AO227" s="185" t="str">
        <f>_xlfn.IFNA(VLOOKUP($AH227,Programma!$F$3:$M$1101,8,0),"")</f>
        <v>_</v>
      </c>
      <c r="AP227" s="185" t="str">
        <f>_xlfn.IFNA(VLOOKUP($AH227,Programma!$F$3:$N$1101,9,0),"")</f>
        <v>_</v>
      </c>
      <c r="AQ227" s="185" t="str">
        <f>_xlfn.IFNA(VLOOKUP($AH227,Programma!$F$3:$O$1101,10,0),"")</f>
        <v>5w</v>
      </c>
      <c r="AR227" s="185" t="str">
        <f>_xlfn.IFNA(VLOOKUP($AH227,Programma!$F$3:$P$1101,11,0),"")</f>
        <v>5w</v>
      </c>
      <c r="AS227" s="185" t="str">
        <f>_xlfn.IFNA(VLOOKUP($AH227,Programma!$F$3:$Q$1101,12,0),"")</f>
        <v>1w</v>
      </c>
      <c r="AT227" s="185" t="str">
        <f>_xlfn.IFNA(VLOOKUP($AH227,Programma!$F$3:$R$1101,13,0),"")</f>
        <v>1w</v>
      </c>
      <c r="AU227" s="185" t="str">
        <f>_xlfn.IFNA(VLOOKUP($AH227,Programma!$F$3:$S$1101,14,0),"")</f>
        <v>1m</v>
      </c>
      <c r="AV227" s="185" t="str">
        <f>_xlfn.IFNA(VLOOKUP($AH227,Programma!$F$3:$T$1101,15,0),"")</f>
        <v>2j</v>
      </c>
      <c r="AW227" s="185" t="str">
        <f>_xlfn.IFNA(VLOOKUP($AH227,Programma!$F$3:$U$1101,16,0),"")</f>
        <v>1j</v>
      </c>
      <c r="AX227" s="185" t="str">
        <f>_xlfn.IFNA(VLOOKUP($AH227,Programma!$F$3:$V$1101,17,0),"")</f>
        <v>_</v>
      </c>
      <c r="AY227" s="185" t="str">
        <f>_xlfn.IFNA(VLOOKUP($AH227,Programma!$F$3:$W$1101,18,0),"")</f>
        <v>_</v>
      </c>
      <c r="AZ227" s="185" t="str">
        <f>_xlfn.IFNA(VLOOKUP($AH227,Programma!$F$3:$X$1101,19,0),"")</f>
        <v>_</v>
      </c>
      <c r="BA227" s="185" t="str">
        <f>_xlfn.IFNA(VLOOKUP($AH227,Programma!$F$3:$Y$1101,20,0),"")</f>
        <v>_</v>
      </c>
      <c r="BB227" s="182"/>
      <c r="BC227" s="181" t="str">
        <f>IF(Ruimtestaat[[#This Row],[Frequentie weekend]]="","",_xlfn.CONCAT(Ruimtestaat[[#This Row],[Ruimte code]],"-",Ruimtestaat[[#This Row],[Frequentie weekend]]," ",Ruimtestaat[[#This Row],[Vloer code]]))</f>
        <v/>
      </c>
      <c r="BD227" s="185" t="str">
        <f>_xlfn.IFNA(VLOOKUP($BC227,Programma!$F$3:$G$1101,2,0),"")</f>
        <v/>
      </c>
      <c r="BE227" s="185" t="str">
        <f>_xlfn.IFNA(VLOOKUP($BC227,Programma!$F$3:$H$1101,3,0),"")</f>
        <v/>
      </c>
      <c r="BF227" s="185" t="str">
        <f>_xlfn.IFNA(VLOOKUP($BC227,Programma!$F$3:$I$1101,4,0),"")</f>
        <v/>
      </c>
      <c r="BG227" s="185" t="str">
        <f>_xlfn.IFNA(VLOOKUP($BC227,Programma!$F$3:$J$1101,5,0),"")</f>
        <v/>
      </c>
      <c r="BH227" s="185" t="str">
        <f>_xlfn.IFNA(VLOOKUP($BC227,Programma!$F$3:$K$1101,6,0),"")</f>
        <v/>
      </c>
      <c r="BI227" s="185" t="str">
        <f>_xlfn.IFNA(VLOOKUP($BC227,Programma!$F$3:$L$1101,7,0),"")</f>
        <v/>
      </c>
      <c r="BJ227" s="185" t="str">
        <f>_xlfn.IFNA(VLOOKUP($BC227,Programma!$F$3:$M$1101,8,0),"")</f>
        <v/>
      </c>
      <c r="BK227" s="185" t="str">
        <f>_xlfn.IFNA(VLOOKUP($BC227,Programma!$F$3:$N$1101,9,0),"")</f>
        <v/>
      </c>
      <c r="BL227" s="185" t="str">
        <f>_xlfn.IFNA(VLOOKUP($BC227,Programma!$F$3:$O$1101,10,0),"")</f>
        <v/>
      </c>
      <c r="BM227" s="185" t="str">
        <f>_xlfn.IFNA(VLOOKUP($BC227,Programma!$F$3:$P$1101,11,0),"")</f>
        <v/>
      </c>
      <c r="BN227" s="185" t="str">
        <f>_xlfn.IFNA(VLOOKUP($BC227,Programma!$F$3:$Q$1101,12,0),"")</f>
        <v/>
      </c>
      <c r="BO227" s="185" t="str">
        <f>_xlfn.IFNA(VLOOKUP($BC227,Programma!$F$3:$R$1101,13,0),"")</f>
        <v/>
      </c>
      <c r="BP227" s="185" t="str">
        <f>_xlfn.IFNA(VLOOKUP($BC227,Programma!$F$3:$S$1101,14,0),"")</f>
        <v/>
      </c>
      <c r="BQ227" s="185" t="str">
        <f>_xlfn.IFNA(VLOOKUP($BC227,Programma!$F$3:$T$1101,15,0),"")</f>
        <v/>
      </c>
      <c r="BR227" s="185" t="str">
        <f>_xlfn.IFNA(VLOOKUP($BC227,Programma!$F$3:$U$1101,16,0),"")</f>
        <v/>
      </c>
      <c r="BS227" s="185" t="str">
        <f>_xlfn.IFNA(VLOOKUP($BC227,Programma!$F$3:$V$1101,17,0),"")</f>
        <v/>
      </c>
      <c r="BT227" s="185" t="str">
        <f>_xlfn.IFNA(VLOOKUP($BC227,Programma!$F$3:$W$1101,18,0),"")</f>
        <v/>
      </c>
      <c r="BU227" s="185" t="str">
        <f>_xlfn.IFNA(VLOOKUP($BC227,Programma!$F$3:$X$1101,19,0),"")</f>
        <v/>
      </c>
      <c r="BV227" s="185" t="str">
        <f>_xlfn.IFNA(VLOOKUP($BC227,Programma!$F$3:$Y$1101,20,0),"")</f>
        <v/>
      </c>
      <c r="BW227" s="78"/>
      <c r="BX227" s="78"/>
      <c r="BY227" s="78"/>
      <c r="BZ227" s="78"/>
      <c r="CA227" s="78"/>
      <c r="CB227" s="78"/>
      <c r="CC227" s="78"/>
      <c r="CD227" s="78"/>
      <c r="CE227" s="78"/>
      <c r="CF227" s="78"/>
      <c r="CG227" s="78"/>
      <c r="CH227" s="78"/>
      <c r="CI227" s="78"/>
      <c r="CJ227" s="78"/>
      <c r="CK227" s="78"/>
      <c r="CL227" s="78"/>
      <c r="CM227" s="78"/>
      <c r="CN227" s="78"/>
      <c r="CO227" s="78"/>
      <c r="CP227" s="78"/>
      <c r="CQ227" s="78"/>
      <c r="CR227" s="78"/>
      <c r="CS227" s="78"/>
      <c r="CT227" s="78"/>
      <c r="CU227" s="78"/>
      <c r="CV227" s="78"/>
      <c r="CW227" s="78"/>
      <c r="CX227" s="78"/>
      <c r="CY227" s="78"/>
      <c r="CZ227" s="78"/>
      <c r="DA227" s="78"/>
      <c r="DB227" s="78"/>
      <c r="DC227" s="78"/>
      <c r="DD227" s="78"/>
      <c r="DE227" s="78"/>
      <c r="DF227" s="78"/>
      <c r="DG227" s="78"/>
      <c r="DH227" s="78"/>
      <c r="DI227" s="78"/>
      <c r="DJ227" s="78"/>
      <c r="DK227" s="78"/>
      <c r="DL227" s="78"/>
      <c r="DM227" s="78"/>
      <c r="DN227" s="78"/>
      <c r="DO227" s="78"/>
      <c r="DP227" s="78"/>
      <c r="DQ227" s="78"/>
      <c r="DR227" s="78"/>
      <c r="DS227" s="78"/>
      <c r="DT227" s="78"/>
      <c r="DU227" s="78"/>
      <c r="DV227" s="78"/>
      <c r="DW227" s="78"/>
      <c r="DX227" s="78"/>
      <c r="DY227" s="78"/>
      <c r="DZ227" s="78"/>
      <c r="EA227" s="78"/>
      <c r="EB227" s="78"/>
      <c r="EC227" s="78"/>
      <c r="ED227" s="78"/>
      <c r="EE227" s="78"/>
      <c r="EF227" s="78"/>
      <c r="EG227" s="78"/>
      <c r="EH227" s="78"/>
      <c r="EI227" s="78"/>
      <c r="EJ227" s="78"/>
      <c r="EK227" s="78"/>
      <c r="EL227" s="78"/>
      <c r="EM227" s="78"/>
      <c r="EN227" s="78"/>
      <c r="EO227" s="78"/>
      <c r="EP227" s="78"/>
      <c r="EQ227" s="78"/>
      <c r="ER227" s="78"/>
      <c r="ES227" s="78"/>
      <c r="ET227" s="78"/>
      <c r="EU227" s="78"/>
      <c r="EV227" s="78"/>
      <c r="EW227" s="78"/>
      <c r="EX227" s="78"/>
      <c r="EY227" s="78"/>
      <c r="EZ227" s="78"/>
      <c r="FA227" s="78"/>
      <c r="FB227" s="78"/>
      <c r="FC227" s="78"/>
      <c r="FD227" s="78"/>
      <c r="FE227" s="78"/>
      <c r="FF227" s="78"/>
      <c r="FG227" s="78"/>
      <c r="FH227" s="78"/>
      <c r="FI227" s="78"/>
      <c r="FJ227" s="78"/>
      <c r="FK227" s="78"/>
      <c r="FL227" s="78"/>
      <c r="FM227" s="78"/>
      <c r="FN227" s="78"/>
      <c r="FO227" s="78"/>
      <c r="FP227" s="78"/>
      <c r="FQ227" s="78"/>
      <c r="FR227" s="78"/>
      <c r="FS227" s="78"/>
      <c r="FT227" s="78"/>
      <c r="FU227" s="78"/>
      <c r="FV227" s="78"/>
      <c r="FW227" s="78"/>
      <c r="FX227" s="78"/>
      <c r="FY227" s="78"/>
      <c r="FZ227" s="78"/>
      <c r="GA227" s="78"/>
      <c r="GB227" s="78"/>
      <c r="GC227" s="78"/>
      <c r="GD227" s="78"/>
      <c r="GE227" s="78"/>
      <c r="GF227" s="78"/>
      <c r="GG227" s="78"/>
      <c r="GH227" s="78"/>
      <c r="GI227" s="78"/>
      <c r="GJ227" s="78"/>
      <c r="GK227" s="78"/>
      <c r="GL227" s="78"/>
      <c r="GM227" s="78"/>
      <c r="GN227" s="78"/>
      <c r="GO227" s="78"/>
      <c r="GP227" s="78"/>
      <c r="GQ227" s="78"/>
      <c r="GR227" s="78"/>
      <c r="GS227" s="78"/>
      <c r="GT227" s="78"/>
      <c r="GU227" s="78"/>
      <c r="GV227" s="78"/>
      <c r="GW227" s="78"/>
      <c r="GX227" s="78"/>
      <c r="GY227" s="78"/>
      <c r="GZ227" s="78"/>
      <c r="HA227" s="78"/>
      <c r="HB227" s="78"/>
      <c r="HC227" s="78"/>
      <c r="HD227" s="78"/>
      <c r="HE227" s="78"/>
      <c r="HF227" s="78"/>
      <c r="HG227" s="78"/>
      <c r="HH227" s="78"/>
      <c r="HI227" s="78"/>
      <c r="HJ227" s="78"/>
      <c r="HK227" s="78"/>
    </row>
    <row r="228" spans="1:219" ht="15" customHeight="1">
      <c r="A228" s="99">
        <v>8</v>
      </c>
      <c r="B228" s="176" t="str">
        <f>VLOOKUP(Ruimtestaat[[#This Row],[Code]],Locaties[[Code]:[Locatie]],2,FALSE)</f>
        <v>OBS Roombeek</v>
      </c>
      <c r="C228" s="176" t="str">
        <f>VLOOKUP(Ruimtestaat[[#This Row],[Code]],Locaties[[#All],[Code]:[Adres]],4,FALSE)</f>
        <v>Bosuilstraat 3</v>
      </c>
      <c r="D228" s="176" t="str">
        <f>VLOOKUP(Ruimtestaat[[#This Row],[Code]],Locaties[[#All],[Code]:[Postcode]],5,FALSE)</f>
        <v>7523 BJ</v>
      </c>
      <c r="E228" s="176" t="str">
        <f>VLOOKUP(Ruimtestaat[[#This Row],[Code]],Locaties[#All],6,FALSE)</f>
        <v>Enschede</v>
      </c>
      <c r="F228" s="149"/>
      <c r="G228" s="149"/>
      <c r="H228" s="99" t="s">
        <v>1767</v>
      </c>
      <c r="I228" s="183" t="s">
        <v>1690</v>
      </c>
      <c r="J228" s="99">
        <v>18</v>
      </c>
      <c r="K228" s="183" t="str">
        <f>VLOOKUP(Ruimtestaat[[#This Row],[Ruimte code]],Ruimtegroepen[[#All],[Code]:[Ruimte omschrijving]],2,FALSE)</f>
        <v>Gymzaal</v>
      </c>
      <c r="L228" s="149" t="s">
        <v>100</v>
      </c>
      <c r="M228" s="301" t="s">
        <v>1697</v>
      </c>
      <c r="N228" s="177">
        <v>85.9</v>
      </c>
      <c r="O228" s="177"/>
      <c r="P228" s="178" t="str">
        <f>VLOOKUP(Ruimtestaat[[#This Row],[Ruimte code]],Ruimtegroepen[],4,FALSE)</f>
        <v>Sp</v>
      </c>
      <c r="Q228" s="149">
        <v>40</v>
      </c>
      <c r="R228" s="149" t="s">
        <v>2</v>
      </c>
      <c r="S228" s="149">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8" s="149">
        <f>IF(S228&gt;0,VLOOKUP($J228,Ruimtegroepen[],3,FALSE)*VLOOKUP($L228,Vloersoorten[],3,FALSE)*VLOOKUP($R228,Frequenties[],3,FALSE)*VLOOKUP($A228,Locaties[],3,FALSE),0)</f>
        <v>0</v>
      </c>
      <c r="U228" s="149">
        <f>Ruimtestaat[[#This Row],[Uitvoeringen werkdagen]]*Ruimtestaat[[#This Row],[Oppervlak (netto)]]</f>
        <v>17180</v>
      </c>
      <c r="V228" s="179">
        <f>IF(T228&gt;0,Ruimtestaat[[#This Row],[Prest. (m2 /jaar) werkdagen]]/Ruimtestaat[[#This Row],[Norm (m2/uur) werkdagen]],0)</f>
        <v>0</v>
      </c>
      <c r="W228" s="180">
        <f>Ruimtestaat[[#This Row],[uren / jaar werkdagen]]*Tariefsopbouw!$E$35</f>
        <v>0</v>
      </c>
      <c r="X228" s="149"/>
      <c r="Y228" s="149">
        <f>IF(Ruimtestaat[[#This Row],[Frequentie weekend]]&gt;0,VALUE(LEFT(X228,1))*Q228,0)</f>
        <v>0</v>
      </c>
      <c r="Z228" s="148">
        <f>IF($Y228&gt;0,VLOOKUP($J228,Ruimtegroepen[],3,FALSE)*VLOOKUP($L228,Vloersoorten[],3,FALSE)*VLOOKUP($X228,Frequenties[],3,FALSE)*VLOOKUP(Ruimtestaat[[#This Row],[Code]],Locaties[],3,FALSE),0)</f>
        <v>0</v>
      </c>
      <c r="AA228" s="148">
        <f>Ruimtestaat[[#This Row],[Uitvoeringen weekend]]*Ruimtestaat[[#This Row],[Oppervlak (netto)]]</f>
        <v>0</v>
      </c>
      <c r="AB228" s="148">
        <f>IF(Z228&gt;0,Ruimtestaat[[#This Row],[Prest. (m2 /jaar) weekend]]/Ruimtestaat[[#This Row],[Norm (m2/uur) weekend]],0)</f>
        <v>0</v>
      </c>
      <c r="AC228" s="180">
        <f>Ruimtestaat[[#This Row],[uren / jaar weekend]]*Tariefsopbouw!$D$40</f>
        <v>0</v>
      </c>
      <c r="AD228" s="179">
        <f>Ruimtestaat[[#This Row],[Prest. (m2 /jaar) weekend]]+Ruimtestaat[[#This Row],[Prest. (m2 /jaar) werkdagen]]</f>
        <v>17180</v>
      </c>
      <c r="AE228" s="179">
        <f>Ruimtestaat[[#This Row],[uren / jaar weekend]]+Ruimtestaat[[#This Row],[uren / jaar werkdagen]]</f>
        <v>0</v>
      </c>
      <c r="AF228" s="174">
        <f>Ruimtestaat[[#This Row],[kosten / jaar weekend]]+Ruimtestaat[[#This Row],[kosten / jaar werkdagen]]</f>
        <v>0</v>
      </c>
      <c r="AG228" s="174"/>
      <c r="AH228" s="181" t="str">
        <f>IF(Ruimtestaat[[#This Row],[Frequentie werkdagen]]="","",_xlfn.CONCAT(Ruimtestaat[[#This Row],[Ruimte code]],"-",Ruimtestaat[[#This Row],[Frequentie werkdagen]]," ",Ruimtestaat[[#This Row],[Vloer code]]))</f>
        <v>18-5w L</v>
      </c>
      <c r="AI228" s="185" t="str">
        <f>_xlfn.IFNA(VLOOKUP($AH228,Programma!$F$3:$G$1101,2,0),"")</f>
        <v>_</v>
      </c>
      <c r="AJ228" s="185" t="str">
        <f>_xlfn.IFNA(VLOOKUP($AH228,Programma!$F$3:$H$1101,3,0),"")</f>
        <v>_</v>
      </c>
      <c r="AK228" s="185" t="str">
        <f>_xlfn.IFNA(VLOOKUP($AH228,Programma!$F$3:$I$1101,4,0),"")</f>
        <v>4w</v>
      </c>
      <c r="AL228" s="185" t="str">
        <f>_xlfn.IFNA(VLOOKUP($AH228,Programma!$F$3:$J$1101,5,0),"")</f>
        <v>1w</v>
      </c>
      <c r="AM228" s="185" t="str">
        <f>_xlfn.IFNA(VLOOKUP($AH228,Programma!$F$3:$K$1101,6,0),"")</f>
        <v>_</v>
      </c>
      <c r="AN228" s="185" t="str">
        <f>_xlfn.IFNA(VLOOKUP($AH228,Programma!$F$3:$L$1101,7,0),"")</f>
        <v>_</v>
      </c>
      <c r="AO228" s="185" t="str">
        <f>_xlfn.IFNA(VLOOKUP($AH228,Programma!$F$3:$M$1101,8,0),"")</f>
        <v>_</v>
      </c>
      <c r="AP228" s="185" t="str">
        <f>_xlfn.IFNA(VLOOKUP($AH228,Programma!$F$3:$N$1101,9,0),"")</f>
        <v>_</v>
      </c>
      <c r="AQ228" s="185" t="str">
        <f>_xlfn.IFNA(VLOOKUP($AH228,Programma!$F$3:$O$1101,10,0),"")</f>
        <v>5w</v>
      </c>
      <c r="AR228" s="185" t="str">
        <f>_xlfn.IFNA(VLOOKUP($AH228,Programma!$F$3:$P$1101,11,0),"")</f>
        <v>5w</v>
      </c>
      <c r="AS228" s="185" t="str">
        <f>_xlfn.IFNA(VLOOKUP($AH228,Programma!$F$3:$Q$1101,12,0),"")</f>
        <v>5w</v>
      </c>
      <c r="AT228" s="185" t="str">
        <f>_xlfn.IFNA(VLOOKUP($AH228,Programma!$F$3:$R$1101,13,0),"")</f>
        <v>5w</v>
      </c>
      <c r="AU228" s="185" t="str">
        <f>_xlfn.IFNA(VLOOKUP($AH228,Programma!$F$3:$S$1101,14,0),"")</f>
        <v>1m</v>
      </c>
      <c r="AV228" s="185" t="str">
        <f>_xlfn.IFNA(VLOOKUP($AH228,Programma!$F$3:$T$1101,15,0),"")</f>
        <v>2j</v>
      </c>
      <c r="AW228" s="185" t="str">
        <f>_xlfn.IFNA(VLOOKUP($AH228,Programma!$F$3:$U$1101,16,0),"")</f>
        <v>1j</v>
      </c>
      <c r="AX228" s="185" t="str">
        <f>_xlfn.IFNA(VLOOKUP($AH228,Programma!$F$3:$V$1101,17,0),"")</f>
        <v>_</v>
      </c>
      <c r="AY228" s="185" t="str">
        <f>_xlfn.IFNA(VLOOKUP($AH228,Programma!$F$3:$W$1101,18,0),"")</f>
        <v>_</v>
      </c>
      <c r="AZ228" s="185" t="str">
        <f>_xlfn.IFNA(VLOOKUP($AH228,Programma!$F$3:$X$1101,19,0),"")</f>
        <v>_</v>
      </c>
      <c r="BA228" s="185" t="str">
        <f>_xlfn.IFNA(VLOOKUP($AH228,Programma!$F$3:$Y$1101,20,0),"")</f>
        <v>_</v>
      </c>
      <c r="BB228" s="182"/>
      <c r="BC228" s="181" t="str">
        <f>IF(Ruimtestaat[[#This Row],[Frequentie weekend]]="","",_xlfn.CONCAT(Ruimtestaat[[#This Row],[Ruimte code]],"-",Ruimtestaat[[#This Row],[Frequentie weekend]]," ",Ruimtestaat[[#This Row],[Vloer code]]))</f>
        <v/>
      </c>
      <c r="BD228" s="185" t="str">
        <f>_xlfn.IFNA(VLOOKUP($BC228,Programma!$F$3:$G$1101,2,0),"")</f>
        <v/>
      </c>
      <c r="BE228" s="185" t="str">
        <f>_xlfn.IFNA(VLOOKUP($BC228,Programma!$F$3:$H$1101,3,0),"")</f>
        <v/>
      </c>
      <c r="BF228" s="185" t="str">
        <f>_xlfn.IFNA(VLOOKUP($BC228,Programma!$F$3:$I$1101,4,0),"")</f>
        <v/>
      </c>
      <c r="BG228" s="185" t="str">
        <f>_xlfn.IFNA(VLOOKUP($BC228,Programma!$F$3:$J$1101,5,0),"")</f>
        <v/>
      </c>
      <c r="BH228" s="185" t="str">
        <f>_xlfn.IFNA(VLOOKUP($BC228,Programma!$F$3:$K$1101,6,0),"")</f>
        <v/>
      </c>
      <c r="BI228" s="185" t="str">
        <f>_xlfn.IFNA(VLOOKUP($BC228,Programma!$F$3:$L$1101,7,0),"")</f>
        <v/>
      </c>
      <c r="BJ228" s="185" t="str">
        <f>_xlfn.IFNA(VLOOKUP($BC228,Programma!$F$3:$M$1101,8,0),"")</f>
        <v/>
      </c>
      <c r="BK228" s="185" t="str">
        <f>_xlfn.IFNA(VLOOKUP($BC228,Programma!$F$3:$N$1101,9,0),"")</f>
        <v/>
      </c>
      <c r="BL228" s="185" t="str">
        <f>_xlfn.IFNA(VLOOKUP($BC228,Programma!$F$3:$O$1101,10,0),"")</f>
        <v/>
      </c>
      <c r="BM228" s="185" t="str">
        <f>_xlfn.IFNA(VLOOKUP($BC228,Programma!$F$3:$P$1101,11,0),"")</f>
        <v/>
      </c>
      <c r="BN228" s="185" t="str">
        <f>_xlfn.IFNA(VLOOKUP($BC228,Programma!$F$3:$Q$1101,12,0),"")</f>
        <v/>
      </c>
      <c r="BO228" s="185" t="str">
        <f>_xlfn.IFNA(VLOOKUP($BC228,Programma!$F$3:$R$1101,13,0),"")</f>
        <v/>
      </c>
      <c r="BP228" s="185" t="str">
        <f>_xlfn.IFNA(VLOOKUP($BC228,Programma!$F$3:$S$1101,14,0),"")</f>
        <v/>
      </c>
      <c r="BQ228" s="185" t="str">
        <f>_xlfn.IFNA(VLOOKUP($BC228,Programma!$F$3:$T$1101,15,0),"")</f>
        <v/>
      </c>
      <c r="BR228" s="185" t="str">
        <f>_xlfn.IFNA(VLOOKUP($BC228,Programma!$F$3:$U$1101,16,0),"")</f>
        <v/>
      </c>
      <c r="BS228" s="185" t="str">
        <f>_xlfn.IFNA(VLOOKUP($BC228,Programma!$F$3:$V$1101,17,0),"")</f>
        <v/>
      </c>
      <c r="BT228" s="185" t="str">
        <f>_xlfn.IFNA(VLOOKUP($BC228,Programma!$F$3:$W$1101,18,0),"")</f>
        <v/>
      </c>
      <c r="BU228" s="185" t="str">
        <f>_xlfn.IFNA(VLOOKUP($BC228,Programma!$F$3:$X$1101,19,0),"")</f>
        <v/>
      </c>
      <c r="BV228" s="185" t="str">
        <f>_xlfn.IFNA(VLOOKUP($BC228,Programma!$F$3:$Y$1101,20,0),"")</f>
        <v/>
      </c>
      <c r="BW228" s="78"/>
      <c r="BX228" s="78"/>
      <c r="BY228" s="78"/>
      <c r="BZ228" s="78"/>
      <c r="CA228" s="78"/>
      <c r="CB228" s="78"/>
      <c r="CC228" s="78"/>
      <c r="CD228" s="78"/>
      <c r="CE228" s="78"/>
      <c r="CF228" s="78"/>
      <c r="CG228" s="78"/>
      <c r="CH228" s="78"/>
      <c r="CI228" s="78"/>
      <c r="CJ228" s="78"/>
      <c r="CK228" s="78"/>
      <c r="CL228" s="78"/>
      <c r="CM228" s="78"/>
      <c r="CN228" s="78"/>
      <c r="CO228" s="78"/>
      <c r="CP228" s="78"/>
      <c r="CQ228" s="78"/>
      <c r="CR228" s="78"/>
      <c r="CS228" s="78"/>
      <c r="CT228" s="78"/>
      <c r="CU228" s="78"/>
      <c r="CV228" s="78"/>
      <c r="CW228" s="78"/>
      <c r="CX228" s="78"/>
      <c r="CY228" s="78"/>
      <c r="CZ228" s="78"/>
      <c r="DA228" s="78"/>
      <c r="DB228" s="78"/>
      <c r="DC228" s="78"/>
      <c r="DD228" s="78"/>
      <c r="DE228" s="78"/>
      <c r="DF228" s="78"/>
      <c r="DG228" s="78"/>
      <c r="DH228" s="78"/>
      <c r="DI228" s="78"/>
      <c r="DJ228" s="78"/>
      <c r="DK228" s="78"/>
      <c r="DL228" s="78"/>
      <c r="DM228" s="78"/>
      <c r="DN228" s="78"/>
      <c r="DO228" s="78"/>
      <c r="DP228" s="78"/>
      <c r="DQ228" s="78"/>
      <c r="DR228" s="78"/>
      <c r="DS228" s="78"/>
      <c r="DT228" s="78"/>
      <c r="DU228" s="78"/>
      <c r="DV228" s="78"/>
      <c r="DW228" s="78"/>
      <c r="DX228" s="78"/>
      <c r="DY228" s="78"/>
      <c r="DZ228" s="78"/>
      <c r="EA228" s="78"/>
      <c r="EB228" s="78"/>
      <c r="EC228" s="78"/>
      <c r="ED228" s="78"/>
      <c r="EE228" s="78"/>
      <c r="EF228" s="78"/>
      <c r="EG228" s="78"/>
      <c r="EH228" s="78"/>
      <c r="EI228" s="78"/>
      <c r="EJ228" s="78"/>
      <c r="EK228" s="78"/>
      <c r="EL228" s="78"/>
      <c r="EM228" s="78"/>
      <c r="EN228" s="78"/>
      <c r="EO228" s="78"/>
      <c r="EP228" s="78"/>
      <c r="EQ228" s="78"/>
      <c r="ER228" s="78"/>
      <c r="ES228" s="78"/>
      <c r="ET228" s="78"/>
      <c r="EU228" s="78"/>
      <c r="EV228" s="78"/>
      <c r="EW228" s="78"/>
      <c r="EX228" s="78"/>
      <c r="EY228" s="78"/>
      <c r="EZ228" s="78"/>
      <c r="FA228" s="78"/>
      <c r="FB228" s="78"/>
      <c r="FC228" s="78"/>
      <c r="FD228" s="78"/>
      <c r="FE228" s="78"/>
      <c r="FF228" s="78"/>
      <c r="FG228" s="78"/>
      <c r="FH228" s="78"/>
      <c r="FI228" s="78"/>
      <c r="FJ228" s="78"/>
      <c r="FK228" s="78"/>
      <c r="FL228" s="78"/>
      <c r="FM228" s="78"/>
      <c r="FN228" s="78"/>
      <c r="FO228" s="78"/>
      <c r="FP228" s="78"/>
      <c r="FQ228" s="78"/>
      <c r="FR228" s="78"/>
      <c r="FS228" s="78"/>
      <c r="FT228" s="78"/>
      <c r="FU228" s="78"/>
      <c r="FV228" s="78"/>
      <c r="FW228" s="78"/>
      <c r="FX228" s="78"/>
      <c r="FY228" s="78"/>
      <c r="FZ228" s="78"/>
      <c r="GA228" s="78"/>
      <c r="GB228" s="78"/>
      <c r="GC228" s="78"/>
      <c r="GD228" s="78"/>
      <c r="GE228" s="78"/>
      <c r="GF228" s="78"/>
      <c r="GG228" s="78"/>
      <c r="GH228" s="78"/>
      <c r="GI228" s="78"/>
      <c r="GJ228" s="78"/>
      <c r="GK228" s="78"/>
      <c r="GL228" s="78"/>
      <c r="GM228" s="78"/>
      <c r="GN228" s="78"/>
      <c r="GO228" s="78"/>
      <c r="GP228" s="78"/>
      <c r="GQ228" s="78"/>
      <c r="GR228" s="78"/>
      <c r="GS228" s="78"/>
      <c r="GT228" s="78"/>
      <c r="GU228" s="78"/>
      <c r="GV228" s="78"/>
      <c r="GW228" s="78"/>
      <c r="GX228" s="78"/>
      <c r="GY228" s="78"/>
      <c r="GZ228" s="78"/>
      <c r="HA228" s="78"/>
      <c r="HB228" s="78"/>
      <c r="HC228" s="78"/>
      <c r="HD228" s="78"/>
      <c r="HE228" s="78"/>
      <c r="HF228" s="78"/>
      <c r="HG228" s="78"/>
      <c r="HH228" s="78"/>
      <c r="HI228" s="78"/>
      <c r="HJ228" s="78"/>
      <c r="HK228" s="78"/>
    </row>
    <row r="229" spans="1:219" ht="15" customHeight="1">
      <c r="A229" s="99">
        <v>8</v>
      </c>
      <c r="B229" s="176" t="str">
        <f>VLOOKUP(Ruimtestaat[[#This Row],[Code]],Locaties[[Code]:[Locatie]],2,FALSE)</f>
        <v>OBS Roombeek</v>
      </c>
      <c r="C229" s="176" t="str">
        <f>VLOOKUP(Ruimtestaat[[#This Row],[Code]],Locaties[[#All],[Code]:[Adres]],4,FALSE)</f>
        <v>Bosuilstraat 3</v>
      </c>
      <c r="D229" s="176" t="str">
        <f>VLOOKUP(Ruimtestaat[[#This Row],[Code]],Locaties[[#All],[Code]:[Postcode]],5,FALSE)</f>
        <v>7523 BJ</v>
      </c>
      <c r="E229" s="176" t="str">
        <f>VLOOKUP(Ruimtestaat[[#This Row],[Code]],Locaties[#All],6,FALSE)</f>
        <v>Enschede</v>
      </c>
      <c r="F229" s="149"/>
      <c r="G229" s="149"/>
      <c r="H229" s="99" t="s">
        <v>1768</v>
      </c>
      <c r="I229" s="183" t="s">
        <v>1684</v>
      </c>
      <c r="J229" s="99">
        <v>5</v>
      </c>
      <c r="K229" s="183" t="str">
        <f>VLOOKUP(Ruimtestaat[[#This Row],[Ruimte code]],Ruimtegroepen[[#All],[Code]:[Ruimte omschrijving]],2,FALSE)</f>
        <v>Sanitair</v>
      </c>
      <c r="L229" s="149" t="s">
        <v>101</v>
      </c>
      <c r="M229" s="301" t="s">
        <v>119</v>
      </c>
      <c r="N229" s="177">
        <v>3.7</v>
      </c>
      <c r="O229" s="177"/>
      <c r="P229" s="178" t="str">
        <f>VLOOKUP(Ruimtestaat[[#This Row],[Ruimte code]],Ruimtegroepen[],4,FALSE)</f>
        <v>Sa</v>
      </c>
      <c r="Q229" s="149">
        <v>40</v>
      </c>
      <c r="R229" s="149" t="s">
        <v>2</v>
      </c>
      <c r="S229" s="149">
        <f>IF(Q229&gt;0,IF(RIGHT(Ruimtestaat[[#This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9" s="149">
        <f>IF(S229&gt;0,VLOOKUP($J229,Ruimtegroepen[],3,FALSE)*VLOOKUP($L229,Vloersoorten[],3,FALSE)*VLOOKUP($R229,Frequenties[],3,FALSE)*VLOOKUP($A229,Locaties[],3,FALSE),0)</f>
        <v>0</v>
      </c>
      <c r="U229" s="149">
        <f>Ruimtestaat[[#This Row],[Uitvoeringen werkdagen]]*Ruimtestaat[[#This Row],[Oppervlak (netto)]]</f>
        <v>740</v>
      </c>
      <c r="V229" s="179">
        <f>IF(T229&gt;0,Ruimtestaat[[#This Row],[Prest. (m2 /jaar) werkdagen]]/Ruimtestaat[[#This Row],[Norm (m2/uur) werkdagen]],0)</f>
        <v>0</v>
      </c>
      <c r="W229" s="180">
        <f>Ruimtestaat[[#This Row],[uren / jaar werkdagen]]*Tariefsopbouw!$E$35</f>
        <v>0</v>
      </c>
      <c r="X229" s="149"/>
      <c r="Y229" s="149">
        <f>IF(Ruimtestaat[[#This Row],[Frequentie weekend]]&gt;0,VALUE(LEFT(X229,1))*Q229,0)</f>
        <v>0</v>
      </c>
      <c r="Z229" s="148">
        <f>IF($Y229&gt;0,VLOOKUP($J229,Ruimtegroepen[],3,FALSE)*VLOOKUP($L229,Vloersoorten[],3,FALSE)*VLOOKUP($X229,Frequenties[],3,FALSE)*VLOOKUP(Ruimtestaat[[#This Row],[Code]],Locaties[],3,FALSE),0)</f>
        <v>0</v>
      </c>
      <c r="AA229" s="148">
        <f>Ruimtestaat[[#This Row],[Uitvoeringen weekend]]*Ruimtestaat[[#This Row],[Oppervlak (netto)]]</f>
        <v>0</v>
      </c>
      <c r="AB229" s="148">
        <f>IF(Z229&gt;0,Ruimtestaat[[#This Row],[Prest. (m2 /jaar) weekend]]/Ruimtestaat[[#This Row],[Norm (m2/uur) weekend]],0)</f>
        <v>0</v>
      </c>
      <c r="AC229" s="180">
        <f>Ruimtestaat[[#This Row],[uren / jaar weekend]]*Tariefsopbouw!$D$40</f>
        <v>0</v>
      </c>
      <c r="AD229" s="179">
        <f>Ruimtestaat[[#This Row],[Prest. (m2 /jaar) weekend]]+Ruimtestaat[[#This Row],[Prest. (m2 /jaar) werkdagen]]</f>
        <v>740</v>
      </c>
      <c r="AE229" s="179">
        <f>Ruimtestaat[[#This Row],[uren / jaar weekend]]+Ruimtestaat[[#This Row],[uren / jaar werkdagen]]</f>
        <v>0</v>
      </c>
      <c r="AF229" s="174">
        <f>Ruimtestaat[[#This Row],[kosten / jaar weekend]]+Ruimtestaat[[#This Row],[kosten / jaar werkdagen]]</f>
        <v>0</v>
      </c>
      <c r="AG229" s="174"/>
      <c r="AH229" s="181" t="str">
        <f>IF(Ruimtestaat[[#This Row],[Frequentie werkdagen]]="","",_xlfn.CONCAT(Ruimtestaat[[#This Row],[Ruimte code]],"-",Ruimtestaat[[#This Row],[Frequentie werkdagen]]," ",Ruimtestaat[[#This Row],[Vloer code]]))</f>
        <v>5-5w S</v>
      </c>
      <c r="AI229" s="185" t="str">
        <f>_xlfn.IFNA(VLOOKUP($AH229,Programma!$F$3:$G$1101,2,0),"")</f>
        <v>_</v>
      </c>
      <c r="AJ229" s="185" t="str">
        <f>_xlfn.IFNA(VLOOKUP($AH229,Programma!$F$3:$H$1101,3,0),"")</f>
        <v>_</v>
      </c>
      <c r="AK229" s="185" t="str">
        <f>_xlfn.IFNA(VLOOKUP($AH229,Programma!$F$3:$I$1101,4,0),"")</f>
        <v>_</v>
      </c>
      <c r="AL229" s="185" t="str">
        <f>_xlfn.IFNA(VLOOKUP($AH229,Programma!$F$3:$J$1101,5,0),"")</f>
        <v>4w</v>
      </c>
      <c r="AM229" s="185" t="str">
        <f>_xlfn.IFNA(VLOOKUP($AH229,Programma!$F$3:$K$1101,6,0),"")</f>
        <v>1w</v>
      </c>
      <c r="AN229" s="185" t="str">
        <f>_xlfn.IFNA(VLOOKUP($AH229,Programma!$F$3:$L$1101,7,0),"")</f>
        <v>_</v>
      </c>
      <c r="AO229" s="185" t="str">
        <f>_xlfn.IFNA(VLOOKUP($AH229,Programma!$F$3:$M$1101,8,0),"")</f>
        <v>_</v>
      </c>
      <c r="AP229" s="185" t="str">
        <f>_xlfn.IFNA(VLOOKUP($AH229,Programma!$F$3:$N$1101,9,0),"")</f>
        <v>_</v>
      </c>
      <c r="AQ229" s="185" t="str">
        <f>_xlfn.IFNA(VLOOKUP($AH229,Programma!$F$3:$O$1101,10,0),"")</f>
        <v>_</v>
      </c>
      <c r="AR229" s="185" t="str">
        <f>_xlfn.IFNA(VLOOKUP($AH229,Programma!$F$3:$P$1101,11,0),"")</f>
        <v>_</v>
      </c>
      <c r="AS229" s="185" t="str">
        <f>_xlfn.IFNA(VLOOKUP($AH229,Programma!$F$3:$Q$1101,12,0),"")</f>
        <v>_</v>
      </c>
      <c r="AT229" s="185" t="str">
        <f>_xlfn.IFNA(VLOOKUP($AH229,Programma!$F$3:$R$1101,13,0),"")</f>
        <v>_</v>
      </c>
      <c r="AU229" s="185" t="str">
        <f>_xlfn.IFNA(VLOOKUP($AH229,Programma!$F$3:$S$1101,14,0),"")</f>
        <v>_</v>
      </c>
      <c r="AV229" s="185" t="str">
        <f>_xlfn.IFNA(VLOOKUP($AH229,Programma!$F$3:$T$1101,15,0),"")</f>
        <v>_</v>
      </c>
      <c r="AW229" s="185" t="str">
        <f>_xlfn.IFNA(VLOOKUP($AH229,Programma!$F$3:$U$1101,16,0),"")</f>
        <v>_</v>
      </c>
      <c r="AX229" s="185" t="str">
        <f>_xlfn.IFNA(VLOOKUP($AH229,Programma!$F$3:$V$1101,17,0),"")</f>
        <v>_</v>
      </c>
      <c r="AY229" s="185" t="str">
        <f>_xlfn.IFNA(VLOOKUP($AH229,Programma!$F$3:$W$1101,18,0),"")</f>
        <v>4w</v>
      </c>
      <c r="AZ229" s="185" t="str">
        <f>_xlfn.IFNA(VLOOKUP($AH229,Programma!$F$3:$X$1101,19,0),"")</f>
        <v>1w</v>
      </c>
      <c r="BA229" s="185" t="str">
        <f>_xlfn.IFNA(VLOOKUP($AH229,Programma!$F$3:$Y$1101,20,0),"")</f>
        <v>_</v>
      </c>
      <c r="BB229" s="182"/>
      <c r="BC229" s="181" t="str">
        <f>IF(Ruimtestaat[[#This Row],[Frequentie weekend]]="","",_xlfn.CONCAT(Ruimtestaat[[#This Row],[Ruimte code]],"-",Ruimtestaat[[#This Row],[Frequentie weekend]]," ",Ruimtestaat[[#This Row],[Vloer code]]))</f>
        <v/>
      </c>
      <c r="BD229" s="185" t="str">
        <f>_xlfn.IFNA(VLOOKUP($BC229,Programma!$F$3:$G$1101,2,0),"")</f>
        <v/>
      </c>
      <c r="BE229" s="185" t="str">
        <f>_xlfn.IFNA(VLOOKUP($BC229,Programma!$F$3:$H$1101,3,0),"")</f>
        <v/>
      </c>
      <c r="BF229" s="185" t="str">
        <f>_xlfn.IFNA(VLOOKUP($BC229,Programma!$F$3:$I$1101,4,0),"")</f>
        <v/>
      </c>
      <c r="BG229" s="185" t="str">
        <f>_xlfn.IFNA(VLOOKUP($BC229,Programma!$F$3:$J$1101,5,0),"")</f>
        <v/>
      </c>
      <c r="BH229" s="185" t="str">
        <f>_xlfn.IFNA(VLOOKUP($BC229,Programma!$F$3:$K$1101,6,0),"")</f>
        <v/>
      </c>
      <c r="BI229" s="185" t="str">
        <f>_xlfn.IFNA(VLOOKUP($BC229,Programma!$F$3:$L$1101,7,0),"")</f>
        <v/>
      </c>
      <c r="BJ229" s="185" t="str">
        <f>_xlfn.IFNA(VLOOKUP($BC229,Programma!$F$3:$M$1101,8,0),"")</f>
        <v/>
      </c>
      <c r="BK229" s="185" t="str">
        <f>_xlfn.IFNA(VLOOKUP($BC229,Programma!$F$3:$N$1101,9,0),"")</f>
        <v/>
      </c>
      <c r="BL229" s="185" t="str">
        <f>_xlfn.IFNA(VLOOKUP($BC229,Programma!$F$3:$O$1101,10,0),"")</f>
        <v/>
      </c>
      <c r="BM229" s="185" t="str">
        <f>_xlfn.IFNA(VLOOKUP($BC229,Programma!$F$3:$P$1101,11,0),"")</f>
        <v/>
      </c>
      <c r="BN229" s="185" t="str">
        <f>_xlfn.IFNA(VLOOKUP($BC229,Programma!$F$3:$Q$1101,12,0),"")</f>
        <v/>
      </c>
      <c r="BO229" s="185" t="str">
        <f>_xlfn.IFNA(VLOOKUP($BC229,Programma!$F$3:$R$1101,13,0),"")</f>
        <v/>
      </c>
      <c r="BP229" s="185" t="str">
        <f>_xlfn.IFNA(VLOOKUP($BC229,Programma!$F$3:$S$1101,14,0),"")</f>
        <v/>
      </c>
      <c r="BQ229" s="185" t="str">
        <f>_xlfn.IFNA(VLOOKUP($BC229,Programma!$F$3:$T$1101,15,0),"")</f>
        <v/>
      </c>
      <c r="BR229" s="185" t="str">
        <f>_xlfn.IFNA(VLOOKUP($BC229,Programma!$F$3:$U$1101,16,0),"")</f>
        <v/>
      </c>
      <c r="BS229" s="185" t="str">
        <f>_xlfn.IFNA(VLOOKUP($BC229,Programma!$F$3:$V$1101,17,0),"")</f>
        <v/>
      </c>
      <c r="BT229" s="185" t="str">
        <f>_xlfn.IFNA(VLOOKUP($BC229,Programma!$F$3:$W$1101,18,0),"")</f>
        <v/>
      </c>
      <c r="BU229" s="185" t="str">
        <f>_xlfn.IFNA(VLOOKUP($BC229,Programma!$F$3:$X$1101,19,0),"")</f>
        <v/>
      </c>
      <c r="BV229" s="185" t="str">
        <f>_xlfn.IFNA(VLOOKUP($BC229,Programma!$F$3:$Y$1101,20,0),"")</f>
        <v/>
      </c>
      <c r="BW229" s="78"/>
      <c r="BX229" s="78"/>
      <c r="BY229" s="78"/>
      <c r="BZ229" s="78"/>
      <c r="CA229" s="78"/>
      <c r="CB229" s="78"/>
      <c r="CC229" s="78"/>
      <c r="CD229" s="78"/>
      <c r="CE229" s="78"/>
      <c r="CF229" s="78"/>
      <c r="CG229" s="78"/>
      <c r="CH229" s="78"/>
      <c r="CI229" s="78"/>
      <c r="CJ229" s="78"/>
      <c r="CK229" s="78"/>
      <c r="CL229" s="78"/>
      <c r="CM229" s="78"/>
      <c r="CN229" s="78"/>
      <c r="CO229" s="78"/>
      <c r="CP229" s="78"/>
      <c r="CQ229" s="78"/>
      <c r="CR229" s="78"/>
      <c r="CS229" s="78"/>
      <c r="CT229" s="78"/>
      <c r="CU229" s="78"/>
      <c r="CV229" s="78"/>
      <c r="CW229" s="78"/>
      <c r="CX229" s="78"/>
      <c r="CY229" s="78"/>
      <c r="CZ229" s="78"/>
      <c r="DA229" s="78"/>
      <c r="DB229" s="78"/>
      <c r="DC229" s="78"/>
      <c r="DD229" s="78"/>
      <c r="DE229" s="78"/>
      <c r="DF229" s="78"/>
      <c r="DG229" s="78"/>
      <c r="DH229" s="78"/>
      <c r="DI229" s="78"/>
      <c r="DJ229" s="78"/>
      <c r="DK229" s="78"/>
      <c r="DL229" s="78"/>
      <c r="DM229" s="78"/>
      <c r="DN229" s="78"/>
      <c r="DO229" s="78"/>
      <c r="DP229" s="78"/>
      <c r="DQ229" s="78"/>
      <c r="DR229" s="78"/>
      <c r="DS229" s="78"/>
      <c r="DT229" s="78"/>
      <c r="DU229" s="78"/>
      <c r="DV229" s="78"/>
      <c r="DW229" s="78"/>
      <c r="DX229" s="78"/>
      <c r="DY229" s="78"/>
      <c r="DZ229" s="78"/>
      <c r="EA229" s="78"/>
      <c r="EB229" s="78"/>
      <c r="EC229" s="78"/>
      <c r="ED229" s="78"/>
      <c r="EE229" s="78"/>
      <c r="EF229" s="78"/>
      <c r="EG229" s="78"/>
      <c r="EH229" s="78"/>
      <c r="EI229" s="78"/>
      <c r="EJ229" s="78"/>
      <c r="EK229" s="78"/>
      <c r="EL229" s="78"/>
      <c r="EM229" s="78"/>
      <c r="EN229" s="78"/>
      <c r="EO229" s="78"/>
      <c r="EP229" s="78"/>
      <c r="EQ229" s="78"/>
      <c r="ER229" s="78"/>
      <c r="ES229" s="78"/>
      <c r="ET229" s="78"/>
      <c r="EU229" s="78"/>
      <c r="EV229" s="78"/>
      <c r="EW229" s="78"/>
      <c r="EX229" s="78"/>
      <c r="EY229" s="78"/>
      <c r="EZ229" s="78"/>
      <c r="FA229" s="78"/>
      <c r="FB229" s="78"/>
      <c r="FC229" s="78"/>
      <c r="FD229" s="78"/>
      <c r="FE229" s="78"/>
      <c r="FF229" s="78"/>
      <c r="FG229" s="78"/>
      <c r="FH229" s="78"/>
      <c r="FI229" s="78"/>
      <c r="FJ229" s="78"/>
      <c r="FK229" s="78"/>
      <c r="FL229" s="78"/>
      <c r="FM229" s="78"/>
      <c r="FN229" s="78"/>
      <c r="FO229" s="78"/>
      <c r="FP229" s="78"/>
      <c r="FQ229" s="78"/>
      <c r="FR229" s="78"/>
      <c r="FS229" s="78"/>
      <c r="FT229" s="78"/>
      <c r="FU229" s="78"/>
      <c r="FV229" s="78"/>
      <c r="FW229" s="78"/>
      <c r="FX229" s="78"/>
      <c r="FY229" s="78"/>
      <c r="FZ229" s="78"/>
      <c r="GA229" s="78"/>
      <c r="GB229" s="78"/>
      <c r="GC229" s="78"/>
      <c r="GD229" s="78"/>
      <c r="GE229" s="78"/>
      <c r="GF229" s="78"/>
      <c r="GG229" s="78"/>
      <c r="GH229" s="78"/>
      <c r="GI229" s="78"/>
      <c r="GJ229" s="78"/>
      <c r="GK229" s="78"/>
      <c r="GL229" s="78"/>
      <c r="GM229" s="78"/>
      <c r="GN229" s="78"/>
      <c r="GO229" s="78"/>
      <c r="GP229" s="78"/>
      <c r="GQ229" s="78"/>
      <c r="GR229" s="78"/>
      <c r="GS229" s="78"/>
      <c r="GT229" s="78"/>
      <c r="GU229" s="78"/>
      <c r="GV229" s="78"/>
      <c r="GW229" s="78"/>
      <c r="GX229" s="78"/>
      <c r="GY229" s="78"/>
      <c r="GZ229" s="78"/>
      <c r="HA229" s="78"/>
      <c r="HB229" s="78"/>
      <c r="HC229" s="78"/>
      <c r="HD229" s="78"/>
      <c r="HE229" s="78"/>
      <c r="HF229" s="78"/>
      <c r="HG229" s="78"/>
      <c r="HH229" s="78"/>
      <c r="HI229" s="78"/>
      <c r="HJ229" s="78"/>
      <c r="HK229" s="78"/>
    </row>
    <row r="230" spans="1:219" ht="15" customHeight="1">
      <c r="A230" s="99">
        <v>8</v>
      </c>
      <c r="B230" s="176" t="str">
        <f>VLOOKUP(Ruimtestaat[[#This Row],[Code]],Locaties[[Code]:[Locatie]],2,FALSE)</f>
        <v>OBS Roombeek</v>
      </c>
      <c r="C230" s="176" t="str">
        <f>VLOOKUP(Ruimtestaat[[#This Row],[Code]],Locaties[[#All],[Code]:[Adres]],4,FALSE)</f>
        <v>Bosuilstraat 3</v>
      </c>
      <c r="D230" s="176" t="str">
        <f>VLOOKUP(Ruimtestaat[[#This Row],[Code]],Locaties[[#All],[Code]:[Postcode]],5,FALSE)</f>
        <v>7523 BJ</v>
      </c>
      <c r="E230" s="176" t="str">
        <f>VLOOKUP(Ruimtestaat[[#This Row],[Code]],Locaties[#All],6,FALSE)</f>
        <v>Enschede</v>
      </c>
      <c r="F230" s="149"/>
      <c r="G230" s="149"/>
      <c r="H230" s="99" t="s">
        <v>1769</v>
      </c>
      <c r="I230" s="183" t="s">
        <v>1729</v>
      </c>
      <c r="J230" s="99">
        <v>17</v>
      </c>
      <c r="K230" s="183" t="str">
        <f>VLOOKUP(Ruimtestaat[[#This Row],[Ruimte code]],Ruimtegroepen[[#All],[Code]:[Ruimte omschrijving]],2,FALSE)</f>
        <v>Toestelberging</v>
      </c>
      <c r="L230" s="149" t="s">
        <v>100</v>
      </c>
      <c r="M230" s="301" t="s">
        <v>1697</v>
      </c>
      <c r="N230" s="177">
        <v>6.7</v>
      </c>
      <c r="O230" s="177"/>
      <c r="P230" s="178" t="str">
        <f>VLOOKUP(Ruimtestaat[[#This Row],[Ruimte code]],Ruimtegroepen[],4,FALSE)</f>
        <v>Ve</v>
      </c>
      <c r="Q230" s="149">
        <v>40</v>
      </c>
      <c r="R230" s="149" t="s">
        <v>15</v>
      </c>
      <c r="S230" s="149">
        <f>IF(Q230&gt;0,IF(RIGHT(Ruimtestaat[[#This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230" s="149">
        <f>IF(S230&gt;0,VLOOKUP($J230,Ruimtegroepen[],3,FALSE)*VLOOKUP($L230,Vloersoorten[],3,FALSE)*VLOOKUP($R230,Frequenties[],3,FALSE)*VLOOKUP($A230,Locaties[],3,FALSE),0)</f>
        <v>0</v>
      </c>
      <c r="U230" s="149">
        <f>Ruimtestaat[[#This Row],[Uitvoeringen werkdagen]]*Ruimtestaat[[#This Row],[Oppervlak (netto)]]</f>
        <v>268</v>
      </c>
      <c r="V230" s="179">
        <f>IF(T230&gt;0,Ruimtestaat[[#This Row],[Prest. (m2 /jaar) werkdagen]]/Ruimtestaat[[#This Row],[Norm (m2/uur) werkdagen]],0)</f>
        <v>0</v>
      </c>
      <c r="W230" s="180">
        <f>Ruimtestaat[[#This Row],[uren / jaar werkdagen]]*Tariefsopbouw!$E$35</f>
        <v>0</v>
      </c>
      <c r="X230" s="149"/>
      <c r="Y230" s="149">
        <f>IF(Ruimtestaat[[#This Row],[Frequentie weekend]]&gt;0,VALUE(LEFT(X230,1))*Q230,0)</f>
        <v>0</v>
      </c>
      <c r="Z230" s="148">
        <f>IF($Y230&gt;0,VLOOKUP($J230,Ruimtegroepen[],3,FALSE)*VLOOKUP($L230,Vloersoorten[],3,FALSE)*VLOOKUP($X230,Frequenties[],3,FALSE)*VLOOKUP(Ruimtestaat[[#This Row],[Code]],Locaties[],3,FALSE),0)</f>
        <v>0</v>
      </c>
      <c r="AA230" s="148">
        <f>Ruimtestaat[[#This Row],[Uitvoeringen weekend]]*Ruimtestaat[[#This Row],[Oppervlak (netto)]]</f>
        <v>0</v>
      </c>
      <c r="AB230" s="148">
        <f>IF(Z230&gt;0,Ruimtestaat[[#This Row],[Prest. (m2 /jaar) weekend]]/Ruimtestaat[[#This Row],[Norm (m2/uur) weekend]],0)</f>
        <v>0</v>
      </c>
      <c r="AC230" s="180">
        <f>Ruimtestaat[[#This Row],[uren / jaar weekend]]*Tariefsopbouw!$D$40</f>
        <v>0</v>
      </c>
      <c r="AD230" s="179">
        <f>Ruimtestaat[[#This Row],[Prest. (m2 /jaar) weekend]]+Ruimtestaat[[#This Row],[Prest. (m2 /jaar) werkdagen]]</f>
        <v>268</v>
      </c>
      <c r="AE230" s="179">
        <f>Ruimtestaat[[#This Row],[uren / jaar weekend]]+Ruimtestaat[[#This Row],[uren / jaar werkdagen]]</f>
        <v>0</v>
      </c>
      <c r="AF230" s="174">
        <f>Ruimtestaat[[#This Row],[kosten / jaar weekend]]+Ruimtestaat[[#This Row],[kosten / jaar werkdagen]]</f>
        <v>0</v>
      </c>
      <c r="AG230" s="174"/>
      <c r="AH230" s="181" t="str">
        <f>IF(Ruimtestaat[[#This Row],[Frequentie werkdagen]]="","",_xlfn.CONCAT(Ruimtestaat[[#This Row],[Ruimte code]],"-",Ruimtestaat[[#This Row],[Frequentie werkdagen]]," ",Ruimtestaat[[#This Row],[Vloer code]]))</f>
        <v>17-1w L</v>
      </c>
      <c r="AI230" s="185" t="str">
        <f>_xlfn.IFNA(VLOOKUP($AH230,Programma!$F$3:$G$1101,2,0),"")</f>
        <v>_</v>
      </c>
      <c r="AJ230" s="185" t="str">
        <f>_xlfn.IFNA(VLOOKUP($AH230,Programma!$F$3:$H$1101,3,0),"")</f>
        <v>_</v>
      </c>
      <c r="AK230" s="185" t="str">
        <f>_xlfn.IFNA(VLOOKUP($AH230,Programma!$F$3:$I$1101,4,0),"")</f>
        <v>_</v>
      </c>
      <c r="AL230" s="185" t="str">
        <f>_xlfn.IFNA(VLOOKUP($AH230,Programma!$F$3:$J$1101,5,0),"")</f>
        <v>1w</v>
      </c>
      <c r="AM230" s="185" t="str">
        <f>_xlfn.IFNA(VLOOKUP($AH230,Programma!$F$3:$K$1101,6,0),"")</f>
        <v>_</v>
      </c>
      <c r="AN230" s="185" t="str">
        <f>_xlfn.IFNA(VLOOKUP($AH230,Programma!$F$3:$L$1101,7,0),"")</f>
        <v>_</v>
      </c>
      <c r="AO230" s="185" t="str">
        <f>_xlfn.IFNA(VLOOKUP($AH230,Programma!$F$3:$M$1101,8,0),"")</f>
        <v>_</v>
      </c>
      <c r="AP230" s="185" t="str">
        <f>_xlfn.IFNA(VLOOKUP($AH230,Programma!$F$3:$N$1101,9,0),"")</f>
        <v>_</v>
      </c>
      <c r="AQ230" s="185" t="str">
        <f>_xlfn.IFNA(VLOOKUP($AH230,Programma!$F$3:$O$1101,10,0),"")</f>
        <v>1w</v>
      </c>
      <c r="AR230" s="185" t="str">
        <f>_xlfn.IFNA(VLOOKUP($AH230,Programma!$F$3:$P$1101,11,0),"")</f>
        <v>1w</v>
      </c>
      <c r="AS230" s="185" t="str">
        <f>_xlfn.IFNA(VLOOKUP($AH230,Programma!$F$3:$Q$1101,12,0),"")</f>
        <v>1w</v>
      </c>
      <c r="AT230" s="185" t="str">
        <f>_xlfn.IFNA(VLOOKUP($AH230,Programma!$F$3:$R$1101,13,0),"")</f>
        <v>1w</v>
      </c>
      <c r="AU230" s="185" t="str">
        <f>_xlfn.IFNA(VLOOKUP($AH230,Programma!$F$3:$S$1101,14,0),"")</f>
        <v>1m</v>
      </c>
      <c r="AV230" s="185" t="str">
        <f>_xlfn.IFNA(VLOOKUP($AH230,Programma!$F$3:$T$1101,15,0),"")</f>
        <v>2j</v>
      </c>
      <c r="AW230" s="185" t="str">
        <f>_xlfn.IFNA(VLOOKUP($AH230,Programma!$F$3:$U$1101,16,0),"")</f>
        <v>1j</v>
      </c>
      <c r="AX230" s="185" t="str">
        <f>_xlfn.IFNA(VLOOKUP($AH230,Programma!$F$3:$V$1101,17,0),"")</f>
        <v>_</v>
      </c>
      <c r="AY230" s="185" t="str">
        <f>_xlfn.IFNA(VLOOKUP($AH230,Programma!$F$3:$W$1101,18,0),"")</f>
        <v>_</v>
      </c>
      <c r="AZ230" s="185" t="str">
        <f>_xlfn.IFNA(VLOOKUP($AH230,Programma!$F$3:$X$1101,19,0),"")</f>
        <v>_</v>
      </c>
      <c r="BA230" s="185" t="str">
        <f>_xlfn.IFNA(VLOOKUP($AH230,Programma!$F$3:$Y$1101,20,0),"")</f>
        <v>_</v>
      </c>
      <c r="BB230" s="182"/>
      <c r="BC230" s="181" t="str">
        <f>IF(Ruimtestaat[[#This Row],[Frequentie weekend]]="","",_xlfn.CONCAT(Ruimtestaat[[#This Row],[Ruimte code]],"-",Ruimtestaat[[#This Row],[Frequentie weekend]]," ",Ruimtestaat[[#This Row],[Vloer code]]))</f>
        <v/>
      </c>
      <c r="BD230" s="185" t="str">
        <f>_xlfn.IFNA(VLOOKUP($BC230,Programma!$F$3:$G$1101,2,0),"")</f>
        <v/>
      </c>
      <c r="BE230" s="185" t="str">
        <f>_xlfn.IFNA(VLOOKUP($BC230,Programma!$F$3:$H$1101,3,0),"")</f>
        <v/>
      </c>
      <c r="BF230" s="185" t="str">
        <f>_xlfn.IFNA(VLOOKUP($BC230,Programma!$F$3:$I$1101,4,0),"")</f>
        <v/>
      </c>
      <c r="BG230" s="185" t="str">
        <f>_xlfn.IFNA(VLOOKUP($BC230,Programma!$F$3:$J$1101,5,0),"")</f>
        <v/>
      </c>
      <c r="BH230" s="185" t="str">
        <f>_xlfn.IFNA(VLOOKUP($BC230,Programma!$F$3:$K$1101,6,0),"")</f>
        <v/>
      </c>
      <c r="BI230" s="185" t="str">
        <f>_xlfn.IFNA(VLOOKUP($BC230,Programma!$F$3:$L$1101,7,0),"")</f>
        <v/>
      </c>
      <c r="BJ230" s="185" t="str">
        <f>_xlfn.IFNA(VLOOKUP($BC230,Programma!$F$3:$M$1101,8,0),"")</f>
        <v/>
      </c>
      <c r="BK230" s="185" t="str">
        <f>_xlfn.IFNA(VLOOKUP($BC230,Programma!$F$3:$N$1101,9,0),"")</f>
        <v/>
      </c>
      <c r="BL230" s="185" t="str">
        <f>_xlfn.IFNA(VLOOKUP($BC230,Programma!$F$3:$O$1101,10,0),"")</f>
        <v/>
      </c>
      <c r="BM230" s="185" t="str">
        <f>_xlfn.IFNA(VLOOKUP($BC230,Programma!$F$3:$P$1101,11,0),"")</f>
        <v/>
      </c>
      <c r="BN230" s="185" t="str">
        <f>_xlfn.IFNA(VLOOKUP($BC230,Programma!$F$3:$Q$1101,12,0),"")</f>
        <v/>
      </c>
      <c r="BO230" s="185" t="str">
        <f>_xlfn.IFNA(VLOOKUP($BC230,Programma!$F$3:$R$1101,13,0),"")</f>
        <v/>
      </c>
      <c r="BP230" s="185" t="str">
        <f>_xlfn.IFNA(VLOOKUP($BC230,Programma!$F$3:$S$1101,14,0),"")</f>
        <v/>
      </c>
      <c r="BQ230" s="185" t="str">
        <f>_xlfn.IFNA(VLOOKUP($BC230,Programma!$F$3:$T$1101,15,0),"")</f>
        <v/>
      </c>
      <c r="BR230" s="185" t="str">
        <f>_xlfn.IFNA(VLOOKUP($BC230,Programma!$F$3:$U$1101,16,0),"")</f>
        <v/>
      </c>
      <c r="BS230" s="185" t="str">
        <f>_xlfn.IFNA(VLOOKUP($BC230,Programma!$F$3:$V$1101,17,0),"")</f>
        <v/>
      </c>
      <c r="BT230" s="185" t="str">
        <f>_xlfn.IFNA(VLOOKUP($BC230,Programma!$F$3:$W$1101,18,0),"")</f>
        <v/>
      </c>
      <c r="BU230" s="185" t="str">
        <f>_xlfn.IFNA(VLOOKUP($BC230,Programma!$F$3:$X$1101,19,0),"")</f>
        <v/>
      </c>
      <c r="BV230" s="185" t="str">
        <f>_xlfn.IFNA(VLOOKUP($BC230,Programma!$F$3:$Y$1101,20,0),"")</f>
        <v/>
      </c>
      <c r="BW230" s="78"/>
      <c r="BX230" s="78"/>
      <c r="BY230" s="78"/>
      <c r="BZ230" s="78"/>
      <c r="CA230" s="78"/>
      <c r="CB230" s="78"/>
      <c r="CC230" s="78"/>
      <c r="CD230" s="78"/>
      <c r="CE230" s="78"/>
      <c r="CF230" s="78"/>
      <c r="CG230" s="78"/>
      <c r="CH230" s="78"/>
      <c r="CI230" s="78"/>
      <c r="CJ230" s="78"/>
      <c r="CK230" s="78"/>
      <c r="CL230" s="78"/>
      <c r="CM230" s="78"/>
      <c r="CN230" s="78"/>
      <c r="CO230" s="78"/>
      <c r="CP230" s="78"/>
      <c r="CQ230" s="78"/>
      <c r="CR230" s="78"/>
      <c r="CS230" s="78"/>
      <c r="CT230" s="78"/>
      <c r="CU230" s="78"/>
      <c r="CV230" s="78"/>
      <c r="CW230" s="78"/>
      <c r="CX230" s="78"/>
      <c r="CY230" s="78"/>
      <c r="CZ230" s="78"/>
      <c r="DA230" s="78"/>
      <c r="DB230" s="78"/>
      <c r="DC230" s="78"/>
      <c r="DD230" s="78"/>
      <c r="DE230" s="78"/>
      <c r="DF230" s="78"/>
      <c r="DG230" s="78"/>
      <c r="DH230" s="78"/>
      <c r="DI230" s="78"/>
      <c r="DJ230" s="78"/>
      <c r="DK230" s="78"/>
      <c r="DL230" s="78"/>
      <c r="DM230" s="78"/>
      <c r="DN230" s="78"/>
      <c r="DO230" s="78"/>
      <c r="DP230" s="78"/>
      <c r="DQ230" s="78"/>
      <c r="DR230" s="78"/>
      <c r="DS230" s="78"/>
      <c r="DT230" s="78"/>
      <c r="DU230" s="78"/>
      <c r="DV230" s="78"/>
      <c r="DW230" s="78"/>
      <c r="DX230" s="78"/>
      <c r="DY230" s="78"/>
      <c r="DZ230" s="78"/>
      <c r="EA230" s="78"/>
      <c r="EB230" s="78"/>
      <c r="EC230" s="78"/>
      <c r="ED230" s="78"/>
      <c r="EE230" s="78"/>
      <c r="EF230" s="78"/>
      <c r="EG230" s="78"/>
      <c r="EH230" s="78"/>
      <c r="EI230" s="78"/>
      <c r="EJ230" s="78"/>
      <c r="EK230" s="78"/>
      <c r="EL230" s="78"/>
      <c r="EM230" s="78"/>
      <c r="EN230" s="78"/>
      <c r="EO230" s="78"/>
      <c r="EP230" s="78"/>
      <c r="EQ230" s="78"/>
      <c r="ER230" s="78"/>
      <c r="ES230" s="78"/>
      <c r="ET230" s="78"/>
      <c r="EU230" s="78"/>
      <c r="EV230" s="78"/>
      <c r="EW230" s="78"/>
      <c r="EX230" s="78"/>
      <c r="EY230" s="78"/>
      <c r="EZ230" s="78"/>
      <c r="FA230" s="78"/>
      <c r="FB230" s="78"/>
      <c r="FC230" s="78"/>
      <c r="FD230" s="78"/>
      <c r="FE230" s="78"/>
      <c r="FF230" s="78"/>
      <c r="FG230" s="78"/>
      <c r="FH230" s="78"/>
      <c r="FI230" s="78"/>
      <c r="FJ230" s="78"/>
      <c r="FK230" s="78"/>
      <c r="FL230" s="78"/>
      <c r="FM230" s="78"/>
      <c r="FN230" s="78"/>
      <c r="FO230" s="78"/>
      <c r="FP230" s="78"/>
      <c r="FQ230" s="78"/>
      <c r="FR230" s="78"/>
      <c r="FS230" s="78"/>
      <c r="FT230" s="78"/>
      <c r="FU230" s="78"/>
      <c r="FV230" s="78"/>
      <c r="FW230" s="78"/>
      <c r="FX230" s="78"/>
      <c r="FY230" s="78"/>
      <c r="FZ230" s="78"/>
      <c r="GA230" s="78"/>
      <c r="GB230" s="78"/>
      <c r="GC230" s="78"/>
      <c r="GD230" s="78"/>
      <c r="GE230" s="78"/>
      <c r="GF230" s="78"/>
      <c r="GG230" s="78"/>
      <c r="GH230" s="78"/>
      <c r="GI230" s="78"/>
      <c r="GJ230" s="78"/>
      <c r="GK230" s="78"/>
      <c r="GL230" s="78"/>
      <c r="GM230" s="78"/>
      <c r="GN230" s="78"/>
      <c r="GO230" s="78"/>
      <c r="GP230" s="78"/>
      <c r="GQ230" s="78"/>
      <c r="GR230" s="78"/>
      <c r="GS230" s="78"/>
      <c r="GT230" s="78"/>
      <c r="GU230" s="78"/>
      <c r="GV230" s="78"/>
      <c r="GW230" s="78"/>
      <c r="GX230" s="78"/>
      <c r="GY230" s="78"/>
      <c r="GZ230" s="78"/>
      <c r="HA230" s="78"/>
      <c r="HB230" s="78"/>
      <c r="HC230" s="78"/>
      <c r="HD230" s="78"/>
      <c r="HE230" s="78"/>
      <c r="HF230" s="78"/>
      <c r="HG230" s="78"/>
      <c r="HH230" s="78"/>
      <c r="HI230" s="78"/>
      <c r="HJ230" s="78"/>
      <c r="HK230" s="78"/>
    </row>
    <row r="231" spans="1:219" ht="15" customHeight="1">
      <c r="A231" s="99">
        <v>8</v>
      </c>
      <c r="B231" s="176" t="str">
        <f>VLOOKUP(Ruimtestaat[[#This Row],[Code]],Locaties[[Code]:[Locatie]],2,FALSE)</f>
        <v>OBS Roombeek</v>
      </c>
      <c r="C231" s="176" t="str">
        <f>VLOOKUP(Ruimtestaat[[#This Row],[Code]],Locaties[[#All],[Code]:[Adres]],4,FALSE)</f>
        <v>Bosuilstraat 3</v>
      </c>
      <c r="D231" s="176" t="str">
        <f>VLOOKUP(Ruimtestaat[[#This Row],[Code]],Locaties[[#All],[Code]:[Postcode]],5,FALSE)</f>
        <v>7523 BJ</v>
      </c>
      <c r="E231" s="176" t="str">
        <f>VLOOKUP(Ruimtestaat[[#This Row],[Code]],Locaties[#All],6,FALSE)</f>
        <v>Enschede</v>
      </c>
      <c r="F231" s="149"/>
      <c r="G231" s="149"/>
      <c r="H231" s="99" t="s">
        <v>1770</v>
      </c>
      <c r="I231" s="183" t="s">
        <v>1683</v>
      </c>
      <c r="J231" s="99">
        <v>20</v>
      </c>
      <c r="K231" s="183" t="str">
        <f>VLOOKUP(Ruimtestaat[[#This Row],[Ruimte code]],Ruimtegroepen[[#All],[Code]:[Ruimte omschrijving]],2,FALSE)</f>
        <v>Niet in Onderhoud</v>
      </c>
      <c r="L231" s="149" t="s">
        <v>101</v>
      </c>
      <c r="M231" s="301" t="s">
        <v>1698</v>
      </c>
      <c r="N231" s="177"/>
      <c r="O231" s="177">
        <v>5</v>
      </c>
      <c r="P231" s="178">
        <f>VLOOKUP(Ruimtestaat[[#This Row],[Ruimte code]],Ruimtegroepen[],4,FALSE)</f>
        <v>0</v>
      </c>
      <c r="Q231" s="149"/>
      <c r="R231" s="149"/>
      <c r="S231" s="149">
        <f>IF(Q231&gt;0,IF(RIGHT(Ruimtestaat[[#This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1" s="149">
        <f>IF(S231&gt;0,VLOOKUP($J231,Ruimtegroepen[],3,FALSE)*VLOOKUP($L231,Vloersoorten[],3,FALSE)*VLOOKUP($R231,Frequenties[],3,FALSE)*VLOOKUP($A231,Locaties[],3,FALSE),0)</f>
        <v>0</v>
      </c>
      <c r="U231" s="149">
        <f>Ruimtestaat[[#This Row],[Uitvoeringen werkdagen]]*Ruimtestaat[[#This Row],[Oppervlak (netto)]]</f>
        <v>0</v>
      </c>
      <c r="V231" s="179">
        <f>IF(T231&gt;0,Ruimtestaat[[#This Row],[Prest. (m2 /jaar) werkdagen]]/Ruimtestaat[[#This Row],[Norm (m2/uur) werkdagen]],0)</f>
        <v>0</v>
      </c>
      <c r="W231" s="180">
        <f>Ruimtestaat[[#This Row],[uren / jaar werkdagen]]*Tariefsopbouw!$E$35</f>
        <v>0</v>
      </c>
      <c r="X231" s="149"/>
      <c r="Y231" s="149">
        <f>IF(Ruimtestaat[[#This Row],[Frequentie weekend]]&gt;0,VALUE(LEFT(X231,1))*Q231,0)</f>
        <v>0</v>
      </c>
      <c r="Z231" s="148">
        <f>IF($Y231&gt;0,VLOOKUP($J231,Ruimtegroepen[],3,FALSE)*VLOOKUP($L231,Vloersoorten[],3,FALSE)*VLOOKUP($X231,Frequenties[],3,FALSE)*VLOOKUP(Ruimtestaat[[#This Row],[Code]],Locaties[],3,FALSE),0)</f>
        <v>0</v>
      </c>
      <c r="AA231" s="148">
        <f>Ruimtestaat[[#This Row],[Uitvoeringen weekend]]*Ruimtestaat[[#This Row],[Oppervlak (netto)]]</f>
        <v>0</v>
      </c>
      <c r="AB231" s="148">
        <f>IF(Z231&gt;0,Ruimtestaat[[#This Row],[Prest. (m2 /jaar) weekend]]/Ruimtestaat[[#This Row],[Norm (m2/uur) weekend]],0)</f>
        <v>0</v>
      </c>
      <c r="AC231" s="180">
        <f>Ruimtestaat[[#This Row],[uren / jaar weekend]]*Tariefsopbouw!$D$40</f>
        <v>0</v>
      </c>
      <c r="AD231" s="179">
        <f>Ruimtestaat[[#This Row],[Prest. (m2 /jaar) weekend]]+Ruimtestaat[[#This Row],[Prest. (m2 /jaar) werkdagen]]</f>
        <v>0</v>
      </c>
      <c r="AE231" s="179">
        <f>Ruimtestaat[[#This Row],[uren / jaar weekend]]+Ruimtestaat[[#This Row],[uren / jaar werkdagen]]</f>
        <v>0</v>
      </c>
      <c r="AF231" s="174">
        <f>Ruimtestaat[[#This Row],[kosten / jaar weekend]]+Ruimtestaat[[#This Row],[kosten / jaar werkdagen]]</f>
        <v>0</v>
      </c>
      <c r="AG231" s="174"/>
      <c r="AH231" s="181" t="str">
        <f>IF(Ruimtestaat[[#This Row],[Frequentie werkdagen]]="","",_xlfn.CONCAT(Ruimtestaat[[#This Row],[Ruimte code]],"-",Ruimtestaat[[#This Row],[Frequentie werkdagen]]," ",Ruimtestaat[[#This Row],[Vloer code]]))</f>
        <v/>
      </c>
      <c r="AI231" s="185" t="str">
        <f>_xlfn.IFNA(VLOOKUP($AH231,Programma!$F$3:$G$1101,2,0),"")</f>
        <v/>
      </c>
      <c r="AJ231" s="185" t="str">
        <f>_xlfn.IFNA(VLOOKUP($AH231,Programma!$F$3:$H$1101,3,0),"")</f>
        <v/>
      </c>
      <c r="AK231" s="185" t="str">
        <f>_xlfn.IFNA(VLOOKUP($AH231,Programma!$F$3:$I$1101,4,0),"")</f>
        <v/>
      </c>
      <c r="AL231" s="185" t="str">
        <f>_xlfn.IFNA(VLOOKUP($AH231,Programma!$F$3:$J$1101,5,0),"")</f>
        <v/>
      </c>
      <c r="AM231" s="185" t="str">
        <f>_xlfn.IFNA(VLOOKUP($AH231,Programma!$F$3:$K$1101,6,0),"")</f>
        <v/>
      </c>
      <c r="AN231" s="185" t="str">
        <f>_xlfn.IFNA(VLOOKUP($AH231,Programma!$F$3:$L$1101,7,0),"")</f>
        <v/>
      </c>
      <c r="AO231" s="185" t="str">
        <f>_xlfn.IFNA(VLOOKUP($AH231,Programma!$F$3:$M$1101,8,0),"")</f>
        <v/>
      </c>
      <c r="AP231" s="185" t="str">
        <f>_xlfn.IFNA(VLOOKUP($AH231,Programma!$F$3:$N$1101,9,0),"")</f>
        <v/>
      </c>
      <c r="AQ231" s="185" t="str">
        <f>_xlfn.IFNA(VLOOKUP($AH231,Programma!$F$3:$O$1101,10,0),"")</f>
        <v/>
      </c>
      <c r="AR231" s="185" t="str">
        <f>_xlfn.IFNA(VLOOKUP($AH231,Programma!$F$3:$P$1101,11,0),"")</f>
        <v/>
      </c>
      <c r="AS231" s="185" t="str">
        <f>_xlfn.IFNA(VLOOKUP($AH231,Programma!$F$3:$Q$1101,12,0),"")</f>
        <v/>
      </c>
      <c r="AT231" s="185" t="str">
        <f>_xlfn.IFNA(VLOOKUP($AH231,Programma!$F$3:$R$1101,13,0),"")</f>
        <v/>
      </c>
      <c r="AU231" s="185" t="str">
        <f>_xlfn.IFNA(VLOOKUP($AH231,Programma!$F$3:$S$1101,14,0),"")</f>
        <v/>
      </c>
      <c r="AV231" s="185" t="str">
        <f>_xlfn.IFNA(VLOOKUP($AH231,Programma!$F$3:$T$1101,15,0),"")</f>
        <v/>
      </c>
      <c r="AW231" s="185" t="str">
        <f>_xlfn.IFNA(VLOOKUP($AH231,Programma!$F$3:$U$1101,16,0),"")</f>
        <v/>
      </c>
      <c r="AX231" s="185" t="str">
        <f>_xlfn.IFNA(VLOOKUP($AH231,Programma!$F$3:$V$1101,17,0),"")</f>
        <v/>
      </c>
      <c r="AY231" s="185" t="str">
        <f>_xlfn.IFNA(VLOOKUP($AH231,Programma!$F$3:$W$1101,18,0),"")</f>
        <v/>
      </c>
      <c r="AZ231" s="185" t="str">
        <f>_xlfn.IFNA(VLOOKUP($AH231,Programma!$F$3:$X$1101,19,0),"")</f>
        <v/>
      </c>
      <c r="BA231" s="185" t="str">
        <f>_xlfn.IFNA(VLOOKUP($AH231,Programma!$F$3:$Y$1101,20,0),"")</f>
        <v/>
      </c>
      <c r="BB231" s="182"/>
      <c r="BC231" s="181" t="str">
        <f>IF(Ruimtestaat[[#This Row],[Frequentie weekend]]="","",_xlfn.CONCAT(Ruimtestaat[[#This Row],[Ruimte code]],"-",Ruimtestaat[[#This Row],[Frequentie weekend]]," ",Ruimtestaat[[#This Row],[Vloer code]]))</f>
        <v/>
      </c>
      <c r="BD231" s="185" t="str">
        <f>_xlfn.IFNA(VLOOKUP($BC231,Programma!$F$3:$G$1101,2,0),"")</f>
        <v/>
      </c>
      <c r="BE231" s="185" t="str">
        <f>_xlfn.IFNA(VLOOKUP($BC231,Programma!$F$3:$H$1101,3,0),"")</f>
        <v/>
      </c>
      <c r="BF231" s="185" t="str">
        <f>_xlfn.IFNA(VLOOKUP($BC231,Programma!$F$3:$I$1101,4,0),"")</f>
        <v/>
      </c>
      <c r="BG231" s="185" t="str">
        <f>_xlfn.IFNA(VLOOKUP($BC231,Programma!$F$3:$J$1101,5,0),"")</f>
        <v/>
      </c>
      <c r="BH231" s="185" t="str">
        <f>_xlfn.IFNA(VLOOKUP($BC231,Programma!$F$3:$K$1101,6,0),"")</f>
        <v/>
      </c>
      <c r="BI231" s="185" t="str">
        <f>_xlfn.IFNA(VLOOKUP($BC231,Programma!$F$3:$L$1101,7,0),"")</f>
        <v/>
      </c>
      <c r="BJ231" s="185" t="str">
        <f>_xlfn.IFNA(VLOOKUP($BC231,Programma!$F$3:$M$1101,8,0),"")</f>
        <v/>
      </c>
      <c r="BK231" s="185" t="str">
        <f>_xlfn.IFNA(VLOOKUP($BC231,Programma!$F$3:$N$1101,9,0),"")</f>
        <v/>
      </c>
      <c r="BL231" s="185" t="str">
        <f>_xlfn.IFNA(VLOOKUP($BC231,Programma!$F$3:$O$1101,10,0),"")</f>
        <v/>
      </c>
      <c r="BM231" s="185" t="str">
        <f>_xlfn.IFNA(VLOOKUP($BC231,Programma!$F$3:$P$1101,11,0),"")</f>
        <v/>
      </c>
      <c r="BN231" s="185" t="str">
        <f>_xlfn.IFNA(VLOOKUP($BC231,Programma!$F$3:$Q$1101,12,0),"")</f>
        <v/>
      </c>
      <c r="BO231" s="185" t="str">
        <f>_xlfn.IFNA(VLOOKUP($BC231,Programma!$F$3:$R$1101,13,0),"")</f>
        <v/>
      </c>
      <c r="BP231" s="185" t="str">
        <f>_xlfn.IFNA(VLOOKUP($BC231,Programma!$F$3:$S$1101,14,0),"")</f>
        <v/>
      </c>
      <c r="BQ231" s="185" t="str">
        <f>_xlfn.IFNA(VLOOKUP($BC231,Programma!$F$3:$T$1101,15,0),"")</f>
        <v/>
      </c>
      <c r="BR231" s="185" t="str">
        <f>_xlfn.IFNA(VLOOKUP($BC231,Programma!$F$3:$U$1101,16,0),"")</f>
        <v/>
      </c>
      <c r="BS231" s="185" t="str">
        <f>_xlfn.IFNA(VLOOKUP($BC231,Programma!$F$3:$V$1101,17,0),"")</f>
        <v/>
      </c>
      <c r="BT231" s="185" t="str">
        <f>_xlfn.IFNA(VLOOKUP($BC231,Programma!$F$3:$W$1101,18,0),"")</f>
        <v/>
      </c>
      <c r="BU231" s="185" t="str">
        <f>_xlfn.IFNA(VLOOKUP($BC231,Programma!$F$3:$X$1101,19,0),"")</f>
        <v/>
      </c>
      <c r="BV231" s="185" t="str">
        <f>_xlfn.IFNA(VLOOKUP($BC231,Programma!$F$3:$Y$1101,20,0),"")</f>
        <v/>
      </c>
      <c r="BW231" s="78"/>
      <c r="BX231" s="78"/>
      <c r="BY231" s="78"/>
      <c r="BZ231" s="78"/>
      <c r="CA231" s="78"/>
      <c r="CB231" s="78"/>
      <c r="CC231" s="78"/>
      <c r="CD231" s="78"/>
      <c r="CE231" s="78"/>
      <c r="CF231" s="78"/>
      <c r="CG231" s="78"/>
      <c r="CH231" s="78"/>
      <c r="CI231" s="78"/>
      <c r="CJ231" s="78"/>
      <c r="CK231" s="78"/>
      <c r="CL231" s="78"/>
      <c r="CM231" s="78"/>
      <c r="CN231" s="78"/>
      <c r="CO231" s="78"/>
      <c r="CP231" s="78"/>
      <c r="CQ231" s="78"/>
      <c r="CR231" s="78"/>
      <c r="CS231" s="78"/>
      <c r="CT231" s="78"/>
      <c r="CU231" s="78"/>
      <c r="CV231" s="78"/>
      <c r="CW231" s="78"/>
      <c r="CX231" s="78"/>
      <c r="CY231" s="78"/>
      <c r="CZ231" s="78"/>
      <c r="DA231" s="78"/>
      <c r="DB231" s="78"/>
      <c r="DC231" s="78"/>
      <c r="DD231" s="78"/>
      <c r="DE231" s="78"/>
      <c r="DF231" s="78"/>
      <c r="DG231" s="78"/>
      <c r="DH231" s="78"/>
      <c r="DI231" s="78"/>
      <c r="DJ231" s="78"/>
      <c r="DK231" s="78"/>
      <c r="DL231" s="78"/>
      <c r="DM231" s="78"/>
      <c r="DN231" s="78"/>
      <c r="DO231" s="78"/>
      <c r="DP231" s="78"/>
      <c r="DQ231" s="78"/>
      <c r="DR231" s="78"/>
      <c r="DS231" s="78"/>
      <c r="DT231" s="78"/>
      <c r="DU231" s="78"/>
      <c r="DV231" s="78"/>
      <c r="DW231" s="78"/>
      <c r="DX231" s="78"/>
      <c r="DY231" s="78"/>
      <c r="DZ231" s="78"/>
      <c r="EA231" s="78"/>
      <c r="EB231" s="78"/>
      <c r="EC231" s="78"/>
      <c r="ED231" s="78"/>
      <c r="EE231" s="78"/>
      <c r="EF231" s="78"/>
      <c r="EG231" s="78"/>
      <c r="EH231" s="78"/>
      <c r="EI231" s="78"/>
      <c r="EJ231" s="78"/>
      <c r="EK231" s="78"/>
      <c r="EL231" s="78"/>
      <c r="EM231" s="78"/>
      <c r="EN231" s="78"/>
      <c r="EO231" s="78"/>
      <c r="EP231" s="78"/>
      <c r="EQ231" s="78"/>
      <c r="ER231" s="78"/>
      <c r="ES231" s="78"/>
      <c r="ET231" s="78"/>
      <c r="EU231" s="78"/>
      <c r="EV231" s="78"/>
      <c r="EW231" s="78"/>
      <c r="EX231" s="78"/>
      <c r="EY231" s="78"/>
      <c r="EZ231" s="78"/>
      <c r="FA231" s="78"/>
      <c r="FB231" s="78"/>
      <c r="FC231" s="78"/>
      <c r="FD231" s="78"/>
      <c r="FE231" s="78"/>
      <c r="FF231" s="78"/>
      <c r="FG231" s="78"/>
      <c r="FH231" s="78"/>
      <c r="FI231" s="78"/>
      <c r="FJ231" s="78"/>
      <c r="FK231" s="78"/>
      <c r="FL231" s="78"/>
      <c r="FM231" s="78"/>
      <c r="FN231" s="78"/>
      <c r="FO231" s="78"/>
      <c r="FP231" s="78"/>
      <c r="FQ231" s="78"/>
      <c r="FR231" s="78"/>
      <c r="FS231" s="78"/>
      <c r="FT231" s="78"/>
      <c r="FU231" s="78"/>
      <c r="FV231" s="78"/>
      <c r="FW231" s="78"/>
      <c r="FX231" s="78"/>
      <c r="FY231" s="78"/>
      <c r="FZ231" s="78"/>
      <c r="GA231" s="78"/>
      <c r="GB231" s="78"/>
      <c r="GC231" s="78"/>
      <c r="GD231" s="78"/>
      <c r="GE231" s="78"/>
      <c r="GF231" s="78"/>
      <c r="GG231" s="78"/>
      <c r="GH231" s="78"/>
      <c r="GI231" s="78"/>
      <c r="GJ231" s="78"/>
      <c r="GK231" s="78"/>
      <c r="GL231" s="78"/>
      <c r="GM231" s="78"/>
      <c r="GN231" s="78"/>
      <c r="GO231" s="78"/>
      <c r="GP231" s="78"/>
      <c r="GQ231" s="78"/>
      <c r="GR231" s="78"/>
      <c r="GS231" s="78"/>
      <c r="GT231" s="78"/>
      <c r="GU231" s="78"/>
      <c r="GV231" s="78"/>
      <c r="GW231" s="78"/>
      <c r="GX231" s="78"/>
      <c r="GY231" s="78"/>
      <c r="GZ231" s="78"/>
      <c r="HA231" s="78"/>
      <c r="HB231" s="78"/>
      <c r="HC231" s="78"/>
      <c r="HD231" s="78"/>
      <c r="HE231" s="78"/>
      <c r="HF231" s="78"/>
      <c r="HG231" s="78"/>
      <c r="HH231" s="78"/>
      <c r="HI231" s="78"/>
      <c r="HJ231" s="78"/>
      <c r="HK231" s="78"/>
    </row>
    <row r="232" spans="1:219" ht="15" customHeight="1">
      <c r="A232" s="99">
        <v>8</v>
      </c>
      <c r="B232" s="176" t="str">
        <f>VLOOKUP(Ruimtestaat[[#This Row],[Code]],Locaties[[Code]:[Locatie]],2,FALSE)</f>
        <v>OBS Roombeek</v>
      </c>
      <c r="C232" s="176" t="str">
        <f>VLOOKUP(Ruimtestaat[[#This Row],[Code]],Locaties[[#All],[Code]:[Adres]],4,FALSE)</f>
        <v>Bosuilstraat 3</v>
      </c>
      <c r="D232" s="176" t="str">
        <f>VLOOKUP(Ruimtestaat[[#This Row],[Code]],Locaties[[#All],[Code]:[Postcode]],5,FALSE)</f>
        <v>7523 BJ</v>
      </c>
      <c r="E232" s="176" t="str">
        <f>VLOOKUP(Ruimtestaat[[#This Row],[Code]],Locaties[#All],6,FALSE)</f>
        <v>Enschede</v>
      </c>
      <c r="F232" s="149"/>
      <c r="G232" s="149"/>
      <c r="H232" s="99" t="s">
        <v>1771</v>
      </c>
      <c r="I232" s="183" t="s">
        <v>1794</v>
      </c>
      <c r="J232" s="99">
        <v>7</v>
      </c>
      <c r="K232" s="183" t="str">
        <f>VLOOKUP(Ruimtestaat[[#This Row],[Ruimte code]],Ruimtegroepen[[#All],[Code]:[Ruimte omschrijving]],2,FALSE)</f>
        <v>Entree</v>
      </c>
      <c r="L232" s="149" t="s">
        <v>99</v>
      </c>
      <c r="M232" s="301" t="s">
        <v>1700</v>
      </c>
      <c r="N232" s="177">
        <v>20.2</v>
      </c>
      <c r="O232" s="177"/>
      <c r="P232" s="178" t="str">
        <f>VLOOKUP(Ruimtestaat[[#This Row],[Ruimte code]],Ruimtegroepen[],4,FALSE)</f>
        <v>Ve</v>
      </c>
      <c r="Q232" s="149">
        <v>40</v>
      </c>
      <c r="R232" s="149" t="s">
        <v>2</v>
      </c>
      <c r="S232" s="149">
        <f>IF(Q232&gt;0,IF(RIGHT(Ruimtestaat[[#This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2" s="149">
        <f>IF(S232&gt;0,VLOOKUP($J232,Ruimtegroepen[],3,FALSE)*VLOOKUP($L232,Vloersoorten[],3,FALSE)*VLOOKUP($R232,Frequenties[],3,FALSE)*VLOOKUP($A232,Locaties[],3,FALSE),0)</f>
        <v>0</v>
      </c>
      <c r="U232" s="149">
        <f>Ruimtestaat[[#This Row],[Uitvoeringen werkdagen]]*Ruimtestaat[[#This Row],[Oppervlak (netto)]]</f>
        <v>4040</v>
      </c>
      <c r="V232" s="179">
        <f>IF(T232&gt;0,Ruimtestaat[[#This Row],[Prest. (m2 /jaar) werkdagen]]/Ruimtestaat[[#This Row],[Norm (m2/uur) werkdagen]],0)</f>
        <v>0</v>
      </c>
      <c r="W232" s="180">
        <f>Ruimtestaat[[#This Row],[uren / jaar werkdagen]]*Tariefsopbouw!$E$35</f>
        <v>0</v>
      </c>
      <c r="X232" s="149"/>
      <c r="Y232" s="149">
        <f>IF(Ruimtestaat[[#This Row],[Frequentie weekend]]&gt;0,VALUE(LEFT(X232,1))*Q232,0)</f>
        <v>0</v>
      </c>
      <c r="Z232" s="148">
        <f>IF($Y232&gt;0,VLOOKUP($J232,Ruimtegroepen[],3,FALSE)*VLOOKUP($L232,Vloersoorten[],3,FALSE)*VLOOKUP($X232,Frequenties[],3,FALSE)*VLOOKUP(Ruimtestaat[[#This Row],[Code]],Locaties[],3,FALSE),0)</f>
        <v>0</v>
      </c>
      <c r="AA232" s="148">
        <f>Ruimtestaat[[#This Row],[Uitvoeringen weekend]]*Ruimtestaat[[#This Row],[Oppervlak (netto)]]</f>
        <v>0</v>
      </c>
      <c r="AB232" s="148">
        <f>IF(Z232&gt;0,Ruimtestaat[[#This Row],[Prest. (m2 /jaar) weekend]]/Ruimtestaat[[#This Row],[Norm (m2/uur) weekend]],0)</f>
        <v>0</v>
      </c>
      <c r="AC232" s="180">
        <f>Ruimtestaat[[#This Row],[uren / jaar weekend]]*Tariefsopbouw!$D$40</f>
        <v>0</v>
      </c>
      <c r="AD232" s="179">
        <f>Ruimtestaat[[#This Row],[Prest. (m2 /jaar) weekend]]+Ruimtestaat[[#This Row],[Prest. (m2 /jaar) werkdagen]]</f>
        <v>4040</v>
      </c>
      <c r="AE232" s="179">
        <f>Ruimtestaat[[#This Row],[uren / jaar weekend]]+Ruimtestaat[[#This Row],[uren / jaar werkdagen]]</f>
        <v>0</v>
      </c>
      <c r="AF232" s="174">
        <f>Ruimtestaat[[#This Row],[kosten / jaar weekend]]+Ruimtestaat[[#This Row],[kosten / jaar werkdagen]]</f>
        <v>0</v>
      </c>
      <c r="AG232" s="174"/>
      <c r="AH232" s="181" t="str">
        <f>IF(Ruimtestaat[[#This Row],[Frequentie werkdagen]]="","",_xlfn.CONCAT(Ruimtestaat[[#This Row],[Ruimte code]],"-",Ruimtestaat[[#This Row],[Frequentie werkdagen]]," ",Ruimtestaat[[#This Row],[Vloer code]]))</f>
        <v>7-5w T</v>
      </c>
      <c r="AI232" s="185" t="str">
        <f>_xlfn.IFNA(VLOOKUP($AH232,Programma!$F$3:$G$1101,2,0),"")</f>
        <v>_</v>
      </c>
      <c r="AJ232" s="185" t="str">
        <f>_xlfn.IFNA(VLOOKUP($AH232,Programma!$F$3:$H$1101,3,0),"")</f>
        <v>5w</v>
      </c>
      <c r="AK232" s="185" t="str">
        <f>_xlfn.IFNA(VLOOKUP($AH232,Programma!$F$3:$I$1101,4,0),"")</f>
        <v>_</v>
      </c>
      <c r="AL232" s="185" t="str">
        <f>_xlfn.IFNA(VLOOKUP($AH232,Programma!$F$3:$J$1101,5,0),"")</f>
        <v>_</v>
      </c>
      <c r="AM232" s="185" t="str">
        <f>_xlfn.IFNA(VLOOKUP($AH232,Programma!$F$3:$K$1101,6,0),"")</f>
        <v>_</v>
      </c>
      <c r="AN232" s="185" t="str">
        <f>_xlfn.IFNA(VLOOKUP($AH232,Programma!$F$3:$L$1101,7,0),"")</f>
        <v>_</v>
      </c>
      <c r="AO232" s="185" t="str">
        <f>_xlfn.IFNA(VLOOKUP($AH232,Programma!$F$3:$M$1101,8,0),"")</f>
        <v>_</v>
      </c>
      <c r="AP232" s="185" t="str">
        <f>_xlfn.IFNA(VLOOKUP($AH232,Programma!$F$3:$N$1101,9,0),"")</f>
        <v>_</v>
      </c>
      <c r="AQ232" s="185" t="str">
        <f>_xlfn.IFNA(VLOOKUP($AH232,Programma!$F$3:$O$1101,10,0),"")</f>
        <v>5w</v>
      </c>
      <c r="AR232" s="185" t="str">
        <f>_xlfn.IFNA(VLOOKUP($AH232,Programma!$F$3:$P$1101,11,0),"")</f>
        <v>5w</v>
      </c>
      <c r="AS232" s="185" t="str">
        <f>_xlfn.IFNA(VLOOKUP($AH232,Programma!$F$3:$Q$1101,12,0),"")</f>
        <v>1w</v>
      </c>
      <c r="AT232" s="185" t="str">
        <f>_xlfn.IFNA(VLOOKUP($AH232,Programma!$F$3:$R$1101,13,0),"")</f>
        <v>1w</v>
      </c>
      <c r="AU232" s="185" t="str">
        <f>_xlfn.IFNA(VLOOKUP($AH232,Programma!$F$3:$S$1101,14,0),"")</f>
        <v>1m</v>
      </c>
      <c r="AV232" s="185" t="str">
        <f>_xlfn.IFNA(VLOOKUP($AH232,Programma!$F$3:$T$1101,15,0),"")</f>
        <v>2j</v>
      </c>
      <c r="AW232" s="185" t="str">
        <f>_xlfn.IFNA(VLOOKUP($AH232,Programma!$F$3:$U$1101,16,0),"")</f>
        <v>1j</v>
      </c>
      <c r="AX232" s="185" t="str">
        <f>_xlfn.IFNA(VLOOKUP($AH232,Programma!$F$3:$V$1101,17,0),"")</f>
        <v>_</v>
      </c>
      <c r="AY232" s="185" t="str">
        <f>_xlfn.IFNA(VLOOKUP($AH232,Programma!$F$3:$W$1101,18,0),"")</f>
        <v>_</v>
      </c>
      <c r="AZ232" s="185" t="str">
        <f>_xlfn.IFNA(VLOOKUP($AH232,Programma!$F$3:$X$1101,19,0),"")</f>
        <v>_</v>
      </c>
      <c r="BA232" s="185" t="str">
        <f>_xlfn.IFNA(VLOOKUP($AH232,Programma!$F$3:$Y$1101,20,0),"")</f>
        <v>_</v>
      </c>
      <c r="BB232" s="182"/>
      <c r="BC232" s="181" t="str">
        <f>IF(Ruimtestaat[[#This Row],[Frequentie weekend]]="","",_xlfn.CONCAT(Ruimtestaat[[#This Row],[Ruimte code]],"-",Ruimtestaat[[#This Row],[Frequentie weekend]]," ",Ruimtestaat[[#This Row],[Vloer code]]))</f>
        <v/>
      </c>
      <c r="BD232" s="185" t="str">
        <f>_xlfn.IFNA(VLOOKUP($BC232,Programma!$F$3:$G$1101,2,0),"")</f>
        <v/>
      </c>
      <c r="BE232" s="185" t="str">
        <f>_xlfn.IFNA(VLOOKUP($BC232,Programma!$F$3:$H$1101,3,0),"")</f>
        <v/>
      </c>
      <c r="BF232" s="185" t="str">
        <f>_xlfn.IFNA(VLOOKUP($BC232,Programma!$F$3:$I$1101,4,0),"")</f>
        <v/>
      </c>
      <c r="BG232" s="185" t="str">
        <f>_xlfn.IFNA(VLOOKUP($BC232,Programma!$F$3:$J$1101,5,0),"")</f>
        <v/>
      </c>
      <c r="BH232" s="185" t="str">
        <f>_xlfn.IFNA(VLOOKUP($BC232,Programma!$F$3:$K$1101,6,0),"")</f>
        <v/>
      </c>
      <c r="BI232" s="185" t="str">
        <f>_xlfn.IFNA(VLOOKUP($BC232,Programma!$F$3:$L$1101,7,0),"")</f>
        <v/>
      </c>
      <c r="BJ232" s="185" t="str">
        <f>_xlfn.IFNA(VLOOKUP($BC232,Programma!$F$3:$M$1101,8,0),"")</f>
        <v/>
      </c>
      <c r="BK232" s="185" t="str">
        <f>_xlfn.IFNA(VLOOKUP($BC232,Programma!$F$3:$N$1101,9,0),"")</f>
        <v/>
      </c>
      <c r="BL232" s="185" t="str">
        <f>_xlfn.IFNA(VLOOKUP($BC232,Programma!$F$3:$O$1101,10,0),"")</f>
        <v/>
      </c>
      <c r="BM232" s="185" t="str">
        <f>_xlfn.IFNA(VLOOKUP($BC232,Programma!$F$3:$P$1101,11,0),"")</f>
        <v/>
      </c>
      <c r="BN232" s="185" t="str">
        <f>_xlfn.IFNA(VLOOKUP($BC232,Programma!$F$3:$Q$1101,12,0),"")</f>
        <v/>
      </c>
      <c r="BO232" s="185" t="str">
        <f>_xlfn.IFNA(VLOOKUP($BC232,Programma!$F$3:$R$1101,13,0),"")</f>
        <v/>
      </c>
      <c r="BP232" s="185" t="str">
        <f>_xlfn.IFNA(VLOOKUP($BC232,Programma!$F$3:$S$1101,14,0),"")</f>
        <v/>
      </c>
      <c r="BQ232" s="185" t="str">
        <f>_xlfn.IFNA(VLOOKUP($BC232,Programma!$F$3:$T$1101,15,0),"")</f>
        <v/>
      </c>
      <c r="BR232" s="185" t="str">
        <f>_xlfn.IFNA(VLOOKUP($BC232,Programma!$F$3:$U$1101,16,0),"")</f>
        <v/>
      </c>
      <c r="BS232" s="185" t="str">
        <f>_xlfn.IFNA(VLOOKUP($BC232,Programma!$F$3:$V$1101,17,0),"")</f>
        <v/>
      </c>
      <c r="BT232" s="185" t="str">
        <f>_xlfn.IFNA(VLOOKUP($BC232,Programma!$F$3:$W$1101,18,0),"")</f>
        <v/>
      </c>
      <c r="BU232" s="185" t="str">
        <f>_xlfn.IFNA(VLOOKUP($BC232,Programma!$F$3:$X$1101,19,0),"")</f>
        <v/>
      </c>
      <c r="BV232" s="185" t="str">
        <f>_xlfn.IFNA(VLOOKUP($BC232,Programma!$F$3:$Y$1101,20,0),"")</f>
        <v/>
      </c>
      <c r="BW232" s="78"/>
      <c r="BX232" s="78"/>
      <c r="BY232" s="78"/>
      <c r="BZ232" s="78"/>
      <c r="CA232" s="78"/>
      <c r="CB232" s="78"/>
      <c r="CC232" s="78"/>
      <c r="CD232" s="78"/>
      <c r="CE232" s="78"/>
      <c r="CF232" s="78"/>
      <c r="CG232" s="78"/>
      <c r="CH232" s="78"/>
      <c r="CI232" s="78"/>
      <c r="CJ232" s="78"/>
      <c r="CK232" s="78"/>
      <c r="CL232" s="78"/>
      <c r="CM232" s="78"/>
      <c r="CN232" s="78"/>
      <c r="CO232" s="78"/>
      <c r="CP232" s="78"/>
      <c r="CQ232" s="78"/>
      <c r="CR232" s="78"/>
      <c r="CS232" s="78"/>
      <c r="CT232" s="78"/>
      <c r="CU232" s="78"/>
      <c r="CV232" s="78"/>
      <c r="CW232" s="78"/>
      <c r="CX232" s="78"/>
      <c r="CY232" s="78"/>
      <c r="CZ232" s="78"/>
      <c r="DA232" s="78"/>
      <c r="DB232" s="78"/>
      <c r="DC232" s="78"/>
      <c r="DD232" s="78"/>
      <c r="DE232" s="78"/>
      <c r="DF232" s="78"/>
      <c r="DG232" s="78"/>
      <c r="DH232" s="78"/>
      <c r="DI232" s="78"/>
      <c r="DJ232" s="78"/>
      <c r="DK232" s="78"/>
      <c r="DL232" s="78"/>
      <c r="DM232" s="78"/>
      <c r="DN232" s="78"/>
      <c r="DO232" s="78"/>
      <c r="DP232" s="78"/>
      <c r="DQ232" s="78"/>
      <c r="DR232" s="78"/>
      <c r="DS232" s="78"/>
      <c r="DT232" s="78"/>
      <c r="DU232" s="78"/>
      <c r="DV232" s="78"/>
      <c r="DW232" s="78"/>
      <c r="DX232" s="78"/>
      <c r="DY232" s="78"/>
      <c r="DZ232" s="78"/>
      <c r="EA232" s="78"/>
      <c r="EB232" s="78"/>
      <c r="EC232" s="78"/>
      <c r="ED232" s="78"/>
      <c r="EE232" s="78"/>
      <c r="EF232" s="78"/>
      <c r="EG232" s="78"/>
      <c r="EH232" s="78"/>
      <c r="EI232" s="78"/>
      <c r="EJ232" s="78"/>
      <c r="EK232" s="78"/>
      <c r="EL232" s="78"/>
      <c r="EM232" s="78"/>
      <c r="EN232" s="78"/>
      <c r="EO232" s="78"/>
      <c r="EP232" s="78"/>
      <c r="EQ232" s="78"/>
      <c r="ER232" s="78"/>
      <c r="ES232" s="78"/>
      <c r="ET232" s="78"/>
      <c r="EU232" s="78"/>
      <c r="EV232" s="78"/>
      <c r="EW232" s="78"/>
      <c r="EX232" s="78"/>
      <c r="EY232" s="78"/>
      <c r="EZ232" s="78"/>
      <c r="FA232" s="78"/>
      <c r="FB232" s="78"/>
      <c r="FC232" s="78"/>
      <c r="FD232" s="78"/>
      <c r="FE232" s="78"/>
      <c r="FF232" s="78"/>
      <c r="FG232" s="78"/>
      <c r="FH232" s="78"/>
      <c r="FI232" s="78"/>
      <c r="FJ232" s="78"/>
      <c r="FK232" s="78"/>
      <c r="FL232" s="78"/>
      <c r="FM232" s="78"/>
      <c r="FN232" s="78"/>
      <c r="FO232" s="78"/>
      <c r="FP232" s="78"/>
      <c r="FQ232" s="78"/>
      <c r="FR232" s="78"/>
      <c r="FS232" s="78"/>
      <c r="FT232" s="78"/>
      <c r="FU232" s="78"/>
      <c r="FV232" s="78"/>
      <c r="FW232" s="78"/>
      <c r="FX232" s="78"/>
      <c r="FY232" s="78"/>
      <c r="FZ232" s="78"/>
      <c r="GA232" s="78"/>
      <c r="GB232" s="78"/>
      <c r="GC232" s="78"/>
      <c r="GD232" s="78"/>
      <c r="GE232" s="78"/>
      <c r="GF232" s="78"/>
      <c r="GG232" s="78"/>
      <c r="GH232" s="78"/>
      <c r="GI232" s="78"/>
      <c r="GJ232" s="78"/>
      <c r="GK232" s="78"/>
      <c r="GL232" s="78"/>
      <c r="GM232" s="78"/>
      <c r="GN232" s="78"/>
      <c r="GO232" s="78"/>
      <c r="GP232" s="78"/>
      <c r="GQ232" s="78"/>
      <c r="GR232" s="78"/>
      <c r="GS232" s="78"/>
      <c r="GT232" s="78"/>
      <c r="GU232" s="78"/>
      <c r="GV232" s="78"/>
      <c r="GW232" s="78"/>
      <c r="GX232" s="78"/>
      <c r="GY232" s="78"/>
      <c r="GZ232" s="78"/>
      <c r="HA232" s="78"/>
      <c r="HB232" s="78"/>
      <c r="HC232" s="78"/>
      <c r="HD232" s="78"/>
      <c r="HE232" s="78"/>
      <c r="HF232" s="78"/>
      <c r="HG232" s="78"/>
      <c r="HH232" s="78"/>
      <c r="HI232" s="78"/>
      <c r="HJ232" s="78"/>
      <c r="HK232" s="78"/>
    </row>
    <row r="233" spans="1:219" ht="15" customHeight="1">
      <c r="A233" s="99">
        <v>8</v>
      </c>
      <c r="B233" s="176" t="str">
        <f>VLOOKUP(Ruimtestaat[[#This Row],[Code]],Locaties[[Code]:[Locatie]],2,FALSE)</f>
        <v>OBS Roombeek</v>
      </c>
      <c r="C233" s="176" t="str">
        <f>VLOOKUP(Ruimtestaat[[#This Row],[Code]],Locaties[[#All],[Code]:[Adres]],4,FALSE)</f>
        <v>Bosuilstraat 3</v>
      </c>
      <c r="D233" s="176" t="str">
        <f>VLOOKUP(Ruimtestaat[[#This Row],[Code]],Locaties[[#All],[Code]:[Postcode]],5,FALSE)</f>
        <v>7523 BJ</v>
      </c>
      <c r="E233" s="176" t="str">
        <f>VLOOKUP(Ruimtestaat[[#This Row],[Code]],Locaties[#All],6,FALSE)</f>
        <v>Enschede</v>
      </c>
      <c r="F233" s="149"/>
      <c r="G233" s="149"/>
      <c r="H233" s="99" t="s">
        <v>1772</v>
      </c>
      <c r="I233" s="183" t="s">
        <v>1658</v>
      </c>
      <c r="J233" s="99">
        <v>6</v>
      </c>
      <c r="K233" s="183" t="str">
        <f>VLOOKUP(Ruimtestaat[[#This Row],[Ruimte code]],Ruimtegroepen[[#All],[Code]:[Ruimte omschrijving]],2,FALSE)</f>
        <v>Gangen/hallen</v>
      </c>
      <c r="L233" s="149" t="s">
        <v>100</v>
      </c>
      <c r="M233" s="301" t="s">
        <v>1697</v>
      </c>
      <c r="N233" s="177">
        <v>48.5</v>
      </c>
      <c r="O233" s="177"/>
      <c r="P233" s="178" t="str">
        <f>VLOOKUP(Ruimtestaat[[#This Row],[Ruimte code]],Ruimtegroepen[],4,FALSE)</f>
        <v>Ve</v>
      </c>
      <c r="Q233" s="149">
        <v>40</v>
      </c>
      <c r="R233" s="149" t="s">
        <v>2</v>
      </c>
      <c r="S233" s="149">
        <f>IF(Q233&gt;0,IF(RIGHT(Ruimtestaat[[#This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3" s="149">
        <f>IF(S233&gt;0,VLOOKUP($J233,Ruimtegroepen[],3,FALSE)*VLOOKUP($L233,Vloersoorten[],3,FALSE)*VLOOKUP($R233,Frequenties[],3,FALSE)*VLOOKUP($A233,Locaties[],3,FALSE),0)</f>
        <v>0</v>
      </c>
      <c r="U233" s="149">
        <f>Ruimtestaat[[#This Row],[Uitvoeringen werkdagen]]*Ruimtestaat[[#This Row],[Oppervlak (netto)]]</f>
        <v>9700</v>
      </c>
      <c r="V233" s="179">
        <f>IF(T233&gt;0,Ruimtestaat[[#This Row],[Prest. (m2 /jaar) werkdagen]]/Ruimtestaat[[#This Row],[Norm (m2/uur) werkdagen]],0)</f>
        <v>0</v>
      </c>
      <c r="W233" s="180">
        <f>Ruimtestaat[[#This Row],[uren / jaar werkdagen]]*Tariefsopbouw!$E$35</f>
        <v>0</v>
      </c>
      <c r="X233" s="149"/>
      <c r="Y233" s="149">
        <f>IF(Ruimtestaat[[#This Row],[Frequentie weekend]]&gt;0,VALUE(LEFT(X233,1))*Q233,0)</f>
        <v>0</v>
      </c>
      <c r="Z233" s="148">
        <f>IF($Y233&gt;0,VLOOKUP($J233,Ruimtegroepen[],3,FALSE)*VLOOKUP($L233,Vloersoorten[],3,FALSE)*VLOOKUP($X233,Frequenties[],3,FALSE)*VLOOKUP(Ruimtestaat[[#This Row],[Code]],Locaties[],3,FALSE),0)</f>
        <v>0</v>
      </c>
      <c r="AA233" s="148">
        <f>Ruimtestaat[[#This Row],[Uitvoeringen weekend]]*Ruimtestaat[[#This Row],[Oppervlak (netto)]]</f>
        <v>0</v>
      </c>
      <c r="AB233" s="148">
        <f>IF(Z233&gt;0,Ruimtestaat[[#This Row],[Prest. (m2 /jaar) weekend]]/Ruimtestaat[[#This Row],[Norm (m2/uur) weekend]],0)</f>
        <v>0</v>
      </c>
      <c r="AC233" s="180">
        <f>Ruimtestaat[[#This Row],[uren / jaar weekend]]*Tariefsopbouw!$D$40</f>
        <v>0</v>
      </c>
      <c r="AD233" s="179">
        <f>Ruimtestaat[[#This Row],[Prest. (m2 /jaar) weekend]]+Ruimtestaat[[#This Row],[Prest. (m2 /jaar) werkdagen]]</f>
        <v>9700</v>
      </c>
      <c r="AE233" s="179">
        <f>Ruimtestaat[[#This Row],[uren / jaar weekend]]+Ruimtestaat[[#This Row],[uren / jaar werkdagen]]</f>
        <v>0</v>
      </c>
      <c r="AF233" s="174">
        <f>Ruimtestaat[[#This Row],[kosten / jaar weekend]]+Ruimtestaat[[#This Row],[kosten / jaar werkdagen]]</f>
        <v>0</v>
      </c>
      <c r="AG233" s="174"/>
      <c r="AH233" s="181" t="str">
        <f>IF(Ruimtestaat[[#This Row],[Frequentie werkdagen]]="","",_xlfn.CONCAT(Ruimtestaat[[#This Row],[Ruimte code]],"-",Ruimtestaat[[#This Row],[Frequentie werkdagen]]," ",Ruimtestaat[[#This Row],[Vloer code]]))</f>
        <v>6-5w L</v>
      </c>
      <c r="AI233" s="185" t="str">
        <f>_xlfn.IFNA(VLOOKUP($AH233,Programma!$F$3:$G$1101,2,0),"")</f>
        <v>_</v>
      </c>
      <c r="AJ233" s="185" t="str">
        <f>_xlfn.IFNA(VLOOKUP($AH233,Programma!$F$3:$H$1101,3,0),"")</f>
        <v>_</v>
      </c>
      <c r="AK233" s="185" t="str">
        <f>_xlfn.IFNA(VLOOKUP($AH233,Programma!$F$3:$I$1101,4,0),"")</f>
        <v>_</v>
      </c>
      <c r="AL233" s="185" t="str">
        <f>_xlfn.IFNA(VLOOKUP($AH233,Programma!$F$3:$J$1101,5,0),"")</f>
        <v>5w</v>
      </c>
      <c r="AM233" s="185" t="str">
        <f>_xlfn.IFNA(VLOOKUP($AH233,Programma!$F$3:$K$1101,6,0),"")</f>
        <v>_</v>
      </c>
      <c r="AN233" s="185" t="str">
        <f>_xlfn.IFNA(VLOOKUP($AH233,Programma!$F$3:$L$1101,7,0),"")</f>
        <v>_</v>
      </c>
      <c r="AO233" s="185" t="str">
        <f>_xlfn.IFNA(VLOOKUP($AH233,Programma!$F$3:$M$1101,8,0),"")</f>
        <v>_</v>
      </c>
      <c r="AP233" s="185" t="str">
        <f>_xlfn.IFNA(VLOOKUP($AH233,Programma!$F$3:$N$1101,9,0),"")</f>
        <v>_</v>
      </c>
      <c r="AQ233" s="185" t="str">
        <f>_xlfn.IFNA(VLOOKUP($AH233,Programma!$F$3:$O$1101,10,0),"")</f>
        <v>5w</v>
      </c>
      <c r="AR233" s="185" t="str">
        <f>_xlfn.IFNA(VLOOKUP($AH233,Programma!$F$3:$P$1101,11,0),"")</f>
        <v>5w</v>
      </c>
      <c r="AS233" s="185" t="str">
        <f>_xlfn.IFNA(VLOOKUP($AH233,Programma!$F$3:$Q$1101,12,0),"")</f>
        <v>1w</v>
      </c>
      <c r="AT233" s="185" t="str">
        <f>_xlfn.IFNA(VLOOKUP($AH233,Programma!$F$3:$R$1101,13,0),"")</f>
        <v>1w</v>
      </c>
      <c r="AU233" s="185" t="str">
        <f>_xlfn.IFNA(VLOOKUP($AH233,Programma!$F$3:$S$1101,14,0),"")</f>
        <v>1m</v>
      </c>
      <c r="AV233" s="185" t="str">
        <f>_xlfn.IFNA(VLOOKUP($AH233,Programma!$F$3:$T$1101,15,0),"")</f>
        <v>2j</v>
      </c>
      <c r="AW233" s="185" t="str">
        <f>_xlfn.IFNA(VLOOKUP($AH233,Programma!$F$3:$U$1101,16,0),"")</f>
        <v>1j</v>
      </c>
      <c r="AX233" s="185" t="str">
        <f>_xlfn.IFNA(VLOOKUP($AH233,Programma!$F$3:$V$1101,17,0),"")</f>
        <v>_</v>
      </c>
      <c r="AY233" s="185" t="str">
        <f>_xlfn.IFNA(VLOOKUP($AH233,Programma!$F$3:$W$1101,18,0),"")</f>
        <v>_</v>
      </c>
      <c r="AZ233" s="185" t="str">
        <f>_xlfn.IFNA(VLOOKUP($AH233,Programma!$F$3:$X$1101,19,0),"")</f>
        <v>_</v>
      </c>
      <c r="BA233" s="185" t="str">
        <f>_xlfn.IFNA(VLOOKUP($AH233,Programma!$F$3:$Y$1101,20,0),"")</f>
        <v>_</v>
      </c>
      <c r="BB233" s="182"/>
      <c r="BC233" s="181" t="str">
        <f>IF(Ruimtestaat[[#This Row],[Frequentie weekend]]="","",_xlfn.CONCAT(Ruimtestaat[[#This Row],[Ruimte code]],"-",Ruimtestaat[[#This Row],[Frequentie weekend]]," ",Ruimtestaat[[#This Row],[Vloer code]]))</f>
        <v/>
      </c>
      <c r="BD233" s="185" t="str">
        <f>_xlfn.IFNA(VLOOKUP($BC233,Programma!$F$3:$G$1101,2,0),"")</f>
        <v/>
      </c>
      <c r="BE233" s="185" t="str">
        <f>_xlfn.IFNA(VLOOKUP($BC233,Programma!$F$3:$H$1101,3,0),"")</f>
        <v/>
      </c>
      <c r="BF233" s="185" t="str">
        <f>_xlfn.IFNA(VLOOKUP($BC233,Programma!$F$3:$I$1101,4,0),"")</f>
        <v/>
      </c>
      <c r="BG233" s="185" t="str">
        <f>_xlfn.IFNA(VLOOKUP($BC233,Programma!$F$3:$J$1101,5,0),"")</f>
        <v/>
      </c>
      <c r="BH233" s="185" t="str">
        <f>_xlfn.IFNA(VLOOKUP($BC233,Programma!$F$3:$K$1101,6,0),"")</f>
        <v/>
      </c>
      <c r="BI233" s="185" t="str">
        <f>_xlfn.IFNA(VLOOKUP($BC233,Programma!$F$3:$L$1101,7,0),"")</f>
        <v/>
      </c>
      <c r="BJ233" s="185" t="str">
        <f>_xlfn.IFNA(VLOOKUP($BC233,Programma!$F$3:$M$1101,8,0),"")</f>
        <v/>
      </c>
      <c r="BK233" s="185" t="str">
        <f>_xlfn.IFNA(VLOOKUP($BC233,Programma!$F$3:$N$1101,9,0),"")</f>
        <v/>
      </c>
      <c r="BL233" s="185" t="str">
        <f>_xlfn.IFNA(VLOOKUP($BC233,Programma!$F$3:$O$1101,10,0),"")</f>
        <v/>
      </c>
      <c r="BM233" s="185" t="str">
        <f>_xlfn.IFNA(VLOOKUP($BC233,Programma!$F$3:$P$1101,11,0),"")</f>
        <v/>
      </c>
      <c r="BN233" s="185" t="str">
        <f>_xlfn.IFNA(VLOOKUP($BC233,Programma!$F$3:$Q$1101,12,0),"")</f>
        <v/>
      </c>
      <c r="BO233" s="185" t="str">
        <f>_xlfn.IFNA(VLOOKUP($BC233,Programma!$F$3:$R$1101,13,0),"")</f>
        <v/>
      </c>
      <c r="BP233" s="185" t="str">
        <f>_xlfn.IFNA(VLOOKUP($BC233,Programma!$F$3:$S$1101,14,0),"")</f>
        <v/>
      </c>
      <c r="BQ233" s="185" t="str">
        <f>_xlfn.IFNA(VLOOKUP($BC233,Programma!$F$3:$T$1101,15,0),"")</f>
        <v/>
      </c>
      <c r="BR233" s="185" t="str">
        <f>_xlfn.IFNA(VLOOKUP($BC233,Programma!$F$3:$U$1101,16,0),"")</f>
        <v/>
      </c>
      <c r="BS233" s="185" t="str">
        <f>_xlfn.IFNA(VLOOKUP($BC233,Programma!$F$3:$V$1101,17,0),"")</f>
        <v/>
      </c>
      <c r="BT233" s="185" t="str">
        <f>_xlfn.IFNA(VLOOKUP($BC233,Programma!$F$3:$W$1101,18,0),"")</f>
        <v/>
      </c>
      <c r="BU233" s="185" t="str">
        <f>_xlfn.IFNA(VLOOKUP($BC233,Programma!$F$3:$X$1101,19,0),"")</f>
        <v/>
      </c>
      <c r="BV233" s="185" t="str">
        <f>_xlfn.IFNA(VLOOKUP($BC233,Programma!$F$3:$Y$1101,20,0),"")</f>
        <v/>
      </c>
      <c r="BW233" s="78"/>
      <c r="BX233" s="78"/>
      <c r="BY233" s="78"/>
      <c r="BZ233" s="78"/>
      <c r="CA233" s="78"/>
      <c r="CB233" s="78"/>
      <c r="CC233" s="78"/>
      <c r="CD233" s="78"/>
      <c r="CE233" s="78"/>
      <c r="CF233" s="78"/>
      <c r="CG233" s="78"/>
      <c r="CH233" s="78"/>
      <c r="CI233" s="78"/>
      <c r="CJ233" s="78"/>
      <c r="CK233" s="78"/>
      <c r="CL233" s="78"/>
      <c r="CM233" s="78"/>
      <c r="CN233" s="78"/>
      <c r="CO233" s="78"/>
      <c r="CP233" s="78"/>
      <c r="CQ233" s="78"/>
      <c r="CR233" s="78"/>
      <c r="CS233" s="78"/>
      <c r="CT233" s="78"/>
      <c r="CU233" s="78"/>
      <c r="CV233" s="78"/>
      <c r="CW233" s="78"/>
      <c r="CX233" s="78"/>
      <c r="CY233" s="78"/>
      <c r="CZ233" s="78"/>
      <c r="DA233" s="78"/>
      <c r="DB233" s="78"/>
      <c r="DC233" s="78"/>
      <c r="DD233" s="78"/>
      <c r="DE233" s="78"/>
      <c r="DF233" s="78"/>
      <c r="DG233" s="78"/>
      <c r="DH233" s="78"/>
      <c r="DI233" s="78"/>
      <c r="DJ233" s="78"/>
      <c r="DK233" s="78"/>
      <c r="DL233" s="78"/>
      <c r="DM233" s="78"/>
      <c r="DN233" s="78"/>
      <c r="DO233" s="78"/>
      <c r="DP233" s="78"/>
      <c r="DQ233" s="78"/>
      <c r="DR233" s="78"/>
      <c r="DS233" s="78"/>
      <c r="DT233" s="78"/>
      <c r="DU233" s="78"/>
      <c r="DV233" s="78"/>
      <c r="DW233" s="78"/>
      <c r="DX233" s="78"/>
      <c r="DY233" s="78"/>
      <c r="DZ233" s="78"/>
      <c r="EA233" s="78"/>
      <c r="EB233" s="78"/>
      <c r="EC233" s="78"/>
      <c r="ED233" s="78"/>
      <c r="EE233" s="78"/>
      <c r="EF233" s="78"/>
      <c r="EG233" s="78"/>
      <c r="EH233" s="78"/>
      <c r="EI233" s="78"/>
      <c r="EJ233" s="78"/>
      <c r="EK233" s="78"/>
      <c r="EL233" s="78"/>
      <c r="EM233" s="78"/>
      <c r="EN233" s="78"/>
      <c r="EO233" s="78"/>
      <c r="EP233" s="78"/>
      <c r="EQ233" s="78"/>
      <c r="ER233" s="78"/>
      <c r="ES233" s="78"/>
      <c r="ET233" s="78"/>
      <c r="EU233" s="78"/>
      <c r="EV233" s="78"/>
      <c r="EW233" s="78"/>
      <c r="EX233" s="78"/>
      <c r="EY233" s="78"/>
      <c r="EZ233" s="78"/>
      <c r="FA233" s="78"/>
      <c r="FB233" s="78"/>
      <c r="FC233" s="78"/>
      <c r="FD233" s="78"/>
      <c r="FE233" s="78"/>
      <c r="FF233" s="78"/>
      <c r="FG233" s="78"/>
      <c r="FH233" s="78"/>
      <c r="FI233" s="78"/>
      <c r="FJ233" s="78"/>
      <c r="FK233" s="78"/>
      <c r="FL233" s="78"/>
      <c r="FM233" s="78"/>
      <c r="FN233" s="78"/>
      <c r="FO233" s="78"/>
      <c r="FP233" s="78"/>
      <c r="FQ233" s="78"/>
      <c r="FR233" s="78"/>
      <c r="FS233" s="78"/>
      <c r="FT233" s="78"/>
      <c r="FU233" s="78"/>
      <c r="FV233" s="78"/>
      <c r="FW233" s="78"/>
      <c r="FX233" s="78"/>
      <c r="FY233" s="78"/>
      <c r="FZ233" s="78"/>
      <c r="GA233" s="78"/>
      <c r="GB233" s="78"/>
      <c r="GC233" s="78"/>
      <c r="GD233" s="78"/>
      <c r="GE233" s="78"/>
      <c r="GF233" s="78"/>
      <c r="GG233" s="78"/>
      <c r="GH233" s="78"/>
      <c r="GI233" s="78"/>
      <c r="GJ233" s="78"/>
      <c r="GK233" s="78"/>
      <c r="GL233" s="78"/>
      <c r="GM233" s="78"/>
      <c r="GN233" s="78"/>
      <c r="GO233" s="78"/>
      <c r="GP233" s="78"/>
      <c r="GQ233" s="78"/>
      <c r="GR233" s="78"/>
      <c r="GS233" s="78"/>
      <c r="GT233" s="78"/>
      <c r="GU233" s="78"/>
      <c r="GV233" s="78"/>
      <c r="GW233" s="78"/>
      <c r="GX233" s="78"/>
      <c r="GY233" s="78"/>
      <c r="GZ233" s="78"/>
      <c r="HA233" s="78"/>
      <c r="HB233" s="78"/>
      <c r="HC233" s="78"/>
      <c r="HD233" s="78"/>
      <c r="HE233" s="78"/>
      <c r="HF233" s="78"/>
      <c r="HG233" s="78"/>
      <c r="HH233" s="78"/>
      <c r="HI233" s="78"/>
      <c r="HJ233" s="78"/>
      <c r="HK233" s="78"/>
    </row>
    <row r="234" spans="1:219" ht="15" customHeight="1">
      <c r="A234" s="99">
        <v>8</v>
      </c>
      <c r="B234" s="176" t="str">
        <f>VLOOKUP(Ruimtestaat[[#This Row],[Code]],Locaties[[Code]:[Locatie]],2,FALSE)</f>
        <v>OBS Roombeek</v>
      </c>
      <c r="C234" s="176" t="str">
        <f>VLOOKUP(Ruimtestaat[[#This Row],[Code]],Locaties[[#All],[Code]:[Adres]],4,FALSE)</f>
        <v>Bosuilstraat 3</v>
      </c>
      <c r="D234" s="176" t="str">
        <f>VLOOKUP(Ruimtestaat[[#This Row],[Code]],Locaties[[#All],[Code]:[Postcode]],5,FALSE)</f>
        <v>7523 BJ</v>
      </c>
      <c r="E234" s="176" t="str">
        <f>VLOOKUP(Ruimtestaat[[#This Row],[Code]],Locaties[#All],6,FALSE)</f>
        <v>Enschede</v>
      </c>
      <c r="F234" s="149"/>
      <c r="G234" s="149"/>
      <c r="H234" s="99" t="s">
        <v>1773</v>
      </c>
      <c r="I234" s="183" t="s">
        <v>1688</v>
      </c>
      <c r="J234" s="99">
        <v>16</v>
      </c>
      <c r="K234" s="183" t="str">
        <f>VLOOKUP(Ruimtestaat[[#This Row],[Ruimte code]],Ruimtegroepen[[#All],[Code]:[Ruimte omschrijving]],2,FALSE)</f>
        <v>Leslokalen</v>
      </c>
      <c r="L234" s="149" t="s">
        <v>100</v>
      </c>
      <c r="M234" s="301" t="s">
        <v>1697</v>
      </c>
      <c r="N234" s="177">
        <v>57.9</v>
      </c>
      <c r="O234" s="177"/>
      <c r="P234" s="178" t="str">
        <f>VLOOKUP(Ruimtestaat[[#This Row],[Ruimte code]],Ruimtegroepen[],4,FALSE)</f>
        <v>Le</v>
      </c>
      <c r="Q234" s="149">
        <v>40</v>
      </c>
      <c r="R234" s="149" t="s">
        <v>2</v>
      </c>
      <c r="S234" s="149">
        <f>IF(Q234&gt;0,IF(RIGHT(Ruimtestaat[[#This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4" s="149">
        <f>IF(S234&gt;0,VLOOKUP($J234,Ruimtegroepen[],3,FALSE)*VLOOKUP($L234,Vloersoorten[],3,FALSE)*VLOOKUP($R234,Frequenties[],3,FALSE)*VLOOKUP($A234,Locaties[],3,FALSE),0)</f>
        <v>0</v>
      </c>
      <c r="U234" s="149">
        <f>Ruimtestaat[[#This Row],[Uitvoeringen werkdagen]]*Ruimtestaat[[#This Row],[Oppervlak (netto)]]</f>
        <v>11580</v>
      </c>
      <c r="V234" s="179">
        <f>IF(T234&gt;0,Ruimtestaat[[#This Row],[Prest. (m2 /jaar) werkdagen]]/Ruimtestaat[[#This Row],[Norm (m2/uur) werkdagen]],0)</f>
        <v>0</v>
      </c>
      <c r="W234" s="180">
        <f>Ruimtestaat[[#This Row],[uren / jaar werkdagen]]*Tariefsopbouw!$E$35</f>
        <v>0</v>
      </c>
      <c r="X234" s="149"/>
      <c r="Y234" s="149">
        <f>IF(Ruimtestaat[[#This Row],[Frequentie weekend]]&gt;0,VALUE(LEFT(X234,1))*Q234,0)</f>
        <v>0</v>
      </c>
      <c r="Z234" s="148">
        <f>IF($Y234&gt;0,VLOOKUP($J234,Ruimtegroepen[],3,FALSE)*VLOOKUP($L234,Vloersoorten[],3,FALSE)*VLOOKUP($X234,Frequenties[],3,FALSE)*VLOOKUP(Ruimtestaat[[#This Row],[Code]],Locaties[],3,FALSE),0)</f>
        <v>0</v>
      </c>
      <c r="AA234" s="148">
        <f>Ruimtestaat[[#This Row],[Uitvoeringen weekend]]*Ruimtestaat[[#This Row],[Oppervlak (netto)]]</f>
        <v>0</v>
      </c>
      <c r="AB234" s="148">
        <f>IF(Z234&gt;0,Ruimtestaat[[#This Row],[Prest. (m2 /jaar) weekend]]/Ruimtestaat[[#This Row],[Norm (m2/uur) weekend]],0)</f>
        <v>0</v>
      </c>
      <c r="AC234" s="180">
        <f>Ruimtestaat[[#This Row],[uren / jaar weekend]]*Tariefsopbouw!$D$40</f>
        <v>0</v>
      </c>
      <c r="AD234" s="179">
        <f>Ruimtestaat[[#This Row],[Prest. (m2 /jaar) weekend]]+Ruimtestaat[[#This Row],[Prest. (m2 /jaar) werkdagen]]</f>
        <v>11580</v>
      </c>
      <c r="AE234" s="179">
        <f>Ruimtestaat[[#This Row],[uren / jaar weekend]]+Ruimtestaat[[#This Row],[uren / jaar werkdagen]]</f>
        <v>0</v>
      </c>
      <c r="AF234" s="174">
        <f>Ruimtestaat[[#This Row],[kosten / jaar weekend]]+Ruimtestaat[[#This Row],[kosten / jaar werkdagen]]</f>
        <v>0</v>
      </c>
      <c r="AG234" s="174"/>
      <c r="AH234" s="181" t="str">
        <f>IF(Ruimtestaat[[#This Row],[Frequentie werkdagen]]="","",_xlfn.CONCAT(Ruimtestaat[[#This Row],[Ruimte code]],"-",Ruimtestaat[[#This Row],[Frequentie werkdagen]]," ",Ruimtestaat[[#This Row],[Vloer code]]))</f>
        <v>16-5w L</v>
      </c>
      <c r="AI234" s="185" t="str">
        <f>_xlfn.IFNA(VLOOKUP($AH234,Programma!$F$3:$G$1101,2,0),"")</f>
        <v>_</v>
      </c>
      <c r="AJ234" s="185" t="str">
        <f>_xlfn.IFNA(VLOOKUP($AH234,Programma!$F$3:$H$1101,3,0),"")</f>
        <v>_</v>
      </c>
      <c r="AK234" s="185" t="str">
        <f>_xlfn.IFNA(VLOOKUP($AH234,Programma!$F$3:$I$1101,4,0),"")</f>
        <v>4w</v>
      </c>
      <c r="AL234" s="185" t="str">
        <f>_xlfn.IFNA(VLOOKUP($AH234,Programma!$F$3:$J$1101,5,0),"")</f>
        <v>1w</v>
      </c>
      <c r="AM234" s="185" t="str">
        <f>_xlfn.IFNA(VLOOKUP($AH234,Programma!$F$3:$K$1101,6,0),"")</f>
        <v>_</v>
      </c>
      <c r="AN234" s="185" t="str">
        <f>_xlfn.IFNA(VLOOKUP($AH234,Programma!$F$3:$L$1101,7,0),"")</f>
        <v>_</v>
      </c>
      <c r="AO234" s="185" t="str">
        <f>_xlfn.IFNA(VLOOKUP($AH234,Programma!$F$3:$M$1101,8,0),"")</f>
        <v>_</v>
      </c>
      <c r="AP234" s="185" t="str">
        <f>_xlfn.IFNA(VLOOKUP($AH234,Programma!$F$3:$N$1101,9,0),"")</f>
        <v>_</v>
      </c>
      <c r="AQ234" s="185" t="str">
        <f>_xlfn.IFNA(VLOOKUP($AH234,Programma!$F$3:$O$1101,10,0),"")</f>
        <v>5w</v>
      </c>
      <c r="AR234" s="185" t="str">
        <f>_xlfn.IFNA(VLOOKUP($AH234,Programma!$F$3:$P$1101,11,0),"")</f>
        <v>5w</v>
      </c>
      <c r="AS234" s="185" t="str">
        <f>_xlfn.IFNA(VLOOKUP($AH234,Programma!$F$3:$Q$1101,12,0),"")</f>
        <v>1w</v>
      </c>
      <c r="AT234" s="185" t="str">
        <f>_xlfn.IFNA(VLOOKUP($AH234,Programma!$F$3:$R$1101,13,0),"")</f>
        <v>1w</v>
      </c>
      <c r="AU234" s="185" t="str">
        <f>_xlfn.IFNA(VLOOKUP($AH234,Programma!$F$3:$S$1101,14,0),"")</f>
        <v>1m</v>
      </c>
      <c r="AV234" s="185" t="str">
        <f>_xlfn.IFNA(VLOOKUP($AH234,Programma!$F$3:$T$1101,15,0),"")</f>
        <v>2j</v>
      </c>
      <c r="AW234" s="185" t="str">
        <f>_xlfn.IFNA(VLOOKUP($AH234,Programma!$F$3:$U$1101,16,0),"")</f>
        <v>1j</v>
      </c>
      <c r="AX234" s="185" t="str">
        <f>_xlfn.IFNA(VLOOKUP($AH234,Programma!$F$3:$V$1101,17,0),"")</f>
        <v>_</v>
      </c>
      <c r="AY234" s="185" t="str">
        <f>_xlfn.IFNA(VLOOKUP($AH234,Programma!$F$3:$W$1101,18,0),"")</f>
        <v>_</v>
      </c>
      <c r="AZ234" s="185" t="str">
        <f>_xlfn.IFNA(VLOOKUP($AH234,Programma!$F$3:$X$1101,19,0),"")</f>
        <v>_</v>
      </c>
      <c r="BA234" s="185" t="str">
        <f>_xlfn.IFNA(VLOOKUP($AH234,Programma!$F$3:$Y$1101,20,0),"")</f>
        <v>_</v>
      </c>
      <c r="BB234" s="182"/>
      <c r="BC234" s="181" t="str">
        <f>IF(Ruimtestaat[[#This Row],[Frequentie weekend]]="","",_xlfn.CONCAT(Ruimtestaat[[#This Row],[Ruimte code]],"-",Ruimtestaat[[#This Row],[Frequentie weekend]]," ",Ruimtestaat[[#This Row],[Vloer code]]))</f>
        <v/>
      </c>
      <c r="BD234" s="185" t="str">
        <f>_xlfn.IFNA(VLOOKUP($BC234,Programma!$F$3:$G$1101,2,0),"")</f>
        <v/>
      </c>
      <c r="BE234" s="185" t="str">
        <f>_xlfn.IFNA(VLOOKUP($BC234,Programma!$F$3:$H$1101,3,0),"")</f>
        <v/>
      </c>
      <c r="BF234" s="185" t="str">
        <f>_xlfn.IFNA(VLOOKUP($BC234,Programma!$F$3:$I$1101,4,0),"")</f>
        <v/>
      </c>
      <c r="BG234" s="185" t="str">
        <f>_xlfn.IFNA(VLOOKUP($BC234,Programma!$F$3:$J$1101,5,0),"")</f>
        <v/>
      </c>
      <c r="BH234" s="185" t="str">
        <f>_xlfn.IFNA(VLOOKUP($BC234,Programma!$F$3:$K$1101,6,0),"")</f>
        <v/>
      </c>
      <c r="BI234" s="185" t="str">
        <f>_xlfn.IFNA(VLOOKUP($BC234,Programma!$F$3:$L$1101,7,0),"")</f>
        <v/>
      </c>
      <c r="BJ234" s="185" t="str">
        <f>_xlfn.IFNA(VLOOKUP($BC234,Programma!$F$3:$M$1101,8,0),"")</f>
        <v/>
      </c>
      <c r="BK234" s="185" t="str">
        <f>_xlfn.IFNA(VLOOKUP($BC234,Programma!$F$3:$N$1101,9,0),"")</f>
        <v/>
      </c>
      <c r="BL234" s="185" t="str">
        <f>_xlfn.IFNA(VLOOKUP($BC234,Programma!$F$3:$O$1101,10,0),"")</f>
        <v/>
      </c>
      <c r="BM234" s="185" t="str">
        <f>_xlfn.IFNA(VLOOKUP($BC234,Programma!$F$3:$P$1101,11,0),"")</f>
        <v/>
      </c>
      <c r="BN234" s="185" t="str">
        <f>_xlfn.IFNA(VLOOKUP($BC234,Programma!$F$3:$Q$1101,12,0),"")</f>
        <v/>
      </c>
      <c r="BO234" s="185" t="str">
        <f>_xlfn.IFNA(VLOOKUP($BC234,Programma!$F$3:$R$1101,13,0),"")</f>
        <v/>
      </c>
      <c r="BP234" s="185" t="str">
        <f>_xlfn.IFNA(VLOOKUP($BC234,Programma!$F$3:$S$1101,14,0),"")</f>
        <v/>
      </c>
      <c r="BQ234" s="185" t="str">
        <f>_xlfn.IFNA(VLOOKUP($BC234,Programma!$F$3:$T$1101,15,0),"")</f>
        <v/>
      </c>
      <c r="BR234" s="185" t="str">
        <f>_xlfn.IFNA(VLOOKUP($BC234,Programma!$F$3:$U$1101,16,0),"")</f>
        <v/>
      </c>
      <c r="BS234" s="185" t="str">
        <f>_xlfn.IFNA(VLOOKUP($BC234,Programma!$F$3:$V$1101,17,0),"")</f>
        <v/>
      </c>
      <c r="BT234" s="185" t="str">
        <f>_xlfn.IFNA(VLOOKUP($BC234,Programma!$F$3:$W$1101,18,0),"")</f>
        <v/>
      </c>
      <c r="BU234" s="185" t="str">
        <f>_xlfn.IFNA(VLOOKUP($BC234,Programma!$F$3:$X$1101,19,0),"")</f>
        <v/>
      </c>
      <c r="BV234" s="185" t="str">
        <f>_xlfn.IFNA(VLOOKUP($BC234,Programma!$F$3:$Y$1101,20,0),"")</f>
        <v/>
      </c>
      <c r="BW234" s="78"/>
      <c r="BX234" s="78"/>
      <c r="BY234" s="78"/>
      <c r="BZ234" s="78"/>
      <c r="CA234" s="78"/>
      <c r="CB234" s="78"/>
      <c r="CC234" s="78"/>
      <c r="CD234" s="78"/>
      <c r="CE234" s="78"/>
      <c r="CF234" s="78"/>
      <c r="CG234" s="78"/>
      <c r="CH234" s="78"/>
      <c r="CI234" s="78"/>
      <c r="CJ234" s="78"/>
      <c r="CK234" s="78"/>
      <c r="CL234" s="78"/>
      <c r="CM234" s="78"/>
      <c r="CN234" s="78"/>
      <c r="CO234" s="78"/>
      <c r="CP234" s="78"/>
      <c r="CQ234" s="78"/>
      <c r="CR234" s="78"/>
      <c r="CS234" s="78"/>
      <c r="CT234" s="78"/>
      <c r="CU234" s="78"/>
      <c r="CV234" s="78"/>
      <c r="CW234" s="78"/>
      <c r="CX234" s="78"/>
      <c r="CY234" s="78"/>
      <c r="CZ234" s="78"/>
      <c r="DA234" s="78"/>
      <c r="DB234" s="78"/>
      <c r="DC234" s="78"/>
      <c r="DD234" s="78"/>
      <c r="DE234" s="78"/>
      <c r="DF234" s="78"/>
      <c r="DG234" s="78"/>
      <c r="DH234" s="78"/>
      <c r="DI234" s="78"/>
      <c r="DJ234" s="78"/>
      <c r="DK234" s="78"/>
      <c r="DL234" s="78"/>
      <c r="DM234" s="78"/>
      <c r="DN234" s="78"/>
      <c r="DO234" s="78"/>
      <c r="DP234" s="78"/>
      <c r="DQ234" s="78"/>
      <c r="DR234" s="78"/>
      <c r="DS234" s="78"/>
      <c r="DT234" s="78"/>
      <c r="DU234" s="78"/>
      <c r="DV234" s="78"/>
      <c r="DW234" s="78"/>
      <c r="DX234" s="78"/>
      <c r="DY234" s="78"/>
      <c r="DZ234" s="78"/>
      <c r="EA234" s="78"/>
      <c r="EB234" s="78"/>
      <c r="EC234" s="78"/>
      <c r="ED234" s="78"/>
      <c r="EE234" s="78"/>
      <c r="EF234" s="78"/>
      <c r="EG234" s="78"/>
      <c r="EH234" s="78"/>
      <c r="EI234" s="78"/>
      <c r="EJ234" s="78"/>
      <c r="EK234" s="78"/>
      <c r="EL234" s="78"/>
      <c r="EM234" s="78"/>
      <c r="EN234" s="78"/>
      <c r="EO234" s="78"/>
      <c r="EP234" s="78"/>
      <c r="EQ234" s="78"/>
      <c r="ER234" s="78"/>
      <c r="ES234" s="78"/>
      <c r="ET234" s="78"/>
      <c r="EU234" s="78"/>
      <c r="EV234" s="78"/>
      <c r="EW234" s="78"/>
      <c r="EX234" s="78"/>
      <c r="EY234" s="78"/>
      <c r="EZ234" s="78"/>
      <c r="FA234" s="78"/>
      <c r="FB234" s="78"/>
      <c r="FC234" s="78"/>
      <c r="FD234" s="78"/>
      <c r="FE234" s="78"/>
      <c r="FF234" s="78"/>
      <c r="FG234" s="78"/>
      <c r="FH234" s="78"/>
      <c r="FI234" s="78"/>
      <c r="FJ234" s="78"/>
      <c r="FK234" s="78"/>
      <c r="FL234" s="78"/>
      <c r="FM234" s="78"/>
      <c r="FN234" s="78"/>
      <c r="FO234" s="78"/>
      <c r="FP234" s="78"/>
      <c r="FQ234" s="78"/>
      <c r="FR234" s="78"/>
      <c r="FS234" s="78"/>
      <c r="FT234" s="78"/>
      <c r="FU234" s="78"/>
      <c r="FV234" s="78"/>
      <c r="FW234" s="78"/>
      <c r="FX234" s="78"/>
      <c r="FY234" s="78"/>
      <c r="FZ234" s="78"/>
      <c r="GA234" s="78"/>
      <c r="GB234" s="78"/>
      <c r="GC234" s="78"/>
      <c r="GD234" s="78"/>
      <c r="GE234" s="78"/>
      <c r="GF234" s="78"/>
      <c r="GG234" s="78"/>
      <c r="GH234" s="78"/>
      <c r="GI234" s="78"/>
      <c r="GJ234" s="78"/>
      <c r="GK234" s="78"/>
      <c r="GL234" s="78"/>
      <c r="GM234" s="78"/>
      <c r="GN234" s="78"/>
      <c r="GO234" s="78"/>
      <c r="GP234" s="78"/>
      <c r="GQ234" s="78"/>
      <c r="GR234" s="78"/>
      <c r="GS234" s="78"/>
      <c r="GT234" s="78"/>
      <c r="GU234" s="78"/>
      <c r="GV234" s="78"/>
      <c r="GW234" s="78"/>
      <c r="GX234" s="78"/>
      <c r="GY234" s="78"/>
      <c r="GZ234" s="78"/>
      <c r="HA234" s="78"/>
      <c r="HB234" s="78"/>
      <c r="HC234" s="78"/>
      <c r="HD234" s="78"/>
      <c r="HE234" s="78"/>
      <c r="HF234" s="78"/>
      <c r="HG234" s="78"/>
      <c r="HH234" s="78"/>
      <c r="HI234" s="78"/>
      <c r="HJ234" s="78"/>
      <c r="HK234" s="78"/>
    </row>
    <row r="235" spans="1:219" ht="15" customHeight="1">
      <c r="A235" s="99">
        <v>8</v>
      </c>
      <c r="B235" s="176" t="str">
        <f>VLOOKUP(Ruimtestaat[[#This Row],[Code]],Locaties[[Code]:[Locatie]],2,FALSE)</f>
        <v>OBS Roombeek</v>
      </c>
      <c r="C235" s="176" t="str">
        <f>VLOOKUP(Ruimtestaat[[#This Row],[Code]],Locaties[[#All],[Code]:[Adres]],4,FALSE)</f>
        <v>Bosuilstraat 3</v>
      </c>
      <c r="D235" s="176" t="str">
        <f>VLOOKUP(Ruimtestaat[[#This Row],[Code]],Locaties[[#All],[Code]:[Postcode]],5,FALSE)</f>
        <v>7523 BJ</v>
      </c>
      <c r="E235" s="176" t="str">
        <f>VLOOKUP(Ruimtestaat[[#This Row],[Code]],Locaties[#All],6,FALSE)</f>
        <v>Enschede</v>
      </c>
      <c r="F235" s="149"/>
      <c r="G235" s="149"/>
      <c r="H235" s="99" t="s">
        <v>1774</v>
      </c>
      <c r="I235" s="183" t="s">
        <v>1684</v>
      </c>
      <c r="J235" s="99">
        <v>5</v>
      </c>
      <c r="K235" s="183" t="str">
        <f>VLOOKUP(Ruimtestaat[[#This Row],[Ruimte code]],Ruimtegroepen[[#All],[Code]:[Ruimte omschrijving]],2,FALSE)</f>
        <v>Sanitair</v>
      </c>
      <c r="L235" s="149" t="s">
        <v>101</v>
      </c>
      <c r="M235" s="301" t="s">
        <v>119</v>
      </c>
      <c r="N235" s="177">
        <v>5.5</v>
      </c>
      <c r="O235" s="177"/>
      <c r="P235" s="178" t="str">
        <f>VLOOKUP(Ruimtestaat[[#This Row],[Ruimte code]],Ruimtegroepen[],4,FALSE)</f>
        <v>Sa</v>
      </c>
      <c r="Q235" s="149">
        <v>40</v>
      </c>
      <c r="R235" s="149" t="s">
        <v>2</v>
      </c>
      <c r="S235" s="149">
        <f>IF(Q235&gt;0,IF(RIGHT(Ruimtestaat[[#This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5" s="149">
        <f>IF(S235&gt;0,VLOOKUP($J235,Ruimtegroepen[],3,FALSE)*VLOOKUP($L235,Vloersoorten[],3,FALSE)*VLOOKUP($R235,Frequenties[],3,FALSE)*VLOOKUP($A235,Locaties[],3,FALSE),0)</f>
        <v>0</v>
      </c>
      <c r="U235" s="149">
        <f>Ruimtestaat[[#This Row],[Uitvoeringen werkdagen]]*Ruimtestaat[[#This Row],[Oppervlak (netto)]]</f>
        <v>1100</v>
      </c>
      <c r="V235" s="179">
        <f>IF(T235&gt;0,Ruimtestaat[[#This Row],[Prest. (m2 /jaar) werkdagen]]/Ruimtestaat[[#This Row],[Norm (m2/uur) werkdagen]],0)</f>
        <v>0</v>
      </c>
      <c r="W235" s="180">
        <f>Ruimtestaat[[#This Row],[uren / jaar werkdagen]]*Tariefsopbouw!$E$35</f>
        <v>0</v>
      </c>
      <c r="X235" s="149"/>
      <c r="Y235" s="149">
        <f>IF(Ruimtestaat[[#This Row],[Frequentie weekend]]&gt;0,VALUE(LEFT(X235,1))*Q235,0)</f>
        <v>0</v>
      </c>
      <c r="Z235" s="148">
        <f>IF($Y235&gt;0,VLOOKUP($J235,Ruimtegroepen[],3,FALSE)*VLOOKUP($L235,Vloersoorten[],3,FALSE)*VLOOKUP($X235,Frequenties[],3,FALSE)*VLOOKUP(Ruimtestaat[[#This Row],[Code]],Locaties[],3,FALSE),0)</f>
        <v>0</v>
      </c>
      <c r="AA235" s="148">
        <f>Ruimtestaat[[#This Row],[Uitvoeringen weekend]]*Ruimtestaat[[#This Row],[Oppervlak (netto)]]</f>
        <v>0</v>
      </c>
      <c r="AB235" s="148">
        <f>IF(Z235&gt;0,Ruimtestaat[[#This Row],[Prest. (m2 /jaar) weekend]]/Ruimtestaat[[#This Row],[Norm (m2/uur) weekend]],0)</f>
        <v>0</v>
      </c>
      <c r="AC235" s="180">
        <f>Ruimtestaat[[#This Row],[uren / jaar weekend]]*Tariefsopbouw!$D$40</f>
        <v>0</v>
      </c>
      <c r="AD235" s="179">
        <f>Ruimtestaat[[#This Row],[Prest. (m2 /jaar) weekend]]+Ruimtestaat[[#This Row],[Prest. (m2 /jaar) werkdagen]]</f>
        <v>1100</v>
      </c>
      <c r="AE235" s="179">
        <f>Ruimtestaat[[#This Row],[uren / jaar weekend]]+Ruimtestaat[[#This Row],[uren / jaar werkdagen]]</f>
        <v>0</v>
      </c>
      <c r="AF235" s="174">
        <f>Ruimtestaat[[#This Row],[kosten / jaar weekend]]+Ruimtestaat[[#This Row],[kosten / jaar werkdagen]]</f>
        <v>0</v>
      </c>
      <c r="AG235" s="174"/>
      <c r="AH235" s="181" t="str">
        <f>IF(Ruimtestaat[[#This Row],[Frequentie werkdagen]]="","",_xlfn.CONCAT(Ruimtestaat[[#This Row],[Ruimte code]],"-",Ruimtestaat[[#This Row],[Frequentie werkdagen]]," ",Ruimtestaat[[#This Row],[Vloer code]]))</f>
        <v>5-5w S</v>
      </c>
      <c r="AI235" s="185" t="str">
        <f>_xlfn.IFNA(VLOOKUP($AH235,Programma!$F$3:$G$1101,2,0),"")</f>
        <v>_</v>
      </c>
      <c r="AJ235" s="185" t="str">
        <f>_xlfn.IFNA(VLOOKUP($AH235,Programma!$F$3:$H$1101,3,0),"")</f>
        <v>_</v>
      </c>
      <c r="AK235" s="185" t="str">
        <f>_xlfn.IFNA(VLOOKUP($AH235,Programma!$F$3:$I$1101,4,0),"")</f>
        <v>_</v>
      </c>
      <c r="AL235" s="185" t="str">
        <f>_xlfn.IFNA(VLOOKUP($AH235,Programma!$F$3:$J$1101,5,0),"")</f>
        <v>4w</v>
      </c>
      <c r="AM235" s="185" t="str">
        <f>_xlfn.IFNA(VLOOKUP($AH235,Programma!$F$3:$K$1101,6,0),"")</f>
        <v>1w</v>
      </c>
      <c r="AN235" s="185" t="str">
        <f>_xlfn.IFNA(VLOOKUP($AH235,Programma!$F$3:$L$1101,7,0),"")</f>
        <v>_</v>
      </c>
      <c r="AO235" s="185" t="str">
        <f>_xlfn.IFNA(VLOOKUP($AH235,Programma!$F$3:$M$1101,8,0),"")</f>
        <v>_</v>
      </c>
      <c r="AP235" s="185" t="str">
        <f>_xlfn.IFNA(VLOOKUP($AH235,Programma!$F$3:$N$1101,9,0),"")</f>
        <v>_</v>
      </c>
      <c r="AQ235" s="185" t="str">
        <f>_xlfn.IFNA(VLOOKUP($AH235,Programma!$F$3:$O$1101,10,0),"")</f>
        <v>_</v>
      </c>
      <c r="AR235" s="185" t="str">
        <f>_xlfn.IFNA(VLOOKUP($AH235,Programma!$F$3:$P$1101,11,0),"")</f>
        <v>_</v>
      </c>
      <c r="AS235" s="185" t="str">
        <f>_xlfn.IFNA(VLOOKUP($AH235,Programma!$F$3:$Q$1101,12,0),"")</f>
        <v>_</v>
      </c>
      <c r="AT235" s="185" t="str">
        <f>_xlfn.IFNA(VLOOKUP($AH235,Programma!$F$3:$R$1101,13,0),"")</f>
        <v>_</v>
      </c>
      <c r="AU235" s="185" t="str">
        <f>_xlfn.IFNA(VLOOKUP($AH235,Programma!$F$3:$S$1101,14,0),"")</f>
        <v>_</v>
      </c>
      <c r="AV235" s="185" t="str">
        <f>_xlfn.IFNA(VLOOKUP($AH235,Programma!$F$3:$T$1101,15,0),"")</f>
        <v>_</v>
      </c>
      <c r="AW235" s="185" t="str">
        <f>_xlfn.IFNA(VLOOKUP($AH235,Programma!$F$3:$U$1101,16,0),"")</f>
        <v>_</v>
      </c>
      <c r="AX235" s="185" t="str">
        <f>_xlfn.IFNA(VLOOKUP($AH235,Programma!$F$3:$V$1101,17,0),"")</f>
        <v>_</v>
      </c>
      <c r="AY235" s="185" t="str">
        <f>_xlfn.IFNA(VLOOKUP($AH235,Programma!$F$3:$W$1101,18,0),"")</f>
        <v>4w</v>
      </c>
      <c r="AZ235" s="185" t="str">
        <f>_xlfn.IFNA(VLOOKUP($AH235,Programma!$F$3:$X$1101,19,0),"")</f>
        <v>1w</v>
      </c>
      <c r="BA235" s="185" t="str">
        <f>_xlfn.IFNA(VLOOKUP($AH235,Programma!$F$3:$Y$1101,20,0),"")</f>
        <v>_</v>
      </c>
      <c r="BB235" s="182"/>
      <c r="BC235" s="181" t="str">
        <f>IF(Ruimtestaat[[#This Row],[Frequentie weekend]]="","",_xlfn.CONCAT(Ruimtestaat[[#This Row],[Ruimte code]],"-",Ruimtestaat[[#This Row],[Frequentie weekend]]," ",Ruimtestaat[[#This Row],[Vloer code]]))</f>
        <v/>
      </c>
      <c r="BD235" s="185" t="str">
        <f>_xlfn.IFNA(VLOOKUP($BC235,Programma!$F$3:$G$1101,2,0),"")</f>
        <v/>
      </c>
      <c r="BE235" s="185" t="str">
        <f>_xlfn.IFNA(VLOOKUP($BC235,Programma!$F$3:$H$1101,3,0),"")</f>
        <v/>
      </c>
      <c r="BF235" s="185" t="str">
        <f>_xlfn.IFNA(VLOOKUP($BC235,Programma!$F$3:$I$1101,4,0),"")</f>
        <v/>
      </c>
      <c r="BG235" s="185" t="str">
        <f>_xlfn.IFNA(VLOOKUP($BC235,Programma!$F$3:$J$1101,5,0),"")</f>
        <v/>
      </c>
      <c r="BH235" s="185" t="str">
        <f>_xlfn.IFNA(VLOOKUP($BC235,Programma!$F$3:$K$1101,6,0),"")</f>
        <v/>
      </c>
      <c r="BI235" s="185" t="str">
        <f>_xlfn.IFNA(VLOOKUP($BC235,Programma!$F$3:$L$1101,7,0),"")</f>
        <v/>
      </c>
      <c r="BJ235" s="185" t="str">
        <f>_xlfn.IFNA(VLOOKUP($BC235,Programma!$F$3:$M$1101,8,0),"")</f>
        <v/>
      </c>
      <c r="BK235" s="185" t="str">
        <f>_xlfn.IFNA(VLOOKUP($BC235,Programma!$F$3:$N$1101,9,0),"")</f>
        <v/>
      </c>
      <c r="BL235" s="185" t="str">
        <f>_xlfn.IFNA(VLOOKUP($BC235,Programma!$F$3:$O$1101,10,0),"")</f>
        <v/>
      </c>
      <c r="BM235" s="185" t="str">
        <f>_xlfn.IFNA(VLOOKUP($BC235,Programma!$F$3:$P$1101,11,0),"")</f>
        <v/>
      </c>
      <c r="BN235" s="185" t="str">
        <f>_xlfn.IFNA(VLOOKUP($BC235,Programma!$F$3:$Q$1101,12,0),"")</f>
        <v/>
      </c>
      <c r="BO235" s="185" t="str">
        <f>_xlfn.IFNA(VLOOKUP($BC235,Programma!$F$3:$R$1101,13,0),"")</f>
        <v/>
      </c>
      <c r="BP235" s="185" t="str">
        <f>_xlfn.IFNA(VLOOKUP($BC235,Programma!$F$3:$S$1101,14,0),"")</f>
        <v/>
      </c>
      <c r="BQ235" s="185" t="str">
        <f>_xlfn.IFNA(VLOOKUP($BC235,Programma!$F$3:$T$1101,15,0),"")</f>
        <v/>
      </c>
      <c r="BR235" s="185" t="str">
        <f>_xlfn.IFNA(VLOOKUP($BC235,Programma!$F$3:$U$1101,16,0),"")</f>
        <v/>
      </c>
      <c r="BS235" s="185" t="str">
        <f>_xlfn.IFNA(VLOOKUP($BC235,Programma!$F$3:$V$1101,17,0),"")</f>
        <v/>
      </c>
      <c r="BT235" s="185" t="str">
        <f>_xlfn.IFNA(VLOOKUP($BC235,Programma!$F$3:$W$1101,18,0),"")</f>
        <v/>
      </c>
      <c r="BU235" s="185" t="str">
        <f>_xlfn.IFNA(VLOOKUP($BC235,Programma!$F$3:$X$1101,19,0),"")</f>
        <v/>
      </c>
      <c r="BV235" s="185" t="str">
        <f>_xlfn.IFNA(VLOOKUP($BC235,Programma!$F$3:$Y$1101,20,0),"")</f>
        <v/>
      </c>
      <c r="BW235" s="78"/>
      <c r="BX235" s="78"/>
      <c r="BY235" s="78"/>
      <c r="BZ235" s="78"/>
      <c r="CA235" s="78"/>
      <c r="CB235" s="78"/>
      <c r="CC235" s="78"/>
      <c r="CD235" s="78"/>
      <c r="CE235" s="78"/>
      <c r="CF235" s="78"/>
      <c r="CG235" s="78"/>
      <c r="CH235" s="78"/>
      <c r="CI235" s="78"/>
      <c r="CJ235" s="78"/>
      <c r="CK235" s="78"/>
      <c r="CL235" s="78"/>
      <c r="CM235" s="78"/>
      <c r="CN235" s="78"/>
      <c r="CO235" s="78"/>
      <c r="CP235" s="78"/>
      <c r="CQ235" s="78"/>
      <c r="CR235" s="78"/>
      <c r="CS235" s="78"/>
      <c r="CT235" s="78"/>
      <c r="CU235" s="78"/>
      <c r="CV235" s="78"/>
      <c r="CW235" s="78"/>
      <c r="CX235" s="78"/>
      <c r="CY235" s="78"/>
      <c r="CZ235" s="78"/>
      <c r="DA235" s="78"/>
      <c r="DB235" s="78"/>
      <c r="DC235" s="78"/>
      <c r="DD235" s="78"/>
      <c r="DE235" s="78"/>
      <c r="DF235" s="78"/>
      <c r="DG235" s="78"/>
      <c r="DH235" s="78"/>
      <c r="DI235" s="78"/>
      <c r="DJ235" s="78"/>
      <c r="DK235" s="78"/>
      <c r="DL235" s="78"/>
      <c r="DM235" s="78"/>
      <c r="DN235" s="78"/>
      <c r="DO235" s="78"/>
      <c r="DP235" s="78"/>
      <c r="DQ235" s="78"/>
      <c r="DR235" s="78"/>
      <c r="DS235" s="78"/>
      <c r="DT235" s="78"/>
      <c r="DU235" s="78"/>
      <c r="DV235" s="78"/>
      <c r="DW235" s="78"/>
      <c r="DX235" s="78"/>
      <c r="DY235" s="78"/>
      <c r="DZ235" s="78"/>
      <c r="EA235" s="78"/>
      <c r="EB235" s="78"/>
      <c r="EC235" s="78"/>
      <c r="ED235" s="78"/>
      <c r="EE235" s="78"/>
      <c r="EF235" s="78"/>
      <c r="EG235" s="78"/>
      <c r="EH235" s="78"/>
      <c r="EI235" s="78"/>
      <c r="EJ235" s="78"/>
      <c r="EK235" s="78"/>
      <c r="EL235" s="78"/>
      <c r="EM235" s="78"/>
      <c r="EN235" s="78"/>
      <c r="EO235" s="78"/>
      <c r="EP235" s="78"/>
      <c r="EQ235" s="78"/>
      <c r="ER235" s="78"/>
      <c r="ES235" s="78"/>
      <c r="ET235" s="78"/>
      <c r="EU235" s="78"/>
      <c r="EV235" s="78"/>
      <c r="EW235" s="78"/>
      <c r="EX235" s="78"/>
      <c r="EY235" s="78"/>
      <c r="EZ235" s="78"/>
      <c r="FA235" s="78"/>
      <c r="FB235" s="78"/>
      <c r="FC235" s="78"/>
      <c r="FD235" s="78"/>
      <c r="FE235" s="78"/>
      <c r="FF235" s="78"/>
      <c r="FG235" s="78"/>
      <c r="FH235" s="78"/>
      <c r="FI235" s="78"/>
      <c r="FJ235" s="78"/>
      <c r="FK235" s="78"/>
      <c r="FL235" s="78"/>
      <c r="FM235" s="78"/>
      <c r="FN235" s="78"/>
      <c r="FO235" s="78"/>
      <c r="FP235" s="78"/>
      <c r="FQ235" s="78"/>
      <c r="FR235" s="78"/>
      <c r="FS235" s="78"/>
      <c r="FT235" s="78"/>
      <c r="FU235" s="78"/>
      <c r="FV235" s="78"/>
      <c r="FW235" s="78"/>
      <c r="FX235" s="78"/>
      <c r="FY235" s="78"/>
      <c r="FZ235" s="78"/>
      <c r="GA235" s="78"/>
      <c r="GB235" s="78"/>
      <c r="GC235" s="78"/>
      <c r="GD235" s="78"/>
      <c r="GE235" s="78"/>
      <c r="GF235" s="78"/>
      <c r="GG235" s="78"/>
      <c r="GH235" s="78"/>
      <c r="GI235" s="78"/>
      <c r="GJ235" s="78"/>
      <c r="GK235" s="78"/>
      <c r="GL235" s="78"/>
      <c r="GM235" s="78"/>
      <c r="GN235" s="78"/>
      <c r="GO235" s="78"/>
      <c r="GP235" s="78"/>
      <c r="GQ235" s="78"/>
      <c r="GR235" s="78"/>
      <c r="GS235" s="78"/>
      <c r="GT235" s="78"/>
      <c r="GU235" s="78"/>
      <c r="GV235" s="78"/>
      <c r="GW235" s="78"/>
      <c r="GX235" s="78"/>
      <c r="GY235" s="78"/>
      <c r="GZ235" s="78"/>
      <c r="HA235" s="78"/>
      <c r="HB235" s="78"/>
      <c r="HC235" s="78"/>
      <c r="HD235" s="78"/>
      <c r="HE235" s="78"/>
      <c r="HF235" s="78"/>
      <c r="HG235" s="78"/>
      <c r="HH235" s="78"/>
      <c r="HI235" s="78"/>
      <c r="HJ235" s="78"/>
      <c r="HK235" s="78"/>
    </row>
    <row r="236" spans="1:219" ht="15" customHeight="1">
      <c r="A236" s="99">
        <v>8</v>
      </c>
      <c r="B236" s="176" t="str">
        <f>VLOOKUP(Ruimtestaat[[#This Row],[Code]],Locaties[[Code]:[Locatie]],2,FALSE)</f>
        <v>OBS Roombeek</v>
      </c>
      <c r="C236" s="176" t="str">
        <f>VLOOKUP(Ruimtestaat[[#This Row],[Code]],Locaties[[#All],[Code]:[Adres]],4,FALSE)</f>
        <v>Bosuilstraat 3</v>
      </c>
      <c r="D236" s="176" t="str">
        <f>VLOOKUP(Ruimtestaat[[#This Row],[Code]],Locaties[[#All],[Code]:[Postcode]],5,FALSE)</f>
        <v>7523 BJ</v>
      </c>
      <c r="E236" s="176" t="str">
        <f>VLOOKUP(Ruimtestaat[[#This Row],[Code]],Locaties[#All],6,FALSE)</f>
        <v>Enschede</v>
      </c>
      <c r="F236" s="149"/>
      <c r="G236" s="149"/>
      <c r="H236" s="99" t="s">
        <v>1775</v>
      </c>
      <c r="I236" s="183" t="s">
        <v>1683</v>
      </c>
      <c r="J236" s="99">
        <v>20</v>
      </c>
      <c r="K236" s="183" t="str">
        <f>VLOOKUP(Ruimtestaat[[#This Row],[Ruimte code]],Ruimtegroepen[[#All],[Code]:[Ruimte omschrijving]],2,FALSE)</f>
        <v>Niet in Onderhoud</v>
      </c>
      <c r="L236" s="149" t="s">
        <v>100</v>
      </c>
      <c r="M236" s="301" t="s">
        <v>1697</v>
      </c>
      <c r="N236" s="177"/>
      <c r="O236" s="177">
        <v>2</v>
      </c>
      <c r="P236" s="178">
        <f>VLOOKUP(Ruimtestaat[[#This Row],[Ruimte code]],Ruimtegroepen[],4,FALSE)</f>
        <v>0</v>
      </c>
      <c r="Q236" s="149"/>
      <c r="R236" s="149"/>
      <c r="S236" s="149">
        <f>IF(Q236&gt;0,IF(RIGHT(Ruimtestaat[[#This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6" s="149">
        <f>IF(S236&gt;0,VLOOKUP($J236,Ruimtegroepen[],3,FALSE)*VLOOKUP($L236,Vloersoorten[],3,FALSE)*VLOOKUP($R236,Frequenties[],3,FALSE)*VLOOKUP($A236,Locaties[],3,FALSE),0)</f>
        <v>0</v>
      </c>
      <c r="U236" s="149">
        <f>Ruimtestaat[[#This Row],[Uitvoeringen werkdagen]]*Ruimtestaat[[#This Row],[Oppervlak (netto)]]</f>
        <v>0</v>
      </c>
      <c r="V236" s="179">
        <f>IF(T236&gt;0,Ruimtestaat[[#This Row],[Prest. (m2 /jaar) werkdagen]]/Ruimtestaat[[#This Row],[Norm (m2/uur) werkdagen]],0)</f>
        <v>0</v>
      </c>
      <c r="W236" s="180">
        <f>Ruimtestaat[[#This Row],[uren / jaar werkdagen]]*Tariefsopbouw!$E$35</f>
        <v>0</v>
      </c>
      <c r="X236" s="149"/>
      <c r="Y236" s="149">
        <f>IF(Ruimtestaat[[#This Row],[Frequentie weekend]]&gt;0,VALUE(LEFT(X236,1))*Q236,0)</f>
        <v>0</v>
      </c>
      <c r="Z236" s="148">
        <f>IF($Y236&gt;0,VLOOKUP($J236,Ruimtegroepen[],3,FALSE)*VLOOKUP($L236,Vloersoorten[],3,FALSE)*VLOOKUP($X236,Frequenties[],3,FALSE)*VLOOKUP(Ruimtestaat[[#This Row],[Code]],Locaties[],3,FALSE),0)</f>
        <v>0</v>
      </c>
      <c r="AA236" s="148">
        <f>Ruimtestaat[[#This Row],[Uitvoeringen weekend]]*Ruimtestaat[[#This Row],[Oppervlak (netto)]]</f>
        <v>0</v>
      </c>
      <c r="AB236" s="148">
        <f>IF(Z236&gt;0,Ruimtestaat[[#This Row],[Prest. (m2 /jaar) weekend]]/Ruimtestaat[[#This Row],[Norm (m2/uur) weekend]],0)</f>
        <v>0</v>
      </c>
      <c r="AC236" s="180">
        <f>Ruimtestaat[[#This Row],[uren / jaar weekend]]*Tariefsopbouw!$D$40</f>
        <v>0</v>
      </c>
      <c r="AD236" s="179">
        <f>Ruimtestaat[[#This Row],[Prest. (m2 /jaar) weekend]]+Ruimtestaat[[#This Row],[Prest. (m2 /jaar) werkdagen]]</f>
        <v>0</v>
      </c>
      <c r="AE236" s="179">
        <f>Ruimtestaat[[#This Row],[uren / jaar weekend]]+Ruimtestaat[[#This Row],[uren / jaar werkdagen]]</f>
        <v>0</v>
      </c>
      <c r="AF236" s="174">
        <f>Ruimtestaat[[#This Row],[kosten / jaar weekend]]+Ruimtestaat[[#This Row],[kosten / jaar werkdagen]]</f>
        <v>0</v>
      </c>
      <c r="AG236" s="174"/>
      <c r="AH236" s="181" t="str">
        <f>IF(Ruimtestaat[[#This Row],[Frequentie werkdagen]]="","",_xlfn.CONCAT(Ruimtestaat[[#This Row],[Ruimte code]],"-",Ruimtestaat[[#This Row],[Frequentie werkdagen]]," ",Ruimtestaat[[#This Row],[Vloer code]]))</f>
        <v/>
      </c>
      <c r="AI236" s="185" t="str">
        <f>_xlfn.IFNA(VLOOKUP($AH236,Programma!$F$3:$G$1101,2,0),"")</f>
        <v/>
      </c>
      <c r="AJ236" s="185" t="str">
        <f>_xlfn.IFNA(VLOOKUP($AH236,Programma!$F$3:$H$1101,3,0),"")</f>
        <v/>
      </c>
      <c r="AK236" s="185" t="str">
        <f>_xlfn.IFNA(VLOOKUP($AH236,Programma!$F$3:$I$1101,4,0),"")</f>
        <v/>
      </c>
      <c r="AL236" s="185" t="str">
        <f>_xlfn.IFNA(VLOOKUP($AH236,Programma!$F$3:$J$1101,5,0),"")</f>
        <v/>
      </c>
      <c r="AM236" s="185" t="str">
        <f>_xlfn.IFNA(VLOOKUP($AH236,Programma!$F$3:$K$1101,6,0),"")</f>
        <v/>
      </c>
      <c r="AN236" s="185" t="str">
        <f>_xlfn.IFNA(VLOOKUP($AH236,Programma!$F$3:$L$1101,7,0),"")</f>
        <v/>
      </c>
      <c r="AO236" s="185" t="str">
        <f>_xlfn.IFNA(VLOOKUP($AH236,Programma!$F$3:$M$1101,8,0),"")</f>
        <v/>
      </c>
      <c r="AP236" s="185" t="str">
        <f>_xlfn.IFNA(VLOOKUP($AH236,Programma!$F$3:$N$1101,9,0),"")</f>
        <v/>
      </c>
      <c r="AQ236" s="185" t="str">
        <f>_xlfn.IFNA(VLOOKUP($AH236,Programma!$F$3:$O$1101,10,0),"")</f>
        <v/>
      </c>
      <c r="AR236" s="185" t="str">
        <f>_xlfn.IFNA(VLOOKUP($AH236,Programma!$F$3:$P$1101,11,0),"")</f>
        <v/>
      </c>
      <c r="AS236" s="185" t="str">
        <f>_xlfn.IFNA(VLOOKUP($AH236,Programma!$F$3:$Q$1101,12,0),"")</f>
        <v/>
      </c>
      <c r="AT236" s="185" t="str">
        <f>_xlfn.IFNA(VLOOKUP($AH236,Programma!$F$3:$R$1101,13,0),"")</f>
        <v/>
      </c>
      <c r="AU236" s="185" t="str">
        <f>_xlfn.IFNA(VLOOKUP($AH236,Programma!$F$3:$S$1101,14,0),"")</f>
        <v/>
      </c>
      <c r="AV236" s="185" t="str">
        <f>_xlfn.IFNA(VLOOKUP($AH236,Programma!$F$3:$T$1101,15,0),"")</f>
        <v/>
      </c>
      <c r="AW236" s="185" t="str">
        <f>_xlfn.IFNA(VLOOKUP($AH236,Programma!$F$3:$U$1101,16,0),"")</f>
        <v/>
      </c>
      <c r="AX236" s="185" t="str">
        <f>_xlfn.IFNA(VLOOKUP($AH236,Programma!$F$3:$V$1101,17,0),"")</f>
        <v/>
      </c>
      <c r="AY236" s="185" t="str">
        <f>_xlfn.IFNA(VLOOKUP($AH236,Programma!$F$3:$W$1101,18,0),"")</f>
        <v/>
      </c>
      <c r="AZ236" s="185" t="str">
        <f>_xlfn.IFNA(VLOOKUP($AH236,Programma!$F$3:$X$1101,19,0),"")</f>
        <v/>
      </c>
      <c r="BA236" s="185" t="str">
        <f>_xlfn.IFNA(VLOOKUP($AH236,Programma!$F$3:$Y$1101,20,0),"")</f>
        <v/>
      </c>
      <c r="BB236" s="182"/>
      <c r="BC236" s="181" t="str">
        <f>IF(Ruimtestaat[[#This Row],[Frequentie weekend]]="","",_xlfn.CONCAT(Ruimtestaat[[#This Row],[Ruimte code]],"-",Ruimtestaat[[#This Row],[Frequentie weekend]]," ",Ruimtestaat[[#This Row],[Vloer code]]))</f>
        <v/>
      </c>
      <c r="BD236" s="185" t="str">
        <f>_xlfn.IFNA(VLOOKUP($BC236,Programma!$F$3:$G$1101,2,0),"")</f>
        <v/>
      </c>
      <c r="BE236" s="185" t="str">
        <f>_xlfn.IFNA(VLOOKUP($BC236,Programma!$F$3:$H$1101,3,0),"")</f>
        <v/>
      </c>
      <c r="BF236" s="185" t="str">
        <f>_xlfn.IFNA(VLOOKUP($BC236,Programma!$F$3:$I$1101,4,0),"")</f>
        <v/>
      </c>
      <c r="BG236" s="185" t="str">
        <f>_xlfn.IFNA(VLOOKUP($BC236,Programma!$F$3:$J$1101,5,0),"")</f>
        <v/>
      </c>
      <c r="BH236" s="185" t="str">
        <f>_xlfn.IFNA(VLOOKUP($BC236,Programma!$F$3:$K$1101,6,0),"")</f>
        <v/>
      </c>
      <c r="BI236" s="185" t="str">
        <f>_xlfn.IFNA(VLOOKUP($BC236,Programma!$F$3:$L$1101,7,0),"")</f>
        <v/>
      </c>
      <c r="BJ236" s="185" t="str">
        <f>_xlfn.IFNA(VLOOKUP($BC236,Programma!$F$3:$M$1101,8,0),"")</f>
        <v/>
      </c>
      <c r="BK236" s="185" t="str">
        <f>_xlfn.IFNA(VLOOKUP($BC236,Programma!$F$3:$N$1101,9,0),"")</f>
        <v/>
      </c>
      <c r="BL236" s="185" t="str">
        <f>_xlfn.IFNA(VLOOKUP($BC236,Programma!$F$3:$O$1101,10,0),"")</f>
        <v/>
      </c>
      <c r="BM236" s="185" t="str">
        <f>_xlfn.IFNA(VLOOKUP($BC236,Programma!$F$3:$P$1101,11,0),"")</f>
        <v/>
      </c>
      <c r="BN236" s="185" t="str">
        <f>_xlfn.IFNA(VLOOKUP($BC236,Programma!$F$3:$Q$1101,12,0),"")</f>
        <v/>
      </c>
      <c r="BO236" s="185" t="str">
        <f>_xlfn.IFNA(VLOOKUP($BC236,Programma!$F$3:$R$1101,13,0),"")</f>
        <v/>
      </c>
      <c r="BP236" s="185" t="str">
        <f>_xlfn.IFNA(VLOOKUP($BC236,Programma!$F$3:$S$1101,14,0),"")</f>
        <v/>
      </c>
      <c r="BQ236" s="185" t="str">
        <f>_xlfn.IFNA(VLOOKUP($BC236,Programma!$F$3:$T$1101,15,0),"")</f>
        <v/>
      </c>
      <c r="BR236" s="185" t="str">
        <f>_xlfn.IFNA(VLOOKUP($BC236,Programma!$F$3:$U$1101,16,0),"")</f>
        <v/>
      </c>
      <c r="BS236" s="185" t="str">
        <f>_xlfn.IFNA(VLOOKUP($BC236,Programma!$F$3:$V$1101,17,0),"")</f>
        <v/>
      </c>
      <c r="BT236" s="185" t="str">
        <f>_xlfn.IFNA(VLOOKUP($BC236,Programma!$F$3:$W$1101,18,0),"")</f>
        <v/>
      </c>
      <c r="BU236" s="185" t="str">
        <f>_xlfn.IFNA(VLOOKUP($BC236,Programma!$F$3:$X$1101,19,0),"")</f>
        <v/>
      </c>
      <c r="BV236" s="185" t="str">
        <f>_xlfn.IFNA(VLOOKUP($BC236,Programma!$F$3:$Y$1101,20,0),"")</f>
        <v/>
      </c>
      <c r="BW236" s="78"/>
      <c r="BX236" s="78"/>
      <c r="BY236" s="78"/>
      <c r="BZ236" s="78"/>
      <c r="CA236" s="78"/>
      <c r="CB236" s="78"/>
      <c r="CC236" s="78"/>
      <c r="CD236" s="78"/>
      <c r="CE236" s="78"/>
      <c r="CF236" s="78"/>
      <c r="CG236" s="78"/>
      <c r="CH236" s="78"/>
      <c r="CI236" s="78"/>
      <c r="CJ236" s="78"/>
      <c r="CK236" s="78"/>
      <c r="CL236" s="78"/>
      <c r="CM236" s="78"/>
      <c r="CN236" s="78"/>
      <c r="CO236" s="78"/>
      <c r="CP236" s="78"/>
      <c r="CQ236" s="78"/>
      <c r="CR236" s="78"/>
      <c r="CS236" s="78"/>
      <c r="CT236" s="78"/>
      <c r="CU236" s="78"/>
      <c r="CV236" s="78"/>
      <c r="CW236" s="78"/>
      <c r="CX236" s="78"/>
      <c r="CY236" s="78"/>
      <c r="CZ236" s="78"/>
      <c r="DA236" s="78"/>
      <c r="DB236" s="78"/>
      <c r="DC236" s="78"/>
      <c r="DD236" s="78"/>
      <c r="DE236" s="78"/>
      <c r="DF236" s="78"/>
      <c r="DG236" s="78"/>
      <c r="DH236" s="78"/>
      <c r="DI236" s="78"/>
      <c r="DJ236" s="78"/>
      <c r="DK236" s="78"/>
      <c r="DL236" s="78"/>
      <c r="DM236" s="78"/>
      <c r="DN236" s="78"/>
      <c r="DO236" s="78"/>
      <c r="DP236" s="78"/>
      <c r="DQ236" s="78"/>
      <c r="DR236" s="78"/>
      <c r="DS236" s="78"/>
      <c r="DT236" s="78"/>
      <c r="DU236" s="78"/>
      <c r="DV236" s="78"/>
      <c r="DW236" s="78"/>
      <c r="DX236" s="78"/>
      <c r="DY236" s="78"/>
      <c r="DZ236" s="78"/>
      <c r="EA236" s="78"/>
      <c r="EB236" s="78"/>
      <c r="EC236" s="78"/>
      <c r="ED236" s="78"/>
      <c r="EE236" s="78"/>
      <c r="EF236" s="78"/>
      <c r="EG236" s="78"/>
      <c r="EH236" s="78"/>
      <c r="EI236" s="78"/>
      <c r="EJ236" s="78"/>
      <c r="EK236" s="78"/>
      <c r="EL236" s="78"/>
      <c r="EM236" s="78"/>
      <c r="EN236" s="78"/>
      <c r="EO236" s="78"/>
      <c r="EP236" s="78"/>
      <c r="EQ236" s="78"/>
      <c r="ER236" s="78"/>
      <c r="ES236" s="78"/>
      <c r="ET236" s="78"/>
      <c r="EU236" s="78"/>
      <c r="EV236" s="78"/>
      <c r="EW236" s="78"/>
      <c r="EX236" s="78"/>
      <c r="EY236" s="78"/>
      <c r="EZ236" s="78"/>
      <c r="FA236" s="78"/>
      <c r="FB236" s="78"/>
      <c r="FC236" s="78"/>
      <c r="FD236" s="78"/>
      <c r="FE236" s="78"/>
      <c r="FF236" s="78"/>
      <c r="FG236" s="78"/>
      <c r="FH236" s="78"/>
      <c r="FI236" s="78"/>
      <c r="FJ236" s="78"/>
      <c r="FK236" s="78"/>
      <c r="FL236" s="78"/>
      <c r="FM236" s="78"/>
      <c r="FN236" s="78"/>
      <c r="FO236" s="78"/>
      <c r="FP236" s="78"/>
      <c r="FQ236" s="78"/>
      <c r="FR236" s="78"/>
      <c r="FS236" s="78"/>
      <c r="FT236" s="78"/>
      <c r="FU236" s="78"/>
      <c r="FV236" s="78"/>
      <c r="FW236" s="78"/>
      <c r="FX236" s="78"/>
      <c r="FY236" s="78"/>
      <c r="FZ236" s="78"/>
      <c r="GA236" s="78"/>
      <c r="GB236" s="78"/>
      <c r="GC236" s="78"/>
      <c r="GD236" s="78"/>
      <c r="GE236" s="78"/>
      <c r="GF236" s="78"/>
      <c r="GG236" s="78"/>
      <c r="GH236" s="78"/>
      <c r="GI236" s="78"/>
      <c r="GJ236" s="78"/>
      <c r="GK236" s="78"/>
      <c r="GL236" s="78"/>
      <c r="GM236" s="78"/>
      <c r="GN236" s="78"/>
      <c r="GO236" s="78"/>
      <c r="GP236" s="78"/>
      <c r="GQ236" s="78"/>
      <c r="GR236" s="78"/>
      <c r="GS236" s="78"/>
      <c r="GT236" s="78"/>
      <c r="GU236" s="78"/>
      <c r="GV236" s="78"/>
      <c r="GW236" s="78"/>
      <c r="GX236" s="78"/>
      <c r="GY236" s="78"/>
      <c r="GZ236" s="78"/>
      <c r="HA236" s="78"/>
      <c r="HB236" s="78"/>
      <c r="HC236" s="78"/>
      <c r="HD236" s="78"/>
      <c r="HE236" s="78"/>
      <c r="HF236" s="78"/>
      <c r="HG236" s="78"/>
      <c r="HH236" s="78"/>
      <c r="HI236" s="78"/>
      <c r="HJ236" s="78"/>
      <c r="HK236" s="78"/>
    </row>
    <row r="237" spans="1:219" ht="15" customHeight="1">
      <c r="A237" s="99">
        <v>8</v>
      </c>
      <c r="B237" s="176" t="str">
        <f>VLOOKUP(Ruimtestaat[[#This Row],[Code]],Locaties[[Code]:[Locatie]],2,FALSE)</f>
        <v>OBS Roombeek</v>
      </c>
      <c r="C237" s="176" t="str">
        <f>VLOOKUP(Ruimtestaat[[#This Row],[Code]],Locaties[[#All],[Code]:[Adres]],4,FALSE)</f>
        <v>Bosuilstraat 3</v>
      </c>
      <c r="D237" s="176" t="str">
        <f>VLOOKUP(Ruimtestaat[[#This Row],[Code]],Locaties[[#All],[Code]:[Postcode]],5,FALSE)</f>
        <v>7523 BJ</v>
      </c>
      <c r="E237" s="176" t="str">
        <f>VLOOKUP(Ruimtestaat[[#This Row],[Code]],Locaties[#All],6,FALSE)</f>
        <v>Enschede</v>
      </c>
      <c r="F237" s="149"/>
      <c r="G237" s="149"/>
      <c r="H237" s="99" t="s">
        <v>1776</v>
      </c>
      <c r="I237" s="183" t="s">
        <v>1688</v>
      </c>
      <c r="J237" s="99">
        <v>16</v>
      </c>
      <c r="K237" s="183" t="str">
        <f>VLOOKUP(Ruimtestaat[[#This Row],[Ruimte code]],Ruimtegroepen[[#All],[Code]:[Ruimte omschrijving]],2,FALSE)</f>
        <v>Leslokalen</v>
      </c>
      <c r="L237" s="149" t="s">
        <v>100</v>
      </c>
      <c r="M237" s="301" t="s">
        <v>1697</v>
      </c>
      <c r="N237" s="177">
        <v>58.1</v>
      </c>
      <c r="O237" s="177"/>
      <c r="P237" s="178" t="str">
        <f>VLOOKUP(Ruimtestaat[[#This Row],[Ruimte code]],Ruimtegroepen[],4,FALSE)</f>
        <v>Le</v>
      </c>
      <c r="Q237" s="149">
        <v>40</v>
      </c>
      <c r="R237" s="149" t="s">
        <v>2</v>
      </c>
      <c r="S237" s="149">
        <f>IF(Q237&gt;0,IF(RIGHT(Ruimtestaat[[#This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7" s="149">
        <f>IF(S237&gt;0,VLOOKUP($J237,Ruimtegroepen[],3,FALSE)*VLOOKUP($L237,Vloersoorten[],3,FALSE)*VLOOKUP($R237,Frequenties[],3,FALSE)*VLOOKUP($A237,Locaties[],3,FALSE),0)</f>
        <v>0</v>
      </c>
      <c r="U237" s="149">
        <f>Ruimtestaat[[#This Row],[Uitvoeringen werkdagen]]*Ruimtestaat[[#This Row],[Oppervlak (netto)]]</f>
        <v>11620</v>
      </c>
      <c r="V237" s="179">
        <f>IF(T237&gt;0,Ruimtestaat[[#This Row],[Prest. (m2 /jaar) werkdagen]]/Ruimtestaat[[#This Row],[Norm (m2/uur) werkdagen]],0)</f>
        <v>0</v>
      </c>
      <c r="W237" s="180">
        <f>Ruimtestaat[[#This Row],[uren / jaar werkdagen]]*Tariefsopbouw!$E$35</f>
        <v>0</v>
      </c>
      <c r="X237" s="149"/>
      <c r="Y237" s="149">
        <f>IF(Ruimtestaat[[#This Row],[Frequentie weekend]]&gt;0,VALUE(LEFT(X237,1))*Q237,0)</f>
        <v>0</v>
      </c>
      <c r="Z237" s="148">
        <f>IF($Y237&gt;0,VLOOKUP($J237,Ruimtegroepen[],3,FALSE)*VLOOKUP($L237,Vloersoorten[],3,FALSE)*VLOOKUP($X237,Frequenties[],3,FALSE)*VLOOKUP(Ruimtestaat[[#This Row],[Code]],Locaties[],3,FALSE),0)</f>
        <v>0</v>
      </c>
      <c r="AA237" s="148">
        <f>Ruimtestaat[[#This Row],[Uitvoeringen weekend]]*Ruimtestaat[[#This Row],[Oppervlak (netto)]]</f>
        <v>0</v>
      </c>
      <c r="AB237" s="148">
        <f>IF(Z237&gt;0,Ruimtestaat[[#This Row],[Prest. (m2 /jaar) weekend]]/Ruimtestaat[[#This Row],[Norm (m2/uur) weekend]],0)</f>
        <v>0</v>
      </c>
      <c r="AC237" s="180">
        <f>Ruimtestaat[[#This Row],[uren / jaar weekend]]*Tariefsopbouw!$D$40</f>
        <v>0</v>
      </c>
      <c r="AD237" s="179">
        <f>Ruimtestaat[[#This Row],[Prest. (m2 /jaar) weekend]]+Ruimtestaat[[#This Row],[Prest. (m2 /jaar) werkdagen]]</f>
        <v>11620</v>
      </c>
      <c r="AE237" s="179">
        <f>Ruimtestaat[[#This Row],[uren / jaar weekend]]+Ruimtestaat[[#This Row],[uren / jaar werkdagen]]</f>
        <v>0</v>
      </c>
      <c r="AF237" s="174">
        <f>Ruimtestaat[[#This Row],[kosten / jaar weekend]]+Ruimtestaat[[#This Row],[kosten / jaar werkdagen]]</f>
        <v>0</v>
      </c>
      <c r="AG237" s="174"/>
      <c r="AH237" s="181" t="str">
        <f>IF(Ruimtestaat[[#This Row],[Frequentie werkdagen]]="","",_xlfn.CONCAT(Ruimtestaat[[#This Row],[Ruimte code]],"-",Ruimtestaat[[#This Row],[Frequentie werkdagen]]," ",Ruimtestaat[[#This Row],[Vloer code]]))</f>
        <v>16-5w L</v>
      </c>
      <c r="AI237" s="185" t="str">
        <f>_xlfn.IFNA(VLOOKUP($AH237,Programma!$F$3:$G$1101,2,0),"")</f>
        <v>_</v>
      </c>
      <c r="AJ237" s="185" t="str">
        <f>_xlfn.IFNA(VLOOKUP($AH237,Programma!$F$3:$H$1101,3,0),"")</f>
        <v>_</v>
      </c>
      <c r="AK237" s="185" t="str">
        <f>_xlfn.IFNA(VLOOKUP($AH237,Programma!$F$3:$I$1101,4,0),"")</f>
        <v>4w</v>
      </c>
      <c r="AL237" s="185" t="str">
        <f>_xlfn.IFNA(VLOOKUP($AH237,Programma!$F$3:$J$1101,5,0),"")</f>
        <v>1w</v>
      </c>
      <c r="AM237" s="185" t="str">
        <f>_xlfn.IFNA(VLOOKUP($AH237,Programma!$F$3:$K$1101,6,0),"")</f>
        <v>_</v>
      </c>
      <c r="AN237" s="185" t="str">
        <f>_xlfn.IFNA(VLOOKUP($AH237,Programma!$F$3:$L$1101,7,0),"")</f>
        <v>_</v>
      </c>
      <c r="AO237" s="185" t="str">
        <f>_xlfn.IFNA(VLOOKUP($AH237,Programma!$F$3:$M$1101,8,0),"")</f>
        <v>_</v>
      </c>
      <c r="AP237" s="185" t="str">
        <f>_xlfn.IFNA(VLOOKUP($AH237,Programma!$F$3:$N$1101,9,0),"")</f>
        <v>_</v>
      </c>
      <c r="AQ237" s="185" t="str">
        <f>_xlfn.IFNA(VLOOKUP($AH237,Programma!$F$3:$O$1101,10,0),"")</f>
        <v>5w</v>
      </c>
      <c r="AR237" s="185" t="str">
        <f>_xlfn.IFNA(VLOOKUP($AH237,Programma!$F$3:$P$1101,11,0),"")</f>
        <v>5w</v>
      </c>
      <c r="AS237" s="185" t="str">
        <f>_xlfn.IFNA(VLOOKUP($AH237,Programma!$F$3:$Q$1101,12,0),"")</f>
        <v>1w</v>
      </c>
      <c r="AT237" s="185" t="str">
        <f>_xlfn.IFNA(VLOOKUP($AH237,Programma!$F$3:$R$1101,13,0),"")</f>
        <v>1w</v>
      </c>
      <c r="AU237" s="185" t="str">
        <f>_xlfn.IFNA(VLOOKUP($AH237,Programma!$F$3:$S$1101,14,0),"")</f>
        <v>1m</v>
      </c>
      <c r="AV237" s="185" t="str">
        <f>_xlfn.IFNA(VLOOKUP($AH237,Programma!$F$3:$T$1101,15,0),"")</f>
        <v>2j</v>
      </c>
      <c r="AW237" s="185" t="str">
        <f>_xlfn.IFNA(VLOOKUP($AH237,Programma!$F$3:$U$1101,16,0),"")</f>
        <v>1j</v>
      </c>
      <c r="AX237" s="185" t="str">
        <f>_xlfn.IFNA(VLOOKUP($AH237,Programma!$F$3:$V$1101,17,0),"")</f>
        <v>_</v>
      </c>
      <c r="AY237" s="185" t="str">
        <f>_xlfn.IFNA(VLOOKUP($AH237,Programma!$F$3:$W$1101,18,0),"")</f>
        <v>_</v>
      </c>
      <c r="AZ237" s="185" t="str">
        <f>_xlfn.IFNA(VLOOKUP($AH237,Programma!$F$3:$X$1101,19,0),"")</f>
        <v>_</v>
      </c>
      <c r="BA237" s="185" t="str">
        <f>_xlfn.IFNA(VLOOKUP($AH237,Programma!$F$3:$Y$1101,20,0),"")</f>
        <v>_</v>
      </c>
      <c r="BB237" s="182"/>
      <c r="BC237" s="181" t="str">
        <f>IF(Ruimtestaat[[#This Row],[Frequentie weekend]]="","",_xlfn.CONCAT(Ruimtestaat[[#This Row],[Ruimte code]],"-",Ruimtestaat[[#This Row],[Frequentie weekend]]," ",Ruimtestaat[[#This Row],[Vloer code]]))</f>
        <v/>
      </c>
      <c r="BD237" s="185" t="str">
        <f>_xlfn.IFNA(VLOOKUP($BC237,Programma!$F$3:$G$1101,2,0),"")</f>
        <v/>
      </c>
      <c r="BE237" s="185" t="str">
        <f>_xlfn.IFNA(VLOOKUP($BC237,Programma!$F$3:$H$1101,3,0),"")</f>
        <v/>
      </c>
      <c r="BF237" s="185" t="str">
        <f>_xlfn.IFNA(VLOOKUP($BC237,Programma!$F$3:$I$1101,4,0),"")</f>
        <v/>
      </c>
      <c r="BG237" s="185" t="str">
        <f>_xlfn.IFNA(VLOOKUP($BC237,Programma!$F$3:$J$1101,5,0),"")</f>
        <v/>
      </c>
      <c r="BH237" s="185" t="str">
        <f>_xlfn.IFNA(VLOOKUP($BC237,Programma!$F$3:$K$1101,6,0),"")</f>
        <v/>
      </c>
      <c r="BI237" s="185" t="str">
        <f>_xlfn.IFNA(VLOOKUP($BC237,Programma!$F$3:$L$1101,7,0),"")</f>
        <v/>
      </c>
      <c r="BJ237" s="185" t="str">
        <f>_xlfn.IFNA(VLOOKUP($BC237,Programma!$F$3:$M$1101,8,0),"")</f>
        <v/>
      </c>
      <c r="BK237" s="185" t="str">
        <f>_xlfn.IFNA(VLOOKUP($BC237,Programma!$F$3:$N$1101,9,0),"")</f>
        <v/>
      </c>
      <c r="BL237" s="185" t="str">
        <f>_xlfn.IFNA(VLOOKUP($BC237,Programma!$F$3:$O$1101,10,0),"")</f>
        <v/>
      </c>
      <c r="BM237" s="185" t="str">
        <f>_xlfn.IFNA(VLOOKUP($BC237,Programma!$F$3:$P$1101,11,0),"")</f>
        <v/>
      </c>
      <c r="BN237" s="185" t="str">
        <f>_xlfn.IFNA(VLOOKUP($BC237,Programma!$F$3:$Q$1101,12,0),"")</f>
        <v/>
      </c>
      <c r="BO237" s="185" t="str">
        <f>_xlfn.IFNA(VLOOKUP($BC237,Programma!$F$3:$R$1101,13,0),"")</f>
        <v/>
      </c>
      <c r="BP237" s="185" t="str">
        <f>_xlfn.IFNA(VLOOKUP($BC237,Programma!$F$3:$S$1101,14,0),"")</f>
        <v/>
      </c>
      <c r="BQ237" s="185" t="str">
        <f>_xlfn.IFNA(VLOOKUP($BC237,Programma!$F$3:$T$1101,15,0),"")</f>
        <v/>
      </c>
      <c r="BR237" s="185" t="str">
        <f>_xlfn.IFNA(VLOOKUP($BC237,Programma!$F$3:$U$1101,16,0),"")</f>
        <v/>
      </c>
      <c r="BS237" s="185" t="str">
        <f>_xlfn.IFNA(VLOOKUP($BC237,Programma!$F$3:$V$1101,17,0),"")</f>
        <v/>
      </c>
      <c r="BT237" s="185" t="str">
        <f>_xlfn.IFNA(VLOOKUP($BC237,Programma!$F$3:$W$1101,18,0),"")</f>
        <v/>
      </c>
      <c r="BU237" s="185" t="str">
        <f>_xlfn.IFNA(VLOOKUP($BC237,Programma!$F$3:$X$1101,19,0),"")</f>
        <v/>
      </c>
      <c r="BV237" s="185" t="str">
        <f>_xlfn.IFNA(VLOOKUP($BC237,Programma!$F$3:$Y$1101,20,0),"")</f>
        <v/>
      </c>
      <c r="BW237" s="78"/>
      <c r="BX237" s="78"/>
      <c r="BY237" s="78"/>
      <c r="BZ237" s="78"/>
      <c r="CA237" s="78"/>
      <c r="CB237" s="78"/>
      <c r="CC237" s="78"/>
      <c r="CD237" s="78"/>
      <c r="CE237" s="78"/>
      <c r="CF237" s="78"/>
      <c r="CG237" s="78"/>
      <c r="CH237" s="78"/>
      <c r="CI237" s="78"/>
      <c r="CJ237" s="78"/>
      <c r="CK237" s="78"/>
      <c r="CL237" s="78"/>
      <c r="CM237" s="78"/>
      <c r="CN237" s="78"/>
      <c r="CO237" s="78"/>
      <c r="CP237" s="78"/>
      <c r="CQ237" s="78"/>
      <c r="CR237" s="78"/>
      <c r="CS237" s="78"/>
      <c r="CT237" s="78"/>
      <c r="CU237" s="78"/>
      <c r="CV237" s="78"/>
      <c r="CW237" s="78"/>
      <c r="CX237" s="78"/>
      <c r="CY237" s="78"/>
      <c r="CZ237" s="78"/>
      <c r="DA237" s="78"/>
      <c r="DB237" s="78"/>
      <c r="DC237" s="78"/>
      <c r="DD237" s="78"/>
      <c r="DE237" s="78"/>
      <c r="DF237" s="78"/>
      <c r="DG237" s="78"/>
      <c r="DH237" s="78"/>
      <c r="DI237" s="78"/>
      <c r="DJ237" s="78"/>
      <c r="DK237" s="78"/>
      <c r="DL237" s="78"/>
      <c r="DM237" s="78"/>
      <c r="DN237" s="78"/>
      <c r="DO237" s="78"/>
      <c r="DP237" s="78"/>
      <c r="DQ237" s="78"/>
      <c r="DR237" s="78"/>
      <c r="DS237" s="78"/>
      <c r="DT237" s="78"/>
      <c r="DU237" s="78"/>
      <c r="DV237" s="78"/>
      <c r="DW237" s="78"/>
      <c r="DX237" s="78"/>
      <c r="DY237" s="78"/>
      <c r="DZ237" s="78"/>
      <c r="EA237" s="78"/>
      <c r="EB237" s="78"/>
      <c r="EC237" s="78"/>
      <c r="ED237" s="78"/>
      <c r="EE237" s="78"/>
      <c r="EF237" s="78"/>
      <c r="EG237" s="78"/>
      <c r="EH237" s="78"/>
      <c r="EI237" s="78"/>
      <c r="EJ237" s="78"/>
      <c r="EK237" s="78"/>
      <c r="EL237" s="78"/>
      <c r="EM237" s="78"/>
      <c r="EN237" s="78"/>
      <c r="EO237" s="78"/>
      <c r="EP237" s="78"/>
      <c r="EQ237" s="78"/>
      <c r="ER237" s="78"/>
      <c r="ES237" s="78"/>
      <c r="ET237" s="78"/>
      <c r="EU237" s="78"/>
      <c r="EV237" s="78"/>
      <c r="EW237" s="78"/>
      <c r="EX237" s="78"/>
      <c r="EY237" s="78"/>
      <c r="EZ237" s="78"/>
      <c r="FA237" s="78"/>
      <c r="FB237" s="78"/>
      <c r="FC237" s="78"/>
      <c r="FD237" s="78"/>
      <c r="FE237" s="78"/>
      <c r="FF237" s="78"/>
      <c r="FG237" s="78"/>
      <c r="FH237" s="78"/>
      <c r="FI237" s="78"/>
      <c r="FJ237" s="78"/>
      <c r="FK237" s="78"/>
      <c r="FL237" s="78"/>
      <c r="FM237" s="78"/>
      <c r="FN237" s="78"/>
      <c r="FO237" s="78"/>
      <c r="FP237" s="78"/>
      <c r="FQ237" s="78"/>
      <c r="FR237" s="78"/>
      <c r="FS237" s="78"/>
      <c r="FT237" s="78"/>
      <c r="FU237" s="78"/>
      <c r="FV237" s="78"/>
      <c r="FW237" s="78"/>
      <c r="FX237" s="78"/>
      <c r="FY237" s="78"/>
      <c r="FZ237" s="78"/>
      <c r="GA237" s="78"/>
      <c r="GB237" s="78"/>
      <c r="GC237" s="78"/>
      <c r="GD237" s="78"/>
      <c r="GE237" s="78"/>
      <c r="GF237" s="78"/>
      <c r="GG237" s="78"/>
      <c r="GH237" s="78"/>
      <c r="GI237" s="78"/>
      <c r="GJ237" s="78"/>
      <c r="GK237" s="78"/>
      <c r="GL237" s="78"/>
      <c r="GM237" s="78"/>
      <c r="GN237" s="78"/>
      <c r="GO237" s="78"/>
      <c r="GP237" s="78"/>
      <c r="GQ237" s="78"/>
      <c r="GR237" s="78"/>
      <c r="GS237" s="78"/>
      <c r="GT237" s="78"/>
      <c r="GU237" s="78"/>
      <c r="GV237" s="78"/>
      <c r="GW237" s="78"/>
      <c r="GX237" s="78"/>
      <c r="GY237" s="78"/>
      <c r="GZ237" s="78"/>
      <c r="HA237" s="78"/>
      <c r="HB237" s="78"/>
      <c r="HC237" s="78"/>
      <c r="HD237" s="78"/>
      <c r="HE237" s="78"/>
      <c r="HF237" s="78"/>
      <c r="HG237" s="78"/>
      <c r="HH237" s="78"/>
      <c r="HI237" s="78"/>
      <c r="HJ237" s="78"/>
      <c r="HK237" s="78"/>
    </row>
    <row r="238" spans="1:219" ht="15" customHeight="1">
      <c r="A238" s="99">
        <v>8</v>
      </c>
      <c r="B238" s="176" t="str">
        <f>VLOOKUP(Ruimtestaat[[#This Row],[Code]],Locaties[[Code]:[Locatie]],2,FALSE)</f>
        <v>OBS Roombeek</v>
      </c>
      <c r="C238" s="176" t="str">
        <f>VLOOKUP(Ruimtestaat[[#This Row],[Code]],Locaties[[#All],[Code]:[Adres]],4,FALSE)</f>
        <v>Bosuilstraat 3</v>
      </c>
      <c r="D238" s="176" t="str">
        <f>VLOOKUP(Ruimtestaat[[#This Row],[Code]],Locaties[[#All],[Code]:[Postcode]],5,FALSE)</f>
        <v>7523 BJ</v>
      </c>
      <c r="E238" s="176" t="str">
        <f>VLOOKUP(Ruimtestaat[[#This Row],[Code]],Locaties[#All],6,FALSE)</f>
        <v>Enschede</v>
      </c>
      <c r="F238" s="149"/>
      <c r="G238" s="149"/>
      <c r="H238" s="99" t="s">
        <v>1777</v>
      </c>
      <c r="I238" s="183" t="s">
        <v>1683</v>
      </c>
      <c r="J238" s="99">
        <v>20</v>
      </c>
      <c r="K238" s="183" t="str">
        <f>VLOOKUP(Ruimtestaat[[#This Row],[Ruimte code]],Ruimtegroepen[[#All],[Code]:[Ruimte omschrijving]],2,FALSE)</f>
        <v>Niet in Onderhoud</v>
      </c>
      <c r="L238" s="149" t="s">
        <v>101</v>
      </c>
      <c r="M238" s="301" t="s">
        <v>1698</v>
      </c>
      <c r="N238" s="177"/>
      <c r="O238" s="177">
        <v>0</v>
      </c>
      <c r="P238" s="178">
        <f>VLOOKUP(Ruimtestaat[[#This Row],[Ruimte code]],Ruimtegroepen[],4,FALSE)</f>
        <v>0</v>
      </c>
      <c r="Q238" s="149"/>
      <c r="R238" s="149"/>
      <c r="S238" s="149">
        <f>IF(Q238&gt;0,IF(RIGHT(Ruimtestaat[[#This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38" s="149">
        <f>IF(S238&gt;0,VLOOKUP($J238,Ruimtegroepen[],3,FALSE)*VLOOKUP($L238,Vloersoorten[],3,FALSE)*VLOOKUP($R238,Frequenties[],3,FALSE)*VLOOKUP($A238,Locaties[],3,FALSE),0)</f>
        <v>0</v>
      </c>
      <c r="U238" s="149">
        <f>Ruimtestaat[[#This Row],[Uitvoeringen werkdagen]]*Ruimtestaat[[#This Row],[Oppervlak (netto)]]</f>
        <v>0</v>
      </c>
      <c r="V238" s="179">
        <f>IF(T238&gt;0,Ruimtestaat[[#This Row],[Prest. (m2 /jaar) werkdagen]]/Ruimtestaat[[#This Row],[Norm (m2/uur) werkdagen]],0)</f>
        <v>0</v>
      </c>
      <c r="W238" s="180">
        <f>Ruimtestaat[[#This Row],[uren / jaar werkdagen]]*Tariefsopbouw!$E$35</f>
        <v>0</v>
      </c>
      <c r="X238" s="149"/>
      <c r="Y238" s="149">
        <f>IF(Ruimtestaat[[#This Row],[Frequentie weekend]]&gt;0,VALUE(LEFT(X238,1))*Q238,0)</f>
        <v>0</v>
      </c>
      <c r="Z238" s="148">
        <f>IF($Y238&gt;0,VLOOKUP($J238,Ruimtegroepen[],3,FALSE)*VLOOKUP($L238,Vloersoorten[],3,FALSE)*VLOOKUP($X238,Frequenties[],3,FALSE)*VLOOKUP(Ruimtestaat[[#This Row],[Code]],Locaties[],3,FALSE),0)</f>
        <v>0</v>
      </c>
      <c r="AA238" s="148">
        <f>Ruimtestaat[[#This Row],[Uitvoeringen weekend]]*Ruimtestaat[[#This Row],[Oppervlak (netto)]]</f>
        <v>0</v>
      </c>
      <c r="AB238" s="148">
        <f>IF(Z238&gt;0,Ruimtestaat[[#This Row],[Prest. (m2 /jaar) weekend]]/Ruimtestaat[[#This Row],[Norm (m2/uur) weekend]],0)</f>
        <v>0</v>
      </c>
      <c r="AC238" s="180">
        <f>Ruimtestaat[[#This Row],[uren / jaar weekend]]*Tariefsopbouw!$D$40</f>
        <v>0</v>
      </c>
      <c r="AD238" s="179">
        <f>Ruimtestaat[[#This Row],[Prest. (m2 /jaar) weekend]]+Ruimtestaat[[#This Row],[Prest. (m2 /jaar) werkdagen]]</f>
        <v>0</v>
      </c>
      <c r="AE238" s="179">
        <f>Ruimtestaat[[#This Row],[uren / jaar weekend]]+Ruimtestaat[[#This Row],[uren / jaar werkdagen]]</f>
        <v>0</v>
      </c>
      <c r="AF238" s="174">
        <f>Ruimtestaat[[#This Row],[kosten / jaar weekend]]+Ruimtestaat[[#This Row],[kosten / jaar werkdagen]]</f>
        <v>0</v>
      </c>
      <c r="AG238" s="174"/>
      <c r="AH238" s="181" t="str">
        <f>IF(Ruimtestaat[[#This Row],[Frequentie werkdagen]]="","",_xlfn.CONCAT(Ruimtestaat[[#This Row],[Ruimte code]],"-",Ruimtestaat[[#This Row],[Frequentie werkdagen]]," ",Ruimtestaat[[#This Row],[Vloer code]]))</f>
        <v/>
      </c>
      <c r="AI238" s="185" t="str">
        <f>_xlfn.IFNA(VLOOKUP($AH238,Programma!$F$3:$G$1101,2,0),"")</f>
        <v/>
      </c>
      <c r="AJ238" s="185" t="str">
        <f>_xlfn.IFNA(VLOOKUP($AH238,Programma!$F$3:$H$1101,3,0),"")</f>
        <v/>
      </c>
      <c r="AK238" s="185" t="str">
        <f>_xlfn.IFNA(VLOOKUP($AH238,Programma!$F$3:$I$1101,4,0),"")</f>
        <v/>
      </c>
      <c r="AL238" s="185" t="str">
        <f>_xlfn.IFNA(VLOOKUP($AH238,Programma!$F$3:$J$1101,5,0),"")</f>
        <v/>
      </c>
      <c r="AM238" s="185" t="str">
        <f>_xlfn.IFNA(VLOOKUP($AH238,Programma!$F$3:$K$1101,6,0),"")</f>
        <v/>
      </c>
      <c r="AN238" s="185" t="str">
        <f>_xlfn.IFNA(VLOOKUP($AH238,Programma!$F$3:$L$1101,7,0),"")</f>
        <v/>
      </c>
      <c r="AO238" s="185" t="str">
        <f>_xlfn.IFNA(VLOOKUP($AH238,Programma!$F$3:$M$1101,8,0),"")</f>
        <v/>
      </c>
      <c r="AP238" s="185" t="str">
        <f>_xlfn.IFNA(VLOOKUP($AH238,Programma!$F$3:$N$1101,9,0),"")</f>
        <v/>
      </c>
      <c r="AQ238" s="185" t="str">
        <f>_xlfn.IFNA(VLOOKUP($AH238,Programma!$F$3:$O$1101,10,0),"")</f>
        <v/>
      </c>
      <c r="AR238" s="185" t="str">
        <f>_xlfn.IFNA(VLOOKUP($AH238,Programma!$F$3:$P$1101,11,0),"")</f>
        <v/>
      </c>
      <c r="AS238" s="185" t="str">
        <f>_xlfn.IFNA(VLOOKUP($AH238,Programma!$F$3:$Q$1101,12,0),"")</f>
        <v/>
      </c>
      <c r="AT238" s="185" t="str">
        <f>_xlfn.IFNA(VLOOKUP($AH238,Programma!$F$3:$R$1101,13,0),"")</f>
        <v/>
      </c>
      <c r="AU238" s="185" t="str">
        <f>_xlfn.IFNA(VLOOKUP($AH238,Programma!$F$3:$S$1101,14,0),"")</f>
        <v/>
      </c>
      <c r="AV238" s="185" t="str">
        <f>_xlfn.IFNA(VLOOKUP($AH238,Programma!$F$3:$T$1101,15,0),"")</f>
        <v/>
      </c>
      <c r="AW238" s="185" t="str">
        <f>_xlfn.IFNA(VLOOKUP($AH238,Programma!$F$3:$U$1101,16,0),"")</f>
        <v/>
      </c>
      <c r="AX238" s="185" t="str">
        <f>_xlfn.IFNA(VLOOKUP($AH238,Programma!$F$3:$V$1101,17,0),"")</f>
        <v/>
      </c>
      <c r="AY238" s="185" t="str">
        <f>_xlfn.IFNA(VLOOKUP($AH238,Programma!$F$3:$W$1101,18,0),"")</f>
        <v/>
      </c>
      <c r="AZ238" s="185" t="str">
        <f>_xlfn.IFNA(VLOOKUP($AH238,Programma!$F$3:$X$1101,19,0),"")</f>
        <v/>
      </c>
      <c r="BA238" s="185" t="str">
        <f>_xlfn.IFNA(VLOOKUP($AH238,Programma!$F$3:$Y$1101,20,0),"")</f>
        <v/>
      </c>
      <c r="BB238" s="182"/>
      <c r="BC238" s="181" t="str">
        <f>IF(Ruimtestaat[[#This Row],[Frequentie weekend]]="","",_xlfn.CONCAT(Ruimtestaat[[#This Row],[Ruimte code]],"-",Ruimtestaat[[#This Row],[Frequentie weekend]]," ",Ruimtestaat[[#This Row],[Vloer code]]))</f>
        <v/>
      </c>
      <c r="BD238" s="185" t="str">
        <f>_xlfn.IFNA(VLOOKUP($BC238,Programma!$F$3:$G$1101,2,0),"")</f>
        <v/>
      </c>
      <c r="BE238" s="185" t="str">
        <f>_xlfn.IFNA(VLOOKUP($BC238,Programma!$F$3:$H$1101,3,0),"")</f>
        <v/>
      </c>
      <c r="BF238" s="185" t="str">
        <f>_xlfn.IFNA(VLOOKUP($BC238,Programma!$F$3:$I$1101,4,0),"")</f>
        <v/>
      </c>
      <c r="BG238" s="185" t="str">
        <f>_xlfn.IFNA(VLOOKUP($BC238,Programma!$F$3:$J$1101,5,0),"")</f>
        <v/>
      </c>
      <c r="BH238" s="185" t="str">
        <f>_xlfn.IFNA(VLOOKUP($BC238,Programma!$F$3:$K$1101,6,0),"")</f>
        <v/>
      </c>
      <c r="BI238" s="185" t="str">
        <f>_xlfn.IFNA(VLOOKUP($BC238,Programma!$F$3:$L$1101,7,0),"")</f>
        <v/>
      </c>
      <c r="BJ238" s="185" t="str">
        <f>_xlfn.IFNA(VLOOKUP($BC238,Programma!$F$3:$M$1101,8,0),"")</f>
        <v/>
      </c>
      <c r="BK238" s="185" t="str">
        <f>_xlfn.IFNA(VLOOKUP($BC238,Programma!$F$3:$N$1101,9,0),"")</f>
        <v/>
      </c>
      <c r="BL238" s="185" t="str">
        <f>_xlfn.IFNA(VLOOKUP($BC238,Programma!$F$3:$O$1101,10,0),"")</f>
        <v/>
      </c>
      <c r="BM238" s="185" t="str">
        <f>_xlfn.IFNA(VLOOKUP($BC238,Programma!$F$3:$P$1101,11,0),"")</f>
        <v/>
      </c>
      <c r="BN238" s="185" t="str">
        <f>_xlfn.IFNA(VLOOKUP($BC238,Programma!$F$3:$Q$1101,12,0),"")</f>
        <v/>
      </c>
      <c r="BO238" s="185" t="str">
        <f>_xlfn.IFNA(VLOOKUP($BC238,Programma!$F$3:$R$1101,13,0),"")</f>
        <v/>
      </c>
      <c r="BP238" s="185" t="str">
        <f>_xlfn.IFNA(VLOOKUP($BC238,Programma!$F$3:$S$1101,14,0),"")</f>
        <v/>
      </c>
      <c r="BQ238" s="185" t="str">
        <f>_xlfn.IFNA(VLOOKUP($BC238,Programma!$F$3:$T$1101,15,0),"")</f>
        <v/>
      </c>
      <c r="BR238" s="185" t="str">
        <f>_xlfn.IFNA(VLOOKUP($BC238,Programma!$F$3:$U$1101,16,0),"")</f>
        <v/>
      </c>
      <c r="BS238" s="185" t="str">
        <f>_xlfn.IFNA(VLOOKUP($BC238,Programma!$F$3:$V$1101,17,0),"")</f>
        <v/>
      </c>
      <c r="BT238" s="185" t="str">
        <f>_xlfn.IFNA(VLOOKUP($BC238,Programma!$F$3:$W$1101,18,0),"")</f>
        <v/>
      </c>
      <c r="BU238" s="185" t="str">
        <f>_xlfn.IFNA(VLOOKUP($BC238,Programma!$F$3:$X$1101,19,0),"")</f>
        <v/>
      </c>
      <c r="BV238" s="185" t="str">
        <f>_xlfn.IFNA(VLOOKUP($BC238,Programma!$F$3:$Y$1101,20,0),"")</f>
        <v/>
      </c>
      <c r="BW238" s="78"/>
      <c r="BX238" s="78"/>
      <c r="BY238" s="78"/>
      <c r="BZ238" s="78"/>
      <c r="CA238" s="78"/>
      <c r="CB238" s="78"/>
      <c r="CC238" s="78"/>
      <c r="CD238" s="78"/>
      <c r="CE238" s="78"/>
      <c r="CF238" s="78"/>
      <c r="CG238" s="78"/>
      <c r="CH238" s="78"/>
      <c r="CI238" s="78"/>
      <c r="CJ238" s="78"/>
      <c r="CK238" s="78"/>
      <c r="CL238" s="78"/>
      <c r="CM238" s="78"/>
      <c r="CN238" s="78"/>
      <c r="CO238" s="78"/>
      <c r="CP238" s="78"/>
      <c r="CQ238" s="78"/>
      <c r="CR238" s="78"/>
      <c r="CS238" s="78"/>
      <c r="CT238" s="78"/>
      <c r="CU238" s="78"/>
      <c r="CV238" s="78"/>
      <c r="CW238" s="78"/>
      <c r="CX238" s="78"/>
      <c r="CY238" s="78"/>
      <c r="CZ238" s="78"/>
      <c r="DA238" s="78"/>
      <c r="DB238" s="78"/>
      <c r="DC238" s="78"/>
      <c r="DD238" s="78"/>
      <c r="DE238" s="78"/>
      <c r="DF238" s="78"/>
      <c r="DG238" s="78"/>
      <c r="DH238" s="78"/>
      <c r="DI238" s="78"/>
      <c r="DJ238" s="78"/>
      <c r="DK238" s="78"/>
      <c r="DL238" s="78"/>
      <c r="DM238" s="78"/>
      <c r="DN238" s="78"/>
      <c r="DO238" s="78"/>
      <c r="DP238" s="78"/>
      <c r="DQ238" s="78"/>
      <c r="DR238" s="78"/>
      <c r="DS238" s="78"/>
      <c r="DT238" s="78"/>
      <c r="DU238" s="78"/>
      <c r="DV238" s="78"/>
      <c r="DW238" s="78"/>
      <c r="DX238" s="78"/>
      <c r="DY238" s="78"/>
      <c r="DZ238" s="78"/>
      <c r="EA238" s="78"/>
      <c r="EB238" s="78"/>
      <c r="EC238" s="78"/>
      <c r="ED238" s="78"/>
      <c r="EE238" s="78"/>
      <c r="EF238" s="78"/>
      <c r="EG238" s="78"/>
      <c r="EH238" s="78"/>
      <c r="EI238" s="78"/>
      <c r="EJ238" s="78"/>
      <c r="EK238" s="78"/>
      <c r="EL238" s="78"/>
      <c r="EM238" s="78"/>
      <c r="EN238" s="78"/>
      <c r="EO238" s="78"/>
      <c r="EP238" s="78"/>
      <c r="EQ238" s="78"/>
      <c r="ER238" s="78"/>
      <c r="ES238" s="78"/>
      <c r="ET238" s="78"/>
      <c r="EU238" s="78"/>
      <c r="EV238" s="78"/>
      <c r="EW238" s="78"/>
      <c r="EX238" s="78"/>
      <c r="EY238" s="78"/>
      <c r="EZ238" s="78"/>
      <c r="FA238" s="78"/>
      <c r="FB238" s="78"/>
      <c r="FC238" s="78"/>
      <c r="FD238" s="78"/>
      <c r="FE238" s="78"/>
      <c r="FF238" s="78"/>
      <c r="FG238" s="78"/>
      <c r="FH238" s="78"/>
      <c r="FI238" s="78"/>
      <c r="FJ238" s="78"/>
      <c r="FK238" s="78"/>
      <c r="FL238" s="78"/>
      <c r="FM238" s="78"/>
      <c r="FN238" s="78"/>
      <c r="FO238" s="78"/>
      <c r="FP238" s="78"/>
      <c r="FQ238" s="78"/>
      <c r="FR238" s="78"/>
      <c r="FS238" s="78"/>
      <c r="FT238" s="78"/>
      <c r="FU238" s="78"/>
      <c r="FV238" s="78"/>
      <c r="FW238" s="78"/>
      <c r="FX238" s="78"/>
      <c r="FY238" s="78"/>
      <c r="FZ238" s="78"/>
      <c r="GA238" s="78"/>
      <c r="GB238" s="78"/>
      <c r="GC238" s="78"/>
      <c r="GD238" s="78"/>
      <c r="GE238" s="78"/>
      <c r="GF238" s="78"/>
      <c r="GG238" s="78"/>
      <c r="GH238" s="78"/>
      <c r="GI238" s="78"/>
      <c r="GJ238" s="78"/>
      <c r="GK238" s="78"/>
      <c r="GL238" s="78"/>
      <c r="GM238" s="78"/>
      <c r="GN238" s="78"/>
      <c r="GO238" s="78"/>
      <c r="GP238" s="78"/>
      <c r="GQ238" s="78"/>
      <c r="GR238" s="78"/>
      <c r="GS238" s="78"/>
      <c r="GT238" s="78"/>
      <c r="GU238" s="78"/>
      <c r="GV238" s="78"/>
      <c r="GW238" s="78"/>
      <c r="GX238" s="78"/>
      <c r="GY238" s="78"/>
      <c r="GZ238" s="78"/>
      <c r="HA238" s="78"/>
      <c r="HB238" s="78"/>
      <c r="HC238" s="78"/>
      <c r="HD238" s="78"/>
      <c r="HE238" s="78"/>
      <c r="HF238" s="78"/>
      <c r="HG238" s="78"/>
      <c r="HH238" s="78"/>
      <c r="HI238" s="78"/>
      <c r="HJ238" s="78"/>
      <c r="HK238" s="78"/>
    </row>
    <row r="239" spans="1:219" ht="15" customHeight="1">
      <c r="A239" s="99">
        <v>8</v>
      </c>
      <c r="B239" s="176" t="str">
        <f>VLOOKUP(Ruimtestaat[[#This Row],[Code]],Locaties[[Code]:[Locatie]],2,FALSE)</f>
        <v>OBS Roombeek</v>
      </c>
      <c r="C239" s="176" t="str">
        <f>VLOOKUP(Ruimtestaat[[#This Row],[Code]],Locaties[[#All],[Code]:[Adres]],4,FALSE)</f>
        <v>Bosuilstraat 3</v>
      </c>
      <c r="D239" s="176" t="str">
        <f>VLOOKUP(Ruimtestaat[[#This Row],[Code]],Locaties[[#All],[Code]:[Postcode]],5,FALSE)</f>
        <v>7523 BJ</v>
      </c>
      <c r="E239" s="176" t="str">
        <f>VLOOKUP(Ruimtestaat[[#This Row],[Code]],Locaties[#All],6,FALSE)</f>
        <v>Enschede</v>
      </c>
      <c r="F239" s="149"/>
      <c r="G239" s="149"/>
      <c r="H239" s="99" t="s">
        <v>1778</v>
      </c>
      <c r="I239" s="183" t="s">
        <v>1684</v>
      </c>
      <c r="J239" s="99">
        <v>5</v>
      </c>
      <c r="K239" s="183" t="str">
        <f>VLOOKUP(Ruimtestaat[[#This Row],[Ruimte code]],Ruimtegroepen[[#All],[Code]:[Ruimte omschrijving]],2,FALSE)</f>
        <v>Sanitair</v>
      </c>
      <c r="L239" s="149" t="s">
        <v>101</v>
      </c>
      <c r="M239" s="301" t="s">
        <v>119</v>
      </c>
      <c r="N239" s="177">
        <v>6</v>
      </c>
      <c r="O239" s="177"/>
      <c r="P239" s="178" t="str">
        <f>VLOOKUP(Ruimtestaat[[#This Row],[Ruimte code]],Ruimtegroepen[],4,FALSE)</f>
        <v>Sa</v>
      </c>
      <c r="Q239" s="149">
        <v>40</v>
      </c>
      <c r="R239" s="149" t="s">
        <v>2</v>
      </c>
      <c r="S239" s="149">
        <f>IF(Q239&gt;0,IF(RIGHT(Ruimtestaat[[#This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9" s="149">
        <f>IF(S239&gt;0,VLOOKUP($J239,Ruimtegroepen[],3,FALSE)*VLOOKUP($L239,Vloersoorten[],3,FALSE)*VLOOKUP($R239,Frequenties[],3,FALSE)*VLOOKUP($A239,Locaties[],3,FALSE),0)</f>
        <v>0</v>
      </c>
      <c r="U239" s="149">
        <f>Ruimtestaat[[#This Row],[Uitvoeringen werkdagen]]*Ruimtestaat[[#This Row],[Oppervlak (netto)]]</f>
        <v>1200</v>
      </c>
      <c r="V239" s="179">
        <f>IF(T239&gt;0,Ruimtestaat[[#This Row],[Prest. (m2 /jaar) werkdagen]]/Ruimtestaat[[#This Row],[Norm (m2/uur) werkdagen]],0)</f>
        <v>0</v>
      </c>
      <c r="W239" s="180">
        <f>Ruimtestaat[[#This Row],[uren / jaar werkdagen]]*Tariefsopbouw!$E$35</f>
        <v>0</v>
      </c>
      <c r="X239" s="149"/>
      <c r="Y239" s="149">
        <f>IF(Ruimtestaat[[#This Row],[Frequentie weekend]]&gt;0,VALUE(LEFT(X239,1))*Q239,0)</f>
        <v>0</v>
      </c>
      <c r="Z239" s="148">
        <f>IF($Y239&gt;0,VLOOKUP($J239,Ruimtegroepen[],3,FALSE)*VLOOKUP($L239,Vloersoorten[],3,FALSE)*VLOOKUP($X239,Frequenties[],3,FALSE)*VLOOKUP(Ruimtestaat[[#This Row],[Code]],Locaties[],3,FALSE),0)</f>
        <v>0</v>
      </c>
      <c r="AA239" s="148">
        <f>Ruimtestaat[[#This Row],[Uitvoeringen weekend]]*Ruimtestaat[[#This Row],[Oppervlak (netto)]]</f>
        <v>0</v>
      </c>
      <c r="AB239" s="148">
        <f>IF(Z239&gt;0,Ruimtestaat[[#This Row],[Prest. (m2 /jaar) weekend]]/Ruimtestaat[[#This Row],[Norm (m2/uur) weekend]],0)</f>
        <v>0</v>
      </c>
      <c r="AC239" s="180">
        <f>Ruimtestaat[[#This Row],[uren / jaar weekend]]*Tariefsopbouw!$D$40</f>
        <v>0</v>
      </c>
      <c r="AD239" s="179">
        <f>Ruimtestaat[[#This Row],[Prest. (m2 /jaar) weekend]]+Ruimtestaat[[#This Row],[Prest. (m2 /jaar) werkdagen]]</f>
        <v>1200</v>
      </c>
      <c r="AE239" s="179">
        <f>Ruimtestaat[[#This Row],[uren / jaar weekend]]+Ruimtestaat[[#This Row],[uren / jaar werkdagen]]</f>
        <v>0</v>
      </c>
      <c r="AF239" s="174">
        <f>Ruimtestaat[[#This Row],[kosten / jaar weekend]]+Ruimtestaat[[#This Row],[kosten / jaar werkdagen]]</f>
        <v>0</v>
      </c>
      <c r="AG239" s="174"/>
      <c r="AH239" s="181" t="str">
        <f>IF(Ruimtestaat[[#This Row],[Frequentie werkdagen]]="","",_xlfn.CONCAT(Ruimtestaat[[#This Row],[Ruimte code]],"-",Ruimtestaat[[#This Row],[Frequentie werkdagen]]," ",Ruimtestaat[[#This Row],[Vloer code]]))</f>
        <v>5-5w S</v>
      </c>
      <c r="AI239" s="185" t="str">
        <f>_xlfn.IFNA(VLOOKUP($AH239,Programma!$F$3:$G$1101,2,0),"")</f>
        <v>_</v>
      </c>
      <c r="AJ239" s="185" t="str">
        <f>_xlfn.IFNA(VLOOKUP($AH239,Programma!$F$3:$H$1101,3,0),"")</f>
        <v>_</v>
      </c>
      <c r="AK239" s="185" t="str">
        <f>_xlfn.IFNA(VLOOKUP($AH239,Programma!$F$3:$I$1101,4,0),"")</f>
        <v>_</v>
      </c>
      <c r="AL239" s="185" t="str">
        <f>_xlfn.IFNA(VLOOKUP($AH239,Programma!$F$3:$J$1101,5,0),"")</f>
        <v>4w</v>
      </c>
      <c r="AM239" s="185" t="str">
        <f>_xlfn.IFNA(VLOOKUP($AH239,Programma!$F$3:$K$1101,6,0),"")</f>
        <v>1w</v>
      </c>
      <c r="AN239" s="185" t="str">
        <f>_xlfn.IFNA(VLOOKUP($AH239,Programma!$F$3:$L$1101,7,0),"")</f>
        <v>_</v>
      </c>
      <c r="AO239" s="185" t="str">
        <f>_xlfn.IFNA(VLOOKUP($AH239,Programma!$F$3:$M$1101,8,0),"")</f>
        <v>_</v>
      </c>
      <c r="AP239" s="185" t="str">
        <f>_xlfn.IFNA(VLOOKUP($AH239,Programma!$F$3:$N$1101,9,0),"")</f>
        <v>_</v>
      </c>
      <c r="AQ239" s="185" t="str">
        <f>_xlfn.IFNA(VLOOKUP($AH239,Programma!$F$3:$O$1101,10,0),"")</f>
        <v>_</v>
      </c>
      <c r="AR239" s="185" t="str">
        <f>_xlfn.IFNA(VLOOKUP($AH239,Programma!$F$3:$P$1101,11,0),"")</f>
        <v>_</v>
      </c>
      <c r="AS239" s="185" t="str">
        <f>_xlfn.IFNA(VLOOKUP($AH239,Programma!$F$3:$Q$1101,12,0),"")</f>
        <v>_</v>
      </c>
      <c r="AT239" s="185" t="str">
        <f>_xlfn.IFNA(VLOOKUP($AH239,Programma!$F$3:$R$1101,13,0),"")</f>
        <v>_</v>
      </c>
      <c r="AU239" s="185" t="str">
        <f>_xlfn.IFNA(VLOOKUP($AH239,Programma!$F$3:$S$1101,14,0),"")</f>
        <v>_</v>
      </c>
      <c r="AV239" s="185" t="str">
        <f>_xlfn.IFNA(VLOOKUP($AH239,Programma!$F$3:$T$1101,15,0),"")</f>
        <v>_</v>
      </c>
      <c r="AW239" s="185" t="str">
        <f>_xlfn.IFNA(VLOOKUP($AH239,Programma!$F$3:$U$1101,16,0),"")</f>
        <v>_</v>
      </c>
      <c r="AX239" s="185" t="str">
        <f>_xlfn.IFNA(VLOOKUP($AH239,Programma!$F$3:$V$1101,17,0),"")</f>
        <v>_</v>
      </c>
      <c r="AY239" s="185" t="str">
        <f>_xlfn.IFNA(VLOOKUP($AH239,Programma!$F$3:$W$1101,18,0),"")</f>
        <v>4w</v>
      </c>
      <c r="AZ239" s="185" t="str">
        <f>_xlfn.IFNA(VLOOKUP($AH239,Programma!$F$3:$X$1101,19,0),"")</f>
        <v>1w</v>
      </c>
      <c r="BA239" s="185" t="str">
        <f>_xlfn.IFNA(VLOOKUP($AH239,Programma!$F$3:$Y$1101,20,0),"")</f>
        <v>_</v>
      </c>
      <c r="BB239" s="182"/>
      <c r="BC239" s="181" t="str">
        <f>IF(Ruimtestaat[[#This Row],[Frequentie weekend]]="","",_xlfn.CONCAT(Ruimtestaat[[#This Row],[Ruimte code]],"-",Ruimtestaat[[#This Row],[Frequentie weekend]]," ",Ruimtestaat[[#This Row],[Vloer code]]))</f>
        <v/>
      </c>
      <c r="BD239" s="185" t="str">
        <f>_xlfn.IFNA(VLOOKUP($BC239,Programma!$F$3:$G$1101,2,0),"")</f>
        <v/>
      </c>
      <c r="BE239" s="185" t="str">
        <f>_xlfn.IFNA(VLOOKUP($BC239,Programma!$F$3:$H$1101,3,0),"")</f>
        <v/>
      </c>
      <c r="BF239" s="185" t="str">
        <f>_xlfn.IFNA(VLOOKUP($BC239,Programma!$F$3:$I$1101,4,0),"")</f>
        <v/>
      </c>
      <c r="BG239" s="185" t="str">
        <f>_xlfn.IFNA(VLOOKUP($BC239,Programma!$F$3:$J$1101,5,0),"")</f>
        <v/>
      </c>
      <c r="BH239" s="185" t="str">
        <f>_xlfn.IFNA(VLOOKUP($BC239,Programma!$F$3:$K$1101,6,0),"")</f>
        <v/>
      </c>
      <c r="BI239" s="185" t="str">
        <f>_xlfn.IFNA(VLOOKUP($BC239,Programma!$F$3:$L$1101,7,0),"")</f>
        <v/>
      </c>
      <c r="BJ239" s="185" t="str">
        <f>_xlfn.IFNA(VLOOKUP($BC239,Programma!$F$3:$M$1101,8,0),"")</f>
        <v/>
      </c>
      <c r="BK239" s="185" t="str">
        <f>_xlfn.IFNA(VLOOKUP($BC239,Programma!$F$3:$N$1101,9,0),"")</f>
        <v/>
      </c>
      <c r="BL239" s="185" t="str">
        <f>_xlfn.IFNA(VLOOKUP($BC239,Programma!$F$3:$O$1101,10,0),"")</f>
        <v/>
      </c>
      <c r="BM239" s="185" t="str">
        <f>_xlfn.IFNA(VLOOKUP($BC239,Programma!$F$3:$P$1101,11,0),"")</f>
        <v/>
      </c>
      <c r="BN239" s="185" t="str">
        <f>_xlfn.IFNA(VLOOKUP($BC239,Programma!$F$3:$Q$1101,12,0),"")</f>
        <v/>
      </c>
      <c r="BO239" s="185" t="str">
        <f>_xlfn.IFNA(VLOOKUP($BC239,Programma!$F$3:$R$1101,13,0),"")</f>
        <v/>
      </c>
      <c r="BP239" s="185" t="str">
        <f>_xlfn.IFNA(VLOOKUP($BC239,Programma!$F$3:$S$1101,14,0),"")</f>
        <v/>
      </c>
      <c r="BQ239" s="185" t="str">
        <f>_xlfn.IFNA(VLOOKUP($BC239,Programma!$F$3:$T$1101,15,0),"")</f>
        <v/>
      </c>
      <c r="BR239" s="185" t="str">
        <f>_xlfn.IFNA(VLOOKUP($BC239,Programma!$F$3:$U$1101,16,0),"")</f>
        <v/>
      </c>
      <c r="BS239" s="185" t="str">
        <f>_xlfn.IFNA(VLOOKUP($BC239,Programma!$F$3:$V$1101,17,0),"")</f>
        <v/>
      </c>
      <c r="BT239" s="185" t="str">
        <f>_xlfn.IFNA(VLOOKUP($BC239,Programma!$F$3:$W$1101,18,0),"")</f>
        <v/>
      </c>
      <c r="BU239" s="185" t="str">
        <f>_xlfn.IFNA(VLOOKUP($BC239,Programma!$F$3:$X$1101,19,0),"")</f>
        <v/>
      </c>
      <c r="BV239" s="185" t="str">
        <f>_xlfn.IFNA(VLOOKUP($BC239,Programma!$F$3:$Y$1101,20,0),"")</f>
        <v/>
      </c>
      <c r="BW239" s="78"/>
      <c r="BX239" s="78"/>
      <c r="BY239" s="78"/>
      <c r="BZ239" s="78"/>
      <c r="CA239" s="78"/>
      <c r="CB239" s="78"/>
      <c r="CC239" s="78"/>
      <c r="CD239" s="78"/>
      <c r="CE239" s="78"/>
      <c r="CF239" s="78"/>
      <c r="CG239" s="78"/>
      <c r="CH239" s="78"/>
      <c r="CI239" s="78"/>
      <c r="CJ239" s="78"/>
      <c r="CK239" s="78"/>
      <c r="CL239" s="78"/>
      <c r="CM239" s="78"/>
      <c r="CN239" s="78"/>
      <c r="CO239" s="78"/>
      <c r="CP239" s="78"/>
      <c r="CQ239" s="78"/>
      <c r="CR239" s="78"/>
      <c r="CS239" s="78"/>
      <c r="CT239" s="78"/>
      <c r="CU239" s="78"/>
      <c r="CV239" s="78"/>
      <c r="CW239" s="78"/>
      <c r="CX239" s="78"/>
      <c r="CY239" s="78"/>
      <c r="CZ239" s="78"/>
      <c r="DA239" s="78"/>
      <c r="DB239" s="78"/>
      <c r="DC239" s="78"/>
      <c r="DD239" s="78"/>
      <c r="DE239" s="78"/>
      <c r="DF239" s="78"/>
      <c r="DG239" s="78"/>
      <c r="DH239" s="78"/>
      <c r="DI239" s="78"/>
      <c r="DJ239" s="78"/>
      <c r="DK239" s="78"/>
      <c r="DL239" s="78"/>
      <c r="DM239" s="78"/>
      <c r="DN239" s="78"/>
      <c r="DO239" s="78"/>
      <c r="DP239" s="78"/>
      <c r="DQ239" s="78"/>
      <c r="DR239" s="78"/>
      <c r="DS239" s="78"/>
      <c r="DT239" s="78"/>
      <c r="DU239" s="78"/>
      <c r="DV239" s="78"/>
      <c r="DW239" s="78"/>
      <c r="DX239" s="78"/>
      <c r="DY239" s="78"/>
      <c r="DZ239" s="78"/>
      <c r="EA239" s="78"/>
      <c r="EB239" s="78"/>
      <c r="EC239" s="78"/>
      <c r="ED239" s="78"/>
      <c r="EE239" s="78"/>
      <c r="EF239" s="78"/>
      <c r="EG239" s="78"/>
      <c r="EH239" s="78"/>
      <c r="EI239" s="78"/>
      <c r="EJ239" s="78"/>
      <c r="EK239" s="78"/>
      <c r="EL239" s="78"/>
      <c r="EM239" s="78"/>
      <c r="EN239" s="78"/>
      <c r="EO239" s="78"/>
      <c r="EP239" s="78"/>
      <c r="EQ239" s="78"/>
      <c r="ER239" s="78"/>
      <c r="ES239" s="78"/>
      <c r="ET239" s="78"/>
      <c r="EU239" s="78"/>
      <c r="EV239" s="78"/>
      <c r="EW239" s="78"/>
      <c r="EX239" s="78"/>
      <c r="EY239" s="78"/>
      <c r="EZ239" s="78"/>
      <c r="FA239" s="78"/>
      <c r="FB239" s="78"/>
      <c r="FC239" s="78"/>
      <c r="FD239" s="78"/>
      <c r="FE239" s="78"/>
      <c r="FF239" s="78"/>
      <c r="FG239" s="78"/>
      <c r="FH239" s="78"/>
      <c r="FI239" s="78"/>
      <c r="FJ239" s="78"/>
      <c r="FK239" s="78"/>
      <c r="FL239" s="78"/>
      <c r="FM239" s="78"/>
      <c r="FN239" s="78"/>
      <c r="FO239" s="78"/>
      <c r="FP239" s="78"/>
      <c r="FQ239" s="78"/>
      <c r="FR239" s="78"/>
      <c r="FS239" s="78"/>
      <c r="FT239" s="78"/>
      <c r="FU239" s="78"/>
      <c r="FV239" s="78"/>
      <c r="FW239" s="78"/>
      <c r="FX239" s="78"/>
      <c r="FY239" s="78"/>
      <c r="FZ239" s="78"/>
      <c r="GA239" s="78"/>
      <c r="GB239" s="78"/>
      <c r="GC239" s="78"/>
      <c r="GD239" s="78"/>
      <c r="GE239" s="78"/>
      <c r="GF239" s="78"/>
      <c r="GG239" s="78"/>
      <c r="GH239" s="78"/>
      <c r="GI239" s="78"/>
      <c r="GJ239" s="78"/>
      <c r="GK239" s="78"/>
      <c r="GL239" s="78"/>
      <c r="GM239" s="78"/>
      <c r="GN239" s="78"/>
      <c r="GO239" s="78"/>
      <c r="GP239" s="78"/>
      <c r="GQ239" s="78"/>
      <c r="GR239" s="78"/>
      <c r="GS239" s="78"/>
      <c r="GT239" s="78"/>
      <c r="GU239" s="78"/>
      <c r="GV239" s="78"/>
      <c r="GW239" s="78"/>
      <c r="GX239" s="78"/>
      <c r="GY239" s="78"/>
      <c r="GZ239" s="78"/>
      <c r="HA239" s="78"/>
      <c r="HB239" s="78"/>
      <c r="HC239" s="78"/>
      <c r="HD239" s="78"/>
      <c r="HE239" s="78"/>
      <c r="HF239" s="78"/>
      <c r="HG239" s="78"/>
      <c r="HH239" s="78"/>
      <c r="HI239" s="78"/>
      <c r="HJ239" s="78"/>
      <c r="HK239" s="78"/>
    </row>
    <row r="240" spans="1:219" ht="15" customHeight="1">
      <c r="A240" s="99">
        <v>8</v>
      </c>
      <c r="B240" s="176" t="str">
        <f>VLOOKUP(Ruimtestaat[[#This Row],[Code]],Locaties[[Code]:[Locatie]],2,FALSE)</f>
        <v>OBS Roombeek</v>
      </c>
      <c r="C240" s="176" t="str">
        <f>VLOOKUP(Ruimtestaat[[#This Row],[Code]],Locaties[[#All],[Code]:[Adres]],4,FALSE)</f>
        <v>Bosuilstraat 3</v>
      </c>
      <c r="D240" s="176" t="str">
        <f>VLOOKUP(Ruimtestaat[[#This Row],[Code]],Locaties[[#All],[Code]:[Postcode]],5,FALSE)</f>
        <v>7523 BJ</v>
      </c>
      <c r="E240" s="176" t="str">
        <f>VLOOKUP(Ruimtestaat[[#This Row],[Code]],Locaties[#All],6,FALSE)</f>
        <v>Enschede</v>
      </c>
      <c r="F240" s="149"/>
      <c r="G240" s="149"/>
      <c r="H240" s="99" t="s">
        <v>1779</v>
      </c>
      <c r="I240" s="183" t="s">
        <v>1683</v>
      </c>
      <c r="J240" s="99">
        <v>20</v>
      </c>
      <c r="K240" s="183" t="str">
        <f>VLOOKUP(Ruimtestaat[[#This Row],[Ruimte code]],Ruimtegroepen[[#All],[Code]:[Ruimte omschrijving]],2,FALSE)</f>
        <v>Niet in Onderhoud</v>
      </c>
      <c r="L240" s="149" t="s">
        <v>100</v>
      </c>
      <c r="M240" s="301" t="s">
        <v>1697</v>
      </c>
      <c r="N240" s="177"/>
      <c r="O240" s="177">
        <v>2</v>
      </c>
      <c r="P240" s="178">
        <f>VLOOKUP(Ruimtestaat[[#This Row],[Ruimte code]],Ruimtegroepen[],4,FALSE)</f>
        <v>0</v>
      </c>
      <c r="Q240" s="149"/>
      <c r="R240" s="149"/>
      <c r="S240" s="149">
        <f>IF(Q240&gt;0,IF(RIGHT(Ruimtestaat[[#This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0" s="149">
        <f>IF(S240&gt;0,VLOOKUP($J240,Ruimtegroepen[],3,FALSE)*VLOOKUP($L240,Vloersoorten[],3,FALSE)*VLOOKUP($R240,Frequenties[],3,FALSE)*VLOOKUP($A240,Locaties[],3,FALSE),0)</f>
        <v>0</v>
      </c>
      <c r="U240" s="149">
        <f>Ruimtestaat[[#This Row],[Uitvoeringen werkdagen]]*Ruimtestaat[[#This Row],[Oppervlak (netto)]]</f>
        <v>0</v>
      </c>
      <c r="V240" s="179">
        <f>IF(T240&gt;0,Ruimtestaat[[#This Row],[Prest. (m2 /jaar) werkdagen]]/Ruimtestaat[[#This Row],[Norm (m2/uur) werkdagen]],0)</f>
        <v>0</v>
      </c>
      <c r="W240" s="180">
        <f>Ruimtestaat[[#This Row],[uren / jaar werkdagen]]*Tariefsopbouw!$E$35</f>
        <v>0</v>
      </c>
      <c r="X240" s="149"/>
      <c r="Y240" s="149">
        <f>IF(Ruimtestaat[[#This Row],[Frequentie weekend]]&gt;0,VALUE(LEFT(X240,1))*Q240,0)</f>
        <v>0</v>
      </c>
      <c r="Z240" s="148">
        <f>IF($Y240&gt;0,VLOOKUP($J240,Ruimtegroepen[],3,FALSE)*VLOOKUP($L240,Vloersoorten[],3,FALSE)*VLOOKUP($X240,Frequenties[],3,FALSE)*VLOOKUP(Ruimtestaat[[#This Row],[Code]],Locaties[],3,FALSE),0)</f>
        <v>0</v>
      </c>
      <c r="AA240" s="148">
        <f>Ruimtestaat[[#This Row],[Uitvoeringen weekend]]*Ruimtestaat[[#This Row],[Oppervlak (netto)]]</f>
        <v>0</v>
      </c>
      <c r="AB240" s="148">
        <f>IF(Z240&gt;0,Ruimtestaat[[#This Row],[Prest. (m2 /jaar) weekend]]/Ruimtestaat[[#This Row],[Norm (m2/uur) weekend]],0)</f>
        <v>0</v>
      </c>
      <c r="AC240" s="180">
        <f>Ruimtestaat[[#This Row],[uren / jaar weekend]]*Tariefsopbouw!$D$40</f>
        <v>0</v>
      </c>
      <c r="AD240" s="179">
        <f>Ruimtestaat[[#This Row],[Prest. (m2 /jaar) weekend]]+Ruimtestaat[[#This Row],[Prest. (m2 /jaar) werkdagen]]</f>
        <v>0</v>
      </c>
      <c r="AE240" s="179">
        <f>Ruimtestaat[[#This Row],[uren / jaar weekend]]+Ruimtestaat[[#This Row],[uren / jaar werkdagen]]</f>
        <v>0</v>
      </c>
      <c r="AF240" s="174">
        <f>Ruimtestaat[[#This Row],[kosten / jaar weekend]]+Ruimtestaat[[#This Row],[kosten / jaar werkdagen]]</f>
        <v>0</v>
      </c>
      <c r="AG240" s="174"/>
      <c r="AH240" s="181" t="str">
        <f>IF(Ruimtestaat[[#This Row],[Frequentie werkdagen]]="","",_xlfn.CONCAT(Ruimtestaat[[#This Row],[Ruimte code]],"-",Ruimtestaat[[#This Row],[Frequentie werkdagen]]," ",Ruimtestaat[[#This Row],[Vloer code]]))</f>
        <v/>
      </c>
      <c r="AI240" s="185" t="str">
        <f>_xlfn.IFNA(VLOOKUP($AH240,Programma!$F$3:$G$1101,2,0),"")</f>
        <v/>
      </c>
      <c r="AJ240" s="185" t="str">
        <f>_xlfn.IFNA(VLOOKUP($AH240,Programma!$F$3:$H$1101,3,0),"")</f>
        <v/>
      </c>
      <c r="AK240" s="185" t="str">
        <f>_xlfn.IFNA(VLOOKUP($AH240,Programma!$F$3:$I$1101,4,0),"")</f>
        <v/>
      </c>
      <c r="AL240" s="185" t="str">
        <f>_xlfn.IFNA(VLOOKUP($AH240,Programma!$F$3:$J$1101,5,0),"")</f>
        <v/>
      </c>
      <c r="AM240" s="185" t="str">
        <f>_xlfn.IFNA(VLOOKUP($AH240,Programma!$F$3:$K$1101,6,0),"")</f>
        <v/>
      </c>
      <c r="AN240" s="185" t="str">
        <f>_xlfn.IFNA(VLOOKUP($AH240,Programma!$F$3:$L$1101,7,0),"")</f>
        <v/>
      </c>
      <c r="AO240" s="185" t="str">
        <f>_xlfn.IFNA(VLOOKUP($AH240,Programma!$F$3:$M$1101,8,0),"")</f>
        <v/>
      </c>
      <c r="AP240" s="185" t="str">
        <f>_xlfn.IFNA(VLOOKUP($AH240,Programma!$F$3:$N$1101,9,0),"")</f>
        <v/>
      </c>
      <c r="AQ240" s="185" t="str">
        <f>_xlfn.IFNA(VLOOKUP($AH240,Programma!$F$3:$O$1101,10,0),"")</f>
        <v/>
      </c>
      <c r="AR240" s="185" t="str">
        <f>_xlfn.IFNA(VLOOKUP($AH240,Programma!$F$3:$P$1101,11,0),"")</f>
        <v/>
      </c>
      <c r="AS240" s="185" t="str">
        <f>_xlfn.IFNA(VLOOKUP($AH240,Programma!$F$3:$Q$1101,12,0),"")</f>
        <v/>
      </c>
      <c r="AT240" s="185" t="str">
        <f>_xlfn.IFNA(VLOOKUP($AH240,Programma!$F$3:$R$1101,13,0),"")</f>
        <v/>
      </c>
      <c r="AU240" s="185" t="str">
        <f>_xlfn.IFNA(VLOOKUP($AH240,Programma!$F$3:$S$1101,14,0),"")</f>
        <v/>
      </c>
      <c r="AV240" s="185" t="str">
        <f>_xlfn.IFNA(VLOOKUP($AH240,Programma!$F$3:$T$1101,15,0),"")</f>
        <v/>
      </c>
      <c r="AW240" s="185" t="str">
        <f>_xlfn.IFNA(VLOOKUP($AH240,Programma!$F$3:$U$1101,16,0),"")</f>
        <v/>
      </c>
      <c r="AX240" s="185" t="str">
        <f>_xlfn.IFNA(VLOOKUP($AH240,Programma!$F$3:$V$1101,17,0),"")</f>
        <v/>
      </c>
      <c r="AY240" s="185" t="str">
        <f>_xlfn.IFNA(VLOOKUP($AH240,Programma!$F$3:$W$1101,18,0),"")</f>
        <v/>
      </c>
      <c r="AZ240" s="185" t="str">
        <f>_xlfn.IFNA(VLOOKUP($AH240,Programma!$F$3:$X$1101,19,0),"")</f>
        <v/>
      </c>
      <c r="BA240" s="185" t="str">
        <f>_xlfn.IFNA(VLOOKUP($AH240,Programma!$F$3:$Y$1101,20,0),"")</f>
        <v/>
      </c>
      <c r="BB240" s="182"/>
      <c r="BC240" s="181" t="str">
        <f>IF(Ruimtestaat[[#This Row],[Frequentie weekend]]="","",_xlfn.CONCAT(Ruimtestaat[[#This Row],[Ruimte code]],"-",Ruimtestaat[[#This Row],[Frequentie weekend]]," ",Ruimtestaat[[#This Row],[Vloer code]]))</f>
        <v/>
      </c>
      <c r="BD240" s="185" t="str">
        <f>_xlfn.IFNA(VLOOKUP($BC240,Programma!$F$3:$G$1101,2,0),"")</f>
        <v/>
      </c>
      <c r="BE240" s="185" t="str">
        <f>_xlfn.IFNA(VLOOKUP($BC240,Programma!$F$3:$H$1101,3,0),"")</f>
        <v/>
      </c>
      <c r="BF240" s="185" t="str">
        <f>_xlfn.IFNA(VLOOKUP($BC240,Programma!$F$3:$I$1101,4,0),"")</f>
        <v/>
      </c>
      <c r="BG240" s="185" t="str">
        <f>_xlfn.IFNA(VLOOKUP($BC240,Programma!$F$3:$J$1101,5,0),"")</f>
        <v/>
      </c>
      <c r="BH240" s="185" t="str">
        <f>_xlfn.IFNA(VLOOKUP($BC240,Programma!$F$3:$K$1101,6,0),"")</f>
        <v/>
      </c>
      <c r="BI240" s="185" t="str">
        <f>_xlfn.IFNA(VLOOKUP($BC240,Programma!$F$3:$L$1101,7,0),"")</f>
        <v/>
      </c>
      <c r="BJ240" s="185" t="str">
        <f>_xlfn.IFNA(VLOOKUP($BC240,Programma!$F$3:$M$1101,8,0),"")</f>
        <v/>
      </c>
      <c r="BK240" s="185" t="str">
        <f>_xlfn.IFNA(VLOOKUP($BC240,Programma!$F$3:$N$1101,9,0),"")</f>
        <v/>
      </c>
      <c r="BL240" s="185" t="str">
        <f>_xlfn.IFNA(VLOOKUP($BC240,Programma!$F$3:$O$1101,10,0),"")</f>
        <v/>
      </c>
      <c r="BM240" s="185" t="str">
        <f>_xlfn.IFNA(VLOOKUP($BC240,Programma!$F$3:$P$1101,11,0),"")</f>
        <v/>
      </c>
      <c r="BN240" s="185" t="str">
        <f>_xlfn.IFNA(VLOOKUP($BC240,Programma!$F$3:$Q$1101,12,0),"")</f>
        <v/>
      </c>
      <c r="BO240" s="185" t="str">
        <f>_xlfn.IFNA(VLOOKUP($BC240,Programma!$F$3:$R$1101,13,0),"")</f>
        <v/>
      </c>
      <c r="BP240" s="185" t="str">
        <f>_xlfn.IFNA(VLOOKUP($BC240,Programma!$F$3:$S$1101,14,0),"")</f>
        <v/>
      </c>
      <c r="BQ240" s="185" t="str">
        <f>_xlfn.IFNA(VLOOKUP($BC240,Programma!$F$3:$T$1101,15,0),"")</f>
        <v/>
      </c>
      <c r="BR240" s="185" t="str">
        <f>_xlfn.IFNA(VLOOKUP($BC240,Programma!$F$3:$U$1101,16,0),"")</f>
        <v/>
      </c>
      <c r="BS240" s="185" t="str">
        <f>_xlfn.IFNA(VLOOKUP($BC240,Programma!$F$3:$V$1101,17,0),"")</f>
        <v/>
      </c>
      <c r="BT240" s="185" t="str">
        <f>_xlfn.IFNA(VLOOKUP($BC240,Programma!$F$3:$W$1101,18,0),"")</f>
        <v/>
      </c>
      <c r="BU240" s="185" t="str">
        <f>_xlfn.IFNA(VLOOKUP($BC240,Programma!$F$3:$X$1101,19,0),"")</f>
        <v/>
      </c>
      <c r="BV240" s="185" t="str">
        <f>_xlfn.IFNA(VLOOKUP($BC240,Programma!$F$3:$Y$1101,20,0),"")</f>
        <v/>
      </c>
      <c r="BW240" s="78"/>
      <c r="BX240" s="78"/>
      <c r="BY240" s="78"/>
      <c r="BZ240" s="78"/>
      <c r="CA240" s="78"/>
      <c r="CB240" s="78"/>
      <c r="CC240" s="78"/>
      <c r="CD240" s="78"/>
      <c r="CE240" s="78"/>
      <c r="CF240" s="78"/>
      <c r="CG240" s="78"/>
      <c r="CH240" s="78"/>
      <c r="CI240" s="78"/>
      <c r="CJ240" s="78"/>
      <c r="CK240" s="78"/>
      <c r="CL240" s="78"/>
      <c r="CM240" s="78"/>
      <c r="CN240" s="78"/>
      <c r="CO240" s="78"/>
      <c r="CP240" s="78"/>
      <c r="CQ240" s="78"/>
      <c r="CR240" s="78"/>
      <c r="CS240" s="78"/>
      <c r="CT240" s="78"/>
      <c r="CU240" s="78"/>
      <c r="CV240" s="78"/>
      <c r="CW240" s="78"/>
      <c r="CX240" s="78"/>
      <c r="CY240" s="78"/>
      <c r="CZ240" s="78"/>
      <c r="DA240" s="78"/>
      <c r="DB240" s="78"/>
      <c r="DC240" s="78"/>
      <c r="DD240" s="78"/>
      <c r="DE240" s="78"/>
      <c r="DF240" s="78"/>
      <c r="DG240" s="78"/>
      <c r="DH240" s="78"/>
      <c r="DI240" s="78"/>
      <c r="DJ240" s="78"/>
      <c r="DK240" s="78"/>
      <c r="DL240" s="78"/>
      <c r="DM240" s="78"/>
      <c r="DN240" s="78"/>
      <c r="DO240" s="78"/>
      <c r="DP240" s="78"/>
      <c r="DQ240" s="78"/>
      <c r="DR240" s="78"/>
      <c r="DS240" s="78"/>
      <c r="DT240" s="78"/>
      <c r="DU240" s="78"/>
      <c r="DV240" s="78"/>
      <c r="DW240" s="78"/>
      <c r="DX240" s="78"/>
      <c r="DY240" s="78"/>
      <c r="DZ240" s="78"/>
      <c r="EA240" s="78"/>
      <c r="EB240" s="78"/>
      <c r="EC240" s="78"/>
      <c r="ED240" s="78"/>
      <c r="EE240" s="78"/>
      <c r="EF240" s="78"/>
      <c r="EG240" s="78"/>
      <c r="EH240" s="78"/>
      <c r="EI240" s="78"/>
      <c r="EJ240" s="78"/>
      <c r="EK240" s="78"/>
      <c r="EL240" s="78"/>
      <c r="EM240" s="78"/>
      <c r="EN240" s="78"/>
      <c r="EO240" s="78"/>
      <c r="EP240" s="78"/>
      <c r="EQ240" s="78"/>
      <c r="ER240" s="78"/>
      <c r="ES240" s="78"/>
      <c r="ET240" s="78"/>
      <c r="EU240" s="78"/>
      <c r="EV240" s="78"/>
      <c r="EW240" s="78"/>
      <c r="EX240" s="78"/>
      <c r="EY240" s="78"/>
      <c r="EZ240" s="78"/>
      <c r="FA240" s="78"/>
      <c r="FB240" s="78"/>
      <c r="FC240" s="78"/>
      <c r="FD240" s="78"/>
      <c r="FE240" s="78"/>
      <c r="FF240" s="78"/>
      <c r="FG240" s="78"/>
      <c r="FH240" s="78"/>
      <c r="FI240" s="78"/>
      <c r="FJ240" s="78"/>
      <c r="FK240" s="78"/>
      <c r="FL240" s="78"/>
      <c r="FM240" s="78"/>
      <c r="FN240" s="78"/>
      <c r="FO240" s="78"/>
      <c r="FP240" s="78"/>
      <c r="FQ240" s="78"/>
      <c r="FR240" s="78"/>
      <c r="FS240" s="78"/>
      <c r="FT240" s="78"/>
      <c r="FU240" s="78"/>
      <c r="FV240" s="78"/>
      <c r="FW240" s="78"/>
      <c r="FX240" s="78"/>
      <c r="FY240" s="78"/>
      <c r="FZ240" s="78"/>
      <c r="GA240" s="78"/>
      <c r="GB240" s="78"/>
      <c r="GC240" s="78"/>
      <c r="GD240" s="78"/>
      <c r="GE240" s="78"/>
      <c r="GF240" s="78"/>
      <c r="GG240" s="78"/>
      <c r="GH240" s="78"/>
      <c r="GI240" s="78"/>
      <c r="GJ240" s="78"/>
      <c r="GK240" s="78"/>
      <c r="GL240" s="78"/>
      <c r="GM240" s="78"/>
      <c r="GN240" s="78"/>
      <c r="GO240" s="78"/>
      <c r="GP240" s="78"/>
      <c r="GQ240" s="78"/>
      <c r="GR240" s="78"/>
      <c r="GS240" s="78"/>
      <c r="GT240" s="78"/>
      <c r="GU240" s="78"/>
      <c r="GV240" s="78"/>
      <c r="GW240" s="78"/>
      <c r="GX240" s="78"/>
      <c r="GY240" s="78"/>
      <c r="GZ240" s="78"/>
      <c r="HA240" s="78"/>
      <c r="HB240" s="78"/>
      <c r="HC240" s="78"/>
      <c r="HD240" s="78"/>
      <c r="HE240" s="78"/>
      <c r="HF240" s="78"/>
      <c r="HG240" s="78"/>
      <c r="HH240" s="78"/>
      <c r="HI240" s="78"/>
      <c r="HJ240" s="78"/>
      <c r="HK240" s="78"/>
    </row>
    <row r="241" spans="1:219" ht="15" customHeight="1">
      <c r="A241" s="99">
        <v>8</v>
      </c>
      <c r="B241" s="176" t="str">
        <f>VLOOKUP(Ruimtestaat[[#This Row],[Code]],Locaties[[Code]:[Locatie]],2,FALSE)</f>
        <v>OBS Roombeek</v>
      </c>
      <c r="C241" s="176" t="str">
        <f>VLOOKUP(Ruimtestaat[[#This Row],[Code]],Locaties[[#All],[Code]:[Adres]],4,FALSE)</f>
        <v>Bosuilstraat 3</v>
      </c>
      <c r="D241" s="176" t="str">
        <f>VLOOKUP(Ruimtestaat[[#This Row],[Code]],Locaties[[#All],[Code]:[Postcode]],5,FALSE)</f>
        <v>7523 BJ</v>
      </c>
      <c r="E241" s="176" t="str">
        <f>VLOOKUP(Ruimtestaat[[#This Row],[Code]],Locaties[#All],6,FALSE)</f>
        <v>Enschede</v>
      </c>
      <c r="F241" s="149"/>
      <c r="G241" s="149"/>
      <c r="H241" s="99" t="s">
        <v>1780</v>
      </c>
      <c r="I241" s="183" t="s">
        <v>1687</v>
      </c>
      <c r="J241" s="99">
        <v>20</v>
      </c>
      <c r="K241" s="183" t="str">
        <f>VLOOKUP(Ruimtestaat[[#This Row],[Ruimte code]],Ruimtegroepen[[#All],[Code]:[Ruimte omschrijving]],2,FALSE)</f>
        <v>Niet in Onderhoud</v>
      </c>
      <c r="L241" s="149" t="s">
        <v>101</v>
      </c>
      <c r="M241" s="301" t="s">
        <v>1698</v>
      </c>
      <c r="N241" s="177"/>
      <c r="O241" s="177">
        <v>4</v>
      </c>
      <c r="P241" s="178">
        <f>VLOOKUP(Ruimtestaat[[#This Row],[Ruimte code]],Ruimtegroepen[],4,FALSE)</f>
        <v>0</v>
      </c>
      <c r="Q241" s="149"/>
      <c r="R241" s="149"/>
      <c r="S241" s="149">
        <f>IF(Q241&gt;0,IF(RIGHT(Ruimtestaat[[#This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1" s="149">
        <f>IF(S241&gt;0,VLOOKUP($J241,Ruimtegroepen[],3,FALSE)*VLOOKUP($L241,Vloersoorten[],3,FALSE)*VLOOKUP($R241,Frequenties[],3,FALSE)*VLOOKUP($A241,Locaties[],3,FALSE),0)</f>
        <v>0</v>
      </c>
      <c r="U241" s="149">
        <f>Ruimtestaat[[#This Row],[Uitvoeringen werkdagen]]*Ruimtestaat[[#This Row],[Oppervlak (netto)]]</f>
        <v>0</v>
      </c>
      <c r="V241" s="179">
        <f>IF(T241&gt;0,Ruimtestaat[[#This Row],[Prest. (m2 /jaar) werkdagen]]/Ruimtestaat[[#This Row],[Norm (m2/uur) werkdagen]],0)</f>
        <v>0</v>
      </c>
      <c r="W241" s="180">
        <f>Ruimtestaat[[#This Row],[uren / jaar werkdagen]]*Tariefsopbouw!$E$35</f>
        <v>0</v>
      </c>
      <c r="X241" s="149"/>
      <c r="Y241" s="149">
        <f>IF(Ruimtestaat[[#This Row],[Frequentie weekend]]&gt;0,VALUE(LEFT(X241,1))*Q241,0)</f>
        <v>0</v>
      </c>
      <c r="Z241" s="148">
        <f>IF($Y241&gt;0,VLOOKUP($J241,Ruimtegroepen[],3,FALSE)*VLOOKUP($L241,Vloersoorten[],3,FALSE)*VLOOKUP($X241,Frequenties[],3,FALSE)*VLOOKUP(Ruimtestaat[[#This Row],[Code]],Locaties[],3,FALSE),0)</f>
        <v>0</v>
      </c>
      <c r="AA241" s="148">
        <f>Ruimtestaat[[#This Row],[Uitvoeringen weekend]]*Ruimtestaat[[#This Row],[Oppervlak (netto)]]</f>
        <v>0</v>
      </c>
      <c r="AB241" s="148">
        <f>IF(Z241&gt;0,Ruimtestaat[[#This Row],[Prest. (m2 /jaar) weekend]]/Ruimtestaat[[#This Row],[Norm (m2/uur) weekend]],0)</f>
        <v>0</v>
      </c>
      <c r="AC241" s="180">
        <f>Ruimtestaat[[#This Row],[uren / jaar weekend]]*Tariefsopbouw!$D$40</f>
        <v>0</v>
      </c>
      <c r="AD241" s="179">
        <f>Ruimtestaat[[#This Row],[Prest. (m2 /jaar) weekend]]+Ruimtestaat[[#This Row],[Prest. (m2 /jaar) werkdagen]]</f>
        <v>0</v>
      </c>
      <c r="AE241" s="179">
        <f>Ruimtestaat[[#This Row],[uren / jaar weekend]]+Ruimtestaat[[#This Row],[uren / jaar werkdagen]]</f>
        <v>0</v>
      </c>
      <c r="AF241" s="174">
        <f>Ruimtestaat[[#This Row],[kosten / jaar weekend]]+Ruimtestaat[[#This Row],[kosten / jaar werkdagen]]</f>
        <v>0</v>
      </c>
      <c r="AG241" s="174"/>
      <c r="AH241" s="181" t="str">
        <f>IF(Ruimtestaat[[#This Row],[Frequentie werkdagen]]="","",_xlfn.CONCAT(Ruimtestaat[[#This Row],[Ruimte code]],"-",Ruimtestaat[[#This Row],[Frequentie werkdagen]]," ",Ruimtestaat[[#This Row],[Vloer code]]))</f>
        <v/>
      </c>
      <c r="AI241" s="185" t="str">
        <f>_xlfn.IFNA(VLOOKUP($AH241,Programma!$F$3:$G$1101,2,0),"")</f>
        <v/>
      </c>
      <c r="AJ241" s="185" t="str">
        <f>_xlfn.IFNA(VLOOKUP($AH241,Programma!$F$3:$H$1101,3,0),"")</f>
        <v/>
      </c>
      <c r="AK241" s="185" t="str">
        <f>_xlfn.IFNA(VLOOKUP($AH241,Programma!$F$3:$I$1101,4,0),"")</f>
        <v/>
      </c>
      <c r="AL241" s="185" t="str">
        <f>_xlfn.IFNA(VLOOKUP($AH241,Programma!$F$3:$J$1101,5,0),"")</f>
        <v/>
      </c>
      <c r="AM241" s="185" t="str">
        <f>_xlfn.IFNA(VLOOKUP($AH241,Programma!$F$3:$K$1101,6,0),"")</f>
        <v/>
      </c>
      <c r="AN241" s="185" t="str">
        <f>_xlfn.IFNA(VLOOKUP($AH241,Programma!$F$3:$L$1101,7,0),"")</f>
        <v/>
      </c>
      <c r="AO241" s="185" t="str">
        <f>_xlfn.IFNA(VLOOKUP($AH241,Programma!$F$3:$M$1101,8,0),"")</f>
        <v/>
      </c>
      <c r="AP241" s="185" t="str">
        <f>_xlfn.IFNA(VLOOKUP($AH241,Programma!$F$3:$N$1101,9,0),"")</f>
        <v/>
      </c>
      <c r="AQ241" s="185" t="str">
        <f>_xlfn.IFNA(VLOOKUP($AH241,Programma!$F$3:$O$1101,10,0),"")</f>
        <v/>
      </c>
      <c r="AR241" s="185" t="str">
        <f>_xlfn.IFNA(VLOOKUP($AH241,Programma!$F$3:$P$1101,11,0),"")</f>
        <v/>
      </c>
      <c r="AS241" s="185" t="str">
        <f>_xlfn.IFNA(VLOOKUP($AH241,Programma!$F$3:$Q$1101,12,0),"")</f>
        <v/>
      </c>
      <c r="AT241" s="185" t="str">
        <f>_xlfn.IFNA(VLOOKUP($AH241,Programma!$F$3:$R$1101,13,0),"")</f>
        <v/>
      </c>
      <c r="AU241" s="185" t="str">
        <f>_xlfn.IFNA(VLOOKUP($AH241,Programma!$F$3:$S$1101,14,0),"")</f>
        <v/>
      </c>
      <c r="AV241" s="185" t="str">
        <f>_xlfn.IFNA(VLOOKUP($AH241,Programma!$F$3:$T$1101,15,0),"")</f>
        <v/>
      </c>
      <c r="AW241" s="185" t="str">
        <f>_xlfn.IFNA(VLOOKUP($AH241,Programma!$F$3:$U$1101,16,0),"")</f>
        <v/>
      </c>
      <c r="AX241" s="185" t="str">
        <f>_xlfn.IFNA(VLOOKUP($AH241,Programma!$F$3:$V$1101,17,0),"")</f>
        <v/>
      </c>
      <c r="AY241" s="185" t="str">
        <f>_xlfn.IFNA(VLOOKUP($AH241,Programma!$F$3:$W$1101,18,0),"")</f>
        <v/>
      </c>
      <c r="AZ241" s="185" t="str">
        <f>_xlfn.IFNA(VLOOKUP($AH241,Programma!$F$3:$X$1101,19,0),"")</f>
        <v/>
      </c>
      <c r="BA241" s="185" t="str">
        <f>_xlfn.IFNA(VLOOKUP($AH241,Programma!$F$3:$Y$1101,20,0),"")</f>
        <v/>
      </c>
      <c r="BB241" s="182"/>
      <c r="BC241" s="181" t="str">
        <f>IF(Ruimtestaat[[#This Row],[Frequentie weekend]]="","",_xlfn.CONCAT(Ruimtestaat[[#This Row],[Ruimte code]],"-",Ruimtestaat[[#This Row],[Frequentie weekend]]," ",Ruimtestaat[[#This Row],[Vloer code]]))</f>
        <v/>
      </c>
      <c r="BD241" s="185" t="str">
        <f>_xlfn.IFNA(VLOOKUP($BC241,Programma!$F$3:$G$1101,2,0),"")</f>
        <v/>
      </c>
      <c r="BE241" s="185" t="str">
        <f>_xlfn.IFNA(VLOOKUP($BC241,Programma!$F$3:$H$1101,3,0),"")</f>
        <v/>
      </c>
      <c r="BF241" s="185" t="str">
        <f>_xlfn.IFNA(VLOOKUP($BC241,Programma!$F$3:$I$1101,4,0),"")</f>
        <v/>
      </c>
      <c r="BG241" s="185" t="str">
        <f>_xlfn.IFNA(VLOOKUP($BC241,Programma!$F$3:$J$1101,5,0),"")</f>
        <v/>
      </c>
      <c r="BH241" s="185" t="str">
        <f>_xlfn.IFNA(VLOOKUP($BC241,Programma!$F$3:$K$1101,6,0),"")</f>
        <v/>
      </c>
      <c r="BI241" s="185" t="str">
        <f>_xlfn.IFNA(VLOOKUP($BC241,Programma!$F$3:$L$1101,7,0),"")</f>
        <v/>
      </c>
      <c r="BJ241" s="185" t="str">
        <f>_xlfn.IFNA(VLOOKUP($BC241,Programma!$F$3:$M$1101,8,0),"")</f>
        <v/>
      </c>
      <c r="BK241" s="185" t="str">
        <f>_xlfn.IFNA(VLOOKUP($BC241,Programma!$F$3:$N$1101,9,0),"")</f>
        <v/>
      </c>
      <c r="BL241" s="185" t="str">
        <f>_xlfn.IFNA(VLOOKUP($BC241,Programma!$F$3:$O$1101,10,0),"")</f>
        <v/>
      </c>
      <c r="BM241" s="185" t="str">
        <f>_xlfn.IFNA(VLOOKUP($BC241,Programma!$F$3:$P$1101,11,0),"")</f>
        <v/>
      </c>
      <c r="BN241" s="185" t="str">
        <f>_xlfn.IFNA(VLOOKUP($BC241,Programma!$F$3:$Q$1101,12,0),"")</f>
        <v/>
      </c>
      <c r="BO241" s="185" t="str">
        <f>_xlfn.IFNA(VLOOKUP($BC241,Programma!$F$3:$R$1101,13,0),"")</f>
        <v/>
      </c>
      <c r="BP241" s="185" t="str">
        <f>_xlfn.IFNA(VLOOKUP($BC241,Programma!$F$3:$S$1101,14,0),"")</f>
        <v/>
      </c>
      <c r="BQ241" s="185" t="str">
        <f>_xlfn.IFNA(VLOOKUP($BC241,Programma!$F$3:$T$1101,15,0),"")</f>
        <v/>
      </c>
      <c r="BR241" s="185" t="str">
        <f>_xlfn.IFNA(VLOOKUP($BC241,Programma!$F$3:$U$1101,16,0),"")</f>
        <v/>
      </c>
      <c r="BS241" s="185" t="str">
        <f>_xlfn.IFNA(VLOOKUP($BC241,Programma!$F$3:$V$1101,17,0),"")</f>
        <v/>
      </c>
      <c r="BT241" s="185" t="str">
        <f>_xlfn.IFNA(VLOOKUP($BC241,Programma!$F$3:$W$1101,18,0),"")</f>
        <v/>
      </c>
      <c r="BU241" s="185" t="str">
        <f>_xlfn.IFNA(VLOOKUP($BC241,Programma!$F$3:$X$1101,19,0),"")</f>
        <v/>
      </c>
      <c r="BV241" s="185" t="str">
        <f>_xlfn.IFNA(VLOOKUP($BC241,Programma!$F$3:$Y$1101,20,0),"")</f>
        <v/>
      </c>
      <c r="BW241" s="78"/>
      <c r="BX241" s="78"/>
      <c r="BY241" s="78"/>
      <c r="BZ241" s="78"/>
      <c r="CA241" s="78"/>
      <c r="CB241" s="78"/>
      <c r="CC241" s="78"/>
      <c r="CD241" s="78"/>
      <c r="CE241" s="78"/>
      <c r="CF241" s="78"/>
      <c r="CG241" s="78"/>
      <c r="CH241" s="78"/>
      <c r="CI241" s="78"/>
      <c r="CJ241" s="78"/>
      <c r="CK241" s="78"/>
      <c r="CL241" s="78"/>
      <c r="CM241" s="78"/>
      <c r="CN241" s="78"/>
      <c r="CO241" s="78"/>
      <c r="CP241" s="78"/>
      <c r="CQ241" s="78"/>
      <c r="CR241" s="78"/>
      <c r="CS241" s="78"/>
      <c r="CT241" s="78"/>
      <c r="CU241" s="78"/>
      <c r="CV241" s="78"/>
      <c r="CW241" s="78"/>
      <c r="CX241" s="78"/>
      <c r="CY241" s="78"/>
      <c r="CZ241" s="78"/>
      <c r="DA241" s="78"/>
      <c r="DB241" s="78"/>
      <c r="DC241" s="78"/>
      <c r="DD241" s="78"/>
      <c r="DE241" s="78"/>
      <c r="DF241" s="78"/>
      <c r="DG241" s="78"/>
      <c r="DH241" s="78"/>
      <c r="DI241" s="78"/>
      <c r="DJ241" s="78"/>
      <c r="DK241" s="78"/>
      <c r="DL241" s="78"/>
      <c r="DM241" s="78"/>
      <c r="DN241" s="78"/>
      <c r="DO241" s="78"/>
      <c r="DP241" s="78"/>
      <c r="DQ241" s="78"/>
      <c r="DR241" s="78"/>
      <c r="DS241" s="78"/>
      <c r="DT241" s="78"/>
      <c r="DU241" s="78"/>
      <c r="DV241" s="78"/>
      <c r="DW241" s="78"/>
      <c r="DX241" s="78"/>
      <c r="DY241" s="78"/>
      <c r="DZ241" s="78"/>
      <c r="EA241" s="78"/>
      <c r="EB241" s="78"/>
      <c r="EC241" s="78"/>
      <c r="ED241" s="78"/>
      <c r="EE241" s="78"/>
      <c r="EF241" s="78"/>
      <c r="EG241" s="78"/>
      <c r="EH241" s="78"/>
      <c r="EI241" s="78"/>
      <c r="EJ241" s="78"/>
      <c r="EK241" s="78"/>
      <c r="EL241" s="78"/>
      <c r="EM241" s="78"/>
      <c r="EN241" s="78"/>
      <c r="EO241" s="78"/>
      <c r="EP241" s="78"/>
      <c r="EQ241" s="78"/>
      <c r="ER241" s="78"/>
      <c r="ES241" s="78"/>
      <c r="ET241" s="78"/>
      <c r="EU241" s="78"/>
      <c r="EV241" s="78"/>
      <c r="EW241" s="78"/>
      <c r="EX241" s="78"/>
      <c r="EY241" s="78"/>
      <c r="EZ241" s="78"/>
      <c r="FA241" s="78"/>
      <c r="FB241" s="78"/>
      <c r="FC241" s="78"/>
      <c r="FD241" s="78"/>
      <c r="FE241" s="78"/>
      <c r="FF241" s="78"/>
      <c r="FG241" s="78"/>
      <c r="FH241" s="78"/>
      <c r="FI241" s="78"/>
      <c r="FJ241" s="78"/>
      <c r="FK241" s="78"/>
      <c r="FL241" s="78"/>
      <c r="FM241" s="78"/>
      <c r="FN241" s="78"/>
      <c r="FO241" s="78"/>
      <c r="FP241" s="78"/>
      <c r="FQ241" s="78"/>
      <c r="FR241" s="78"/>
      <c r="FS241" s="78"/>
      <c r="FT241" s="78"/>
      <c r="FU241" s="78"/>
      <c r="FV241" s="78"/>
      <c r="FW241" s="78"/>
      <c r="FX241" s="78"/>
      <c r="FY241" s="78"/>
      <c r="FZ241" s="78"/>
      <c r="GA241" s="78"/>
      <c r="GB241" s="78"/>
      <c r="GC241" s="78"/>
      <c r="GD241" s="78"/>
      <c r="GE241" s="78"/>
      <c r="GF241" s="78"/>
      <c r="GG241" s="78"/>
      <c r="GH241" s="78"/>
      <c r="GI241" s="78"/>
      <c r="GJ241" s="78"/>
      <c r="GK241" s="78"/>
      <c r="GL241" s="78"/>
      <c r="GM241" s="78"/>
      <c r="GN241" s="78"/>
      <c r="GO241" s="78"/>
      <c r="GP241" s="78"/>
      <c r="GQ241" s="78"/>
      <c r="GR241" s="78"/>
      <c r="GS241" s="78"/>
      <c r="GT241" s="78"/>
      <c r="GU241" s="78"/>
      <c r="GV241" s="78"/>
      <c r="GW241" s="78"/>
      <c r="GX241" s="78"/>
      <c r="GY241" s="78"/>
      <c r="GZ241" s="78"/>
      <c r="HA241" s="78"/>
      <c r="HB241" s="78"/>
      <c r="HC241" s="78"/>
      <c r="HD241" s="78"/>
      <c r="HE241" s="78"/>
      <c r="HF241" s="78"/>
      <c r="HG241" s="78"/>
      <c r="HH241" s="78"/>
      <c r="HI241" s="78"/>
      <c r="HJ241" s="78"/>
      <c r="HK241" s="78"/>
    </row>
    <row r="242" spans="1:219" ht="15" customHeight="1">
      <c r="A242" s="99">
        <v>8</v>
      </c>
      <c r="B242" s="176" t="str">
        <f>VLOOKUP(Ruimtestaat[[#This Row],[Code]],Locaties[[Code]:[Locatie]],2,FALSE)</f>
        <v>OBS Roombeek</v>
      </c>
      <c r="C242" s="176" t="str">
        <f>VLOOKUP(Ruimtestaat[[#This Row],[Code]],Locaties[[#All],[Code]:[Adres]],4,FALSE)</f>
        <v>Bosuilstraat 3</v>
      </c>
      <c r="D242" s="176" t="str">
        <f>VLOOKUP(Ruimtestaat[[#This Row],[Code]],Locaties[[#All],[Code]:[Postcode]],5,FALSE)</f>
        <v>7523 BJ</v>
      </c>
      <c r="E242" s="176" t="str">
        <f>VLOOKUP(Ruimtestaat[[#This Row],[Code]],Locaties[#All],6,FALSE)</f>
        <v>Enschede</v>
      </c>
      <c r="F242" s="149"/>
      <c r="G242" s="149"/>
      <c r="H242" s="99" t="s">
        <v>1781</v>
      </c>
      <c r="I242" s="183" t="s">
        <v>1782</v>
      </c>
      <c r="J242" s="99">
        <v>3</v>
      </c>
      <c r="K242" s="183" t="str">
        <f>VLOOKUP(Ruimtestaat[[#This Row],[Ruimte code]],Ruimtegroepen[[#All],[Code]:[Ruimte omschrijving]],2,FALSE)</f>
        <v>Reproruimte</v>
      </c>
      <c r="L242" s="149" t="s">
        <v>100</v>
      </c>
      <c r="M242" s="301" t="s">
        <v>1697</v>
      </c>
      <c r="N242" s="177">
        <v>19.7</v>
      </c>
      <c r="O242" s="177"/>
      <c r="P242" s="178" t="str">
        <f>VLOOKUP(Ruimtestaat[[#This Row],[Ruimte code]],Ruimtegroepen[],4,FALSE)</f>
        <v>Ve</v>
      </c>
      <c r="Q242" s="149">
        <v>40</v>
      </c>
      <c r="R242" s="149" t="s">
        <v>18</v>
      </c>
      <c r="S242" s="149">
        <f>IF(Q242&gt;0,IF(RIGHT(Ruimtestaat[[#This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42" s="149">
        <f>IF(S242&gt;0,VLOOKUP($J242,Ruimtegroepen[],3,FALSE)*VLOOKUP($L242,Vloersoorten[],3,FALSE)*VLOOKUP($R242,Frequenties[],3,FALSE)*VLOOKUP($A242,Locaties[],3,FALSE),0)</f>
        <v>0</v>
      </c>
      <c r="U242" s="149">
        <f>Ruimtestaat[[#This Row],[Uitvoeringen werkdagen]]*Ruimtestaat[[#This Row],[Oppervlak (netto)]]</f>
        <v>2364</v>
      </c>
      <c r="V242" s="179">
        <f>IF(T242&gt;0,Ruimtestaat[[#This Row],[Prest. (m2 /jaar) werkdagen]]/Ruimtestaat[[#This Row],[Norm (m2/uur) werkdagen]],0)</f>
        <v>0</v>
      </c>
      <c r="W242" s="180">
        <f>Ruimtestaat[[#This Row],[uren / jaar werkdagen]]*Tariefsopbouw!$E$35</f>
        <v>0</v>
      </c>
      <c r="X242" s="149"/>
      <c r="Y242" s="149">
        <f>IF(Ruimtestaat[[#This Row],[Frequentie weekend]]&gt;0,VALUE(LEFT(X242,1))*Q242,0)</f>
        <v>0</v>
      </c>
      <c r="Z242" s="148">
        <f>IF($Y242&gt;0,VLOOKUP($J242,Ruimtegroepen[],3,FALSE)*VLOOKUP($L242,Vloersoorten[],3,FALSE)*VLOOKUP($X242,Frequenties[],3,FALSE)*VLOOKUP(Ruimtestaat[[#This Row],[Code]],Locaties[],3,FALSE),0)</f>
        <v>0</v>
      </c>
      <c r="AA242" s="148">
        <f>Ruimtestaat[[#This Row],[Uitvoeringen weekend]]*Ruimtestaat[[#This Row],[Oppervlak (netto)]]</f>
        <v>0</v>
      </c>
      <c r="AB242" s="148">
        <f>IF(Z242&gt;0,Ruimtestaat[[#This Row],[Prest. (m2 /jaar) weekend]]/Ruimtestaat[[#This Row],[Norm (m2/uur) weekend]],0)</f>
        <v>0</v>
      </c>
      <c r="AC242" s="180">
        <f>Ruimtestaat[[#This Row],[uren / jaar weekend]]*Tariefsopbouw!$D$40</f>
        <v>0</v>
      </c>
      <c r="AD242" s="179">
        <f>Ruimtestaat[[#This Row],[Prest. (m2 /jaar) weekend]]+Ruimtestaat[[#This Row],[Prest. (m2 /jaar) werkdagen]]</f>
        <v>2364</v>
      </c>
      <c r="AE242" s="179">
        <f>Ruimtestaat[[#This Row],[uren / jaar weekend]]+Ruimtestaat[[#This Row],[uren / jaar werkdagen]]</f>
        <v>0</v>
      </c>
      <c r="AF242" s="174">
        <f>Ruimtestaat[[#This Row],[kosten / jaar weekend]]+Ruimtestaat[[#This Row],[kosten / jaar werkdagen]]</f>
        <v>0</v>
      </c>
      <c r="AG242" s="174"/>
      <c r="AH242" s="181" t="str">
        <f>IF(Ruimtestaat[[#This Row],[Frequentie werkdagen]]="","",_xlfn.CONCAT(Ruimtestaat[[#This Row],[Ruimte code]],"-",Ruimtestaat[[#This Row],[Frequentie werkdagen]]," ",Ruimtestaat[[#This Row],[Vloer code]]))</f>
        <v>3-3w L</v>
      </c>
      <c r="AI242" s="185" t="str">
        <f>_xlfn.IFNA(VLOOKUP($AH242,Programma!$F$3:$G$1101,2,0),"")</f>
        <v>_</v>
      </c>
      <c r="AJ242" s="185" t="str">
        <f>_xlfn.IFNA(VLOOKUP($AH242,Programma!$F$3:$H$1101,3,0),"")</f>
        <v>_</v>
      </c>
      <c r="AK242" s="185" t="str">
        <f>_xlfn.IFNA(VLOOKUP($AH242,Programma!$F$3:$I$1101,4,0),"")</f>
        <v>2w</v>
      </c>
      <c r="AL242" s="185" t="str">
        <f>_xlfn.IFNA(VLOOKUP($AH242,Programma!$F$3:$J$1101,5,0),"")</f>
        <v>1w</v>
      </c>
      <c r="AM242" s="185" t="str">
        <f>_xlfn.IFNA(VLOOKUP($AH242,Programma!$F$3:$K$1101,6,0),"")</f>
        <v>_</v>
      </c>
      <c r="AN242" s="185" t="str">
        <f>_xlfn.IFNA(VLOOKUP($AH242,Programma!$F$3:$L$1101,7,0),"")</f>
        <v>_</v>
      </c>
      <c r="AO242" s="185" t="str">
        <f>_xlfn.IFNA(VLOOKUP($AH242,Programma!$F$3:$M$1101,8,0),"")</f>
        <v>_</v>
      </c>
      <c r="AP242" s="185" t="str">
        <f>_xlfn.IFNA(VLOOKUP($AH242,Programma!$F$3:$N$1101,9,0),"")</f>
        <v>_</v>
      </c>
      <c r="AQ242" s="185" t="str">
        <f>_xlfn.IFNA(VLOOKUP($AH242,Programma!$F$3:$O$1101,10,0),"")</f>
        <v>3w</v>
      </c>
      <c r="AR242" s="185" t="str">
        <f>_xlfn.IFNA(VLOOKUP($AH242,Programma!$F$3:$P$1101,11,0),"")</f>
        <v>3w</v>
      </c>
      <c r="AS242" s="185" t="str">
        <f>_xlfn.IFNA(VLOOKUP($AH242,Programma!$F$3:$Q$1101,12,0),"")</f>
        <v>1w</v>
      </c>
      <c r="AT242" s="185" t="str">
        <f>_xlfn.IFNA(VLOOKUP($AH242,Programma!$F$3:$R$1101,13,0),"")</f>
        <v>1w</v>
      </c>
      <c r="AU242" s="185" t="str">
        <f>_xlfn.IFNA(VLOOKUP($AH242,Programma!$F$3:$S$1101,14,0),"")</f>
        <v>1m</v>
      </c>
      <c r="AV242" s="185" t="str">
        <f>_xlfn.IFNA(VLOOKUP($AH242,Programma!$F$3:$T$1101,15,0),"")</f>
        <v>4j</v>
      </c>
      <c r="AW242" s="185" t="str">
        <f>_xlfn.IFNA(VLOOKUP($AH242,Programma!$F$3:$U$1101,16,0),"")</f>
        <v>1j</v>
      </c>
      <c r="AX242" s="185" t="str">
        <f>_xlfn.IFNA(VLOOKUP($AH242,Programma!$F$3:$V$1101,17,0),"")</f>
        <v>_</v>
      </c>
      <c r="AY242" s="185" t="str">
        <f>_xlfn.IFNA(VLOOKUP($AH242,Programma!$F$3:$W$1101,18,0),"")</f>
        <v>_</v>
      </c>
      <c r="AZ242" s="185" t="str">
        <f>_xlfn.IFNA(VLOOKUP($AH242,Programma!$F$3:$X$1101,19,0),"")</f>
        <v>_</v>
      </c>
      <c r="BA242" s="185" t="str">
        <f>_xlfn.IFNA(VLOOKUP($AH242,Programma!$F$3:$Y$1101,20,0),"")</f>
        <v>_</v>
      </c>
      <c r="BB242" s="182"/>
      <c r="BC242" s="181" t="str">
        <f>IF(Ruimtestaat[[#This Row],[Frequentie weekend]]="","",_xlfn.CONCAT(Ruimtestaat[[#This Row],[Ruimte code]],"-",Ruimtestaat[[#This Row],[Frequentie weekend]]," ",Ruimtestaat[[#This Row],[Vloer code]]))</f>
        <v/>
      </c>
      <c r="BD242" s="185" t="str">
        <f>_xlfn.IFNA(VLOOKUP($BC242,Programma!$F$3:$G$1101,2,0),"")</f>
        <v/>
      </c>
      <c r="BE242" s="185" t="str">
        <f>_xlfn.IFNA(VLOOKUP($BC242,Programma!$F$3:$H$1101,3,0),"")</f>
        <v/>
      </c>
      <c r="BF242" s="185" t="str">
        <f>_xlfn.IFNA(VLOOKUP($BC242,Programma!$F$3:$I$1101,4,0),"")</f>
        <v/>
      </c>
      <c r="BG242" s="185" t="str">
        <f>_xlfn.IFNA(VLOOKUP($BC242,Programma!$F$3:$J$1101,5,0),"")</f>
        <v/>
      </c>
      <c r="BH242" s="185" t="str">
        <f>_xlfn.IFNA(VLOOKUP($BC242,Programma!$F$3:$K$1101,6,0),"")</f>
        <v/>
      </c>
      <c r="BI242" s="185" t="str">
        <f>_xlfn.IFNA(VLOOKUP($BC242,Programma!$F$3:$L$1101,7,0),"")</f>
        <v/>
      </c>
      <c r="BJ242" s="185" t="str">
        <f>_xlfn.IFNA(VLOOKUP($BC242,Programma!$F$3:$M$1101,8,0),"")</f>
        <v/>
      </c>
      <c r="BK242" s="185" t="str">
        <f>_xlfn.IFNA(VLOOKUP($BC242,Programma!$F$3:$N$1101,9,0),"")</f>
        <v/>
      </c>
      <c r="BL242" s="185" t="str">
        <f>_xlfn.IFNA(VLOOKUP($BC242,Programma!$F$3:$O$1101,10,0),"")</f>
        <v/>
      </c>
      <c r="BM242" s="185" t="str">
        <f>_xlfn.IFNA(VLOOKUP($BC242,Programma!$F$3:$P$1101,11,0),"")</f>
        <v/>
      </c>
      <c r="BN242" s="185" t="str">
        <f>_xlfn.IFNA(VLOOKUP($BC242,Programma!$F$3:$Q$1101,12,0),"")</f>
        <v/>
      </c>
      <c r="BO242" s="185" t="str">
        <f>_xlfn.IFNA(VLOOKUP($BC242,Programma!$F$3:$R$1101,13,0),"")</f>
        <v/>
      </c>
      <c r="BP242" s="185" t="str">
        <f>_xlfn.IFNA(VLOOKUP($BC242,Programma!$F$3:$S$1101,14,0),"")</f>
        <v/>
      </c>
      <c r="BQ242" s="185" t="str">
        <f>_xlfn.IFNA(VLOOKUP($BC242,Programma!$F$3:$T$1101,15,0),"")</f>
        <v/>
      </c>
      <c r="BR242" s="185" t="str">
        <f>_xlfn.IFNA(VLOOKUP($BC242,Programma!$F$3:$U$1101,16,0),"")</f>
        <v/>
      </c>
      <c r="BS242" s="185" t="str">
        <f>_xlfn.IFNA(VLOOKUP($BC242,Programma!$F$3:$V$1101,17,0),"")</f>
        <v/>
      </c>
      <c r="BT242" s="185" t="str">
        <f>_xlfn.IFNA(VLOOKUP($BC242,Programma!$F$3:$W$1101,18,0),"")</f>
        <v/>
      </c>
      <c r="BU242" s="185" t="str">
        <f>_xlfn.IFNA(VLOOKUP($BC242,Programma!$F$3:$X$1101,19,0),"")</f>
        <v/>
      </c>
      <c r="BV242" s="185" t="str">
        <f>_xlfn.IFNA(VLOOKUP($BC242,Programma!$F$3:$Y$1101,20,0),"")</f>
        <v/>
      </c>
      <c r="BW242" s="78"/>
      <c r="BX242" s="78"/>
      <c r="BY242" s="78"/>
      <c r="BZ242" s="78"/>
      <c r="CA242" s="78"/>
      <c r="CB242" s="78"/>
      <c r="CC242" s="78"/>
      <c r="CD242" s="78"/>
      <c r="CE242" s="78"/>
      <c r="CF242" s="78"/>
      <c r="CG242" s="78"/>
      <c r="CH242" s="78"/>
      <c r="CI242" s="78"/>
      <c r="CJ242" s="78"/>
      <c r="CK242" s="78"/>
      <c r="CL242" s="78"/>
      <c r="CM242" s="78"/>
      <c r="CN242" s="78"/>
      <c r="CO242" s="78"/>
      <c r="CP242" s="78"/>
      <c r="CQ242" s="78"/>
      <c r="CR242" s="78"/>
      <c r="CS242" s="78"/>
      <c r="CT242" s="78"/>
      <c r="CU242" s="78"/>
      <c r="CV242" s="78"/>
      <c r="CW242" s="78"/>
      <c r="CX242" s="78"/>
      <c r="CY242" s="78"/>
      <c r="CZ242" s="78"/>
      <c r="DA242" s="78"/>
      <c r="DB242" s="78"/>
      <c r="DC242" s="78"/>
      <c r="DD242" s="78"/>
      <c r="DE242" s="78"/>
      <c r="DF242" s="78"/>
      <c r="DG242" s="78"/>
      <c r="DH242" s="78"/>
      <c r="DI242" s="78"/>
      <c r="DJ242" s="78"/>
      <c r="DK242" s="78"/>
      <c r="DL242" s="78"/>
      <c r="DM242" s="78"/>
      <c r="DN242" s="78"/>
      <c r="DO242" s="78"/>
      <c r="DP242" s="78"/>
      <c r="DQ242" s="78"/>
      <c r="DR242" s="78"/>
      <c r="DS242" s="78"/>
      <c r="DT242" s="78"/>
      <c r="DU242" s="78"/>
      <c r="DV242" s="78"/>
      <c r="DW242" s="78"/>
      <c r="DX242" s="78"/>
      <c r="DY242" s="78"/>
      <c r="DZ242" s="78"/>
      <c r="EA242" s="78"/>
      <c r="EB242" s="78"/>
      <c r="EC242" s="78"/>
      <c r="ED242" s="78"/>
      <c r="EE242" s="78"/>
      <c r="EF242" s="78"/>
      <c r="EG242" s="78"/>
      <c r="EH242" s="78"/>
      <c r="EI242" s="78"/>
      <c r="EJ242" s="78"/>
      <c r="EK242" s="78"/>
      <c r="EL242" s="78"/>
      <c r="EM242" s="78"/>
      <c r="EN242" s="78"/>
      <c r="EO242" s="78"/>
      <c r="EP242" s="78"/>
      <c r="EQ242" s="78"/>
      <c r="ER242" s="78"/>
      <c r="ES242" s="78"/>
      <c r="ET242" s="78"/>
      <c r="EU242" s="78"/>
      <c r="EV242" s="78"/>
      <c r="EW242" s="78"/>
      <c r="EX242" s="78"/>
      <c r="EY242" s="78"/>
      <c r="EZ242" s="78"/>
      <c r="FA242" s="78"/>
      <c r="FB242" s="78"/>
      <c r="FC242" s="78"/>
      <c r="FD242" s="78"/>
      <c r="FE242" s="78"/>
      <c r="FF242" s="78"/>
      <c r="FG242" s="78"/>
      <c r="FH242" s="78"/>
      <c r="FI242" s="78"/>
      <c r="FJ242" s="78"/>
      <c r="FK242" s="78"/>
      <c r="FL242" s="78"/>
      <c r="FM242" s="78"/>
      <c r="FN242" s="78"/>
      <c r="FO242" s="78"/>
      <c r="FP242" s="78"/>
      <c r="FQ242" s="78"/>
      <c r="FR242" s="78"/>
      <c r="FS242" s="78"/>
      <c r="FT242" s="78"/>
      <c r="FU242" s="78"/>
      <c r="FV242" s="78"/>
      <c r="FW242" s="78"/>
      <c r="FX242" s="78"/>
      <c r="FY242" s="78"/>
      <c r="FZ242" s="78"/>
      <c r="GA242" s="78"/>
      <c r="GB242" s="78"/>
      <c r="GC242" s="78"/>
      <c r="GD242" s="78"/>
      <c r="GE242" s="78"/>
      <c r="GF242" s="78"/>
      <c r="GG242" s="78"/>
      <c r="GH242" s="78"/>
      <c r="GI242" s="78"/>
      <c r="GJ242" s="78"/>
      <c r="GK242" s="78"/>
      <c r="GL242" s="78"/>
      <c r="GM242" s="78"/>
      <c r="GN242" s="78"/>
      <c r="GO242" s="78"/>
      <c r="GP242" s="78"/>
      <c r="GQ242" s="78"/>
      <c r="GR242" s="78"/>
      <c r="GS242" s="78"/>
      <c r="GT242" s="78"/>
      <c r="GU242" s="78"/>
      <c r="GV242" s="78"/>
      <c r="GW242" s="78"/>
      <c r="GX242" s="78"/>
      <c r="GY242" s="78"/>
      <c r="GZ242" s="78"/>
      <c r="HA242" s="78"/>
      <c r="HB242" s="78"/>
      <c r="HC242" s="78"/>
      <c r="HD242" s="78"/>
      <c r="HE242" s="78"/>
      <c r="HF242" s="78"/>
      <c r="HG242" s="78"/>
      <c r="HH242" s="78"/>
      <c r="HI242" s="78"/>
      <c r="HJ242" s="78"/>
      <c r="HK242" s="78"/>
    </row>
    <row r="243" spans="1:219" ht="15" customHeight="1">
      <c r="A243" s="99">
        <v>8</v>
      </c>
      <c r="B243" s="176" t="str">
        <f>VLOOKUP(Ruimtestaat[[#This Row],[Code]],Locaties[[Code]:[Locatie]],2,FALSE)</f>
        <v>OBS Roombeek</v>
      </c>
      <c r="C243" s="176" t="str">
        <f>VLOOKUP(Ruimtestaat[[#This Row],[Code]],Locaties[[#All],[Code]:[Adres]],4,FALSE)</f>
        <v>Bosuilstraat 3</v>
      </c>
      <c r="D243" s="176" t="str">
        <f>VLOOKUP(Ruimtestaat[[#This Row],[Code]],Locaties[[#All],[Code]:[Postcode]],5,FALSE)</f>
        <v>7523 BJ</v>
      </c>
      <c r="E243" s="176" t="str">
        <f>VLOOKUP(Ruimtestaat[[#This Row],[Code]],Locaties[#All],6,FALSE)</f>
        <v>Enschede</v>
      </c>
      <c r="F243" s="149"/>
      <c r="G243" s="149"/>
      <c r="H243" s="99" t="s">
        <v>1783</v>
      </c>
      <c r="I243" s="183" t="s">
        <v>1784</v>
      </c>
      <c r="J243" s="99">
        <v>2</v>
      </c>
      <c r="K243" s="183" t="str">
        <f>VLOOKUP(Ruimtestaat[[#This Row],[Ruimte code]],Ruimtegroepen[[#All],[Code]:[Ruimte omschrijving]],2,FALSE)</f>
        <v>Kantoren</v>
      </c>
      <c r="L243" s="149" t="s">
        <v>100</v>
      </c>
      <c r="M243" s="301" t="s">
        <v>1697</v>
      </c>
      <c r="N243" s="177">
        <v>30.5</v>
      </c>
      <c r="O243" s="177"/>
      <c r="P243" s="178" t="str">
        <f>VLOOKUP(Ruimtestaat[[#This Row],[Ruimte code]],Ruimtegroepen[],4,FALSE)</f>
        <v>Bu</v>
      </c>
      <c r="Q243" s="149">
        <v>40</v>
      </c>
      <c r="R243" s="149" t="s">
        <v>18</v>
      </c>
      <c r="S243" s="149">
        <f>IF(Q243&gt;0,IF(RIGHT(Ruimtestaat[[#This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43" s="149">
        <f>IF(S243&gt;0,VLOOKUP($J243,Ruimtegroepen[],3,FALSE)*VLOOKUP($L243,Vloersoorten[],3,FALSE)*VLOOKUP($R243,Frequenties[],3,FALSE)*VLOOKUP($A243,Locaties[],3,FALSE),0)</f>
        <v>0</v>
      </c>
      <c r="U243" s="149">
        <f>Ruimtestaat[[#This Row],[Uitvoeringen werkdagen]]*Ruimtestaat[[#This Row],[Oppervlak (netto)]]</f>
        <v>3660</v>
      </c>
      <c r="V243" s="179">
        <f>IF(T243&gt;0,Ruimtestaat[[#This Row],[Prest. (m2 /jaar) werkdagen]]/Ruimtestaat[[#This Row],[Norm (m2/uur) werkdagen]],0)</f>
        <v>0</v>
      </c>
      <c r="W243" s="180">
        <f>Ruimtestaat[[#This Row],[uren / jaar werkdagen]]*Tariefsopbouw!$E$35</f>
        <v>0</v>
      </c>
      <c r="X243" s="149"/>
      <c r="Y243" s="149">
        <f>IF(Ruimtestaat[[#This Row],[Frequentie weekend]]&gt;0,VALUE(LEFT(X243,1))*Q243,0)</f>
        <v>0</v>
      </c>
      <c r="Z243" s="148">
        <f>IF($Y243&gt;0,VLOOKUP($J243,Ruimtegroepen[],3,FALSE)*VLOOKUP($L243,Vloersoorten[],3,FALSE)*VLOOKUP($X243,Frequenties[],3,FALSE)*VLOOKUP(Ruimtestaat[[#This Row],[Code]],Locaties[],3,FALSE),0)</f>
        <v>0</v>
      </c>
      <c r="AA243" s="148">
        <f>Ruimtestaat[[#This Row],[Uitvoeringen weekend]]*Ruimtestaat[[#This Row],[Oppervlak (netto)]]</f>
        <v>0</v>
      </c>
      <c r="AB243" s="148">
        <f>IF(Z243&gt;0,Ruimtestaat[[#This Row],[Prest. (m2 /jaar) weekend]]/Ruimtestaat[[#This Row],[Norm (m2/uur) weekend]],0)</f>
        <v>0</v>
      </c>
      <c r="AC243" s="180">
        <f>Ruimtestaat[[#This Row],[uren / jaar weekend]]*Tariefsopbouw!$D$40</f>
        <v>0</v>
      </c>
      <c r="AD243" s="179">
        <f>Ruimtestaat[[#This Row],[Prest. (m2 /jaar) weekend]]+Ruimtestaat[[#This Row],[Prest. (m2 /jaar) werkdagen]]</f>
        <v>3660</v>
      </c>
      <c r="AE243" s="179">
        <f>Ruimtestaat[[#This Row],[uren / jaar weekend]]+Ruimtestaat[[#This Row],[uren / jaar werkdagen]]</f>
        <v>0</v>
      </c>
      <c r="AF243" s="174">
        <f>Ruimtestaat[[#This Row],[kosten / jaar weekend]]+Ruimtestaat[[#This Row],[kosten / jaar werkdagen]]</f>
        <v>0</v>
      </c>
      <c r="AG243" s="174"/>
      <c r="AH243" s="181" t="str">
        <f>IF(Ruimtestaat[[#This Row],[Frequentie werkdagen]]="","",_xlfn.CONCAT(Ruimtestaat[[#This Row],[Ruimte code]],"-",Ruimtestaat[[#This Row],[Frequentie werkdagen]]," ",Ruimtestaat[[#This Row],[Vloer code]]))</f>
        <v>2-3w L</v>
      </c>
      <c r="AI243" s="185" t="str">
        <f>_xlfn.IFNA(VLOOKUP($AH243,Programma!$F$3:$G$1101,2,0),"")</f>
        <v>_</v>
      </c>
      <c r="AJ243" s="185" t="str">
        <f>_xlfn.IFNA(VLOOKUP($AH243,Programma!$F$3:$H$1101,3,0),"")</f>
        <v>_</v>
      </c>
      <c r="AK243" s="185" t="str">
        <f>_xlfn.IFNA(VLOOKUP($AH243,Programma!$F$3:$I$1101,4,0),"")</f>
        <v>2w</v>
      </c>
      <c r="AL243" s="185" t="str">
        <f>_xlfn.IFNA(VLOOKUP($AH243,Programma!$F$3:$J$1101,5,0),"")</f>
        <v>1w</v>
      </c>
      <c r="AM243" s="185" t="str">
        <f>_xlfn.IFNA(VLOOKUP($AH243,Programma!$F$3:$K$1101,6,0),"")</f>
        <v>_</v>
      </c>
      <c r="AN243" s="185" t="str">
        <f>_xlfn.IFNA(VLOOKUP($AH243,Programma!$F$3:$L$1101,7,0),"")</f>
        <v>_</v>
      </c>
      <c r="AO243" s="185" t="str">
        <f>_xlfn.IFNA(VLOOKUP($AH243,Programma!$F$3:$M$1101,8,0),"")</f>
        <v>_</v>
      </c>
      <c r="AP243" s="185" t="str">
        <f>_xlfn.IFNA(VLOOKUP($AH243,Programma!$F$3:$N$1101,9,0),"")</f>
        <v>_</v>
      </c>
      <c r="AQ243" s="185" t="str">
        <f>_xlfn.IFNA(VLOOKUP($AH243,Programma!$F$3:$O$1101,10,0),"")</f>
        <v>3w</v>
      </c>
      <c r="AR243" s="185" t="str">
        <f>_xlfn.IFNA(VLOOKUP($AH243,Programma!$F$3:$P$1101,11,0),"")</f>
        <v>3w</v>
      </c>
      <c r="AS243" s="185" t="str">
        <f>_xlfn.IFNA(VLOOKUP($AH243,Programma!$F$3:$Q$1101,12,0),"")</f>
        <v>1w</v>
      </c>
      <c r="AT243" s="185" t="str">
        <f>_xlfn.IFNA(VLOOKUP($AH243,Programma!$F$3:$R$1101,13,0),"")</f>
        <v>1w</v>
      </c>
      <c r="AU243" s="185" t="str">
        <f>_xlfn.IFNA(VLOOKUP($AH243,Programma!$F$3:$S$1101,14,0),"")</f>
        <v>1m</v>
      </c>
      <c r="AV243" s="185" t="str">
        <f>_xlfn.IFNA(VLOOKUP($AH243,Programma!$F$3:$T$1101,15,0),"")</f>
        <v>2j</v>
      </c>
      <c r="AW243" s="185" t="str">
        <f>_xlfn.IFNA(VLOOKUP($AH243,Programma!$F$3:$U$1101,16,0),"")</f>
        <v>1j</v>
      </c>
      <c r="AX243" s="185" t="str">
        <f>_xlfn.IFNA(VLOOKUP($AH243,Programma!$F$3:$V$1101,17,0),"")</f>
        <v>_</v>
      </c>
      <c r="AY243" s="185" t="str">
        <f>_xlfn.IFNA(VLOOKUP($AH243,Programma!$F$3:$W$1101,18,0),"")</f>
        <v>_</v>
      </c>
      <c r="AZ243" s="185" t="str">
        <f>_xlfn.IFNA(VLOOKUP($AH243,Programma!$F$3:$X$1101,19,0),"")</f>
        <v>_</v>
      </c>
      <c r="BA243" s="185" t="str">
        <f>_xlfn.IFNA(VLOOKUP($AH243,Programma!$F$3:$Y$1101,20,0),"")</f>
        <v>_</v>
      </c>
      <c r="BB243" s="182"/>
      <c r="BC243" s="181" t="str">
        <f>IF(Ruimtestaat[[#This Row],[Frequentie weekend]]="","",_xlfn.CONCAT(Ruimtestaat[[#This Row],[Ruimte code]],"-",Ruimtestaat[[#This Row],[Frequentie weekend]]," ",Ruimtestaat[[#This Row],[Vloer code]]))</f>
        <v/>
      </c>
      <c r="BD243" s="185" t="str">
        <f>_xlfn.IFNA(VLOOKUP($BC243,Programma!$F$3:$G$1101,2,0),"")</f>
        <v/>
      </c>
      <c r="BE243" s="185" t="str">
        <f>_xlfn.IFNA(VLOOKUP($BC243,Programma!$F$3:$H$1101,3,0),"")</f>
        <v/>
      </c>
      <c r="BF243" s="185" t="str">
        <f>_xlfn.IFNA(VLOOKUP($BC243,Programma!$F$3:$I$1101,4,0),"")</f>
        <v/>
      </c>
      <c r="BG243" s="185" t="str">
        <f>_xlfn.IFNA(VLOOKUP($BC243,Programma!$F$3:$J$1101,5,0),"")</f>
        <v/>
      </c>
      <c r="BH243" s="185" t="str">
        <f>_xlfn.IFNA(VLOOKUP($BC243,Programma!$F$3:$K$1101,6,0),"")</f>
        <v/>
      </c>
      <c r="BI243" s="185" t="str">
        <f>_xlfn.IFNA(VLOOKUP($BC243,Programma!$F$3:$L$1101,7,0),"")</f>
        <v/>
      </c>
      <c r="BJ243" s="185" t="str">
        <f>_xlfn.IFNA(VLOOKUP($BC243,Programma!$F$3:$M$1101,8,0),"")</f>
        <v/>
      </c>
      <c r="BK243" s="185" t="str">
        <f>_xlfn.IFNA(VLOOKUP($BC243,Programma!$F$3:$N$1101,9,0),"")</f>
        <v/>
      </c>
      <c r="BL243" s="185" t="str">
        <f>_xlfn.IFNA(VLOOKUP($BC243,Programma!$F$3:$O$1101,10,0),"")</f>
        <v/>
      </c>
      <c r="BM243" s="185" t="str">
        <f>_xlfn.IFNA(VLOOKUP($BC243,Programma!$F$3:$P$1101,11,0),"")</f>
        <v/>
      </c>
      <c r="BN243" s="185" t="str">
        <f>_xlfn.IFNA(VLOOKUP($BC243,Programma!$F$3:$Q$1101,12,0),"")</f>
        <v/>
      </c>
      <c r="BO243" s="185" t="str">
        <f>_xlfn.IFNA(VLOOKUP($BC243,Programma!$F$3:$R$1101,13,0),"")</f>
        <v/>
      </c>
      <c r="BP243" s="185" t="str">
        <f>_xlfn.IFNA(VLOOKUP($BC243,Programma!$F$3:$S$1101,14,0),"")</f>
        <v/>
      </c>
      <c r="BQ243" s="185" t="str">
        <f>_xlfn.IFNA(VLOOKUP($BC243,Programma!$F$3:$T$1101,15,0),"")</f>
        <v/>
      </c>
      <c r="BR243" s="185" t="str">
        <f>_xlfn.IFNA(VLOOKUP($BC243,Programma!$F$3:$U$1101,16,0),"")</f>
        <v/>
      </c>
      <c r="BS243" s="185" t="str">
        <f>_xlfn.IFNA(VLOOKUP($BC243,Programma!$F$3:$V$1101,17,0),"")</f>
        <v/>
      </c>
      <c r="BT243" s="185" t="str">
        <f>_xlfn.IFNA(VLOOKUP($BC243,Programma!$F$3:$W$1101,18,0),"")</f>
        <v/>
      </c>
      <c r="BU243" s="185" t="str">
        <f>_xlfn.IFNA(VLOOKUP($BC243,Programma!$F$3:$X$1101,19,0),"")</f>
        <v/>
      </c>
      <c r="BV243" s="185" t="str">
        <f>_xlfn.IFNA(VLOOKUP($BC243,Programma!$F$3:$Y$1101,20,0),"")</f>
        <v/>
      </c>
      <c r="BW243" s="78"/>
      <c r="BX243" s="78"/>
      <c r="BY243" s="78"/>
      <c r="BZ243" s="78"/>
      <c r="CA243" s="78"/>
      <c r="CB243" s="78"/>
      <c r="CC243" s="78"/>
      <c r="CD243" s="78"/>
      <c r="CE243" s="78"/>
      <c r="CF243" s="78"/>
      <c r="CG243" s="78"/>
      <c r="CH243" s="78"/>
      <c r="CI243" s="78"/>
      <c r="CJ243" s="78"/>
      <c r="CK243" s="78"/>
      <c r="CL243" s="78"/>
      <c r="CM243" s="78"/>
      <c r="CN243" s="78"/>
      <c r="CO243" s="78"/>
      <c r="CP243" s="78"/>
      <c r="CQ243" s="78"/>
      <c r="CR243" s="78"/>
      <c r="CS243" s="78"/>
      <c r="CT243" s="78"/>
      <c r="CU243" s="78"/>
      <c r="CV243" s="78"/>
      <c r="CW243" s="78"/>
      <c r="CX243" s="78"/>
      <c r="CY243" s="78"/>
      <c r="CZ243" s="78"/>
      <c r="DA243" s="78"/>
      <c r="DB243" s="78"/>
      <c r="DC243" s="78"/>
      <c r="DD243" s="78"/>
      <c r="DE243" s="78"/>
      <c r="DF243" s="78"/>
      <c r="DG243" s="78"/>
      <c r="DH243" s="78"/>
      <c r="DI243" s="78"/>
      <c r="DJ243" s="78"/>
      <c r="DK243" s="78"/>
      <c r="DL243" s="78"/>
      <c r="DM243" s="78"/>
      <c r="DN243" s="78"/>
      <c r="DO243" s="78"/>
      <c r="DP243" s="78"/>
      <c r="DQ243" s="78"/>
      <c r="DR243" s="78"/>
      <c r="DS243" s="78"/>
      <c r="DT243" s="78"/>
      <c r="DU243" s="78"/>
      <c r="DV243" s="78"/>
      <c r="DW243" s="78"/>
      <c r="DX243" s="78"/>
      <c r="DY243" s="78"/>
      <c r="DZ243" s="78"/>
      <c r="EA243" s="78"/>
      <c r="EB243" s="78"/>
      <c r="EC243" s="78"/>
      <c r="ED243" s="78"/>
      <c r="EE243" s="78"/>
      <c r="EF243" s="78"/>
      <c r="EG243" s="78"/>
      <c r="EH243" s="78"/>
      <c r="EI243" s="78"/>
      <c r="EJ243" s="78"/>
      <c r="EK243" s="78"/>
      <c r="EL243" s="78"/>
      <c r="EM243" s="78"/>
      <c r="EN243" s="78"/>
      <c r="EO243" s="78"/>
      <c r="EP243" s="78"/>
      <c r="EQ243" s="78"/>
      <c r="ER243" s="78"/>
      <c r="ES243" s="78"/>
      <c r="ET243" s="78"/>
      <c r="EU243" s="78"/>
      <c r="EV243" s="78"/>
      <c r="EW243" s="78"/>
      <c r="EX243" s="78"/>
      <c r="EY243" s="78"/>
      <c r="EZ243" s="78"/>
      <c r="FA243" s="78"/>
      <c r="FB243" s="78"/>
      <c r="FC243" s="78"/>
      <c r="FD243" s="78"/>
      <c r="FE243" s="78"/>
      <c r="FF243" s="78"/>
      <c r="FG243" s="78"/>
      <c r="FH243" s="78"/>
      <c r="FI243" s="78"/>
      <c r="FJ243" s="78"/>
      <c r="FK243" s="78"/>
      <c r="FL243" s="78"/>
      <c r="FM243" s="78"/>
      <c r="FN243" s="78"/>
      <c r="FO243" s="78"/>
      <c r="FP243" s="78"/>
      <c r="FQ243" s="78"/>
      <c r="FR243" s="78"/>
      <c r="FS243" s="78"/>
      <c r="FT243" s="78"/>
      <c r="FU243" s="78"/>
      <c r="FV243" s="78"/>
      <c r="FW243" s="78"/>
      <c r="FX243" s="78"/>
      <c r="FY243" s="78"/>
      <c r="FZ243" s="78"/>
      <c r="GA243" s="78"/>
      <c r="GB243" s="78"/>
      <c r="GC243" s="78"/>
      <c r="GD243" s="78"/>
      <c r="GE243" s="78"/>
      <c r="GF243" s="78"/>
      <c r="GG243" s="78"/>
      <c r="GH243" s="78"/>
      <c r="GI243" s="78"/>
      <c r="GJ243" s="78"/>
      <c r="GK243" s="78"/>
      <c r="GL243" s="78"/>
      <c r="GM243" s="78"/>
      <c r="GN243" s="78"/>
      <c r="GO243" s="78"/>
      <c r="GP243" s="78"/>
      <c r="GQ243" s="78"/>
      <c r="GR243" s="78"/>
      <c r="GS243" s="78"/>
      <c r="GT243" s="78"/>
      <c r="GU243" s="78"/>
      <c r="GV243" s="78"/>
      <c r="GW243" s="78"/>
      <c r="GX243" s="78"/>
      <c r="GY243" s="78"/>
      <c r="GZ243" s="78"/>
      <c r="HA243" s="78"/>
      <c r="HB243" s="78"/>
      <c r="HC243" s="78"/>
      <c r="HD243" s="78"/>
      <c r="HE243" s="78"/>
      <c r="HF243" s="78"/>
      <c r="HG243" s="78"/>
      <c r="HH243" s="78"/>
      <c r="HI243" s="78"/>
      <c r="HJ243" s="78"/>
      <c r="HK243" s="78"/>
    </row>
    <row r="244" spans="1:219" ht="15" customHeight="1">
      <c r="A244" s="99">
        <v>8</v>
      </c>
      <c r="B244" s="176" t="str">
        <f>VLOOKUP(Ruimtestaat[[#This Row],[Code]],Locaties[[Code]:[Locatie]],2,FALSE)</f>
        <v>OBS Roombeek</v>
      </c>
      <c r="C244" s="176" t="str">
        <f>VLOOKUP(Ruimtestaat[[#This Row],[Code]],Locaties[[#All],[Code]:[Adres]],4,FALSE)</f>
        <v>Bosuilstraat 3</v>
      </c>
      <c r="D244" s="176" t="str">
        <f>VLOOKUP(Ruimtestaat[[#This Row],[Code]],Locaties[[#All],[Code]:[Postcode]],5,FALSE)</f>
        <v>7523 BJ</v>
      </c>
      <c r="E244" s="176" t="str">
        <f>VLOOKUP(Ruimtestaat[[#This Row],[Code]],Locaties[#All],6,FALSE)</f>
        <v>Enschede</v>
      </c>
      <c r="F244" s="149"/>
      <c r="G244" s="149"/>
      <c r="H244" s="99" t="s">
        <v>1785</v>
      </c>
      <c r="I244" s="183" t="s">
        <v>1585</v>
      </c>
      <c r="J244" s="99">
        <v>13</v>
      </c>
      <c r="K244" s="183" t="str">
        <f>VLOOKUP(Ruimtestaat[[#This Row],[Ruimte code]],Ruimtegroepen[[#All],[Code]:[Ruimte omschrijving]],2,FALSE)</f>
        <v>Personeelskamer</v>
      </c>
      <c r="L244" s="149" t="s">
        <v>100</v>
      </c>
      <c r="M244" s="301" t="s">
        <v>1697</v>
      </c>
      <c r="N244" s="177">
        <v>56.2</v>
      </c>
      <c r="O244" s="177"/>
      <c r="P244" s="178" t="str">
        <f>VLOOKUP(Ruimtestaat[[#This Row],[Ruimte code]],Ruimtegroepen[],4,FALSE)</f>
        <v>Ve</v>
      </c>
      <c r="Q244" s="149">
        <v>40</v>
      </c>
      <c r="R244" s="149" t="s">
        <v>2</v>
      </c>
      <c r="S244" s="149">
        <f>IF(Q244&gt;0,IF(RIGHT(Ruimtestaat[[#This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4" s="149">
        <f>IF(S244&gt;0,VLOOKUP($J244,Ruimtegroepen[],3,FALSE)*VLOOKUP($L244,Vloersoorten[],3,FALSE)*VLOOKUP($R244,Frequenties[],3,FALSE)*VLOOKUP($A244,Locaties[],3,FALSE),0)</f>
        <v>0</v>
      </c>
      <c r="U244" s="149">
        <f>Ruimtestaat[[#This Row],[Uitvoeringen werkdagen]]*Ruimtestaat[[#This Row],[Oppervlak (netto)]]</f>
        <v>11240</v>
      </c>
      <c r="V244" s="179">
        <f>IF(T244&gt;0,Ruimtestaat[[#This Row],[Prest. (m2 /jaar) werkdagen]]/Ruimtestaat[[#This Row],[Norm (m2/uur) werkdagen]],0)</f>
        <v>0</v>
      </c>
      <c r="W244" s="180">
        <f>Ruimtestaat[[#This Row],[uren / jaar werkdagen]]*Tariefsopbouw!$E$35</f>
        <v>0</v>
      </c>
      <c r="X244" s="149"/>
      <c r="Y244" s="149">
        <f>IF(Ruimtestaat[[#This Row],[Frequentie weekend]]&gt;0,VALUE(LEFT(X244,1))*Q244,0)</f>
        <v>0</v>
      </c>
      <c r="Z244" s="148">
        <f>IF($Y244&gt;0,VLOOKUP($J244,Ruimtegroepen[],3,FALSE)*VLOOKUP($L244,Vloersoorten[],3,FALSE)*VLOOKUP($X244,Frequenties[],3,FALSE)*VLOOKUP(Ruimtestaat[[#This Row],[Code]],Locaties[],3,FALSE),0)</f>
        <v>0</v>
      </c>
      <c r="AA244" s="148">
        <f>Ruimtestaat[[#This Row],[Uitvoeringen weekend]]*Ruimtestaat[[#This Row],[Oppervlak (netto)]]</f>
        <v>0</v>
      </c>
      <c r="AB244" s="148">
        <f>IF(Z244&gt;0,Ruimtestaat[[#This Row],[Prest. (m2 /jaar) weekend]]/Ruimtestaat[[#This Row],[Norm (m2/uur) weekend]],0)</f>
        <v>0</v>
      </c>
      <c r="AC244" s="180">
        <f>Ruimtestaat[[#This Row],[uren / jaar weekend]]*Tariefsopbouw!$D$40</f>
        <v>0</v>
      </c>
      <c r="AD244" s="179">
        <f>Ruimtestaat[[#This Row],[Prest. (m2 /jaar) weekend]]+Ruimtestaat[[#This Row],[Prest. (m2 /jaar) werkdagen]]</f>
        <v>11240</v>
      </c>
      <c r="AE244" s="179">
        <f>Ruimtestaat[[#This Row],[uren / jaar weekend]]+Ruimtestaat[[#This Row],[uren / jaar werkdagen]]</f>
        <v>0</v>
      </c>
      <c r="AF244" s="174">
        <f>Ruimtestaat[[#This Row],[kosten / jaar weekend]]+Ruimtestaat[[#This Row],[kosten / jaar werkdagen]]</f>
        <v>0</v>
      </c>
      <c r="AG244" s="174"/>
      <c r="AH244" s="181" t="str">
        <f>IF(Ruimtestaat[[#This Row],[Frequentie werkdagen]]="","",_xlfn.CONCAT(Ruimtestaat[[#This Row],[Ruimte code]],"-",Ruimtestaat[[#This Row],[Frequentie werkdagen]]," ",Ruimtestaat[[#This Row],[Vloer code]]))</f>
        <v>13-5w L</v>
      </c>
      <c r="AI244" s="185" t="str">
        <f>_xlfn.IFNA(VLOOKUP($AH244,Programma!$F$3:$G$1101,2,0),"")</f>
        <v>_</v>
      </c>
      <c r="AJ244" s="185" t="str">
        <f>_xlfn.IFNA(VLOOKUP($AH244,Programma!$F$3:$H$1101,3,0),"")</f>
        <v>_</v>
      </c>
      <c r="AK244" s="185" t="str">
        <f>_xlfn.IFNA(VLOOKUP($AH244,Programma!$F$3:$I$1101,4,0),"")</f>
        <v>4w</v>
      </c>
      <c r="AL244" s="185" t="str">
        <f>_xlfn.IFNA(VLOOKUP($AH244,Programma!$F$3:$J$1101,5,0),"")</f>
        <v>1w</v>
      </c>
      <c r="AM244" s="185" t="str">
        <f>_xlfn.IFNA(VLOOKUP($AH244,Programma!$F$3:$K$1101,6,0),"")</f>
        <v>_</v>
      </c>
      <c r="AN244" s="185" t="str">
        <f>_xlfn.IFNA(VLOOKUP($AH244,Programma!$F$3:$L$1101,7,0),"")</f>
        <v>_</v>
      </c>
      <c r="AO244" s="185" t="str">
        <f>_xlfn.IFNA(VLOOKUP($AH244,Programma!$F$3:$M$1101,8,0),"")</f>
        <v>_</v>
      </c>
      <c r="AP244" s="185" t="str">
        <f>_xlfn.IFNA(VLOOKUP($AH244,Programma!$F$3:$N$1101,9,0),"")</f>
        <v>_</v>
      </c>
      <c r="AQ244" s="185" t="str">
        <f>_xlfn.IFNA(VLOOKUP($AH244,Programma!$F$3:$O$1101,10,0),"")</f>
        <v>5w</v>
      </c>
      <c r="AR244" s="185" t="str">
        <f>_xlfn.IFNA(VLOOKUP($AH244,Programma!$F$3:$P$1101,11,0),"")</f>
        <v>5w</v>
      </c>
      <c r="AS244" s="185" t="str">
        <f>_xlfn.IFNA(VLOOKUP($AH244,Programma!$F$3:$Q$1101,12,0),"")</f>
        <v>1w</v>
      </c>
      <c r="AT244" s="185" t="str">
        <f>_xlfn.IFNA(VLOOKUP($AH244,Programma!$F$3:$R$1101,13,0),"")</f>
        <v>1w</v>
      </c>
      <c r="AU244" s="185" t="str">
        <f>_xlfn.IFNA(VLOOKUP($AH244,Programma!$F$3:$S$1101,14,0),"")</f>
        <v>1m</v>
      </c>
      <c r="AV244" s="185" t="str">
        <f>_xlfn.IFNA(VLOOKUP($AH244,Programma!$F$3:$T$1101,15,0),"")</f>
        <v>2j</v>
      </c>
      <c r="AW244" s="185" t="str">
        <f>_xlfn.IFNA(VLOOKUP($AH244,Programma!$F$3:$U$1101,16,0),"")</f>
        <v>1j</v>
      </c>
      <c r="AX244" s="185" t="str">
        <f>_xlfn.IFNA(VLOOKUP($AH244,Programma!$F$3:$V$1101,17,0),"")</f>
        <v>_</v>
      </c>
      <c r="AY244" s="185" t="str">
        <f>_xlfn.IFNA(VLOOKUP($AH244,Programma!$F$3:$W$1101,18,0),"")</f>
        <v>_</v>
      </c>
      <c r="AZ244" s="185" t="str">
        <f>_xlfn.IFNA(VLOOKUP($AH244,Programma!$F$3:$X$1101,19,0),"")</f>
        <v>_</v>
      </c>
      <c r="BA244" s="185" t="str">
        <f>_xlfn.IFNA(VLOOKUP($AH244,Programma!$F$3:$Y$1101,20,0),"")</f>
        <v>_</v>
      </c>
      <c r="BB244" s="182"/>
      <c r="BC244" s="181" t="str">
        <f>IF(Ruimtestaat[[#This Row],[Frequentie weekend]]="","",_xlfn.CONCAT(Ruimtestaat[[#This Row],[Ruimte code]],"-",Ruimtestaat[[#This Row],[Frequentie weekend]]," ",Ruimtestaat[[#This Row],[Vloer code]]))</f>
        <v/>
      </c>
      <c r="BD244" s="185" t="str">
        <f>_xlfn.IFNA(VLOOKUP($BC244,Programma!$F$3:$G$1101,2,0),"")</f>
        <v/>
      </c>
      <c r="BE244" s="185" t="str">
        <f>_xlfn.IFNA(VLOOKUP($BC244,Programma!$F$3:$H$1101,3,0),"")</f>
        <v/>
      </c>
      <c r="BF244" s="185" t="str">
        <f>_xlfn.IFNA(VLOOKUP($BC244,Programma!$F$3:$I$1101,4,0),"")</f>
        <v/>
      </c>
      <c r="BG244" s="185" t="str">
        <f>_xlfn.IFNA(VLOOKUP($BC244,Programma!$F$3:$J$1101,5,0),"")</f>
        <v/>
      </c>
      <c r="BH244" s="185" t="str">
        <f>_xlfn.IFNA(VLOOKUP($BC244,Programma!$F$3:$K$1101,6,0),"")</f>
        <v/>
      </c>
      <c r="BI244" s="185" t="str">
        <f>_xlfn.IFNA(VLOOKUP($BC244,Programma!$F$3:$L$1101,7,0),"")</f>
        <v/>
      </c>
      <c r="BJ244" s="185" t="str">
        <f>_xlfn.IFNA(VLOOKUP($BC244,Programma!$F$3:$M$1101,8,0),"")</f>
        <v/>
      </c>
      <c r="BK244" s="185" t="str">
        <f>_xlfn.IFNA(VLOOKUP($BC244,Programma!$F$3:$N$1101,9,0),"")</f>
        <v/>
      </c>
      <c r="BL244" s="185" t="str">
        <f>_xlfn.IFNA(VLOOKUP($BC244,Programma!$F$3:$O$1101,10,0),"")</f>
        <v/>
      </c>
      <c r="BM244" s="185" t="str">
        <f>_xlfn.IFNA(VLOOKUP($BC244,Programma!$F$3:$P$1101,11,0),"")</f>
        <v/>
      </c>
      <c r="BN244" s="185" t="str">
        <f>_xlfn.IFNA(VLOOKUP($BC244,Programma!$F$3:$Q$1101,12,0),"")</f>
        <v/>
      </c>
      <c r="BO244" s="185" t="str">
        <f>_xlfn.IFNA(VLOOKUP($BC244,Programma!$F$3:$R$1101,13,0),"")</f>
        <v/>
      </c>
      <c r="BP244" s="185" t="str">
        <f>_xlfn.IFNA(VLOOKUP($BC244,Programma!$F$3:$S$1101,14,0),"")</f>
        <v/>
      </c>
      <c r="BQ244" s="185" t="str">
        <f>_xlfn.IFNA(VLOOKUP($BC244,Programma!$F$3:$T$1101,15,0),"")</f>
        <v/>
      </c>
      <c r="BR244" s="185" t="str">
        <f>_xlfn.IFNA(VLOOKUP($BC244,Programma!$F$3:$U$1101,16,0),"")</f>
        <v/>
      </c>
      <c r="BS244" s="185" t="str">
        <f>_xlfn.IFNA(VLOOKUP($BC244,Programma!$F$3:$V$1101,17,0),"")</f>
        <v/>
      </c>
      <c r="BT244" s="185" t="str">
        <f>_xlfn.IFNA(VLOOKUP($BC244,Programma!$F$3:$W$1101,18,0),"")</f>
        <v/>
      </c>
      <c r="BU244" s="185" t="str">
        <f>_xlfn.IFNA(VLOOKUP($BC244,Programma!$F$3:$X$1101,19,0),"")</f>
        <v/>
      </c>
      <c r="BV244" s="185" t="str">
        <f>_xlfn.IFNA(VLOOKUP($BC244,Programma!$F$3:$Y$1101,20,0),"")</f>
        <v/>
      </c>
      <c r="BW244" s="78"/>
      <c r="BX244" s="78"/>
      <c r="BY244" s="78"/>
      <c r="BZ244" s="78"/>
      <c r="CA244" s="78"/>
      <c r="CB244" s="78"/>
      <c r="CC244" s="78"/>
      <c r="CD244" s="78"/>
      <c r="CE244" s="78"/>
      <c r="CF244" s="78"/>
      <c r="CG244" s="78"/>
      <c r="CH244" s="78"/>
      <c r="CI244" s="78"/>
      <c r="CJ244" s="78"/>
      <c r="CK244" s="78"/>
      <c r="CL244" s="78"/>
      <c r="CM244" s="78"/>
      <c r="CN244" s="78"/>
      <c r="CO244" s="78"/>
      <c r="CP244" s="78"/>
      <c r="CQ244" s="78"/>
      <c r="CR244" s="78"/>
      <c r="CS244" s="78"/>
      <c r="CT244" s="78"/>
      <c r="CU244" s="78"/>
      <c r="CV244" s="78"/>
      <c r="CW244" s="78"/>
      <c r="CX244" s="78"/>
      <c r="CY244" s="78"/>
      <c r="CZ244" s="78"/>
      <c r="DA244" s="78"/>
      <c r="DB244" s="78"/>
      <c r="DC244" s="78"/>
      <c r="DD244" s="78"/>
      <c r="DE244" s="78"/>
      <c r="DF244" s="78"/>
      <c r="DG244" s="78"/>
      <c r="DH244" s="78"/>
      <c r="DI244" s="78"/>
      <c r="DJ244" s="78"/>
      <c r="DK244" s="78"/>
      <c r="DL244" s="78"/>
      <c r="DM244" s="78"/>
      <c r="DN244" s="78"/>
      <c r="DO244" s="78"/>
      <c r="DP244" s="78"/>
      <c r="DQ244" s="78"/>
      <c r="DR244" s="78"/>
      <c r="DS244" s="78"/>
      <c r="DT244" s="78"/>
      <c r="DU244" s="78"/>
      <c r="DV244" s="78"/>
      <c r="DW244" s="78"/>
      <c r="DX244" s="78"/>
      <c r="DY244" s="78"/>
      <c r="DZ244" s="78"/>
      <c r="EA244" s="78"/>
      <c r="EB244" s="78"/>
      <c r="EC244" s="78"/>
      <c r="ED244" s="78"/>
      <c r="EE244" s="78"/>
      <c r="EF244" s="78"/>
      <c r="EG244" s="78"/>
      <c r="EH244" s="78"/>
      <c r="EI244" s="78"/>
      <c r="EJ244" s="78"/>
      <c r="EK244" s="78"/>
      <c r="EL244" s="78"/>
      <c r="EM244" s="78"/>
      <c r="EN244" s="78"/>
      <c r="EO244" s="78"/>
      <c r="EP244" s="78"/>
      <c r="EQ244" s="78"/>
      <c r="ER244" s="78"/>
      <c r="ES244" s="78"/>
      <c r="ET244" s="78"/>
      <c r="EU244" s="78"/>
      <c r="EV244" s="78"/>
      <c r="EW244" s="78"/>
      <c r="EX244" s="78"/>
      <c r="EY244" s="78"/>
      <c r="EZ244" s="78"/>
      <c r="FA244" s="78"/>
      <c r="FB244" s="78"/>
      <c r="FC244" s="78"/>
      <c r="FD244" s="78"/>
      <c r="FE244" s="78"/>
      <c r="FF244" s="78"/>
      <c r="FG244" s="78"/>
      <c r="FH244" s="78"/>
      <c r="FI244" s="78"/>
      <c r="FJ244" s="78"/>
      <c r="FK244" s="78"/>
      <c r="FL244" s="78"/>
      <c r="FM244" s="78"/>
      <c r="FN244" s="78"/>
      <c r="FO244" s="78"/>
      <c r="FP244" s="78"/>
      <c r="FQ244" s="78"/>
      <c r="FR244" s="78"/>
      <c r="FS244" s="78"/>
      <c r="FT244" s="78"/>
      <c r="FU244" s="78"/>
      <c r="FV244" s="78"/>
      <c r="FW244" s="78"/>
      <c r="FX244" s="78"/>
      <c r="FY244" s="78"/>
      <c r="FZ244" s="78"/>
      <c r="GA244" s="78"/>
      <c r="GB244" s="78"/>
      <c r="GC244" s="78"/>
      <c r="GD244" s="78"/>
      <c r="GE244" s="78"/>
      <c r="GF244" s="78"/>
      <c r="GG244" s="78"/>
      <c r="GH244" s="78"/>
      <c r="GI244" s="78"/>
      <c r="GJ244" s="78"/>
      <c r="GK244" s="78"/>
      <c r="GL244" s="78"/>
      <c r="GM244" s="78"/>
      <c r="GN244" s="78"/>
      <c r="GO244" s="78"/>
      <c r="GP244" s="78"/>
      <c r="GQ244" s="78"/>
      <c r="GR244" s="78"/>
      <c r="GS244" s="78"/>
      <c r="GT244" s="78"/>
      <c r="GU244" s="78"/>
      <c r="GV244" s="78"/>
      <c r="GW244" s="78"/>
      <c r="GX244" s="78"/>
      <c r="GY244" s="78"/>
      <c r="GZ244" s="78"/>
      <c r="HA244" s="78"/>
      <c r="HB244" s="78"/>
      <c r="HC244" s="78"/>
      <c r="HD244" s="78"/>
      <c r="HE244" s="78"/>
      <c r="HF244" s="78"/>
      <c r="HG244" s="78"/>
      <c r="HH244" s="78"/>
      <c r="HI244" s="78"/>
      <c r="HJ244" s="78"/>
      <c r="HK244" s="78"/>
    </row>
    <row r="245" spans="1:219" ht="15" customHeight="1">
      <c r="A245" s="99">
        <v>8</v>
      </c>
      <c r="B245" s="176" t="str">
        <f>VLOOKUP(Ruimtestaat[[#This Row],[Code]],Locaties[[Code]:[Locatie]],2,FALSE)</f>
        <v>OBS Roombeek</v>
      </c>
      <c r="C245" s="176" t="str">
        <f>VLOOKUP(Ruimtestaat[[#This Row],[Code]],Locaties[[#All],[Code]:[Adres]],4,FALSE)</f>
        <v>Bosuilstraat 3</v>
      </c>
      <c r="D245" s="176" t="str">
        <f>VLOOKUP(Ruimtestaat[[#This Row],[Code]],Locaties[[#All],[Code]:[Postcode]],5,FALSE)</f>
        <v>7523 BJ</v>
      </c>
      <c r="E245" s="176" t="str">
        <f>VLOOKUP(Ruimtestaat[[#This Row],[Code]],Locaties[#All],6,FALSE)</f>
        <v>Enschede</v>
      </c>
      <c r="F245" s="149"/>
      <c r="G245" s="149"/>
      <c r="H245" s="99" t="s">
        <v>1786</v>
      </c>
      <c r="I245" s="183" t="s">
        <v>1684</v>
      </c>
      <c r="J245" s="99">
        <v>5</v>
      </c>
      <c r="K245" s="183" t="str">
        <f>VLOOKUP(Ruimtestaat[[#This Row],[Ruimte code]],Ruimtegroepen[[#All],[Code]:[Ruimte omschrijving]],2,FALSE)</f>
        <v>Sanitair</v>
      </c>
      <c r="L245" s="149" t="s">
        <v>101</v>
      </c>
      <c r="M245" s="301" t="s">
        <v>119</v>
      </c>
      <c r="N245" s="177">
        <v>5.5</v>
      </c>
      <c r="O245" s="177"/>
      <c r="P245" s="178" t="str">
        <f>VLOOKUP(Ruimtestaat[[#This Row],[Ruimte code]],Ruimtegroepen[],4,FALSE)</f>
        <v>Sa</v>
      </c>
      <c r="Q245" s="149">
        <v>40</v>
      </c>
      <c r="R245" s="149" t="s">
        <v>2</v>
      </c>
      <c r="S245" s="149">
        <f>IF(Q245&gt;0,IF(RIGHT(Ruimtestaat[[#This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5" s="149">
        <f>IF(S245&gt;0,VLOOKUP($J245,Ruimtegroepen[],3,FALSE)*VLOOKUP($L245,Vloersoorten[],3,FALSE)*VLOOKUP($R245,Frequenties[],3,FALSE)*VLOOKUP($A245,Locaties[],3,FALSE),0)</f>
        <v>0</v>
      </c>
      <c r="U245" s="149">
        <f>Ruimtestaat[[#This Row],[Uitvoeringen werkdagen]]*Ruimtestaat[[#This Row],[Oppervlak (netto)]]</f>
        <v>1100</v>
      </c>
      <c r="V245" s="179">
        <f>IF(T245&gt;0,Ruimtestaat[[#This Row],[Prest. (m2 /jaar) werkdagen]]/Ruimtestaat[[#This Row],[Norm (m2/uur) werkdagen]],0)</f>
        <v>0</v>
      </c>
      <c r="W245" s="180">
        <f>Ruimtestaat[[#This Row],[uren / jaar werkdagen]]*Tariefsopbouw!$E$35</f>
        <v>0</v>
      </c>
      <c r="X245" s="149"/>
      <c r="Y245" s="149">
        <f>IF(Ruimtestaat[[#This Row],[Frequentie weekend]]&gt;0,VALUE(LEFT(X245,1))*Q245,0)</f>
        <v>0</v>
      </c>
      <c r="Z245" s="148">
        <f>IF($Y245&gt;0,VLOOKUP($J245,Ruimtegroepen[],3,FALSE)*VLOOKUP($L245,Vloersoorten[],3,FALSE)*VLOOKUP($X245,Frequenties[],3,FALSE)*VLOOKUP(Ruimtestaat[[#This Row],[Code]],Locaties[],3,FALSE),0)</f>
        <v>0</v>
      </c>
      <c r="AA245" s="148">
        <f>Ruimtestaat[[#This Row],[Uitvoeringen weekend]]*Ruimtestaat[[#This Row],[Oppervlak (netto)]]</f>
        <v>0</v>
      </c>
      <c r="AB245" s="148">
        <f>IF(Z245&gt;0,Ruimtestaat[[#This Row],[Prest. (m2 /jaar) weekend]]/Ruimtestaat[[#This Row],[Norm (m2/uur) weekend]],0)</f>
        <v>0</v>
      </c>
      <c r="AC245" s="180">
        <f>Ruimtestaat[[#This Row],[uren / jaar weekend]]*Tariefsopbouw!$D$40</f>
        <v>0</v>
      </c>
      <c r="AD245" s="179">
        <f>Ruimtestaat[[#This Row],[Prest. (m2 /jaar) weekend]]+Ruimtestaat[[#This Row],[Prest. (m2 /jaar) werkdagen]]</f>
        <v>1100</v>
      </c>
      <c r="AE245" s="179">
        <f>Ruimtestaat[[#This Row],[uren / jaar weekend]]+Ruimtestaat[[#This Row],[uren / jaar werkdagen]]</f>
        <v>0</v>
      </c>
      <c r="AF245" s="174">
        <f>Ruimtestaat[[#This Row],[kosten / jaar weekend]]+Ruimtestaat[[#This Row],[kosten / jaar werkdagen]]</f>
        <v>0</v>
      </c>
      <c r="AG245" s="174"/>
      <c r="AH245" s="181" t="str">
        <f>IF(Ruimtestaat[[#This Row],[Frequentie werkdagen]]="","",_xlfn.CONCAT(Ruimtestaat[[#This Row],[Ruimte code]],"-",Ruimtestaat[[#This Row],[Frequentie werkdagen]]," ",Ruimtestaat[[#This Row],[Vloer code]]))</f>
        <v>5-5w S</v>
      </c>
      <c r="AI245" s="185" t="str">
        <f>_xlfn.IFNA(VLOOKUP($AH245,Programma!$F$3:$G$1101,2,0),"")</f>
        <v>_</v>
      </c>
      <c r="AJ245" s="185" t="str">
        <f>_xlfn.IFNA(VLOOKUP($AH245,Programma!$F$3:$H$1101,3,0),"")</f>
        <v>_</v>
      </c>
      <c r="AK245" s="185" t="str">
        <f>_xlfn.IFNA(VLOOKUP($AH245,Programma!$F$3:$I$1101,4,0),"")</f>
        <v>_</v>
      </c>
      <c r="AL245" s="185" t="str">
        <f>_xlfn.IFNA(VLOOKUP($AH245,Programma!$F$3:$J$1101,5,0),"")</f>
        <v>4w</v>
      </c>
      <c r="AM245" s="185" t="str">
        <f>_xlfn.IFNA(VLOOKUP($AH245,Programma!$F$3:$K$1101,6,0),"")</f>
        <v>1w</v>
      </c>
      <c r="AN245" s="185" t="str">
        <f>_xlfn.IFNA(VLOOKUP($AH245,Programma!$F$3:$L$1101,7,0),"")</f>
        <v>_</v>
      </c>
      <c r="AO245" s="185" t="str">
        <f>_xlfn.IFNA(VLOOKUP($AH245,Programma!$F$3:$M$1101,8,0),"")</f>
        <v>_</v>
      </c>
      <c r="AP245" s="185" t="str">
        <f>_xlfn.IFNA(VLOOKUP($AH245,Programma!$F$3:$N$1101,9,0),"")</f>
        <v>_</v>
      </c>
      <c r="AQ245" s="185" t="str">
        <f>_xlfn.IFNA(VLOOKUP($AH245,Programma!$F$3:$O$1101,10,0),"")</f>
        <v>_</v>
      </c>
      <c r="AR245" s="185" t="str">
        <f>_xlfn.IFNA(VLOOKUP($AH245,Programma!$F$3:$P$1101,11,0),"")</f>
        <v>_</v>
      </c>
      <c r="AS245" s="185" t="str">
        <f>_xlfn.IFNA(VLOOKUP($AH245,Programma!$F$3:$Q$1101,12,0),"")</f>
        <v>_</v>
      </c>
      <c r="AT245" s="185" t="str">
        <f>_xlfn.IFNA(VLOOKUP($AH245,Programma!$F$3:$R$1101,13,0),"")</f>
        <v>_</v>
      </c>
      <c r="AU245" s="185" t="str">
        <f>_xlfn.IFNA(VLOOKUP($AH245,Programma!$F$3:$S$1101,14,0),"")</f>
        <v>_</v>
      </c>
      <c r="AV245" s="185" t="str">
        <f>_xlfn.IFNA(VLOOKUP($AH245,Programma!$F$3:$T$1101,15,0),"")</f>
        <v>_</v>
      </c>
      <c r="AW245" s="185" t="str">
        <f>_xlfn.IFNA(VLOOKUP($AH245,Programma!$F$3:$U$1101,16,0),"")</f>
        <v>_</v>
      </c>
      <c r="AX245" s="185" t="str">
        <f>_xlfn.IFNA(VLOOKUP($AH245,Programma!$F$3:$V$1101,17,0),"")</f>
        <v>_</v>
      </c>
      <c r="AY245" s="185" t="str">
        <f>_xlfn.IFNA(VLOOKUP($AH245,Programma!$F$3:$W$1101,18,0),"")</f>
        <v>4w</v>
      </c>
      <c r="AZ245" s="185" t="str">
        <f>_xlfn.IFNA(VLOOKUP($AH245,Programma!$F$3:$X$1101,19,0),"")</f>
        <v>1w</v>
      </c>
      <c r="BA245" s="185" t="str">
        <f>_xlfn.IFNA(VLOOKUP($AH245,Programma!$F$3:$Y$1101,20,0),"")</f>
        <v>_</v>
      </c>
      <c r="BB245" s="182"/>
      <c r="BC245" s="181" t="str">
        <f>IF(Ruimtestaat[[#This Row],[Frequentie weekend]]="","",_xlfn.CONCAT(Ruimtestaat[[#This Row],[Ruimte code]],"-",Ruimtestaat[[#This Row],[Frequentie weekend]]," ",Ruimtestaat[[#This Row],[Vloer code]]))</f>
        <v/>
      </c>
      <c r="BD245" s="185" t="str">
        <f>_xlfn.IFNA(VLOOKUP($BC245,Programma!$F$3:$G$1101,2,0),"")</f>
        <v/>
      </c>
      <c r="BE245" s="185" t="str">
        <f>_xlfn.IFNA(VLOOKUP($BC245,Programma!$F$3:$H$1101,3,0),"")</f>
        <v/>
      </c>
      <c r="BF245" s="185" t="str">
        <f>_xlfn.IFNA(VLOOKUP($BC245,Programma!$F$3:$I$1101,4,0),"")</f>
        <v/>
      </c>
      <c r="BG245" s="185" t="str">
        <f>_xlfn.IFNA(VLOOKUP($BC245,Programma!$F$3:$J$1101,5,0),"")</f>
        <v/>
      </c>
      <c r="BH245" s="185" t="str">
        <f>_xlfn.IFNA(VLOOKUP($BC245,Programma!$F$3:$K$1101,6,0),"")</f>
        <v/>
      </c>
      <c r="BI245" s="185" t="str">
        <f>_xlfn.IFNA(VLOOKUP($BC245,Programma!$F$3:$L$1101,7,0),"")</f>
        <v/>
      </c>
      <c r="BJ245" s="185" t="str">
        <f>_xlfn.IFNA(VLOOKUP($BC245,Programma!$F$3:$M$1101,8,0),"")</f>
        <v/>
      </c>
      <c r="BK245" s="185" t="str">
        <f>_xlfn.IFNA(VLOOKUP($BC245,Programma!$F$3:$N$1101,9,0),"")</f>
        <v/>
      </c>
      <c r="BL245" s="185" t="str">
        <f>_xlfn.IFNA(VLOOKUP($BC245,Programma!$F$3:$O$1101,10,0),"")</f>
        <v/>
      </c>
      <c r="BM245" s="185" t="str">
        <f>_xlfn.IFNA(VLOOKUP($BC245,Programma!$F$3:$P$1101,11,0),"")</f>
        <v/>
      </c>
      <c r="BN245" s="185" t="str">
        <f>_xlfn.IFNA(VLOOKUP($BC245,Programma!$F$3:$Q$1101,12,0),"")</f>
        <v/>
      </c>
      <c r="BO245" s="185" t="str">
        <f>_xlfn.IFNA(VLOOKUP($BC245,Programma!$F$3:$R$1101,13,0),"")</f>
        <v/>
      </c>
      <c r="BP245" s="185" t="str">
        <f>_xlfn.IFNA(VLOOKUP($BC245,Programma!$F$3:$S$1101,14,0),"")</f>
        <v/>
      </c>
      <c r="BQ245" s="185" t="str">
        <f>_xlfn.IFNA(VLOOKUP($BC245,Programma!$F$3:$T$1101,15,0),"")</f>
        <v/>
      </c>
      <c r="BR245" s="185" t="str">
        <f>_xlfn.IFNA(VLOOKUP($BC245,Programma!$F$3:$U$1101,16,0),"")</f>
        <v/>
      </c>
      <c r="BS245" s="185" t="str">
        <f>_xlfn.IFNA(VLOOKUP($BC245,Programma!$F$3:$V$1101,17,0),"")</f>
        <v/>
      </c>
      <c r="BT245" s="185" t="str">
        <f>_xlfn.IFNA(VLOOKUP($BC245,Programma!$F$3:$W$1101,18,0),"")</f>
        <v/>
      </c>
      <c r="BU245" s="185" t="str">
        <f>_xlfn.IFNA(VLOOKUP($BC245,Programma!$F$3:$X$1101,19,0),"")</f>
        <v/>
      </c>
      <c r="BV245" s="185" t="str">
        <f>_xlfn.IFNA(VLOOKUP($BC245,Programma!$F$3:$Y$1101,20,0),"")</f>
        <v/>
      </c>
      <c r="BW245" s="78"/>
      <c r="BX245" s="78"/>
      <c r="BY245" s="78"/>
      <c r="BZ245" s="78"/>
      <c r="CA245" s="78"/>
      <c r="CB245" s="78"/>
      <c r="CC245" s="78"/>
      <c r="CD245" s="78"/>
      <c r="CE245" s="78"/>
      <c r="CF245" s="78"/>
      <c r="CG245" s="78"/>
      <c r="CH245" s="78"/>
      <c r="CI245" s="78"/>
      <c r="CJ245" s="78"/>
      <c r="CK245" s="78"/>
      <c r="CL245" s="78"/>
      <c r="CM245" s="78"/>
      <c r="CN245" s="78"/>
      <c r="CO245" s="78"/>
      <c r="CP245" s="78"/>
      <c r="CQ245" s="78"/>
      <c r="CR245" s="78"/>
      <c r="CS245" s="78"/>
      <c r="CT245" s="78"/>
      <c r="CU245" s="78"/>
      <c r="CV245" s="78"/>
      <c r="CW245" s="78"/>
      <c r="CX245" s="78"/>
      <c r="CY245" s="78"/>
      <c r="CZ245" s="78"/>
      <c r="DA245" s="78"/>
      <c r="DB245" s="78"/>
      <c r="DC245" s="78"/>
      <c r="DD245" s="78"/>
      <c r="DE245" s="78"/>
      <c r="DF245" s="78"/>
      <c r="DG245" s="78"/>
      <c r="DH245" s="78"/>
      <c r="DI245" s="78"/>
      <c r="DJ245" s="78"/>
      <c r="DK245" s="78"/>
      <c r="DL245" s="78"/>
      <c r="DM245" s="78"/>
      <c r="DN245" s="78"/>
      <c r="DO245" s="78"/>
      <c r="DP245" s="78"/>
      <c r="DQ245" s="78"/>
      <c r="DR245" s="78"/>
      <c r="DS245" s="78"/>
      <c r="DT245" s="78"/>
      <c r="DU245" s="78"/>
      <c r="DV245" s="78"/>
      <c r="DW245" s="78"/>
      <c r="DX245" s="78"/>
      <c r="DY245" s="78"/>
      <c r="DZ245" s="78"/>
      <c r="EA245" s="78"/>
      <c r="EB245" s="78"/>
      <c r="EC245" s="78"/>
      <c r="ED245" s="78"/>
      <c r="EE245" s="78"/>
      <c r="EF245" s="78"/>
      <c r="EG245" s="78"/>
      <c r="EH245" s="78"/>
      <c r="EI245" s="78"/>
      <c r="EJ245" s="78"/>
      <c r="EK245" s="78"/>
      <c r="EL245" s="78"/>
      <c r="EM245" s="78"/>
      <c r="EN245" s="78"/>
      <c r="EO245" s="78"/>
      <c r="EP245" s="78"/>
      <c r="EQ245" s="78"/>
      <c r="ER245" s="78"/>
      <c r="ES245" s="78"/>
      <c r="ET245" s="78"/>
      <c r="EU245" s="78"/>
      <c r="EV245" s="78"/>
      <c r="EW245" s="78"/>
      <c r="EX245" s="78"/>
      <c r="EY245" s="78"/>
      <c r="EZ245" s="78"/>
      <c r="FA245" s="78"/>
      <c r="FB245" s="78"/>
      <c r="FC245" s="78"/>
      <c r="FD245" s="78"/>
      <c r="FE245" s="78"/>
      <c r="FF245" s="78"/>
      <c r="FG245" s="78"/>
      <c r="FH245" s="78"/>
      <c r="FI245" s="78"/>
      <c r="FJ245" s="78"/>
      <c r="FK245" s="78"/>
      <c r="FL245" s="78"/>
      <c r="FM245" s="78"/>
      <c r="FN245" s="78"/>
      <c r="FO245" s="78"/>
      <c r="FP245" s="78"/>
      <c r="FQ245" s="78"/>
      <c r="FR245" s="78"/>
      <c r="FS245" s="78"/>
      <c r="FT245" s="78"/>
      <c r="FU245" s="78"/>
      <c r="FV245" s="78"/>
      <c r="FW245" s="78"/>
      <c r="FX245" s="78"/>
      <c r="FY245" s="78"/>
      <c r="FZ245" s="78"/>
      <c r="GA245" s="78"/>
      <c r="GB245" s="78"/>
      <c r="GC245" s="78"/>
      <c r="GD245" s="78"/>
      <c r="GE245" s="78"/>
      <c r="GF245" s="78"/>
      <c r="GG245" s="78"/>
      <c r="GH245" s="78"/>
      <c r="GI245" s="78"/>
      <c r="GJ245" s="78"/>
      <c r="GK245" s="78"/>
      <c r="GL245" s="78"/>
      <c r="GM245" s="78"/>
      <c r="GN245" s="78"/>
      <c r="GO245" s="78"/>
      <c r="GP245" s="78"/>
      <c r="GQ245" s="78"/>
      <c r="GR245" s="78"/>
      <c r="GS245" s="78"/>
      <c r="GT245" s="78"/>
      <c r="GU245" s="78"/>
      <c r="GV245" s="78"/>
      <c r="GW245" s="78"/>
      <c r="GX245" s="78"/>
      <c r="GY245" s="78"/>
      <c r="GZ245" s="78"/>
      <c r="HA245" s="78"/>
      <c r="HB245" s="78"/>
      <c r="HC245" s="78"/>
      <c r="HD245" s="78"/>
      <c r="HE245" s="78"/>
      <c r="HF245" s="78"/>
      <c r="HG245" s="78"/>
      <c r="HH245" s="78"/>
      <c r="HI245" s="78"/>
      <c r="HJ245" s="78"/>
      <c r="HK245" s="78"/>
    </row>
    <row r="246" spans="1:219" ht="15" customHeight="1">
      <c r="A246" s="99">
        <v>8</v>
      </c>
      <c r="B246" s="176" t="str">
        <f>VLOOKUP(Ruimtestaat[[#This Row],[Code]],Locaties[[Code]:[Locatie]],2,FALSE)</f>
        <v>OBS Roombeek</v>
      </c>
      <c r="C246" s="176" t="str">
        <f>VLOOKUP(Ruimtestaat[[#This Row],[Code]],Locaties[[#All],[Code]:[Adres]],4,FALSE)</f>
        <v>Bosuilstraat 3</v>
      </c>
      <c r="D246" s="176" t="str">
        <f>VLOOKUP(Ruimtestaat[[#This Row],[Code]],Locaties[[#All],[Code]:[Postcode]],5,FALSE)</f>
        <v>7523 BJ</v>
      </c>
      <c r="E246" s="176" t="str">
        <f>VLOOKUP(Ruimtestaat[[#This Row],[Code]],Locaties[#All],6,FALSE)</f>
        <v>Enschede</v>
      </c>
      <c r="F246" s="149"/>
      <c r="G246" s="149"/>
      <c r="H246" s="99" t="s">
        <v>1787</v>
      </c>
      <c r="I246" s="183" t="s">
        <v>1649</v>
      </c>
      <c r="J246" s="99">
        <v>2</v>
      </c>
      <c r="K246" s="183" t="str">
        <f>VLOOKUP(Ruimtestaat[[#This Row],[Ruimte code]],Ruimtegroepen[[#All],[Code]:[Ruimte omschrijving]],2,FALSE)</f>
        <v>Kantoren</v>
      </c>
      <c r="L246" s="149" t="s">
        <v>100</v>
      </c>
      <c r="M246" s="301" t="s">
        <v>1697</v>
      </c>
      <c r="N246" s="177">
        <v>14.9</v>
      </c>
      <c r="O246" s="177"/>
      <c r="P246" s="178" t="str">
        <f>VLOOKUP(Ruimtestaat[[#This Row],[Ruimte code]],Ruimtegroepen[],4,FALSE)</f>
        <v>Bu</v>
      </c>
      <c r="Q246" s="149">
        <v>40</v>
      </c>
      <c r="R246" s="149" t="s">
        <v>18</v>
      </c>
      <c r="S246" s="149">
        <f>IF(Q246&gt;0,IF(RIGHT(Ruimtestaat[[#This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46" s="149">
        <f>IF(S246&gt;0,VLOOKUP($J246,Ruimtegroepen[],3,FALSE)*VLOOKUP($L246,Vloersoorten[],3,FALSE)*VLOOKUP($R246,Frequenties[],3,FALSE)*VLOOKUP($A246,Locaties[],3,FALSE),0)</f>
        <v>0</v>
      </c>
      <c r="U246" s="149">
        <f>Ruimtestaat[[#This Row],[Uitvoeringen werkdagen]]*Ruimtestaat[[#This Row],[Oppervlak (netto)]]</f>
        <v>1788</v>
      </c>
      <c r="V246" s="179">
        <f>IF(T246&gt;0,Ruimtestaat[[#This Row],[Prest. (m2 /jaar) werkdagen]]/Ruimtestaat[[#This Row],[Norm (m2/uur) werkdagen]],0)</f>
        <v>0</v>
      </c>
      <c r="W246" s="180">
        <f>Ruimtestaat[[#This Row],[uren / jaar werkdagen]]*Tariefsopbouw!$E$35</f>
        <v>0</v>
      </c>
      <c r="X246" s="149"/>
      <c r="Y246" s="149">
        <f>IF(Ruimtestaat[[#This Row],[Frequentie weekend]]&gt;0,VALUE(LEFT(X246,1))*Q246,0)</f>
        <v>0</v>
      </c>
      <c r="Z246" s="148">
        <f>IF($Y246&gt;0,VLOOKUP($J246,Ruimtegroepen[],3,FALSE)*VLOOKUP($L246,Vloersoorten[],3,FALSE)*VLOOKUP($X246,Frequenties[],3,FALSE)*VLOOKUP(Ruimtestaat[[#This Row],[Code]],Locaties[],3,FALSE),0)</f>
        <v>0</v>
      </c>
      <c r="AA246" s="148">
        <f>Ruimtestaat[[#This Row],[Uitvoeringen weekend]]*Ruimtestaat[[#This Row],[Oppervlak (netto)]]</f>
        <v>0</v>
      </c>
      <c r="AB246" s="148">
        <f>IF(Z246&gt;0,Ruimtestaat[[#This Row],[Prest. (m2 /jaar) weekend]]/Ruimtestaat[[#This Row],[Norm (m2/uur) weekend]],0)</f>
        <v>0</v>
      </c>
      <c r="AC246" s="180">
        <f>Ruimtestaat[[#This Row],[uren / jaar weekend]]*Tariefsopbouw!$D$40</f>
        <v>0</v>
      </c>
      <c r="AD246" s="179">
        <f>Ruimtestaat[[#This Row],[Prest. (m2 /jaar) weekend]]+Ruimtestaat[[#This Row],[Prest. (m2 /jaar) werkdagen]]</f>
        <v>1788</v>
      </c>
      <c r="AE246" s="179">
        <f>Ruimtestaat[[#This Row],[uren / jaar weekend]]+Ruimtestaat[[#This Row],[uren / jaar werkdagen]]</f>
        <v>0</v>
      </c>
      <c r="AF246" s="174">
        <f>Ruimtestaat[[#This Row],[kosten / jaar weekend]]+Ruimtestaat[[#This Row],[kosten / jaar werkdagen]]</f>
        <v>0</v>
      </c>
      <c r="AG246" s="174"/>
      <c r="AH246" s="181" t="str">
        <f>IF(Ruimtestaat[[#This Row],[Frequentie werkdagen]]="","",_xlfn.CONCAT(Ruimtestaat[[#This Row],[Ruimte code]],"-",Ruimtestaat[[#This Row],[Frequentie werkdagen]]," ",Ruimtestaat[[#This Row],[Vloer code]]))</f>
        <v>2-3w L</v>
      </c>
      <c r="AI246" s="185" t="str">
        <f>_xlfn.IFNA(VLOOKUP($AH246,Programma!$F$3:$G$1101,2,0),"")</f>
        <v>_</v>
      </c>
      <c r="AJ246" s="185" t="str">
        <f>_xlfn.IFNA(VLOOKUP($AH246,Programma!$F$3:$H$1101,3,0),"")</f>
        <v>_</v>
      </c>
      <c r="AK246" s="185" t="str">
        <f>_xlfn.IFNA(VLOOKUP($AH246,Programma!$F$3:$I$1101,4,0),"")</f>
        <v>2w</v>
      </c>
      <c r="AL246" s="185" t="str">
        <f>_xlfn.IFNA(VLOOKUP($AH246,Programma!$F$3:$J$1101,5,0),"")</f>
        <v>1w</v>
      </c>
      <c r="AM246" s="185" t="str">
        <f>_xlfn.IFNA(VLOOKUP($AH246,Programma!$F$3:$K$1101,6,0),"")</f>
        <v>_</v>
      </c>
      <c r="AN246" s="185" t="str">
        <f>_xlfn.IFNA(VLOOKUP($AH246,Programma!$F$3:$L$1101,7,0),"")</f>
        <v>_</v>
      </c>
      <c r="AO246" s="185" t="str">
        <f>_xlfn.IFNA(VLOOKUP($AH246,Programma!$F$3:$M$1101,8,0),"")</f>
        <v>_</v>
      </c>
      <c r="AP246" s="185" t="str">
        <f>_xlfn.IFNA(VLOOKUP($AH246,Programma!$F$3:$N$1101,9,0),"")</f>
        <v>_</v>
      </c>
      <c r="AQ246" s="185" t="str">
        <f>_xlfn.IFNA(VLOOKUP($AH246,Programma!$F$3:$O$1101,10,0),"")</f>
        <v>3w</v>
      </c>
      <c r="AR246" s="185" t="str">
        <f>_xlfn.IFNA(VLOOKUP($AH246,Programma!$F$3:$P$1101,11,0),"")</f>
        <v>3w</v>
      </c>
      <c r="AS246" s="185" t="str">
        <f>_xlfn.IFNA(VLOOKUP($AH246,Programma!$F$3:$Q$1101,12,0),"")</f>
        <v>1w</v>
      </c>
      <c r="AT246" s="185" t="str">
        <f>_xlfn.IFNA(VLOOKUP($AH246,Programma!$F$3:$R$1101,13,0),"")</f>
        <v>1w</v>
      </c>
      <c r="AU246" s="185" t="str">
        <f>_xlfn.IFNA(VLOOKUP($AH246,Programma!$F$3:$S$1101,14,0),"")</f>
        <v>1m</v>
      </c>
      <c r="AV246" s="185" t="str">
        <f>_xlfn.IFNA(VLOOKUP($AH246,Programma!$F$3:$T$1101,15,0),"")</f>
        <v>2j</v>
      </c>
      <c r="AW246" s="185" t="str">
        <f>_xlfn.IFNA(VLOOKUP($AH246,Programma!$F$3:$U$1101,16,0),"")</f>
        <v>1j</v>
      </c>
      <c r="AX246" s="185" t="str">
        <f>_xlfn.IFNA(VLOOKUP($AH246,Programma!$F$3:$V$1101,17,0),"")</f>
        <v>_</v>
      </c>
      <c r="AY246" s="185" t="str">
        <f>_xlfn.IFNA(VLOOKUP($AH246,Programma!$F$3:$W$1101,18,0),"")</f>
        <v>_</v>
      </c>
      <c r="AZ246" s="185" t="str">
        <f>_xlfn.IFNA(VLOOKUP($AH246,Programma!$F$3:$X$1101,19,0),"")</f>
        <v>_</v>
      </c>
      <c r="BA246" s="185" t="str">
        <f>_xlfn.IFNA(VLOOKUP($AH246,Programma!$F$3:$Y$1101,20,0),"")</f>
        <v>_</v>
      </c>
      <c r="BB246" s="182"/>
      <c r="BC246" s="181" t="str">
        <f>IF(Ruimtestaat[[#This Row],[Frequentie weekend]]="","",_xlfn.CONCAT(Ruimtestaat[[#This Row],[Ruimte code]],"-",Ruimtestaat[[#This Row],[Frequentie weekend]]," ",Ruimtestaat[[#This Row],[Vloer code]]))</f>
        <v/>
      </c>
      <c r="BD246" s="185" t="str">
        <f>_xlfn.IFNA(VLOOKUP($BC246,Programma!$F$3:$G$1101,2,0),"")</f>
        <v/>
      </c>
      <c r="BE246" s="185" t="str">
        <f>_xlfn.IFNA(VLOOKUP($BC246,Programma!$F$3:$H$1101,3,0),"")</f>
        <v/>
      </c>
      <c r="BF246" s="185" t="str">
        <f>_xlfn.IFNA(VLOOKUP($BC246,Programma!$F$3:$I$1101,4,0),"")</f>
        <v/>
      </c>
      <c r="BG246" s="185" t="str">
        <f>_xlfn.IFNA(VLOOKUP($BC246,Programma!$F$3:$J$1101,5,0),"")</f>
        <v/>
      </c>
      <c r="BH246" s="185" t="str">
        <f>_xlfn.IFNA(VLOOKUP($BC246,Programma!$F$3:$K$1101,6,0),"")</f>
        <v/>
      </c>
      <c r="BI246" s="185" t="str">
        <f>_xlfn.IFNA(VLOOKUP($BC246,Programma!$F$3:$L$1101,7,0),"")</f>
        <v/>
      </c>
      <c r="BJ246" s="185" t="str">
        <f>_xlfn.IFNA(VLOOKUP($BC246,Programma!$F$3:$M$1101,8,0),"")</f>
        <v/>
      </c>
      <c r="BK246" s="185" t="str">
        <f>_xlfn.IFNA(VLOOKUP($BC246,Programma!$F$3:$N$1101,9,0),"")</f>
        <v/>
      </c>
      <c r="BL246" s="185" t="str">
        <f>_xlfn.IFNA(VLOOKUP($BC246,Programma!$F$3:$O$1101,10,0),"")</f>
        <v/>
      </c>
      <c r="BM246" s="185" t="str">
        <f>_xlfn.IFNA(VLOOKUP($BC246,Programma!$F$3:$P$1101,11,0),"")</f>
        <v/>
      </c>
      <c r="BN246" s="185" t="str">
        <f>_xlfn.IFNA(VLOOKUP($BC246,Programma!$F$3:$Q$1101,12,0),"")</f>
        <v/>
      </c>
      <c r="BO246" s="185" t="str">
        <f>_xlfn.IFNA(VLOOKUP($BC246,Programma!$F$3:$R$1101,13,0),"")</f>
        <v/>
      </c>
      <c r="BP246" s="185" t="str">
        <f>_xlfn.IFNA(VLOOKUP($BC246,Programma!$F$3:$S$1101,14,0),"")</f>
        <v/>
      </c>
      <c r="BQ246" s="185" t="str">
        <f>_xlfn.IFNA(VLOOKUP($BC246,Programma!$F$3:$T$1101,15,0),"")</f>
        <v/>
      </c>
      <c r="BR246" s="185" t="str">
        <f>_xlfn.IFNA(VLOOKUP($BC246,Programma!$F$3:$U$1101,16,0),"")</f>
        <v/>
      </c>
      <c r="BS246" s="185" t="str">
        <f>_xlfn.IFNA(VLOOKUP($BC246,Programma!$F$3:$V$1101,17,0),"")</f>
        <v/>
      </c>
      <c r="BT246" s="185" t="str">
        <f>_xlfn.IFNA(VLOOKUP($BC246,Programma!$F$3:$W$1101,18,0),"")</f>
        <v/>
      </c>
      <c r="BU246" s="185" t="str">
        <f>_xlfn.IFNA(VLOOKUP($BC246,Programma!$F$3:$X$1101,19,0),"")</f>
        <v/>
      </c>
      <c r="BV246" s="185" t="str">
        <f>_xlfn.IFNA(VLOOKUP($BC246,Programma!$F$3:$Y$1101,20,0),"")</f>
        <v/>
      </c>
      <c r="BW246" s="78"/>
      <c r="BX246" s="78"/>
      <c r="BY246" s="78"/>
      <c r="BZ246" s="78"/>
      <c r="CA246" s="78"/>
      <c r="CB246" s="78"/>
      <c r="CC246" s="78"/>
      <c r="CD246" s="78"/>
      <c r="CE246" s="78"/>
      <c r="CF246" s="78"/>
      <c r="CG246" s="78"/>
      <c r="CH246" s="78"/>
      <c r="CI246" s="78"/>
      <c r="CJ246" s="78"/>
      <c r="CK246" s="78"/>
      <c r="CL246" s="78"/>
      <c r="CM246" s="78"/>
      <c r="CN246" s="78"/>
      <c r="CO246" s="78"/>
      <c r="CP246" s="78"/>
      <c r="CQ246" s="78"/>
      <c r="CR246" s="78"/>
      <c r="CS246" s="78"/>
      <c r="CT246" s="78"/>
      <c r="CU246" s="78"/>
      <c r="CV246" s="78"/>
      <c r="CW246" s="78"/>
      <c r="CX246" s="78"/>
      <c r="CY246" s="78"/>
      <c r="CZ246" s="78"/>
      <c r="DA246" s="78"/>
      <c r="DB246" s="78"/>
      <c r="DC246" s="78"/>
      <c r="DD246" s="78"/>
      <c r="DE246" s="78"/>
      <c r="DF246" s="78"/>
      <c r="DG246" s="78"/>
      <c r="DH246" s="78"/>
      <c r="DI246" s="78"/>
      <c r="DJ246" s="78"/>
      <c r="DK246" s="78"/>
      <c r="DL246" s="78"/>
      <c r="DM246" s="78"/>
      <c r="DN246" s="78"/>
      <c r="DO246" s="78"/>
      <c r="DP246" s="78"/>
      <c r="DQ246" s="78"/>
      <c r="DR246" s="78"/>
      <c r="DS246" s="78"/>
      <c r="DT246" s="78"/>
      <c r="DU246" s="78"/>
      <c r="DV246" s="78"/>
      <c r="DW246" s="78"/>
      <c r="DX246" s="78"/>
      <c r="DY246" s="78"/>
      <c r="DZ246" s="78"/>
      <c r="EA246" s="78"/>
      <c r="EB246" s="78"/>
      <c r="EC246" s="78"/>
      <c r="ED246" s="78"/>
      <c r="EE246" s="78"/>
      <c r="EF246" s="78"/>
      <c r="EG246" s="78"/>
      <c r="EH246" s="78"/>
      <c r="EI246" s="78"/>
      <c r="EJ246" s="78"/>
      <c r="EK246" s="78"/>
      <c r="EL246" s="78"/>
      <c r="EM246" s="78"/>
      <c r="EN246" s="78"/>
      <c r="EO246" s="78"/>
      <c r="EP246" s="78"/>
      <c r="EQ246" s="78"/>
      <c r="ER246" s="78"/>
      <c r="ES246" s="78"/>
      <c r="ET246" s="78"/>
      <c r="EU246" s="78"/>
      <c r="EV246" s="78"/>
      <c r="EW246" s="78"/>
      <c r="EX246" s="78"/>
      <c r="EY246" s="78"/>
      <c r="EZ246" s="78"/>
      <c r="FA246" s="78"/>
      <c r="FB246" s="78"/>
      <c r="FC246" s="78"/>
      <c r="FD246" s="78"/>
      <c r="FE246" s="78"/>
      <c r="FF246" s="78"/>
      <c r="FG246" s="78"/>
      <c r="FH246" s="78"/>
      <c r="FI246" s="78"/>
      <c r="FJ246" s="78"/>
      <c r="FK246" s="78"/>
      <c r="FL246" s="78"/>
      <c r="FM246" s="78"/>
      <c r="FN246" s="78"/>
      <c r="FO246" s="78"/>
      <c r="FP246" s="78"/>
      <c r="FQ246" s="78"/>
      <c r="FR246" s="78"/>
      <c r="FS246" s="78"/>
      <c r="FT246" s="78"/>
      <c r="FU246" s="78"/>
      <c r="FV246" s="78"/>
      <c r="FW246" s="78"/>
      <c r="FX246" s="78"/>
      <c r="FY246" s="78"/>
      <c r="FZ246" s="78"/>
      <c r="GA246" s="78"/>
      <c r="GB246" s="78"/>
      <c r="GC246" s="78"/>
      <c r="GD246" s="78"/>
      <c r="GE246" s="78"/>
      <c r="GF246" s="78"/>
      <c r="GG246" s="78"/>
      <c r="GH246" s="78"/>
      <c r="GI246" s="78"/>
      <c r="GJ246" s="78"/>
      <c r="GK246" s="78"/>
      <c r="GL246" s="78"/>
      <c r="GM246" s="78"/>
      <c r="GN246" s="78"/>
      <c r="GO246" s="78"/>
      <c r="GP246" s="78"/>
      <c r="GQ246" s="78"/>
      <c r="GR246" s="78"/>
      <c r="GS246" s="78"/>
      <c r="GT246" s="78"/>
      <c r="GU246" s="78"/>
      <c r="GV246" s="78"/>
      <c r="GW246" s="78"/>
      <c r="GX246" s="78"/>
      <c r="GY246" s="78"/>
      <c r="GZ246" s="78"/>
      <c r="HA246" s="78"/>
      <c r="HB246" s="78"/>
      <c r="HC246" s="78"/>
      <c r="HD246" s="78"/>
      <c r="HE246" s="78"/>
      <c r="HF246" s="78"/>
      <c r="HG246" s="78"/>
      <c r="HH246" s="78"/>
      <c r="HI246" s="78"/>
      <c r="HJ246" s="78"/>
      <c r="HK246" s="78"/>
    </row>
    <row r="247" spans="1:219" ht="15" customHeight="1">
      <c r="A247" s="99">
        <v>8</v>
      </c>
      <c r="B247" s="176" t="str">
        <f>VLOOKUP(Ruimtestaat[[#This Row],[Code]],Locaties[[Code]:[Locatie]],2,FALSE)</f>
        <v>OBS Roombeek</v>
      </c>
      <c r="C247" s="176" t="str">
        <f>VLOOKUP(Ruimtestaat[[#This Row],[Code]],Locaties[[#All],[Code]:[Adres]],4,FALSE)</f>
        <v>Bosuilstraat 3</v>
      </c>
      <c r="D247" s="176" t="str">
        <f>VLOOKUP(Ruimtestaat[[#This Row],[Code]],Locaties[[#All],[Code]:[Postcode]],5,FALSE)</f>
        <v>7523 BJ</v>
      </c>
      <c r="E247" s="176" t="str">
        <f>VLOOKUP(Ruimtestaat[[#This Row],[Code]],Locaties[#All],6,FALSE)</f>
        <v>Enschede</v>
      </c>
      <c r="F247" s="149"/>
      <c r="G247" s="149"/>
      <c r="H247" s="99" t="s">
        <v>1788</v>
      </c>
      <c r="I247" s="183" t="s">
        <v>1789</v>
      </c>
      <c r="J247" s="99">
        <v>10</v>
      </c>
      <c r="K247" s="183" t="str">
        <f>VLOOKUP(Ruimtestaat[[#This Row],[Ruimte code]],Ruimtegroepen[[#All],[Code]:[Ruimte omschrijving]],2,FALSE)</f>
        <v>Trappenhuizen/lift</v>
      </c>
      <c r="L247" s="149" t="s">
        <v>100</v>
      </c>
      <c r="M247" s="301" t="s">
        <v>1697</v>
      </c>
      <c r="N247" s="177">
        <v>18.7</v>
      </c>
      <c r="O247" s="177"/>
      <c r="P247" s="178" t="str">
        <f>VLOOKUP(Ruimtestaat[[#This Row],[Ruimte code]],Ruimtegroepen[],4,FALSE)</f>
        <v>Ve</v>
      </c>
      <c r="Q247" s="149">
        <v>40</v>
      </c>
      <c r="R247" s="149" t="s">
        <v>2</v>
      </c>
      <c r="S247" s="149">
        <f>IF(Q247&gt;0,IF(RIGHT(Ruimtestaat[[#This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7" s="149">
        <f>IF(S247&gt;0,VLOOKUP($J247,Ruimtegroepen[],3,FALSE)*VLOOKUP($L247,Vloersoorten[],3,FALSE)*VLOOKUP($R247,Frequenties[],3,FALSE)*VLOOKUP($A247,Locaties[],3,FALSE),0)</f>
        <v>0</v>
      </c>
      <c r="U247" s="149">
        <f>Ruimtestaat[[#This Row],[Uitvoeringen werkdagen]]*Ruimtestaat[[#This Row],[Oppervlak (netto)]]</f>
        <v>3740</v>
      </c>
      <c r="V247" s="179">
        <f>IF(T247&gt;0,Ruimtestaat[[#This Row],[Prest. (m2 /jaar) werkdagen]]/Ruimtestaat[[#This Row],[Norm (m2/uur) werkdagen]],0)</f>
        <v>0</v>
      </c>
      <c r="W247" s="180">
        <f>Ruimtestaat[[#This Row],[uren / jaar werkdagen]]*Tariefsopbouw!$E$35</f>
        <v>0</v>
      </c>
      <c r="X247" s="149"/>
      <c r="Y247" s="149">
        <f>IF(Ruimtestaat[[#This Row],[Frequentie weekend]]&gt;0,VALUE(LEFT(X247,1))*Q247,0)</f>
        <v>0</v>
      </c>
      <c r="Z247" s="148">
        <f>IF($Y247&gt;0,VLOOKUP($J247,Ruimtegroepen[],3,FALSE)*VLOOKUP($L247,Vloersoorten[],3,FALSE)*VLOOKUP($X247,Frequenties[],3,FALSE)*VLOOKUP(Ruimtestaat[[#This Row],[Code]],Locaties[],3,FALSE),0)</f>
        <v>0</v>
      </c>
      <c r="AA247" s="148">
        <f>Ruimtestaat[[#This Row],[Uitvoeringen weekend]]*Ruimtestaat[[#This Row],[Oppervlak (netto)]]</f>
        <v>0</v>
      </c>
      <c r="AB247" s="148">
        <f>IF(Z247&gt;0,Ruimtestaat[[#This Row],[Prest. (m2 /jaar) weekend]]/Ruimtestaat[[#This Row],[Norm (m2/uur) weekend]],0)</f>
        <v>0</v>
      </c>
      <c r="AC247" s="180">
        <f>Ruimtestaat[[#This Row],[uren / jaar weekend]]*Tariefsopbouw!$D$40</f>
        <v>0</v>
      </c>
      <c r="AD247" s="179">
        <f>Ruimtestaat[[#This Row],[Prest. (m2 /jaar) weekend]]+Ruimtestaat[[#This Row],[Prest. (m2 /jaar) werkdagen]]</f>
        <v>3740</v>
      </c>
      <c r="AE247" s="179">
        <f>Ruimtestaat[[#This Row],[uren / jaar weekend]]+Ruimtestaat[[#This Row],[uren / jaar werkdagen]]</f>
        <v>0</v>
      </c>
      <c r="AF247" s="174">
        <f>Ruimtestaat[[#This Row],[kosten / jaar weekend]]+Ruimtestaat[[#This Row],[kosten / jaar werkdagen]]</f>
        <v>0</v>
      </c>
      <c r="AG247" s="174"/>
      <c r="AH247" s="181" t="str">
        <f>IF(Ruimtestaat[[#This Row],[Frequentie werkdagen]]="","",_xlfn.CONCAT(Ruimtestaat[[#This Row],[Ruimte code]],"-",Ruimtestaat[[#This Row],[Frequentie werkdagen]]," ",Ruimtestaat[[#This Row],[Vloer code]]))</f>
        <v>10-5w L</v>
      </c>
      <c r="AI247" s="185" t="str">
        <f>_xlfn.IFNA(VLOOKUP($AH247,Programma!$F$3:$G$1101,2,0),"")</f>
        <v>_</v>
      </c>
      <c r="AJ247" s="185" t="str">
        <f>_xlfn.IFNA(VLOOKUP($AH247,Programma!$F$3:$H$1101,3,0),"")</f>
        <v>_</v>
      </c>
      <c r="AK247" s="185" t="str">
        <f>_xlfn.IFNA(VLOOKUP($AH247,Programma!$F$3:$I$1101,4,0),"")</f>
        <v>4w</v>
      </c>
      <c r="AL247" s="185" t="str">
        <f>_xlfn.IFNA(VLOOKUP($AH247,Programma!$F$3:$J$1101,5,0),"")</f>
        <v>1w</v>
      </c>
      <c r="AM247" s="185" t="str">
        <f>_xlfn.IFNA(VLOOKUP($AH247,Programma!$F$3:$K$1101,6,0),"")</f>
        <v>_</v>
      </c>
      <c r="AN247" s="185" t="str">
        <f>_xlfn.IFNA(VLOOKUP($AH247,Programma!$F$3:$L$1101,7,0),"")</f>
        <v>_</v>
      </c>
      <c r="AO247" s="185" t="str">
        <f>_xlfn.IFNA(VLOOKUP($AH247,Programma!$F$3:$M$1101,8,0),"")</f>
        <v>_</v>
      </c>
      <c r="AP247" s="185" t="str">
        <f>_xlfn.IFNA(VLOOKUP($AH247,Programma!$F$3:$N$1101,9,0),"")</f>
        <v>_</v>
      </c>
      <c r="AQ247" s="185" t="str">
        <f>_xlfn.IFNA(VLOOKUP($AH247,Programma!$F$3:$O$1101,10,0),"")</f>
        <v>5w</v>
      </c>
      <c r="AR247" s="185" t="str">
        <f>_xlfn.IFNA(VLOOKUP($AH247,Programma!$F$3:$P$1101,11,0),"")</f>
        <v>5w</v>
      </c>
      <c r="AS247" s="185" t="str">
        <f>_xlfn.IFNA(VLOOKUP($AH247,Programma!$F$3:$Q$1101,12,0),"")</f>
        <v>1w</v>
      </c>
      <c r="AT247" s="185" t="str">
        <f>_xlfn.IFNA(VLOOKUP($AH247,Programma!$F$3:$R$1101,13,0),"")</f>
        <v>1w</v>
      </c>
      <c r="AU247" s="185" t="str">
        <f>_xlfn.IFNA(VLOOKUP($AH247,Programma!$F$3:$S$1101,14,0),"")</f>
        <v>1m</v>
      </c>
      <c r="AV247" s="185" t="str">
        <f>_xlfn.IFNA(VLOOKUP($AH247,Programma!$F$3:$T$1101,15,0),"")</f>
        <v>2j</v>
      </c>
      <c r="AW247" s="185" t="str">
        <f>_xlfn.IFNA(VLOOKUP($AH247,Programma!$F$3:$U$1101,16,0),"")</f>
        <v>1j</v>
      </c>
      <c r="AX247" s="185" t="str">
        <f>_xlfn.IFNA(VLOOKUP($AH247,Programma!$F$3:$V$1101,17,0),"")</f>
        <v>_</v>
      </c>
      <c r="AY247" s="185" t="str">
        <f>_xlfn.IFNA(VLOOKUP($AH247,Programma!$F$3:$W$1101,18,0),"")</f>
        <v>_</v>
      </c>
      <c r="AZ247" s="185" t="str">
        <f>_xlfn.IFNA(VLOOKUP($AH247,Programma!$F$3:$X$1101,19,0),"")</f>
        <v>_</v>
      </c>
      <c r="BA247" s="185" t="str">
        <f>_xlfn.IFNA(VLOOKUP($AH247,Programma!$F$3:$Y$1101,20,0),"")</f>
        <v>_</v>
      </c>
      <c r="BB247" s="182"/>
      <c r="BC247" s="181" t="str">
        <f>IF(Ruimtestaat[[#This Row],[Frequentie weekend]]="","",_xlfn.CONCAT(Ruimtestaat[[#This Row],[Ruimte code]],"-",Ruimtestaat[[#This Row],[Frequentie weekend]]," ",Ruimtestaat[[#This Row],[Vloer code]]))</f>
        <v/>
      </c>
      <c r="BD247" s="185" t="str">
        <f>_xlfn.IFNA(VLOOKUP($BC247,Programma!$F$3:$G$1101,2,0),"")</f>
        <v/>
      </c>
      <c r="BE247" s="185" t="str">
        <f>_xlfn.IFNA(VLOOKUP($BC247,Programma!$F$3:$H$1101,3,0),"")</f>
        <v/>
      </c>
      <c r="BF247" s="185" t="str">
        <f>_xlfn.IFNA(VLOOKUP($BC247,Programma!$F$3:$I$1101,4,0),"")</f>
        <v/>
      </c>
      <c r="BG247" s="185" t="str">
        <f>_xlfn.IFNA(VLOOKUP($BC247,Programma!$F$3:$J$1101,5,0),"")</f>
        <v/>
      </c>
      <c r="BH247" s="185" t="str">
        <f>_xlfn.IFNA(VLOOKUP($BC247,Programma!$F$3:$K$1101,6,0),"")</f>
        <v/>
      </c>
      <c r="BI247" s="185" t="str">
        <f>_xlfn.IFNA(VLOOKUP($BC247,Programma!$F$3:$L$1101,7,0),"")</f>
        <v/>
      </c>
      <c r="BJ247" s="185" t="str">
        <f>_xlfn.IFNA(VLOOKUP($BC247,Programma!$F$3:$M$1101,8,0),"")</f>
        <v/>
      </c>
      <c r="BK247" s="185" t="str">
        <f>_xlfn.IFNA(VLOOKUP($BC247,Programma!$F$3:$N$1101,9,0),"")</f>
        <v/>
      </c>
      <c r="BL247" s="185" t="str">
        <f>_xlfn.IFNA(VLOOKUP($BC247,Programma!$F$3:$O$1101,10,0),"")</f>
        <v/>
      </c>
      <c r="BM247" s="185" t="str">
        <f>_xlfn.IFNA(VLOOKUP($BC247,Programma!$F$3:$P$1101,11,0),"")</f>
        <v/>
      </c>
      <c r="BN247" s="185" t="str">
        <f>_xlfn.IFNA(VLOOKUP($BC247,Programma!$F$3:$Q$1101,12,0),"")</f>
        <v/>
      </c>
      <c r="BO247" s="185" t="str">
        <f>_xlfn.IFNA(VLOOKUP($BC247,Programma!$F$3:$R$1101,13,0),"")</f>
        <v/>
      </c>
      <c r="BP247" s="185" t="str">
        <f>_xlfn.IFNA(VLOOKUP($BC247,Programma!$F$3:$S$1101,14,0),"")</f>
        <v/>
      </c>
      <c r="BQ247" s="185" t="str">
        <f>_xlfn.IFNA(VLOOKUP($BC247,Programma!$F$3:$T$1101,15,0),"")</f>
        <v/>
      </c>
      <c r="BR247" s="185" t="str">
        <f>_xlfn.IFNA(VLOOKUP($BC247,Programma!$F$3:$U$1101,16,0),"")</f>
        <v/>
      </c>
      <c r="BS247" s="185" t="str">
        <f>_xlfn.IFNA(VLOOKUP($BC247,Programma!$F$3:$V$1101,17,0),"")</f>
        <v/>
      </c>
      <c r="BT247" s="185" t="str">
        <f>_xlfn.IFNA(VLOOKUP($BC247,Programma!$F$3:$W$1101,18,0),"")</f>
        <v/>
      </c>
      <c r="BU247" s="185" t="str">
        <f>_xlfn.IFNA(VLOOKUP($BC247,Programma!$F$3:$X$1101,19,0),"")</f>
        <v/>
      </c>
      <c r="BV247" s="185" t="str">
        <f>_xlfn.IFNA(VLOOKUP($BC247,Programma!$F$3:$Y$1101,20,0),"")</f>
        <v/>
      </c>
      <c r="BW247" s="78"/>
      <c r="BX247" s="78"/>
      <c r="BY247" s="78"/>
      <c r="BZ247" s="78"/>
      <c r="CA247" s="78"/>
      <c r="CB247" s="78"/>
      <c r="CC247" s="78"/>
      <c r="CD247" s="78"/>
      <c r="CE247" s="78"/>
      <c r="CF247" s="78"/>
      <c r="CG247" s="78"/>
      <c r="CH247" s="78"/>
      <c r="CI247" s="78"/>
      <c r="CJ247" s="78"/>
      <c r="CK247" s="78"/>
      <c r="CL247" s="78"/>
      <c r="CM247" s="78"/>
      <c r="CN247" s="78"/>
      <c r="CO247" s="78"/>
      <c r="CP247" s="78"/>
      <c r="CQ247" s="78"/>
      <c r="CR247" s="78"/>
      <c r="CS247" s="78"/>
      <c r="CT247" s="78"/>
      <c r="CU247" s="78"/>
      <c r="CV247" s="78"/>
      <c r="CW247" s="78"/>
      <c r="CX247" s="78"/>
      <c r="CY247" s="78"/>
      <c r="CZ247" s="78"/>
      <c r="DA247" s="78"/>
      <c r="DB247" s="78"/>
      <c r="DC247" s="78"/>
      <c r="DD247" s="78"/>
      <c r="DE247" s="78"/>
      <c r="DF247" s="78"/>
      <c r="DG247" s="78"/>
      <c r="DH247" s="78"/>
      <c r="DI247" s="78"/>
      <c r="DJ247" s="78"/>
      <c r="DK247" s="78"/>
      <c r="DL247" s="78"/>
      <c r="DM247" s="78"/>
      <c r="DN247" s="78"/>
      <c r="DO247" s="78"/>
      <c r="DP247" s="78"/>
      <c r="DQ247" s="78"/>
      <c r="DR247" s="78"/>
      <c r="DS247" s="78"/>
      <c r="DT247" s="78"/>
      <c r="DU247" s="78"/>
      <c r="DV247" s="78"/>
      <c r="DW247" s="78"/>
      <c r="DX247" s="78"/>
      <c r="DY247" s="78"/>
      <c r="DZ247" s="78"/>
      <c r="EA247" s="78"/>
      <c r="EB247" s="78"/>
      <c r="EC247" s="78"/>
      <c r="ED247" s="78"/>
      <c r="EE247" s="78"/>
      <c r="EF247" s="78"/>
      <c r="EG247" s="78"/>
      <c r="EH247" s="78"/>
      <c r="EI247" s="78"/>
      <c r="EJ247" s="78"/>
      <c r="EK247" s="78"/>
      <c r="EL247" s="78"/>
      <c r="EM247" s="78"/>
      <c r="EN247" s="78"/>
      <c r="EO247" s="78"/>
      <c r="EP247" s="78"/>
      <c r="EQ247" s="78"/>
      <c r="ER247" s="78"/>
      <c r="ES247" s="78"/>
      <c r="ET247" s="78"/>
      <c r="EU247" s="78"/>
      <c r="EV247" s="78"/>
      <c r="EW247" s="78"/>
      <c r="EX247" s="78"/>
      <c r="EY247" s="78"/>
      <c r="EZ247" s="78"/>
      <c r="FA247" s="78"/>
      <c r="FB247" s="78"/>
      <c r="FC247" s="78"/>
      <c r="FD247" s="78"/>
      <c r="FE247" s="78"/>
      <c r="FF247" s="78"/>
      <c r="FG247" s="78"/>
      <c r="FH247" s="78"/>
      <c r="FI247" s="78"/>
      <c r="FJ247" s="78"/>
      <c r="FK247" s="78"/>
      <c r="FL247" s="78"/>
      <c r="FM247" s="78"/>
      <c r="FN247" s="78"/>
      <c r="FO247" s="78"/>
      <c r="FP247" s="78"/>
      <c r="FQ247" s="78"/>
      <c r="FR247" s="78"/>
      <c r="FS247" s="78"/>
      <c r="FT247" s="78"/>
      <c r="FU247" s="78"/>
      <c r="FV247" s="78"/>
      <c r="FW247" s="78"/>
      <c r="FX247" s="78"/>
      <c r="FY247" s="78"/>
      <c r="FZ247" s="78"/>
      <c r="GA247" s="78"/>
      <c r="GB247" s="78"/>
      <c r="GC247" s="78"/>
      <c r="GD247" s="78"/>
      <c r="GE247" s="78"/>
      <c r="GF247" s="78"/>
      <c r="GG247" s="78"/>
      <c r="GH247" s="78"/>
      <c r="GI247" s="78"/>
      <c r="GJ247" s="78"/>
      <c r="GK247" s="78"/>
      <c r="GL247" s="78"/>
      <c r="GM247" s="78"/>
      <c r="GN247" s="78"/>
      <c r="GO247" s="78"/>
      <c r="GP247" s="78"/>
      <c r="GQ247" s="78"/>
      <c r="GR247" s="78"/>
      <c r="GS247" s="78"/>
      <c r="GT247" s="78"/>
      <c r="GU247" s="78"/>
      <c r="GV247" s="78"/>
      <c r="GW247" s="78"/>
      <c r="GX247" s="78"/>
      <c r="GY247" s="78"/>
      <c r="GZ247" s="78"/>
      <c r="HA247" s="78"/>
      <c r="HB247" s="78"/>
      <c r="HC247" s="78"/>
      <c r="HD247" s="78"/>
      <c r="HE247" s="78"/>
      <c r="HF247" s="78"/>
      <c r="HG247" s="78"/>
      <c r="HH247" s="78"/>
      <c r="HI247" s="78"/>
      <c r="HJ247" s="78"/>
      <c r="HK247" s="78"/>
    </row>
    <row r="248" spans="1:219" ht="15" customHeight="1">
      <c r="A248" s="99">
        <v>8</v>
      </c>
      <c r="B248" s="176" t="str">
        <f>VLOOKUP(Ruimtestaat[[#This Row],[Code]],Locaties[[Code]:[Locatie]],2,FALSE)</f>
        <v>OBS Roombeek</v>
      </c>
      <c r="C248" s="176" t="str">
        <f>VLOOKUP(Ruimtestaat[[#This Row],[Code]],Locaties[[#All],[Code]:[Adres]],4,FALSE)</f>
        <v>Bosuilstraat 3</v>
      </c>
      <c r="D248" s="176" t="str">
        <f>VLOOKUP(Ruimtestaat[[#This Row],[Code]],Locaties[[#All],[Code]:[Postcode]],5,FALSE)</f>
        <v>7523 BJ</v>
      </c>
      <c r="E248" s="176" t="str">
        <f>VLOOKUP(Ruimtestaat[[#This Row],[Code]],Locaties[#All],6,FALSE)</f>
        <v>Enschede</v>
      </c>
      <c r="F248" s="149"/>
      <c r="G248" s="149"/>
      <c r="H248" s="99" t="s">
        <v>1790</v>
      </c>
      <c r="I248" s="183" t="s">
        <v>1658</v>
      </c>
      <c r="J248" s="99">
        <v>6</v>
      </c>
      <c r="K248" s="183" t="str">
        <f>VLOOKUP(Ruimtestaat[[#This Row],[Ruimte code]],Ruimtegroepen[[#All],[Code]:[Ruimte omschrijving]],2,FALSE)</f>
        <v>Gangen/hallen</v>
      </c>
      <c r="L248" s="149" t="s">
        <v>100</v>
      </c>
      <c r="M248" s="301" t="s">
        <v>1697</v>
      </c>
      <c r="N248" s="177">
        <v>50</v>
      </c>
      <c r="O248" s="177"/>
      <c r="P248" s="178" t="str">
        <f>VLOOKUP(Ruimtestaat[[#This Row],[Ruimte code]],Ruimtegroepen[],4,FALSE)</f>
        <v>Ve</v>
      </c>
      <c r="Q248" s="149">
        <v>40</v>
      </c>
      <c r="R248" s="149" t="s">
        <v>2</v>
      </c>
      <c r="S248" s="149">
        <f>IF(Q248&gt;0,IF(RIGHT(Ruimtestaat[[#This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8" s="149">
        <f>IF(S248&gt;0,VLOOKUP($J248,Ruimtegroepen[],3,FALSE)*VLOOKUP($L248,Vloersoorten[],3,FALSE)*VLOOKUP($R248,Frequenties[],3,FALSE)*VLOOKUP($A248,Locaties[],3,FALSE),0)</f>
        <v>0</v>
      </c>
      <c r="U248" s="149">
        <f>Ruimtestaat[[#This Row],[Uitvoeringen werkdagen]]*Ruimtestaat[[#This Row],[Oppervlak (netto)]]</f>
        <v>10000</v>
      </c>
      <c r="V248" s="179">
        <f>IF(T248&gt;0,Ruimtestaat[[#This Row],[Prest. (m2 /jaar) werkdagen]]/Ruimtestaat[[#This Row],[Norm (m2/uur) werkdagen]],0)</f>
        <v>0</v>
      </c>
      <c r="W248" s="180">
        <f>Ruimtestaat[[#This Row],[uren / jaar werkdagen]]*Tariefsopbouw!$E$35</f>
        <v>0</v>
      </c>
      <c r="X248" s="149"/>
      <c r="Y248" s="149">
        <f>IF(Ruimtestaat[[#This Row],[Frequentie weekend]]&gt;0,VALUE(LEFT(X248,1))*Q248,0)</f>
        <v>0</v>
      </c>
      <c r="Z248" s="148">
        <f>IF($Y248&gt;0,VLOOKUP($J248,Ruimtegroepen[],3,FALSE)*VLOOKUP($L248,Vloersoorten[],3,FALSE)*VLOOKUP($X248,Frequenties[],3,FALSE)*VLOOKUP(Ruimtestaat[[#This Row],[Code]],Locaties[],3,FALSE),0)</f>
        <v>0</v>
      </c>
      <c r="AA248" s="148">
        <f>Ruimtestaat[[#This Row],[Uitvoeringen weekend]]*Ruimtestaat[[#This Row],[Oppervlak (netto)]]</f>
        <v>0</v>
      </c>
      <c r="AB248" s="148">
        <f>IF(Z248&gt;0,Ruimtestaat[[#This Row],[Prest. (m2 /jaar) weekend]]/Ruimtestaat[[#This Row],[Norm (m2/uur) weekend]],0)</f>
        <v>0</v>
      </c>
      <c r="AC248" s="180">
        <f>Ruimtestaat[[#This Row],[uren / jaar weekend]]*Tariefsopbouw!$D$40</f>
        <v>0</v>
      </c>
      <c r="AD248" s="179">
        <f>Ruimtestaat[[#This Row],[Prest. (m2 /jaar) weekend]]+Ruimtestaat[[#This Row],[Prest. (m2 /jaar) werkdagen]]</f>
        <v>10000</v>
      </c>
      <c r="AE248" s="179">
        <f>Ruimtestaat[[#This Row],[uren / jaar weekend]]+Ruimtestaat[[#This Row],[uren / jaar werkdagen]]</f>
        <v>0</v>
      </c>
      <c r="AF248" s="174">
        <f>Ruimtestaat[[#This Row],[kosten / jaar weekend]]+Ruimtestaat[[#This Row],[kosten / jaar werkdagen]]</f>
        <v>0</v>
      </c>
      <c r="AG248" s="174"/>
      <c r="AH248" s="181" t="str">
        <f>IF(Ruimtestaat[[#This Row],[Frequentie werkdagen]]="","",_xlfn.CONCAT(Ruimtestaat[[#This Row],[Ruimte code]],"-",Ruimtestaat[[#This Row],[Frequentie werkdagen]]," ",Ruimtestaat[[#This Row],[Vloer code]]))</f>
        <v>6-5w L</v>
      </c>
      <c r="AI248" s="185" t="str">
        <f>_xlfn.IFNA(VLOOKUP($AH248,Programma!$F$3:$G$1101,2,0),"")</f>
        <v>_</v>
      </c>
      <c r="AJ248" s="185" t="str">
        <f>_xlfn.IFNA(VLOOKUP($AH248,Programma!$F$3:$H$1101,3,0),"")</f>
        <v>_</v>
      </c>
      <c r="AK248" s="185" t="str">
        <f>_xlfn.IFNA(VLOOKUP($AH248,Programma!$F$3:$I$1101,4,0),"")</f>
        <v>_</v>
      </c>
      <c r="AL248" s="185" t="str">
        <f>_xlfn.IFNA(VLOOKUP($AH248,Programma!$F$3:$J$1101,5,0),"")</f>
        <v>5w</v>
      </c>
      <c r="AM248" s="185" t="str">
        <f>_xlfn.IFNA(VLOOKUP($AH248,Programma!$F$3:$K$1101,6,0),"")</f>
        <v>_</v>
      </c>
      <c r="AN248" s="185" t="str">
        <f>_xlfn.IFNA(VLOOKUP($AH248,Programma!$F$3:$L$1101,7,0),"")</f>
        <v>_</v>
      </c>
      <c r="AO248" s="185" t="str">
        <f>_xlfn.IFNA(VLOOKUP($AH248,Programma!$F$3:$M$1101,8,0),"")</f>
        <v>_</v>
      </c>
      <c r="AP248" s="185" t="str">
        <f>_xlfn.IFNA(VLOOKUP($AH248,Programma!$F$3:$N$1101,9,0),"")</f>
        <v>_</v>
      </c>
      <c r="AQ248" s="185" t="str">
        <f>_xlfn.IFNA(VLOOKUP($AH248,Programma!$F$3:$O$1101,10,0),"")</f>
        <v>5w</v>
      </c>
      <c r="AR248" s="185" t="str">
        <f>_xlfn.IFNA(VLOOKUP($AH248,Programma!$F$3:$P$1101,11,0),"")</f>
        <v>5w</v>
      </c>
      <c r="AS248" s="185" t="str">
        <f>_xlfn.IFNA(VLOOKUP($AH248,Programma!$F$3:$Q$1101,12,0),"")</f>
        <v>1w</v>
      </c>
      <c r="AT248" s="185" t="str">
        <f>_xlfn.IFNA(VLOOKUP($AH248,Programma!$F$3:$R$1101,13,0),"")</f>
        <v>1w</v>
      </c>
      <c r="AU248" s="185" t="str">
        <f>_xlfn.IFNA(VLOOKUP($AH248,Programma!$F$3:$S$1101,14,0),"")</f>
        <v>1m</v>
      </c>
      <c r="AV248" s="185" t="str">
        <f>_xlfn.IFNA(VLOOKUP($AH248,Programma!$F$3:$T$1101,15,0),"")</f>
        <v>2j</v>
      </c>
      <c r="AW248" s="185" t="str">
        <f>_xlfn.IFNA(VLOOKUP($AH248,Programma!$F$3:$U$1101,16,0),"")</f>
        <v>1j</v>
      </c>
      <c r="AX248" s="185" t="str">
        <f>_xlfn.IFNA(VLOOKUP($AH248,Programma!$F$3:$V$1101,17,0),"")</f>
        <v>_</v>
      </c>
      <c r="AY248" s="185" t="str">
        <f>_xlfn.IFNA(VLOOKUP($AH248,Programma!$F$3:$W$1101,18,0),"")</f>
        <v>_</v>
      </c>
      <c r="AZ248" s="185" t="str">
        <f>_xlfn.IFNA(VLOOKUP($AH248,Programma!$F$3:$X$1101,19,0),"")</f>
        <v>_</v>
      </c>
      <c r="BA248" s="185" t="str">
        <f>_xlfn.IFNA(VLOOKUP($AH248,Programma!$F$3:$Y$1101,20,0),"")</f>
        <v>_</v>
      </c>
      <c r="BB248" s="182"/>
      <c r="BC248" s="181" t="str">
        <f>IF(Ruimtestaat[[#This Row],[Frequentie weekend]]="","",_xlfn.CONCAT(Ruimtestaat[[#This Row],[Ruimte code]],"-",Ruimtestaat[[#This Row],[Frequentie weekend]]," ",Ruimtestaat[[#This Row],[Vloer code]]))</f>
        <v/>
      </c>
      <c r="BD248" s="185" t="str">
        <f>_xlfn.IFNA(VLOOKUP($BC248,Programma!$F$3:$G$1101,2,0),"")</f>
        <v/>
      </c>
      <c r="BE248" s="185" t="str">
        <f>_xlfn.IFNA(VLOOKUP($BC248,Programma!$F$3:$H$1101,3,0),"")</f>
        <v/>
      </c>
      <c r="BF248" s="185" t="str">
        <f>_xlfn.IFNA(VLOOKUP($BC248,Programma!$F$3:$I$1101,4,0),"")</f>
        <v/>
      </c>
      <c r="BG248" s="185" t="str">
        <f>_xlfn.IFNA(VLOOKUP($BC248,Programma!$F$3:$J$1101,5,0),"")</f>
        <v/>
      </c>
      <c r="BH248" s="185" t="str">
        <f>_xlfn.IFNA(VLOOKUP($BC248,Programma!$F$3:$K$1101,6,0),"")</f>
        <v/>
      </c>
      <c r="BI248" s="185" t="str">
        <f>_xlfn.IFNA(VLOOKUP($BC248,Programma!$F$3:$L$1101,7,0),"")</f>
        <v/>
      </c>
      <c r="BJ248" s="185" t="str">
        <f>_xlfn.IFNA(VLOOKUP($BC248,Programma!$F$3:$M$1101,8,0),"")</f>
        <v/>
      </c>
      <c r="BK248" s="185" t="str">
        <f>_xlfn.IFNA(VLOOKUP($BC248,Programma!$F$3:$N$1101,9,0),"")</f>
        <v/>
      </c>
      <c r="BL248" s="185" t="str">
        <f>_xlfn.IFNA(VLOOKUP($BC248,Programma!$F$3:$O$1101,10,0),"")</f>
        <v/>
      </c>
      <c r="BM248" s="185" t="str">
        <f>_xlfn.IFNA(VLOOKUP($BC248,Programma!$F$3:$P$1101,11,0),"")</f>
        <v/>
      </c>
      <c r="BN248" s="185" t="str">
        <f>_xlfn.IFNA(VLOOKUP($BC248,Programma!$F$3:$Q$1101,12,0),"")</f>
        <v/>
      </c>
      <c r="BO248" s="185" t="str">
        <f>_xlfn.IFNA(VLOOKUP($BC248,Programma!$F$3:$R$1101,13,0),"")</f>
        <v/>
      </c>
      <c r="BP248" s="185" t="str">
        <f>_xlfn.IFNA(VLOOKUP($BC248,Programma!$F$3:$S$1101,14,0),"")</f>
        <v/>
      </c>
      <c r="BQ248" s="185" t="str">
        <f>_xlfn.IFNA(VLOOKUP($BC248,Programma!$F$3:$T$1101,15,0),"")</f>
        <v/>
      </c>
      <c r="BR248" s="185" t="str">
        <f>_xlfn.IFNA(VLOOKUP($BC248,Programma!$F$3:$U$1101,16,0),"")</f>
        <v/>
      </c>
      <c r="BS248" s="185" t="str">
        <f>_xlfn.IFNA(VLOOKUP($BC248,Programma!$F$3:$V$1101,17,0),"")</f>
        <v/>
      </c>
      <c r="BT248" s="185" t="str">
        <f>_xlfn.IFNA(VLOOKUP($BC248,Programma!$F$3:$W$1101,18,0),"")</f>
        <v/>
      </c>
      <c r="BU248" s="185" t="str">
        <f>_xlfn.IFNA(VLOOKUP($BC248,Programma!$F$3:$X$1101,19,0),"")</f>
        <v/>
      </c>
      <c r="BV248" s="185" t="str">
        <f>_xlfn.IFNA(VLOOKUP($BC248,Programma!$F$3:$Y$1101,20,0),"")</f>
        <v/>
      </c>
      <c r="BW248" s="78"/>
      <c r="BX248" s="78"/>
      <c r="BY248" s="78"/>
      <c r="BZ248" s="78"/>
      <c r="CA248" s="78"/>
      <c r="CB248" s="78"/>
      <c r="CC248" s="78"/>
      <c r="CD248" s="78"/>
      <c r="CE248" s="78"/>
      <c r="CF248" s="78"/>
      <c r="CG248" s="78"/>
      <c r="CH248" s="78"/>
      <c r="CI248" s="78"/>
      <c r="CJ248" s="78"/>
      <c r="CK248" s="78"/>
      <c r="CL248" s="78"/>
      <c r="CM248" s="78"/>
      <c r="CN248" s="78"/>
      <c r="CO248" s="78"/>
      <c r="CP248" s="78"/>
      <c r="CQ248" s="78"/>
      <c r="CR248" s="78"/>
      <c r="CS248" s="78"/>
      <c r="CT248" s="78"/>
      <c r="CU248" s="78"/>
      <c r="CV248" s="78"/>
      <c r="CW248" s="78"/>
      <c r="CX248" s="78"/>
      <c r="CY248" s="78"/>
      <c r="CZ248" s="78"/>
      <c r="DA248" s="78"/>
      <c r="DB248" s="78"/>
      <c r="DC248" s="78"/>
      <c r="DD248" s="78"/>
      <c r="DE248" s="78"/>
      <c r="DF248" s="78"/>
      <c r="DG248" s="78"/>
      <c r="DH248" s="78"/>
      <c r="DI248" s="78"/>
      <c r="DJ248" s="78"/>
      <c r="DK248" s="78"/>
      <c r="DL248" s="78"/>
      <c r="DM248" s="78"/>
      <c r="DN248" s="78"/>
      <c r="DO248" s="78"/>
      <c r="DP248" s="78"/>
      <c r="DQ248" s="78"/>
      <c r="DR248" s="78"/>
      <c r="DS248" s="78"/>
      <c r="DT248" s="78"/>
      <c r="DU248" s="78"/>
      <c r="DV248" s="78"/>
      <c r="DW248" s="78"/>
      <c r="DX248" s="78"/>
      <c r="DY248" s="78"/>
      <c r="DZ248" s="78"/>
      <c r="EA248" s="78"/>
      <c r="EB248" s="78"/>
      <c r="EC248" s="78"/>
      <c r="ED248" s="78"/>
      <c r="EE248" s="78"/>
      <c r="EF248" s="78"/>
      <c r="EG248" s="78"/>
      <c r="EH248" s="78"/>
      <c r="EI248" s="78"/>
      <c r="EJ248" s="78"/>
      <c r="EK248" s="78"/>
      <c r="EL248" s="78"/>
      <c r="EM248" s="78"/>
      <c r="EN248" s="78"/>
      <c r="EO248" s="78"/>
      <c r="EP248" s="78"/>
      <c r="EQ248" s="78"/>
      <c r="ER248" s="78"/>
      <c r="ES248" s="78"/>
      <c r="ET248" s="78"/>
      <c r="EU248" s="78"/>
      <c r="EV248" s="78"/>
      <c r="EW248" s="78"/>
      <c r="EX248" s="78"/>
      <c r="EY248" s="78"/>
      <c r="EZ248" s="78"/>
      <c r="FA248" s="78"/>
      <c r="FB248" s="78"/>
      <c r="FC248" s="78"/>
      <c r="FD248" s="78"/>
      <c r="FE248" s="78"/>
      <c r="FF248" s="78"/>
      <c r="FG248" s="78"/>
      <c r="FH248" s="78"/>
      <c r="FI248" s="78"/>
      <c r="FJ248" s="78"/>
      <c r="FK248" s="78"/>
      <c r="FL248" s="78"/>
      <c r="FM248" s="78"/>
      <c r="FN248" s="78"/>
      <c r="FO248" s="78"/>
      <c r="FP248" s="78"/>
      <c r="FQ248" s="78"/>
      <c r="FR248" s="78"/>
      <c r="FS248" s="78"/>
      <c r="FT248" s="78"/>
      <c r="FU248" s="78"/>
      <c r="FV248" s="78"/>
      <c r="FW248" s="78"/>
      <c r="FX248" s="78"/>
      <c r="FY248" s="78"/>
      <c r="FZ248" s="78"/>
      <c r="GA248" s="78"/>
      <c r="GB248" s="78"/>
      <c r="GC248" s="78"/>
      <c r="GD248" s="78"/>
      <c r="GE248" s="78"/>
      <c r="GF248" s="78"/>
      <c r="GG248" s="78"/>
      <c r="GH248" s="78"/>
      <c r="GI248" s="78"/>
      <c r="GJ248" s="78"/>
      <c r="GK248" s="78"/>
      <c r="GL248" s="78"/>
      <c r="GM248" s="78"/>
      <c r="GN248" s="78"/>
      <c r="GO248" s="78"/>
      <c r="GP248" s="78"/>
      <c r="GQ248" s="78"/>
      <c r="GR248" s="78"/>
      <c r="GS248" s="78"/>
      <c r="GT248" s="78"/>
      <c r="GU248" s="78"/>
      <c r="GV248" s="78"/>
      <c r="GW248" s="78"/>
      <c r="GX248" s="78"/>
      <c r="GY248" s="78"/>
      <c r="GZ248" s="78"/>
      <c r="HA248" s="78"/>
      <c r="HB248" s="78"/>
      <c r="HC248" s="78"/>
      <c r="HD248" s="78"/>
      <c r="HE248" s="78"/>
      <c r="HF248" s="78"/>
      <c r="HG248" s="78"/>
      <c r="HH248" s="78"/>
      <c r="HI248" s="78"/>
      <c r="HJ248" s="78"/>
      <c r="HK248" s="78"/>
    </row>
    <row r="249" spans="1:219" ht="15" customHeight="1">
      <c r="A249" s="99">
        <v>8</v>
      </c>
      <c r="B249" s="176" t="str">
        <f>VLOOKUP(Ruimtestaat[[#This Row],[Code]],Locaties[[Code]:[Locatie]],2,FALSE)</f>
        <v>OBS Roombeek</v>
      </c>
      <c r="C249" s="176" t="str">
        <f>VLOOKUP(Ruimtestaat[[#This Row],[Code]],Locaties[[#All],[Code]:[Adres]],4,FALSE)</f>
        <v>Bosuilstraat 3</v>
      </c>
      <c r="D249" s="176" t="str">
        <f>VLOOKUP(Ruimtestaat[[#This Row],[Code]],Locaties[[#All],[Code]:[Postcode]],5,FALSE)</f>
        <v>7523 BJ</v>
      </c>
      <c r="E249" s="176" t="str">
        <f>VLOOKUP(Ruimtestaat[[#This Row],[Code]],Locaties[#All],6,FALSE)</f>
        <v>Enschede</v>
      </c>
      <c r="F249" s="149"/>
      <c r="G249" s="149"/>
      <c r="H249" s="99" t="s">
        <v>1791</v>
      </c>
      <c r="I249" s="183" t="s">
        <v>1686</v>
      </c>
      <c r="J249" s="99">
        <v>16</v>
      </c>
      <c r="K249" s="183" t="str">
        <f>VLOOKUP(Ruimtestaat[[#This Row],[Ruimte code]],Ruimtegroepen[[#All],[Code]:[Ruimte omschrijving]],2,FALSE)</f>
        <v>Leslokalen</v>
      </c>
      <c r="L249" s="149" t="s">
        <v>100</v>
      </c>
      <c r="M249" s="301" t="s">
        <v>1697</v>
      </c>
      <c r="N249" s="177">
        <v>57.9</v>
      </c>
      <c r="O249" s="177"/>
      <c r="P249" s="178" t="str">
        <f>VLOOKUP(Ruimtestaat[[#This Row],[Ruimte code]],Ruimtegroepen[],4,FALSE)</f>
        <v>Le</v>
      </c>
      <c r="Q249" s="149">
        <v>40</v>
      </c>
      <c r="R249" s="149" t="s">
        <v>2</v>
      </c>
      <c r="S249" s="149">
        <f>IF(Q249&gt;0,IF(RIGHT(Ruimtestaat[[#This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49" s="149">
        <f>IF(S249&gt;0,VLOOKUP($J249,Ruimtegroepen[],3,FALSE)*VLOOKUP($L249,Vloersoorten[],3,FALSE)*VLOOKUP($R249,Frequenties[],3,FALSE)*VLOOKUP($A249,Locaties[],3,FALSE),0)</f>
        <v>0</v>
      </c>
      <c r="U249" s="149">
        <f>Ruimtestaat[[#This Row],[Uitvoeringen werkdagen]]*Ruimtestaat[[#This Row],[Oppervlak (netto)]]</f>
        <v>11580</v>
      </c>
      <c r="V249" s="179">
        <f>IF(T249&gt;0,Ruimtestaat[[#This Row],[Prest. (m2 /jaar) werkdagen]]/Ruimtestaat[[#This Row],[Norm (m2/uur) werkdagen]],0)</f>
        <v>0</v>
      </c>
      <c r="W249" s="180">
        <f>Ruimtestaat[[#This Row],[uren / jaar werkdagen]]*Tariefsopbouw!$E$35</f>
        <v>0</v>
      </c>
      <c r="X249" s="149"/>
      <c r="Y249" s="149">
        <f>IF(Ruimtestaat[[#This Row],[Frequentie weekend]]&gt;0,VALUE(LEFT(X249,1))*Q249,0)</f>
        <v>0</v>
      </c>
      <c r="Z249" s="148">
        <f>IF($Y249&gt;0,VLOOKUP($J249,Ruimtegroepen[],3,FALSE)*VLOOKUP($L249,Vloersoorten[],3,FALSE)*VLOOKUP($X249,Frequenties[],3,FALSE)*VLOOKUP(Ruimtestaat[[#This Row],[Code]],Locaties[],3,FALSE),0)</f>
        <v>0</v>
      </c>
      <c r="AA249" s="148">
        <f>Ruimtestaat[[#This Row],[Uitvoeringen weekend]]*Ruimtestaat[[#This Row],[Oppervlak (netto)]]</f>
        <v>0</v>
      </c>
      <c r="AB249" s="148">
        <f>IF(Z249&gt;0,Ruimtestaat[[#This Row],[Prest. (m2 /jaar) weekend]]/Ruimtestaat[[#This Row],[Norm (m2/uur) weekend]],0)</f>
        <v>0</v>
      </c>
      <c r="AC249" s="180">
        <f>Ruimtestaat[[#This Row],[uren / jaar weekend]]*Tariefsopbouw!$D$40</f>
        <v>0</v>
      </c>
      <c r="AD249" s="179">
        <f>Ruimtestaat[[#This Row],[Prest. (m2 /jaar) weekend]]+Ruimtestaat[[#This Row],[Prest. (m2 /jaar) werkdagen]]</f>
        <v>11580</v>
      </c>
      <c r="AE249" s="179">
        <f>Ruimtestaat[[#This Row],[uren / jaar weekend]]+Ruimtestaat[[#This Row],[uren / jaar werkdagen]]</f>
        <v>0</v>
      </c>
      <c r="AF249" s="174">
        <f>Ruimtestaat[[#This Row],[kosten / jaar weekend]]+Ruimtestaat[[#This Row],[kosten / jaar werkdagen]]</f>
        <v>0</v>
      </c>
      <c r="AG249" s="174"/>
      <c r="AH249" s="181" t="str">
        <f>IF(Ruimtestaat[[#This Row],[Frequentie werkdagen]]="","",_xlfn.CONCAT(Ruimtestaat[[#This Row],[Ruimte code]],"-",Ruimtestaat[[#This Row],[Frequentie werkdagen]]," ",Ruimtestaat[[#This Row],[Vloer code]]))</f>
        <v>16-5w L</v>
      </c>
      <c r="AI249" s="185" t="str">
        <f>_xlfn.IFNA(VLOOKUP($AH249,Programma!$F$3:$G$1101,2,0),"")</f>
        <v>_</v>
      </c>
      <c r="AJ249" s="185" t="str">
        <f>_xlfn.IFNA(VLOOKUP($AH249,Programma!$F$3:$H$1101,3,0),"")</f>
        <v>_</v>
      </c>
      <c r="AK249" s="185" t="str">
        <f>_xlfn.IFNA(VLOOKUP($AH249,Programma!$F$3:$I$1101,4,0),"")</f>
        <v>4w</v>
      </c>
      <c r="AL249" s="185" t="str">
        <f>_xlfn.IFNA(VLOOKUP($AH249,Programma!$F$3:$J$1101,5,0),"")</f>
        <v>1w</v>
      </c>
      <c r="AM249" s="185" t="str">
        <f>_xlfn.IFNA(VLOOKUP($AH249,Programma!$F$3:$K$1101,6,0),"")</f>
        <v>_</v>
      </c>
      <c r="AN249" s="185" t="str">
        <f>_xlfn.IFNA(VLOOKUP($AH249,Programma!$F$3:$L$1101,7,0),"")</f>
        <v>_</v>
      </c>
      <c r="AO249" s="185" t="str">
        <f>_xlfn.IFNA(VLOOKUP($AH249,Programma!$F$3:$M$1101,8,0),"")</f>
        <v>_</v>
      </c>
      <c r="AP249" s="185" t="str">
        <f>_xlfn.IFNA(VLOOKUP($AH249,Programma!$F$3:$N$1101,9,0),"")</f>
        <v>_</v>
      </c>
      <c r="AQ249" s="185" t="str">
        <f>_xlfn.IFNA(VLOOKUP($AH249,Programma!$F$3:$O$1101,10,0),"")</f>
        <v>5w</v>
      </c>
      <c r="AR249" s="185" t="str">
        <f>_xlfn.IFNA(VLOOKUP($AH249,Programma!$F$3:$P$1101,11,0),"")</f>
        <v>5w</v>
      </c>
      <c r="AS249" s="185" t="str">
        <f>_xlfn.IFNA(VLOOKUP($AH249,Programma!$F$3:$Q$1101,12,0),"")</f>
        <v>1w</v>
      </c>
      <c r="AT249" s="185" t="str">
        <f>_xlfn.IFNA(VLOOKUP($AH249,Programma!$F$3:$R$1101,13,0),"")</f>
        <v>1w</v>
      </c>
      <c r="AU249" s="185" t="str">
        <f>_xlfn.IFNA(VLOOKUP($AH249,Programma!$F$3:$S$1101,14,0),"")</f>
        <v>1m</v>
      </c>
      <c r="AV249" s="185" t="str">
        <f>_xlfn.IFNA(VLOOKUP($AH249,Programma!$F$3:$T$1101,15,0),"")</f>
        <v>2j</v>
      </c>
      <c r="AW249" s="185" t="str">
        <f>_xlfn.IFNA(VLOOKUP($AH249,Programma!$F$3:$U$1101,16,0),"")</f>
        <v>1j</v>
      </c>
      <c r="AX249" s="185" t="str">
        <f>_xlfn.IFNA(VLOOKUP($AH249,Programma!$F$3:$V$1101,17,0),"")</f>
        <v>_</v>
      </c>
      <c r="AY249" s="185" t="str">
        <f>_xlfn.IFNA(VLOOKUP($AH249,Programma!$F$3:$W$1101,18,0),"")</f>
        <v>_</v>
      </c>
      <c r="AZ249" s="185" t="str">
        <f>_xlfn.IFNA(VLOOKUP($AH249,Programma!$F$3:$X$1101,19,0),"")</f>
        <v>_</v>
      </c>
      <c r="BA249" s="185" t="str">
        <f>_xlfn.IFNA(VLOOKUP($AH249,Programma!$F$3:$Y$1101,20,0),"")</f>
        <v>_</v>
      </c>
      <c r="BB249" s="182"/>
      <c r="BC249" s="181" t="str">
        <f>IF(Ruimtestaat[[#This Row],[Frequentie weekend]]="","",_xlfn.CONCAT(Ruimtestaat[[#This Row],[Ruimte code]],"-",Ruimtestaat[[#This Row],[Frequentie weekend]]," ",Ruimtestaat[[#This Row],[Vloer code]]))</f>
        <v/>
      </c>
      <c r="BD249" s="185" t="str">
        <f>_xlfn.IFNA(VLOOKUP($BC249,Programma!$F$3:$G$1101,2,0),"")</f>
        <v/>
      </c>
      <c r="BE249" s="185" t="str">
        <f>_xlfn.IFNA(VLOOKUP($BC249,Programma!$F$3:$H$1101,3,0),"")</f>
        <v/>
      </c>
      <c r="BF249" s="185" t="str">
        <f>_xlfn.IFNA(VLOOKUP($BC249,Programma!$F$3:$I$1101,4,0),"")</f>
        <v/>
      </c>
      <c r="BG249" s="185" t="str">
        <f>_xlfn.IFNA(VLOOKUP($BC249,Programma!$F$3:$J$1101,5,0),"")</f>
        <v/>
      </c>
      <c r="BH249" s="185" t="str">
        <f>_xlfn.IFNA(VLOOKUP($BC249,Programma!$F$3:$K$1101,6,0),"")</f>
        <v/>
      </c>
      <c r="BI249" s="185" t="str">
        <f>_xlfn.IFNA(VLOOKUP($BC249,Programma!$F$3:$L$1101,7,0),"")</f>
        <v/>
      </c>
      <c r="BJ249" s="185" t="str">
        <f>_xlfn.IFNA(VLOOKUP($BC249,Programma!$F$3:$M$1101,8,0),"")</f>
        <v/>
      </c>
      <c r="BK249" s="185" t="str">
        <f>_xlfn.IFNA(VLOOKUP($BC249,Programma!$F$3:$N$1101,9,0),"")</f>
        <v/>
      </c>
      <c r="BL249" s="185" t="str">
        <f>_xlfn.IFNA(VLOOKUP($BC249,Programma!$F$3:$O$1101,10,0),"")</f>
        <v/>
      </c>
      <c r="BM249" s="185" t="str">
        <f>_xlfn.IFNA(VLOOKUP($BC249,Programma!$F$3:$P$1101,11,0),"")</f>
        <v/>
      </c>
      <c r="BN249" s="185" t="str">
        <f>_xlfn.IFNA(VLOOKUP($BC249,Programma!$F$3:$Q$1101,12,0),"")</f>
        <v/>
      </c>
      <c r="BO249" s="185" t="str">
        <f>_xlfn.IFNA(VLOOKUP($BC249,Programma!$F$3:$R$1101,13,0),"")</f>
        <v/>
      </c>
      <c r="BP249" s="185" t="str">
        <f>_xlfn.IFNA(VLOOKUP($BC249,Programma!$F$3:$S$1101,14,0),"")</f>
        <v/>
      </c>
      <c r="BQ249" s="185" t="str">
        <f>_xlfn.IFNA(VLOOKUP($BC249,Programma!$F$3:$T$1101,15,0),"")</f>
        <v/>
      </c>
      <c r="BR249" s="185" t="str">
        <f>_xlfn.IFNA(VLOOKUP($BC249,Programma!$F$3:$U$1101,16,0),"")</f>
        <v/>
      </c>
      <c r="BS249" s="185" t="str">
        <f>_xlfn.IFNA(VLOOKUP($BC249,Programma!$F$3:$V$1101,17,0),"")</f>
        <v/>
      </c>
      <c r="BT249" s="185" t="str">
        <f>_xlfn.IFNA(VLOOKUP($BC249,Programma!$F$3:$W$1101,18,0),"")</f>
        <v/>
      </c>
      <c r="BU249" s="185" t="str">
        <f>_xlfn.IFNA(VLOOKUP($BC249,Programma!$F$3:$X$1101,19,0),"")</f>
        <v/>
      </c>
      <c r="BV249" s="185" t="str">
        <f>_xlfn.IFNA(VLOOKUP($BC249,Programma!$F$3:$Y$1101,20,0),"")</f>
        <v/>
      </c>
      <c r="BW249" s="78"/>
      <c r="BX249" s="78"/>
      <c r="BY249" s="78"/>
      <c r="BZ249" s="78"/>
      <c r="CA249" s="78"/>
      <c r="CB249" s="78"/>
      <c r="CC249" s="78"/>
      <c r="CD249" s="78"/>
      <c r="CE249" s="78"/>
      <c r="CF249" s="78"/>
      <c r="CG249" s="78"/>
      <c r="CH249" s="78"/>
      <c r="CI249" s="78"/>
      <c r="CJ249" s="78"/>
      <c r="CK249" s="78"/>
      <c r="CL249" s="78"/>
      <c r="CM249" s="78"/>
      <c r="CN249" s="78"/>
      <c r="CO249" s="78"/>
      <c r="CP249" s="78"/>
      <c r="CQ249" s="78"/>
      <c r="CR249" s="78"/>
      <c r="CS249" s="78"/>
      <c r="CT249" s="78"/>
      <c r="CU249" s="78"/>
      <c r="CV249" s="78"/>
      <c r="CW249" s="78"/>
      <c r="CX249" s="78"/>
      <c r="CY249" s="78"/>
      <c r="CZ249" s="78"/>
      <c r="DA249" s="78"/>
      <c r="DB249" s="78"/>
      <c r="DC249" s="78"/>
      <c r="DD249" s="78"/>
      <c r="DE249" s="78"/>
      <c r="DF249" s="78"/>
      <c r="DG249" s="78"/>
      <c r="DH249" s="78"/>
      <c r="DI249" s="78"/>
      <c r="DJ249" s="78"/>
      <c r="DK249" s="78"/>
      <c r="DL249" s="78"/>
      <c r="DM249" s="78"/>
      <c r="DN249" s="78"/>
      <c r="DO249" s="78"/>
      <c r="DP249" s="78"/>
      <c r="DQ249" s="78"/>
      <c r="DR249" s="78"/>
      <c r="DS249" s="78"/>
      <c r="DT249" s="78"/>
      <c r="DU249" s="78"/>
      <c r="DV249" s="78"/>
      <c r="DW249" s="78"/>
      <c r="DX249" s="78"/>
      <c r="DY249" s="78"/>
      <c r="DZ249" s="78"/>
      <c r="EA249" s="78"/>
      <c r="EB249" s="78"/>
      <c r="EC249" s="78"/>
      <c r="ED249" s="78"/>
      <c r="EE249" s="78"/>
      <c r="EF249" s="78"/>
      <c r="EG249" s="78"/>
      <c r="EH249" s="78"/>
      <c r="EI249" s="78"/>
      <c r="EJ249" s="78"/>
      <c r="EK249" s="78"/>
      <c r="EL249" s="78"/>
      <c r="EM249" s="78"/>
      <c r="EN249" s="78"/>
      <c r="EO249" s="78"/>
      <c r="EP249" s="78"/>
      <c r="EQ249" s="78"/>
      <c r="ER249" s="78"/>
      <c r="ES249" s="78"/>
      <c r="ET249" s="78"/>
      <c r="EU249" s="78"/>
      <c r="EV249" s="78"/>
      <c r="EW249" s="78"/>
      <c r="EX249" s="78"/>
      <c r="EY249" s="78"/>
      <c r="EZ249" s="78"/>
      <c r="FA249" s="78"/>
      <c r="FB249" s="78"/>
      <c r="FC249" s="78"/>
      <c r="FD249" s="78"/>
      <c r="FE249" s="78"/>
      <c r="FF249" s="78"/>
      <c r="FG249" s="78"/>
      <c r="FH249" s="78"/>
      <c r="FI249" s="78"/>
      <c r="FJ249" s="78"/>
      <c r="FK249" s="78"/>
      <c r="FL249" s="78"/>
      <c r="FM249" s="78"/>
      <c r="FN249" s="78"/>
      <c r="FO249" s="78"/>
      <c r="FP249" s="78"/>
      <c r="FQ249" s="78"/>
      <c r="FR249" s="78"/>
      <c r="FS249" s="78"/>
      <c r="FT249" s="78"/>
      <c r="FU249" s="78"/>
      <c r="FV249" s="78"/>
      <c r="FW249" s="78"/>
      <c r="FX249" s="78"/>
      <c r="FY249" s="78"/>
      <c r="FZ249" s="78"/>
      <c r="GA249" s="78"/>
      <c r="GB249" s="78"/>
      <c r="GC249" s="78"/>
      <c r="GD249" s="78"/>
      <c r="GE249" s="78"/>
      <c r="GF249" s="78"/>
      <c r="GG249" s="78"/>
      <c r="GH249" s="78"/>
      <c r="GI249" s="78"/>
      <c r="GJ249" s="78"/>
      <c r="GK249" s="78"/>
      <c r="GL249" s="78"/>
      <c r="GM249" s="78"/>
      <c r="GN249" s="78"/>
      <c r="GO249" s="78"/>
      <c r="GP249" s="78"/>
      <c r="GQ249" s="78"/>
      <c r="GR249" s="78"/>
      <c r="GS249" s="78"/>
      <c r="GT249" s="78"/>
      <c r="GU249" s="78"/>
      <c r="GV249" s="78"/>
      <c r="GW249" s="78"/>
      <c r="GX249" s="78"/>
      <c r="GY249" s="78"/>
      <c r="GZ249" s="78"/>
      <c r="HA249" s="78"/>
      <c r="HB249" s="78"/>
      <c r="HC249" s="78"/>
      <c r="HD249" s="78"/>
      <c r="HE249" s="78"/>
      <c r="HF249" s="78"/>
      <c r="HG249" s="78"/>
      <c r="HH249" s="78"/>
      <c r="HI249" s="78"/>
      <c r="HJ249" s="78"/>
      <c r="HK249" s="78"/>
    </row>
    <row r="250" spans="1:219" ht="15" customHeight="1">
      <c r="A250" s="99">
        <v>8</v>
      </c>
      <c r="B250" s="176" t="str">
        <f>VLOOKUP(Ruimtestaat[[#This Row],[Code]],Locaties[[Code]:[Locatie]],2,FALSE)</f>
        <v>OBS Roombeek</v>
      </c>
      <c r="C250" s="176" t="str">
        <f>VLOOKUP(Ruimtestaat[[#This Row],[Code]],Locaties[[#All],[Code]:[Adres]],4,FALSE)</f>
        <v>Bosuilstraat 3</v>
      </c>
      <c r="D250" s="176" t="str">
        <f>VLOOKUP(Ruimtestaat[[#This Row],[Code]],Locaties[[#All],[Code]:[Postcode]],5,FALSE)</f>
        <v>7523 BJ</v>
      </c>
      <c r="E250" s="176" t="str">
        <f>VLOOKUP(Ruimtestaat[[#This Row],[Code]],Locaties[#All],6,FALSE)</f>
        <v>Enschede</v>
      </c>
      <c r="F250" s="149"/>
      <c r="G250" s="149"/>
      <c r="H250" s="99" t="s">
        <v>1792</v>
      </c>
      <c r="I250" s="183" t="s">
        <v>1684</v>
      </c>
      <c r="J250" s="99">
        <v>5</v>
      </c>
      <c r="K250" s="183" t="str">
        <f>VLOOKUP(Ruimtestaat[[#This Row],[Ruimte code]],Ruimtegroepen[[#All],[Code]:[Ruimte omschrijving]],2,FALSE)</f>
        <v>Sanitair</v>
      </c>
      <c r="L250" s="149" t="s">
        <v>101</v>
      </c>
      <c r="M250" s="301" t="s">
        <v>119</v>
      </c>
      <c r="N250" s="177">
        <v>5.5</v>
      </c>
      <c r="O250" s="177"/>
      <c r="P250" s="178" t="str">
        <f>VLOOKUP(Ruimtestaat[[#This Row],[Ruimte code]],Ruimtegroepen[],4,FALSE)</f>
        <v>Sa</v>
      </c>
      <c r="Q250" s="149">
        <v>40</v>
      </c>
      <c r="R250" s="149" t="s">
        <v>2</v>
      </c>
      <c r="S250" s="149">
        <f>IF(Q250&gt;0,IF(RIGHT(Ruimtestaat[[#This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50" s="149">
        <f>IF(S250&gt;0,VLOOKUP($J250,Ruimtegroepen[],3,FALSE)*VLOOKUP($L250,Vloersoorten[],3,FALSE)*VLOOKUP($R250,Frequenties[],3,FALSE)*VLOOKUP($A250,Locaties[],3,FALSE),0)</f>
        <v>0</v>
      </c>
      <c r="U250" s="149">
        <f>Ruimtestaat[[#This Row],[Uitvoeringen werkdagen]]*Ruimtestaat[[#This Row],[Oppervlak (netto)]]</f>
        <v>1100</v>
      </c>
      <c r="V250" s="179">
        <f>IF(T250&gt;0,Ruimtestaat[[#This Row],[Prest. (m2 /jaar) werkdagen]]/Ruimtestaat[[#This Row],[Norm (m2/uur) werkdagen]],0)</f>
        <v>0</v>
      </c>
      <c r="W250" s="180">
        <f>Ruimtestaat[[#This Row],[uren / jaar werkdagen]]*Tariefsopbouw!$E$35</f>
        <v>0</v>
      </c>
      <c r="X250" s="149"/>
      <c r="Y250" s="149">
        <f>IF(Ruimtestaat[[#This Row],[Frequentie weekend]]&gt;0,VALUE(LEFT(X250,1))*Q250,0)</f>
        <v>0</v>
      </c>
      <c r="Z250" s="148">
        <f>IF($Y250&gt;0,VLOOKUP($J250,Ruimtegroepen[],3,FALSE)*VLOOKUP($L250,Vloersoorten[],3,FALSE)*VLOOKUP($X250,Frequenties[],3,FALSE)*VLOOKUP(Ruimtestaat[[#This Row],[Code]],Locaties[],3,FALSE),0)</f>
        <v>0</v>
      </c>
      <c r="AA250" s="148">
        <f>Ruimtestaat[[#This Row],[Uitvoeringen weekend]]*Ruimtestaat[[#This Row],[Oppervlak (netto)]]</f>
        <v>0</v>
      </c>
      <c r="AB250" s="148">
        <f>IF(Z250&gt;0,Ruimtestaat[[#This Row],[Prest. (m2 /jaar) weekend]]/Ruimtestaat[[#This Row],[Norm (m2/uur) weekend]],0)</f>
        <v>0</v>
      </c>
      <c r="AC250" s="180">
        <f>Ruimtestaat[[#This Row],[uren / jaar weekend]]*Tariefsopbouw!$D$40</f>
        <v>0</v>
      </c>
      <c r="AD250" s="179">
        <f>Ruimtestaat[[#This Row],[Prest. (m2 /jaar) weekend]]+Ruimtestaat[[#This Row],[Prest. (m2 /jaar) werkdagen]]</f>
        <v>1100</v>
      </c>
      <c r="AE250" s="179">
        <f>Ruimtestaat[[#This Row],[uren / jaar weekend]]+Ruimtestaat[[#This Row],[uren / jaar werkdagen]]</f>
        <v>0</v>
      </c>
      <c r="AF250" s="174">
        <f>Ruimtestaat[[#This Row],[kosten / jaar weekend]]+Ruimtestaat[[#This Row],[kosten / jaar werkdagen]]</f>
        <v>0</v>
      </c>
      <c r="AG250" s="174"/>
      <c r="AH250" s="181" t="str">
        <f>IF(Ruimtestaat[[#This Row],[Frequentie werkdagen]]="","",_xlfn.CONCAT(Ruimtestaat[[#This Row],[Ruimte code]],"-",Ruimtestaat[[#This Row],[Frequentie werkdagen]]," ",Ruimtestaat[[#This Row],[Vloer code]]))</f>
        <v>5-5w S</v>
      </c>
      <c r="AI250" s="185" t="str">
        <f>_xlfn.IFNA(VLOOKUP($AH250,Programma!$F$3:$G$1101,2,0),"")</f>
        <v>_</v>
      </c>
      <c r="AJ250" s="185" t="str">
        <f>_xlfn.IFNA(VLOOKUP($AH250,Programma!$F$3:$H$1101,3,0),"")</f>
        <v>_</v>
      </c>
      <c r="AK250" s="185" t="str">
        <f>_xlfn.IFNA(VLOOKUP($AH250,Programma!$F$3:$I$1101,4,0),"")</f>
        <v>_</v>
      </c>
      <c r="AL250" s="185" t="str">
        <f>_xlfn.IFNA(VLOOKUP($AH250,Programma!$F$3:$J$1101,5,0),"")</f>
        <v>4w</v>
      </c>
      <c r="AM250" s="185" t="str">
        <f>_xlfn.IFNA(VLOOKUP($AH250,Programma!$F$3:$K$1101,6,0),"")</f>
        <v>1w</v>
      </c>
      <c r="AN250" s="185" t="str">
        <f>_xlfn.IFNA(VLOOKUP($AH250,Programma!$F$3:$L$1101,7,0),"")</f>
        <v>_</v>
      </c>
      <c r="AO250" s="185" t="str">
        <f>_xlfn.IFNA(VLOOKUP($AH250,Programma!$F$3:$M$1101,8,0),"")</f>
        <v>_</v>
      </c>
      <c r="AP250" s="185" t="str">
        <f>_xlfn.IFNA(VLOOKUP($AH250,Programma!$F$3:$N$1101,9,0),"")</f>
        <v>_</v>
      </c>
      <c r="AQ250" s="185" t="str">
        <f>_xlfn.IFNA(VLOOKUP($AH250,Programma!$F$3:$O$1101,10,0),"")</f>
        <v>_</v>
      </c>
      <c r="AR250" s="185" t="str">
        <f>_xlfn.IFNA(VLOOKUP($AH250,Programma!$F$3:$P$1101,11,0),"")</f>
        <v>_</v>
      </c>
      <c r="AS250" s="185" t="str">
        <f>_xlfn.IFNA(VLOOKUP($AH250,Programma!$F$3:$Q$1101,12,0),"")</f>
        <v>_</v>
      </c>
      <c r="AT250" s="185" t="str">
        <f>_xlfn.IFNA(VLOOKUP($AH250,Programma!$F$3:$R$1101,13,0),"")</f>
        <v>_</v>
      </c>
      <c r="AU250" s="185" t="str">
        <f>_xlfn.IFNA(VLOOKUP($AH250,Programma!$F$3:$S$1101,14,0),"")</f>
        <v>_</v>
      </c>
      <c r="AV250" s="185" t="str">
        <f>_xlfn.IFNA(VLOOKUP($AH250,Programma!$F$3:$T$1101,15,0),"")</f>
        <v>_</v>
      </c>
      <c r="AW250" s="185" t="str">
        <f>_xlfn.IFNA(VLOOKUP($AH250,Programma!$F$3:$U$1101,16,0),"")</f>
        <v>_</v>
      </c>
      <c r="AX250" s="185" t="str">
        <f>_xlfn.IFNA(VLOOKUP($AH250,Programma!$F$3:$V$1101,17,0),"")</f>
        <v>_</v>
      </c>
      <c r="AY250" s="185" t="str">
        <f>_xlfn.IFNA(VLOOKUP($AH250,Programma!$F$3:$W$1101,18,0),"")</f>
        <v>4w</v>
      </c>
      <c r="AZ250" s="185" t="str">
        <f>_xlfn.IFNA(VLOOKUP($AH250,Programma!$F$3:$X$1101,19,0),"")</f>
        <v>1w</v>
      </c>
      <c r="BA250" s="185" t="str">
        <f>_xlfn.IFNA(VLOOKUP($AH250,Programma!$F$3:$Y$1101,20,0),"")</f>
        <v>_</v>
      </c>
      <c r="BB250" s="182"/>
      <c r="BC250" s="181" t="str">
        <f>IF(Ruimtestaat[[#This Row],[Frequentie weekend]]="","",_xlfn.CONCAT(Ruimtestaat[[#This Row],[Ruimte code]],"-",Ruimtestaat[[#This Row],[Frequentie weekend]]," ",Ruimtestaat[[#This Row],[Vloer code]]))</f>
        <v/>
      </c>
      <c r="BD250" s="185" t="str">
        <f>_xlfn.IFNA(VLOOKUP($BC250,Programma!$F$3:$G$1101,2,0),"")</f>
        <v/>
      </c>
      <c r="BE250" s="185" t="str">
        <f>_xlfn.IFNA(VLOOKUP($BC250,Programma!$F$3:$H$1101,3,0),"")</f>
        <v/>
      </c>
      <c r="BF250" s="185" t="str">
        <f>_xlfn.IFNA(VLOOKUP($BC250,Programma!$F$3:$I$1101,4,0),"")</f>
        <v/>
      </c>
      <c r="BG250" s="185" t="str">
        <f>_xlfn.IFNA(VLOOKUP($BC250,Programma!$F$3:$J$1101,5,0),"")</f>
        <v/>
      </c>
      <c r="BH250" s="185" t="str">
        <f>_xlfn.IFNA(VLOOKUP($BC250,Programma!$F$3:$K$1101,6,0),"")</f>
        <v/>
      </c>
      <c r="BI250" s="185" t="str">
        <f>_xlfn.IFNA(VLOOKUP($BC250,Programma!$F$3:$L$1101,7,0),"")</f>
        <v/>
      </c>
      <c r="BJ250" s="185" t="str">
        <f>_xlfn.IFNA(VLOOKUP($BC250,Programma!$F$3:$M$1101,8,0),"")</f>
        <v/>
      </c>
      <c r="BK250" s="185" t="str">
        <f>_xlfn.IFNA(VLOOKUP($BC250,Programma!$F$3:$N$1101,9,0),"")</f>
        <v/>
      </c>
      <c r="BL250" s="185" t="str">
        <f>_xlfn.IFNA(VLOOKUP($BC250,Programma!$F$3:$O$1101,10,0),"")</f>
        <v/>
      </c>
      <c r="BM250" s="185" t="str">
        <f>_xlfn.IFNA(VLOOKUP($BC250,Programma!$F$3:$P$1101,11,0),"")</f>
        <v/>
      </c>
      <c r="BN250" s="185" t="str">
        <f>_xlfn.IFNA(VLOOKUP($BC250,Programma!$F$3:$Q$1101,12,0),"")</f>
        <v/>
      </c>
      <c r="BO250" s="185" t="str">
        <f>_xlfn.IFNA(VLOOKUP($BC250,Programma!$F$3:$R$1101,13,0),"")</f>
        <v/>
      </c>
      <c r="BP250" s="185" t="str">
        <f>_xlfn.IFNA(VLOOKUP($BC250,Programma!$F$3:$S$1101,14,0),"")</f>
        <v/>
      </c>
      <c r="BQ250" s="185" t="str">
        <f>_xlfn.IFNA(VLOOKUP($BC250,Programma!$F$3:$T$1101,15,0),"")</f>
        <v/>
      </c>
      <c r="BR250" s="185" t="str">
        <f>_xlfn.IFNA(VLOOKUP($BC250,Programma!$F$3:$U$1101,16,0),"")</f>
        <v/>
      </c>
      <c r="BS250" s="185" t="str">
        <f>_xlfn.IFNA(VLOOKUP($BC250,Programma!$F$3:$V$1101,17,0),"")</f>
        <v/>
      </c>
      <c r="BT250" s="185" t="str">
        <f>_xlfn.IFNA(VLOOKUP($BC250,Programma!$F$3:$W$1101,18,0),"")</f>
        <v/>
      </c>
      <c r="BU250" s="185" t="str">
        <f>_xlfn.IFNA(VLOOKUP($BC250,Programma!$F$3:$X$1101,19,0),"")</f>
        <v/>
      </c>
      <c r="BV250" s="185" t="str">
        <f>_xlfn.IFNA(VLOOKUP($BC250,Programma!$F$3:$Y$1101,20,0),"")</f>
        <v/>
      </c>
      <c r="BW250" s="78"/>
      <c r="BX250" s="78"/>
      <c r="BY250" s="78"/>
      <c r="BZ250" s="78"/>
      <c r="CA250" s="78"/>
      <c r="CB250" s="78"/>
      <c r="CC250" s="78"/>
      <c r="CD250" s="78"/>
      <c r="CE250" s="78"/>
      <c r="CF250" s="78"/>
      <c r="CG250" s="78"/>
      <c r="CH250" s="78"/>
      <c r="CI250" s="78"/>
      <c r="CJ250" s="78"/>
      <c r="CK250" s="78"/>
      <c r="CL250" s="78"/>
      <c r="CM250" s="78"/>
      <c r="CN250" s="78"/>
      <c r="CO250" s="78"/>
      <c r="CP250" s="78"/>
      <c r="CQ250" s="78"/>
      <c r="CR250" s="78"/>
      <c r="CS250" s="78"/>
      <c r="CT250" s="78"/>
      <c r="CU250" s="78"/>
      <c r="CV250" s="78"/>
      <c r="CW250" s="78"/>
      <c r="CX250" s="78"/>
      <c r="CY250" s="78"/>
      <c r="CZ250" s="78"/>
      <c r="DA250" s="78"/>
      <c r="DB250" s="78"/>
      <c r="DC250" s="78"/>
      <c r="DD250" s="78"/>
      <c r="DE250" s="78"/>
      <c r="DF250" s="78"/>
      <c r="DG250" s="78"/>
      <c r="DH250" s="78"/>
      <c r="DI250" s="78"/>
      <c r="DJ250" s="78"/>
      <c r="DK250" s="78"/>
      <c r="DL250" s="78"/>
      <c r="DM250" s="78"/>
      <c r="DN250" s="78"/>
      <c r="DO250" s="78"/>
      <c r="DP250" s="78"/>
      <c r="DQ250" s="78"/>
      <c r="DR250" s="78"/>
      <c r="DS250" s="78"/>
      <c r="DT250" s="78"/>
      <c r="DU250" s="78"/>
      <c r="DV250" s="78"/>
      <c r="DW250" s="78"/>
      <c r="DX250" s="78"/>
      <c r="DY250" s="78"/>
      <c r="DZ250" s="78"/>
      <c r="EA250" s="78"/>
      <c r="EB250" s="78"/>
      <c r="EC250" s="78"/>
      <c r="ED250" s="78"/>
      <c r="EE250" s="78"/>
      <c r="EF250" s="78"/>
      <c r="EG250" s="78"/>
      <c r="EH250" s="78"/>
      <c r="EI250" s="78"/>
      <c r="EJ250" s="78"/>
      <c r="EK250" s="78"/>
      <c r="EL250" s="78"/>
      <c r="EM250" s="78"/>
      <c r="EN250" s="78"/>
      <c r="EO250" s="78"/>
      <c r="EP250" s="78"/>
      <c r="EQ250" s="78"/>
      <c r="ER250" s="78"/>
      <c r="ES250" s="78"/>
      <c r="ET250" s="78"/>
      <c r="EU250" s="78"/>
      <c r="EV250" s="78"/>
      <c r="EW250" s="78"/>
      <c r="EX250" s="78"/>
      <c r="EY250" s="78"/>
      <c r="EZ250" s="78"/>
      <c r="FA250" s="78"/>
      <c r="FB250" s="78"/>
      <c r="FC250" s="78"/>
      <c r="FD250" s="78"/>
      <c r="FE250" s="78"/>
      <c r="FF250" s="78"/>
      <c r="FG250" s="78"/>
      <c r="FH250" s="78"/>
      <c r="FI250" s="78"/>
      <c r="FJ250" s="78"/>
      <c r="FK250" s="78"/>
      <c r="FL250" s="78"/>
      <c r="FM250" s="78"/>
      <c r="FN250" s="78"/>
      <c r="FO250" s="78"/>
      <c r="FP250" s="78"/>
      <c r="FQ250" s="78"/>
      <c r="FR250" s="78"/>
      <c r="FS250" s="78"/>
      <c r="FT250" s="78"/>
      <c r="FU250" s="78"/>
      <c r="FV250" s="78"/>
      <c r="FW250" s="78"/>
      <c r="FX250" s="78"/>
      <c r="FY250" s="78"/>
      <c r="FZ250" s="78"/>
      <c r="GA250" s="78"/>
      <c r="GB250" s="78"/>
      <c r="GC250" s="78"/>
      <c r="GD250" s="78"/>
      <c r="GE250" s="78"/>
      <c r="GF250" s="78"/>
      <c r="GG250" s="78"/>
      <c r="GH250" s="78"/>
      <c r="GI250" s="78"/>
      <c r="GJ250" s="78"/>
      <c r="GK250" s="78"/>
      <c r="GL250" s="78"/>
      <c r="GM250" s="78"/>
      <c r="GN250" s="78"/>
      <c r="GO250" s="78"/>
      <c r="GP250" s="78"/>
      <c r="GQ250" s="78"/>
      <c r="GR250" s="78"/>
      <c r="GS250" s="78"/>
      <c r="GT250" s="78"/>
      <c r="GU250" s="78"/>
      <c r="GV250" s="78"/>
      <c r="GW250" s="78"/>
      <c r="GX250" s="78"/>
      <c r="GY250" s="78"/>
      <c r="GZ250" s="78"/>
      <c r="HA250" s="78"/>
      <c r="HB250" s="78"/>
      <c r="HC250" s="78"/>
      <c r="HD250" s="78"/>
      <c r="HE250" s="78"/>
      <c r="HF250" s="78"/>
      <c r="HG250" s="78"/>
      <c r="HH250" s="78"/>
      <c r="HI250" s="78"/>
      <c r="HJ250" s="78"/>
      <c r="HK250" s="78"/>
    </row>
    <row r="251" spans="1:219" ht="15" customHeight="1">
      <c r="A251" s="99">
        <v>8</v>
      </c>
      <c r="B251" s="176" t="str">
        <f>VLOOKUP(Ruimtestaat[[#This Row],[Code]],Locaties[[Code]:[Locatie]],2,FALSE)</f>
        <v>OBS Roombeek</v>
      </c>
      <c r="C251" s="176" t="str">
        <f>VLOOKUP(Ruimtestaat[[#This Row],[Code]],Locaties[[#All],[Code]:[Adres]],4,FALSE)</f>
        <v>Bosuilstraat 3</v>
      </c>
      <c r="D251" s="176" t="str">
        <f>VLOOKUP(Ruimtestaat[[#This Row],[Code]],Locaties[[#All],[Code]:[Postcode]],5,FALSE)</f>
        <v>7523 BJ</v>
      </c>
      <c r="E251" s="176" t="str">
        <f>VLOOKUP(Ruimtestaat[[#This Row],[Code]],Locaties[#All],6,FALSE)</f>
        <v>Enschede</v>
      </c>
      <c r="F251" s="149"/>
      <c r="G251" s="149"/>
      <c r="H251" s="99" t="s">
        <v>1793</v>
      </c>
      <c r="I251" s="183" t="s">
        <v>1683</v>
      </c>
      <c r="J251" s="99">
        <v>20</v>
      </c>
      <c r="K251" s="183" t="str">
        <f>VLOOKUP(Ruimtestaat[[#This Row],[Ruimte code]],Ruimtegroepen[[#All],[Code]:[Ruimte omschrijving]],2,FALSE)</f>
        <v>Niet in Onderhoud</v>
      </c>
      <c r="L251" s="149" t="s">
        <v>100</v>
      </c>
      <c r="M251" s="301" t="s">
        <v>1697</v>
      </c>
      <c r="N251" s="177"/>
      <c r="O251" s="177">
        <v>2</v>
      </c>
      <c r="P251" s="178">
        <f>VLOOKUP(Ruimtestaat[[#This Row],[Ruimte code]],Ruimtegroepen[],4,FALSE)</f>
        <v>0</v>
      </c>
      <c r="Q251" s="149"/>
      <c r="R251" s="149"/>
      <c r="S251" s="149">
        <f>IF(Q251&gt;0,IF(RIGHT(Ruimtestaat[[#This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1" s="149">
        <f>IF(S251&gt;0,VLOOKUP($J251,Ruimtegroepen[],3,FALSE)*VLOOKUP($L251,Vloersoorten[],3,FALSE)*VLOOKUP($R251,Frequenties[],3,FALSE)*VLOOKUP($A251,Locaties[],3,FALSE),0)</f>
        <v>0</v>
      </c>
      <c r="U251" s="149">
        <f>Ruimtestaat[[#This Row],[Uitvoeringen werkdagen]]*Ruimtestaat[[#This Row],[Oppervlak (netto)]]</f>
        <v>0</v>
      </c>
      <c r="V251" s="179">
        <f>IF(T251&gt;0,Ruimtestaat[[#This Row],[Prest. (m2 /jaar) werkdagen]]/Ruimtestaat[[#This Row],[Norm (m2/uur) werkdagen]],0)</f>
        <v>0</v>
      </c>
      <c r="W251" s="180">
        <f>Ruimtestaat[[#This Row],[uren / jaar werkdagen]]*Tariefsopbouw!$E$35</f>
        <v>0</v>
      </c>
      <c r="X251" s="149"/>
      <c r="Y251" s="149">
        <f>IF(Ruimtestaat[[#This Row],[Frequentie weekend]]&gt;0,VALUE(LEFT(X251,1))*Q251,0)</f>
        <v>0</v>
      </c>
      <c r="Z251" s="148">
        <f>IF($Y251&gt;0,VLOOKUP($J251,Ruimtegroepen[],3,FALSE)*VLOOKUP($L251,Vloersoorten[],3,FALSE)*VLOOKUP($X251,Frequenties[],3,FALSE)*VLOOKUP(Ruimtestaat[[#This Row],[Code]],Locaties[],3,FALSE),0)</f>
        <v>0</v>
      </c>
      <c r="AA251" s="148">
        <f>Ruimtestaat[[#This Row],[Uitvoeringen weekend]]*Ruimtestaat[[#This Row],[Oppervlak (netto)]]</f>
        <v>0</v>
      </c>
      <c r="AB251" s="148">
        <f>IF(Z251&gt;0,Ruimtestaat[[#This Row],[Prest. (m2 /jaar) weekend]]/Ruimtestaat[[#This Row],[Norm (m2/uur) weekend]],0)</f>
        <v>0</v>
      </c>
      <c r="AC251" s="180">
        <f>Ruimtestaat[[#This Row],[uren / jaar weekend]]*Tariefsopbouw!$D$40</f>
        <v>0</v>
      </c>
      <c r="AD251" s="179">
        <f>Ruimtestaat[[#This Row],[Prest. (m2 /jaar) weekend]]+Ruimtestaat[[#This Row],[Prest. (m2 /jaar) werkdagen]]</f>
        <v>0</v>
      </c>
      <c r="AE251" s="179">
        <f>Ruimtestaat[[#This Row],[uren / jaar weekend]]+Ruimtestaat[[#This Row],[uren / jaar werkdagen]]</f>
        <v>0</v>
      </c>
      <c r="AF251" s="174">
        <f>Ruimtestaat[[#This Row],[kosten / jaar weekend]]+Ruimtestaat[[#This Row],[kosten / jaar werkdagen]]</f>
        <v>0</v>
      </c>
      <c r="AG251" s="174"/>
      <c r="AH251" s="181" t="str">
        <f>IF(Ruimtestaat[[#This Row],[Frequentie werkdagen]]="","",_xlfn.CONCAT(Ruimtestaat[[#This Row],[Ruimte code]],"-",Ruimtestaat[[#This Row],[Frequentie werkdagen]]," ",Ruimtestaat[[#This Row],[Vloer code]]))</f>
        <v/>
      </c>
      <c r="AI251" s="185" t="str">
        <f>_xlfn.IFNA(VLOOKUP($AH251,Programma!$F$3:$G$1101,2,0),"")</f>
        <v/>
      </c>
      <c r="AJ251" s="185" t="str">
        <f>_xlfn.IFNA(VLOOKUP($AH251,Programma!$F$3:$H$1101,3,0),"")</f>
        <v/>
      </c>
      <c r="AK251" s="185" t="str">
        <f>_xlfn.IFNA(VLOOKUP($AH251,Programma!$F$3:$I$1101,4,0),"")</f>
        <v/>
      </c>
      <c r="AL251" s="185" t="str">
        <f>_xlfn.IFNA(VLOOKUP($AH251,Programma!$F$3:$J$1101,5,0),"")</f>
        <v/>
      </c>
      <c r="AM251" s="185" t="str">
        <f>_xlfn.IFNA(VLOOKUP($AH251,Programma!$F$3:$K$1101,6,0),"")</f>
        <v/>
      </c>
      <c r="AN251" s="185" t="str">
        <f>_xlfn.IFNA(VLOOKUP($AH251,Programma!$F$3:$L$1101,7,0),"")</f>
        <v/>
      </c>
      <c r="AO251" s="185" t="str">
        <f>_xlfn.IFNA(VLOOKUP($AH251,Programma!$F$3:$M$1101,8,0),"")</f>
        <v/>
      </c>
      <c r="AP251" s="185" t="str">
        <f>_xlfn.IFNA(VLOOKUP($AH251,Programma!$F$3:$N$1101,9,0),"")</f>
        <v/>
      </c>
      <c r="AQ251" s="185" t="str">
        <f>_xlfn.IFNA(VLOOKUP($AH251,Programma!$F$3:$O$1101,10,0),"")</f>
        <v/>
      </c>
      <c r="AR251" s="185" t="str">
        <f>_xlfn.IFNA(VLOOKUP($AH251,Programma!$F$3:$P$1101,11,0),"")</f>
        <v/>
      </c>
      <c r="AS251" s="185" t="str">
        <f>_xlfn.IFNA(VLOOKUP($AH251,Programma!$F$3:$Q$1101,12,0),"")</f>
        <v/>
      </c>
      <c r="AT251" s="185" t="str">
        <f>_xlfn.IFNA(VLOOKUP($AH251,Programma!$F$3:$R$1101,13,0),"")</f>
        <v/>
      </c>
      <c r="AU251" s="185" t="str">
        <f>_xlfn.IFNA(VLOOKUP($AH251,Programma!$F$3:$S$1101,14,0),"")</f>
        <v/>
      </c>
      <c r="AV251" s="185" t="str">
        <f>_xlfn.IFNA(VLOOKUP($AH251,Programma!$F$3:$T$1101,15,0),"")</f>
        <v/>
      </c>
      <c r="AW251" s="185" t="str">
        <f>_xlfn.IFNA(VLOOKUP($AH251,Programma!$F$3:$U$1101,16,0),"")</f>
        <v/>
      </c>
      <c r="AX251" s="185" t="str">
        <f>_xlfn.IFNA(VLOOKUP($AH251,Programma!$F$3:$V$1101,17,0),"")</f>
        <v/>
      </c>
      <c r="AY251" s="185" t="str">
        <f>_xlfn.IFNA(VLOOKUP($AH251,Programma!$F$3:$W$1101,18,0),"")</f>
        <v/>
      </c>
      <c r="AZ251" s="185" t="str">
        <f>_xlfn.IFNA(VLOOKUP($AH251,Programma!$F$3:$X$1101,19,0),"")</f>
        <v/>
      </c>
      <c r="BA251" s="185" t="str">
        <f>_xlfn.IFNA(VLOOKUP($AH251,Programma!$F$3:$Y$1101,20,0),"")</f>
        <v/>
      </c>
      <c r="BB251" s="182"/>
      <c r="BC251" s="181" t="str">
        <f>IF(Ruimtestaat[[#This Row],[Frequentie weekend]]="","",_xlfn.CONCAT(Ruimtestaat[[#This Row],[Ruimte code]],"-",Ruimtestaat[[#This Row],[Frequentie weekend]]," ",Ruimtestaat[[#This Row],[Vloer code]]))</f>
        <v/>
      </c>
      <c r="BD251" s="185" t="str">
        <f>_xlfn.IFNA(VLOOKUP($BC251,Programma!$F$3:$G$1101,2,0),"")</f>
        <v/>
      </c>
      <c r="BE251" s="185" t="str">
        <f>_xlfn.IFNA(VLOOKUP($BC251,Programma!$F$3:$H$1101,3,0),"")</f>
        <v/>
      </c>
      <c r="BF251" s="185" t="str">
        <f>_xlfn.IFNA(VLOOKUP($BC251,Programma!$F$3:$I$1101,4,0),"")</f>
        <v/>
      </c>
      <c r="BG251" s="185" t="str">
        <f>_xlfn.IFNA(VLOOKUP($BC251,Programma!$F$3:$J$1101,5,0),"")</f>
        <v/>
      </c>
      <c r="BH251" s="185" t="str">
        <f>_xlfn.IFNA(VLOOKUP($BC251,Programma!$F$3:$K$1101,6,0),"")</f>
        <v/>
      </c>
      <c r="BI251" s="185" t="str">
        <f>_xlfn.IFNA(VLOOKUP($BC251,Programma!$F$3:$L$1101,7,0),"")</f>
        <v/>
      </c>
      <c r="BJ251" s="185" t="str">
        <f>_xlfn.IFNA(VLOOKUP($BC251,Programma!$F$3:$M$1101,8,0),"")</f>
        <v/>
      </c>
      <c r="BK251" s="185" t="str">
        <f>_xlfn.IFNA(VLOOKUP($BC251,Programma!$F$3:$N$1101,9,0),"")</f>
        <v/>
      </c>
      <c r="BL251" s="185" t="str">
        <f>_xlfn.IFNA(VLOOKUP($BC251,Programma!$F$3:$O$1101,10,0),"")</f>
        <v/>
      </c>
      <c r="BM251" s="185" t="str">
        <f>_xlfn.IFNA(VLOOKUP($BC251,Programma!$F$3:$P$1101,11,0),"")</f>
        <v/>
      </c>
      <c r="BN251" s="185" t="str">
        <f>_xlfn.IFNA(VLOOKUP($BC251,Programma!$F$3:$Q$1101,12,0),"")</f>
        <v/>
      </c>
      <c r="BO251" s="185" t="str">
        <f>_xlfn.IFNA(VLOOKUP($BC251,Programma!$F$3:$R$1101,13,0),"")</f>
        <v/>
      </c>
      <c r="BP251" s="185" t="str">
        <f>_xlfn.IFNA(VLOOKUP($BC251,Programma!$F$3:$S$1101,14,0),"")</f>
        <v/>
      </c>
      <c r="BQ251" s="185" t="str">
        <f>_xlfn.IFNA(VLOOKUP($BC251,Programma!$F$3:$T$1101,15,0),"")</f>
        <v/>
      </c>
      <c r="BR251" s="185" t="str">
        <f>_xlfn.IFNA(VLOOKUP($BC251,Programma!$F$3:$U$1101,16,0),"")</f>
        <v/>
      </c>
      <c r="BS251" s="185" t="str">
        <f>_xlfn.IFNA(VLOOKUP($BC251,Programma!$F$3:$V$1101,17,0),"")</f>
        <v/>
      </c>
      <c r="BT251" s="185" t="str">
        <f>_xlfn.IFNA(VLOOKUP($BC251,Programma!$F$3:$W$1101,18,0),"")</f>
        <v/>
      </c>
      <c r="BU251" s="185" t="str">
        <f>_xlfn.IFNA(VLOOKUP($BC251,Programma!$F$3:$X$1101,19,0),"")</f>
        <v/>
      </c>
      <c r="BV251" s="185" t="str">
        <f>_xlfn.IFNA(VLOOKUP($BC251,Programma!$F$3:$Y$1101,20,0),"")</f>
        <v/>
      </c>
      <c r="BW251" s="78"/>
      <c r="BX251" s="78"/>
      <c r="BY251" s="78"/>
      <c r="BZ251" s="78"/>
      <c r="CA251" s="78"/>
      <c r="CB251" s="78"/>
      <c r="CC251" s="78"/>
      <c r="CD251" s="78"/>
      <c r="CE251" s="78"/>
      <c r="CF251" s="78"/>
      <c r="CG251" s="78"/>
      <c r="CH251" s="78"/>
      <c r="CI251" s="78"/>
      <c r="CJ251" s="78"/>
      <c r="CK251" s="78"/>
      <c r="CL251" s="78"/>
      <c r="CM251" s="78"/>
      <c r="CN251" s="78"/>
      <c r="CO251" s="78"/>
      <c r="CP251" s="78"/>
      <c r="CQ251" s="78"/>
      <c r="CR251" s="78"/>
      <c r="CS251" s="78"/>
      <c r="CT251" s="78"/>
      <c r="CU251" s="78"/>
      <c r="CV251" s="78"/>
      <c r="CW251" s="78"/>
      <c r="CX251" s="78"/>
      <c r="CY251" s="78"/>
      <c r="CZ251" s="78"/>
      <c r="DA251" s="78"/>
      <c r="DB251" s="78"/>
      <c r="DC251" s="78"/>
      <c r="DD251" s="78"/>
      <c r="DE251" s="78"/>
      <c r="DF251" s="78"/>
      <c r="DG251" s="78"/>
      <c r="DH251" s="78"/>
      <c r="DI251" s="78"/>
      <c r="DJ251" s="78"/>
      <c r="DK251" s="78"/>
      <c r="DL251" s="78"/>
      <c r="DM251" s="78"/>
      <c r="DN251" s="78"/>
      <c r="DO251" s="78"/>
      <c r="DP251" s="78"/>
      <c r="DQ251" s="78"/>
      <c r="DR251" s="78"/>
      <c r="DS251" s="78"/>
      <c r="DT251" s="78"/>
      <c r="DU251" s="78"/>
      <c r="DV251" s="78"/>
      <c r="DW251" s="78"/>
      <c r="DX251" s="78"/>
      <c r="DY251" s="78"/>
      <c r="DZ251" s="78"/>
      <c r="EA251" s="78"/>
      <c r="EB251" s="78"/>
      <c r="EC251" s="78"/>
      <c r="ED251" s="78"/>
      <c r="EE251" s="78"/>
      <c r="EF251" s="78"/>
      <c r="EG251" s="78"/>
      <c r="EH251" s="78"/>
      <c r="EI251" s="78"/>
      <c r="EJ251" s="78"/>
      <c r="EK251" s="78"/>
      <c r="EL251" s="78"/>
      <c r="EM251" s="78"/>
      <c r="EN251" s="78"/>
      <c r="EO251" s="78"/>
      <c r="EP251" s="78"/>
      <c r="EQ251" s="78"/>
      <c r="ER251" s="78"/>
      <c r="ES251" s="78"/>
      <c r="ET251" s="78"/>
      <c r="EU251" s="78"/>
      <c r="EV251" s="78"/>
      <c r="EW251" s="78"/>
      <c r="EX251" s="78"/>
      <c r="EY251" s="78"/>
      <c r="EZ251" s="78"/>
      <c r="FA251" s="78"/>
      <c r="FB251" s="78"/>
      <c r="FC251" s="78"/>
      <c r="FD251" s="78"/>
      <c r="FE251" s="78"/>
      <c r="FF251" s="78"/>
      <c r="FG251" s="78"/>
      <c r="FH251" s="78"/>
      <c r="FI251" s="78"/>
      <c r="FJ251" s="78"/>
      <c r="FK251" s="78"/>
      <c r="FL251" s="78"/>
      <c r="FM251" s="78"/>
      <c r="FN251" s="78"/>
      <c r="FO251" s="78"/>
      <c r="FP251" s="78"/>
      <c r="FQ251" s="78"/>
      <c r="FR251" s="78"/>
      <c r="FS251" s="78"/>
      <c r="FT251" s="78"/>
      <c r="FU251" s="78"/>
      <c r="FV251" s="78"/>
      <c r="FW251" s="78"/>
      <c r="FX251" s="78"/>
      <c r="FY251" s="78"/>
      <c r="FZ251" s="78"/>
      <c r="GA251" s="78"/>
      <c r="GB251" s="78"/>
      <c r="GC251" s="78"/>
      <c r="GD251" s="78"/>
      <c r="GE251" s="78"/>
      <c r="GF251" s="78"/>
      <c r="GG251" s="78"/>
      <c r="GH251" s="78"/>
      <c r="GI251" s="78"/>
      <c r="GJ251" s="78"/>
      <c r="GK251" s="78"/>
      <c r="GL251" s="78"/>
      <c r="GM251" s="78"/>
      <c r="GN251" s="78"/>
      <c r="GO251" s="78"/>
      <c r="GP251" s="78"/>
      <c r="GQ251" s="78"/>
      <c r="GR251" s="78"/>
      <c r="GS251" s="78"/>
      <c r="GT251" s="78"/>
      <c r="GU251" s="78"/>
      <c r="GV251" s="78"/>
      <c r="GW251" s="78"/>
      <c r="GX251" s="78"/>
      <c r="GY251" s="78"/>
      <c r="GZ251" s="78"/>
      <c r="HA251" s="78"/>
      <c r="HB251" s="78"/>
      <c r="HC251" s="78"/>
      <c r="HD251" s="78"/>
      <c r="HE251" s="78"/>
      <c r="HF251" s="78"/>
      <c r="HG251" s="78"/>
      <c r="HH251" s="78"/>
      <c r="HI251" s="78"/>
      <c r="HJ251" s="78"/>
      <c r="HK251" s="78"/>
    </row>
    <row r="252" spans="1:219" ht="15" customHeight="1">
      <c r="A252" s="99">
        <v>8</v>
      </c>
      <c r="B252" s="176" t="str">
        <f>VLOOKUP(Ruimtestaat[[#This Row],[Code]],Locaties[[Code]:[Locatie]],2,FALSE)</f>
        <v>OBS Roombeek</v>
      </c>
      <c r="C252" s="176" t="str">
        <f>VLOOKUP(Ruimtestaat[[#This Row],[Code]],Locaties[[#All],[Code]:[Adres]],4,FALSE)</f>
        <v>Bosuilstraat 3</v>
      </c>
      <c r="D252" s="176" t="str">
        <f>VLOOKUP(Ruimtestaat[[#This Row],[Code]],Locaties[[#All],[Code]:[Postcode]],5,FALSE)</f>
        <v>7523 BJ</v>
      </c>
      <c r="E252" s="176" t="str">
        <f>VLOOKUP(Ruimtestaat[[#This Row],[Code]],Locaties[#All],6,FALSE)</f>
        <v>Enschede</v>
      </c>
      <c r="F252" s="149"/>
      <c r="G252" s="149" t="s">
        <v>1646</v>
      </c>
      <c r="H252" s="99" t="s">
        <v>1887</v>
      </c>
      <c r="I252" s="183" t="s">
        <v>1688</v>
      </c>
      <c r="J252" s="99">
        <v>16</v>
      </c>
      <c r="K252" s="183" t="str">
        <f>VLOOKUP(Ruimtestaat[[#This Row],[Ruimte code]],Ruimtegroepen[[#All],[Code]:[Ruimte omschrijving]],2,FALSE)</f>
        <v>Leslokalen</v>
      </c>
      <c r="L252" s="149" t="s">
        <v>100</v>
      </c>
      <c r="M252" s="301" t="s">
        <v>1697</v>
      </c>
      <c r="N252" s="177">
        <v>58</v>
      </c>
      <c r="O252" s="177"/>
      <c r="P252" s="178" t="str">
        <f>VLOOKUP(Ruimtestaat[[#This Row],[Ruimte code]],Ruimtegroepen[],4,FALSE)</f>
        <v>Le</v>
      </c>
      <c r="Q252" s="149">
        <v>42</v>
      </c>
      <c r="R252" s="149" t="s">
        <v>2</v>
      </c>
      <c r="S252" s="149">
        <f>IF(Q252&gt;0,IF(RIGHT(Ruimtestaat[[#This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52" s="149">
        <f>IF(S252&gt;0,VLOOKUP($J252,Ruimtegroepen[],3,FALSE)*VLOOKUP($L252,Vloersoorten[],3,FALSE)*VLOOKUP($R252,Frequenties[],3,FALSE)*VLOOKUP($A252,Locaties[],3,FALSE),0)</f>
        <v>0</v>
      </c>
      <c r="U252" s="149">
        <f>Ruimtestaat[[#This Row],[Uitvoeringen werkdagen]]*Ruimtestaat[[#This Row],[Oppervlak (netto)]]</f>
        <v>12180</v>
      </c>
      <c r="V252" s="179">
        <f>IF(T252&gt;0,Ruimtestaat[[#This Row],[Prest. (m2 /jaar) werkdagen]]/Ruimtestaat[[#This Row],[Norm (m2/uur) werkdagen]],0)</f>
        <v>0</v>
      </c>
      <c r="W252" s="180">
        <f>Ruimtestaat[[#This Row],[uren / jaar werkdagen]]*Tariefsopbouw!$E$35</f>
        <v>0</v>
      </c>
      <c r="X252" s="149"/>
      <c r="Y252" s="149">
        <f>IF(Ruimtestaat[[#This Row],[Frequentie weekend]]&gt;0,VALUE(LEFT(X252,1))*Q252,0)</f>
        <v>0</v>
      </c>
      <c r="Z252" s="148">
        <f>IF($Y252&gt;0,VLOOKUP($J252,Ruimtegroepen[],3,FALSE)*VLOOKUP($L252,Vloersoorten[],3,FALSE)*VLOOKUP($X252,Frequenties[],3,FALSE)*VLOOKUP(#REF!,Locaties[],3,FALSE),0)</f>
        <v>0</v>
      </c>
      <c r="AA252" s="148">
        <f>Ruimtestaat[[#This Row],[Uitvoeringen weekend]]*Ruimtestaat[[#This Row],[Oppervlak (netto)]]</f>
        <v>0</v>
      </c>
      <c r="AB252" s="148">
        <f>IF(Z252&gt;0,Ruimtestaat[[#This Row],[Prest. (m2 /jaar) weekend]]/Ruimtestaat[[#This Row],[Norm (m2/uur) weekend]],0)</f>
        <v>0</v>
      </c>
      <c r="AC252" s="180">
        <f>Ruimtestaat[[#This Row],[uren / jaar weekend]]*Tariefsopbouw!$D$40</f>
        <v>0</v>
      </c>
      <c r="AD252" s="179">
        <f>Ruimtestaat[[#This Row],[Prest. (m2 /jaar) weekend]]+Ruimtestaat[[#This Row],[Prest. (m2 /jaar) werkdagen]]</f>
        <v>12180</v>
      </c>
      <c r="AE252" s="179">
        <f>Ruimtestaat[[#This Row],[uren / jaar weekend]]+Ruimtestaat[[#This Row],[uren / jaar werkdagen]]</f>
        <v>0</v>
      </c>
      <c r="AF252" s="174">
        <f>Ruimtestaat[[#This Row],[kosten / jaar weekend]]+Ruimtestaat[[#This Row],[kosten / jaar werkdagen]]</f>
        <v>0</v>
      </c>
      <c r="AG252" s="174"/>
      <c r="AH252" s="174" t="str">
        <f>IF(Ruimtestaat[[#This Row],[Frequentie werkdagen]]="","",_xlfn.CONCAT(Ruimtestaat[[#This Row],[Ruimte code]],"-",Ruimtestaat[[#This Row],[Frequentie werkdagen]]," ",Ruimtestaat[[#This Row],[Vloer code]]))</f>
        <v>16-5w L</v>
      </c>
      <c r="AI252" s="185" t="str">
        <f>_xlfn.IFNA(VLOOKUP($AH252,Programma!$F$3:$G$1101,2,0),"")</f>
        <v>_</v>
      </c>
      <c r="AJ252" s="185" t="str">
        <f>_xlfn.IFNA(VLOOKUP($AH252,Programma!$F$3:$H$1101,3,0),"")</f>
        <v>_</v>
      </c>
      <c r="AK252" s="185" t="str">
        <f>_xlfn.IFNA(VLOOKUP($AH252,Programma!$F$3:$I$1101,4,0),"")</f>
        <v>4w</v>
      </c>
      <c r="AL252" s="185" t="str">
        <f>_xlfn.IFNA(VLOOKUP($AH252,Programma!$F$3:$J$1101,5,0),"")</f>
        <v>1w</v>
      </c>
      <c r="AM252" s="185" t="str">
        <f>_xlfn.IFNA(VLOOKUP($AH252,Programma!$F$3:$K$1101,6,0),"")</f>
        <v>_</v>
      </c>
      <c r="AN252" s="185" t="str">
        <f>_xlfn.IFNA(VLOOKUP($AH252,Programma!$F$3:$L$1101,7,0),"")</f>
        <v>_</v>
      </c>
      <c r="AO252" s="185" t="str">
        <f>_xlfn.IFNA(VLOOKUP($AH252,Programma!$F$3:$M$1101,8,0),"")</f>
        <v>_</v>
      </c>
      <c r="AP252" s="185" t="str">
        <f>_xlfn.IFNA(VLOOKUP($AH252,Programma!$F$3:$N$1101,9,0),"")</f>
        <v>_</v>
      </c>
      <c r="AQ252" s="185" t="str">
        <f>_xlfn.IFNA(VLOOKUP($AH252,Programma!$F$3:$O$1101,10,0),"")</f>
        <v>5w</v>
      </c>
      <c r="AR252" s="185" t="str">
        <f>_xlfn.IFNA(VLOOKUP($AH252,Programma!$F$3:$P$1101,11,0),"")</f>
        <v>5w</v>
      </c>
      <c r="AS252" s="185" t="str">
        <f>_xlfn.IFNA(VLOOKUP($AH252,Programma!$F$3:$Q$1101,12,0),"")</f>
        <v>1w</v>
      </c>
      <c r="AT252" s="185" t="str">
        <f>_xlfn.IFNA(VLOOKUP($AH252,Programma!$F$3:$R$1101,13,0),"")</f>
        <v>1w</v>
      </c>
      <c r="AU252" s="185" t="str">
        <f>_xlfn.IFNA(VLOOKUP($AH252,Programma!$F$3:$S$1101,14,0),"")</f>
        <v>1m</v>
      </c>
      <c r="AV252" s="185" t="str">
        <f>_xlfn.IFNA(VLOOKUP($AH252,Programma!$F$3:$T$1101,15,0),"")</f>
        <v>2j</v>
      </c>
      <c r="AW252" s="185" t="str">
        <f>_xlfn.IFNA(VLOOKUP($AH252,Programma!$F$3:$U$1101,16,0),"")</f>
        <v>1j</v>
      </c>
      <c r="AX252" s="185" t="str">
        <f>_xlfn.IFNA(VLOOKUP($AH252,Programma!$F$3:$V$1101,17,0),"")</f>
        <v>_</v>
      </c>
      <c r="AY252" s="185" t="str">
        <f>_xlfn.IFNA(VLOOKUP($AH252,Programma!$F$3:$W$1101,18,0),"")</f>
        <v>_</v>
      </c>
      <c r="AZ252" s="185" t="str">
        <f>_xlfn.IFNA(VLOOKUP($AH252,Programma!$F$3:$X$1101,19,0),"")</f>
        <v>_</v>
      </c>
      <c r="BA252" s="185" t="str">
        <f>_xlfn.IFNA(VLOOKUP($AH252,Programma!$F$3:$Y$1101,20,0),"")</f>
        <v>_</v>
      </c>
      <c r="BB252" s="182"/>
      <c r="BC252" s="174" t="str">
        <f>IF(Ruimtestaat[[#This Row],[Frequentie weekend]]="","",_xlfn.CONCAT(Ruimtestaat[[#This Row],[Ruimte code]],"-",Ruimtestaat[[#This Row],[Frequentie weekend]]," ",Ruimtestaat[[#This Row],[Vloer code]]))</f>
        <v/>
      </c>
      <c r="BD252" s="185" t="str">
        <f>_xlfn.IFNA(VLOOKUP($BC252,Programma!$F$3:$G$1101,2,0),"")</f>
        <v/>
      </c>
      <c r="BE252" s="185" t="str">
        <f>_xlfn.IFNA(VLOOKUP($BC252,Programma!$F$3:$H$1101,3,0),"")</f>
        <v/>
      </c>
      <c r="BF252" s="185" t="str">
        <f>_xlfn.IFNA(VLOOKUP($BC252,Programma!$F$3:$I$1101,4,0),"")</f>
        <v/>
      </c>
      <c r="BG252" s="185" t="str">
        <f>_xlfn.IFNA(VLOOKUP($BC252,Programma!$F$3:$J$1101,5,0),"")</f>
        <v/>
      </c>
      <c r="BH252" s="185" t="str">
        <f>_xlfn.IFNA(VLOOKUP($BC252,Programma!$F$3:$K$1101,6,0),"")</f>
        <v/>
      </c>
      <c r="BI252" s="185" t="str">
        <f>_xlfn.IFNA(VLOOKUP($BC252,Programma!$F$3:$L$1101,7,0),"")</f>
        <v/>
      </c>
      <c r="BJ252" s="185" t="str">
        <f>_xlfn.IFNA(VLOOKUP($BC252,Programma!$F$3:$M$1101,8,0),"")</f>
        <v/>
      </c>
      <c r="BK252" s="185" t="str">
        <f>_xlfn.IFNA(VLOOKUP($BC252,Programma!$F$3:$N$1101,9,0),"")</f>
        <v/>
      </c>
      <c r="BL252" s="185" t="str">
        <f>_xlfn.IFNA(VLOOKUP($BC252,Programma!$F$3:$O$1101,10,0),"")</f>
        <v/>
      </c>
      <c r="BM252" s="185" t="str">
        <f>_xlfn.IFNA(VLOOKUP($BC252,Programma!$F$3:$P$1101,11,0),"")</f>
        <v/>
      </c>
      <c r="BN252" s="185" t="str">
        <f>_xlfn.IFNA(VLOOKUP($BC252,Programma!$F$3:$Q$1101,12,0),"")</f>
        <v/>
      </c>
      <c r="BO252" s="185" t="str">
        <f>_xlfn.IFNA(VLOOKUP($BC252,Programma!$F$3:$R$1101,13,0),"")</f>
        <v/>
      </c>
      <c r="BP252" s="185" t="str">
        <f>_xlfn.IFNA(VLOOKUP($BC252,Programma!$F$3:$S$1101,14,0),"")</f>
        <v/>
      </c>
      <c r="BQ252" s="185" t="str">
        <f>_xlfn.IFNA(VLOOKUP($BC252,Programma!$F$3:$T$1101,15,0),"")</f>
        <v/>
      </c>
      <c r="BR252" s="185" t="str">
        <f>_xlfn.IFNA(VLOOKUP($BC252,Programma!$F$3:$U$1101,16,0),"")</f>
        <v/>
      </c>
      <c r="BS252" s="185" t="str">
        <f>_xlfn.IFNA(VLOOKUP($BC252,Programma!$F$3:$V$1101,17,0),"")</f>
        <v/>
      </c>
      <c r="BT252" s="185" t="str">
        <f>_xlfn.IFNA(VLOOKUP($BC252,Programma!$F$3:$W$1101,18,0),"")</f>
        <v/>
      </c>
      <c r="BU252" s="185" t="str">
        <f>_xlfn.IFNA(VLOOKUP($BC252,Programma!$F$3:$X$1101,19,0),"")</f>
        <v/>
      </c>
      <c r="BV252" s="185" t="str">
        <f>_xlfn.IFNA(VLOOKUP($BC252,Programma!$F$3:$Y$1101,20,0),"")</f>
        <v/>
      </c>
      <c r="BW252" s="78"/>
      <c r="BX252" s="78"/>
      <c r="BY252" s="78"/>
      <c r="BZ252" s="78"/>
      <c r="CA252" s="78"/>
      <c r="CB252" s="78"/>
      <c r="CC252" s="78"/>
      <c r="CD252" s="78"/>
      <c r="CE252" s="78"/>
      <c r="CF252" s="78"/>
      <c r="CG252" s="78"/>
      <c r="CH252" s="78"/>
      <c r="CI252" s="78"/>
      <c r="CJ252" s="78"/>
      <c r="CK252" s="78"/>
      <c r="CL252" s="78"/>
      <c r="CM252" s="78"/>
      <c r="CN252" s="78"/>
      <c r="CO252" s="78"/>
      <c r="CP252" s="78"/>
      <c r="CQ252" s="78"/>
      <c r="CR252" s="78"/>
      <c r="CS252" s="78"/>
      <c r="CT252" s="78"/>
      <c r="CU252" s="78"/>
      <c r="CV252" s="78"/>
      <c r="CW252" s="78"/>
      <c r="CX252" s="78"/>
      <c r="CY252" s="78"/>
      <c r="CZ252" s="78"/>
      <c r="DA252" s="78"/>
      <c r="DB252" s="78"/>
      <c r="DC252" s="78"/>
      <c r="DD252" s="78"/>
      <c r="DE252" s="78"/>
      <c r="DF252" s="78"/>
      <c r="DG252" s="78"/>
      <c r="DH252" s="78"/>
      <c r="DI252" s="78"/>
      <c r="DJ252" s="78"/>
      <c r="DK252" s="78"/>
      <c r="DL252" s="78"/>
      <c r="DM252" s="78"/>
      <c r="DN252" s="78"/>
      <c r="DO252" s="78"/>
      <c r="DP252" s="78"/>
      <c r="DQ252" s="78"/>
      <c r="DR252" s="78"/>
      <c r="DS252" s="78"/>
      <c r="DT252" s="78"/>
      <c r="DU252" s="78"/>
      <c r="DV252" s="78"/>
      <c r="DW252" s="78"/>
      <c r="DX252" s="78"/>
      <c r="DY252" s="78"/>
      <c r="DZ252" s="78"/>
      <c r="EA252" s="78"/>
      <c r="EB252" s="78"/>
      <c r="EC252" s="78"/>
      <c r="ED252" s="78"/>
      <c r="EE252" s="78"/>
      <c r="EF252" s="78"/>
      <c r="EG252" s="78"/>
      <c r="EH252" s="78"/>
      <c r="EI252" s="78"/>
      <c r="EJ252" s="78"/>
      <c r="EK252" s="78"/>
      <c r="EL252" s="78"/>
      <c r="EM252" s="78"/>
      <c r="EN252" s="78"/>
      <c r="EO252" s="78"/>
      <c r="EP252" s="78"/>
      <c r="EQ252" s="78"/>
      <c r="ER252" s="78"/>
      <c r="ES252" s="78"/>
      <c r="ET252" s="78"/>
      <c r="EU252" s="78"/>
      <c r="EV252" s="78"/>
      <c r="EW252" s="78"/>
      <c r="EX252" s="78"/>
      <c r="EY252" s="78"/>
      <c r="EZ252" s="78"/>
      <c r="FA252" s="78"/>
      <c r="FB252" s="78"/>
      <c r="FC252" s="78"/>
      <c r="FD252" s="78"/>
      <c r="FE252" s="78"/>
      <c r="FF252" s="78"/>
      <c r="FG252" s="78"/>
      <c r="FH252" s="78"/>
      <c r="FI252" s="78"/>
      <c r="FJ252" s="78"/>
      <c r="FK252" s="78"/>
      <c r="FL252" s="78"/>
      <c r="FM252" s="78"/>
      <c r="FN252" s="78"/>
      <c r="FO252" s="78"/>
      <c r="FP252" s="78"/>
      <c r="FQ252" s="78"/>
      <c r="FR252" s="78"/>
      <c r="FS252" s="78"/>
      <c r="FT252" s="78"/>
      <c r="FU252" s="78"/>
      <c r="FV252" s="78"/>
      <c r="FW252" s="78"/>
      <c r="FX252" s="78"/>
      <c r="FY252" s="78"/>
      <c r="FZ252" s="78"/>
      <c r="GA252" s="78"/>
      <c r="GB252" s="78"/>
      <c r="GC252" s="78"/>
      <c r="GD252" s="78"/>
      <c r="GE252" s="78"/>
      <c r="GF252" s="78"/>
      <c r="GG252" s="78"/>
      <c r="GH252" s="78"/>
      <c r="GI252" s="78"/>
      <c r="GJ252" s="78"/>
      <c r="GK252" s="78"/>
      <c r="GL252" s="78"/>
      <c r="GM252" s="78"/>
      <c r="GN252" s="78"/>
      <c r="GO252" s="78"/>
      <c r="GP252" s="78"/>
      <c r="GQ252" s="78"/>
      <c r="GR252" s="78"/>
      <c r="GS252" s="78"/>
      <c r="GT252" s="78"/>
      <c r="GU252" s="78"/>
      <c r="GV252" s="78"/>
      <c r="GW252" s="78"/>
      <c r="GX252" s="78"/>
      <c r="GY252" s="78"/>
      <c r="GZ252" s="78"/>
      <c r="HA252" s="78"/>
      <c r="HB252" s="78"/>
      <c r="HC252" s="78"/>
      <c r="HD252" s="78"/>
      <c r="HE252" s="78"/>
      <c r="HF252" s="78"/>
      <c r="HG252" s="78"/>
      <c r="HH252" s="78"/>
      <c r="HI252" s="78"/>
      <c r="HJ252" s="78"/>
      <c r="HK252" s="78"/>
    </row>
    <row r="253" spans="1:219" ht="15" customHeight="1">
      <c r="A253" s="99">
        <v>8</v>
      </c>
      <c r="B253" s="176" t="str">
        <f>VLOOKUP(Ruimtestaat[[#This Row],[Code]],Locaties[[Code]:[Locatie]],2,FALSE)</f>
        <v>OBS Roombeek</v>
      </c>
      <c r="C253" s="176" t="str">
        <f>VLOOKUP(Ruimtestaat[[#This Row],[Code]],Locaties[[#All],[Code]:[Adres]],4,FALSE)</f>
        <v>Bosuilstraat 3</v>
      </c>
      <c r="D253" s="176" t="str">
        <f>VLOOKUP(Ruimtestaat[[#This Row],[Code]],Locaties[[#All],[Code]:[Postcode]],5,FALSE)</f>
        <v>7523 BJ</v>
      </c>
      <c r="E253" s="176" t="str">
        <f>VLOOKUP(Ruimtestaat[[#This Row],[Code]],Locaties[#All],6,FALSE)</f>
        <v>Enschede</v>
      </c>
      <c r="F253" s="149"/>
      <c r="G253" s="149" t="s">
        <v>1646</v>
      </c>
      <c r="H253" s="99" t="s">
        <v>1888</v>
      </c>
      <c r="I253" s="183" t="s">
        <v>1684</v>
      </c>
      <c r="J253" s="99">
        <v>5</v>
      </c>
      <c r="K253" s="183" t="str">
        <f>VLOOKUP(Ruimtestaat[[#This Row],[Ruimte code]],Ruimtegroepen[[#All],[Code]:[Ruimte omschrijving]],2,FALSE)</f>
        <v>Sanitair</v>
      </c>
      <c r="L253" s="149" t="s">
        <v>101</v>
      </c>
      <c r="M253" s="301" t="s">
        <v>119</v>
      </c>
      <c r="N253" s="177">
        <v>5</v>
      </c>
      <c r="O253" s="177"/>
      <c r="P253" s="178" t="str">
        <f>VLOOKUP(Ruimtestaat[[#This Row],[Ruimte code]],Ruimtegroepen[],4,FALSE)</f>
        <v>Sa</v>
      </c>
      <c r="Q253" s="149">
        <v>42</v>
      </c>
      <c r="R253" s="149" t="s">
        <v>2</v>
      </c>
      <c r="S253" s="149">
        <f>IF(Q253&gt;0,IF(RIGHT(Ruimtestaat[[#This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53" s="149">
        <f>IF(S253&gt;0,VLOOKUP($J253,Ruimtegroepen[],3,FALSE)*VLOOKUP($L253,Vloersoorten[],3,FALSE)*VLOOKUP($R253,Frequenties[],3,FALSE)*VLOOKUP($A253,Locaties[],3,FALSE),0)</f>
        <v>0</v>
      </c>
      <c r="U253" s="149">
        <f>Ruimtestaat[[#This Row],[Uitvoeringen werkdagen]]*Ruimtestaat[[#This Row],[Oppervlak (netto)]]</f>
        <v>1050</v>
      </c>
      <c r="V253" s="179">
        <f>IF(T253&gt;0,Ruimtestaat[[#This Row],[Prest. (m2 /jaar) werkdagen]]/Ruimtestaat[[#This Row],[Norm (m2/uur) werkdagen]],0)</f>
        <v>0</v>
      </c>
      <c r="W253" s="180">
        <f>Ruimtestaat[[#This Row],[uren / jaar werkdagen]]*Tariefsopbouw!$E$35</f>
        <v>0</v>
      </c>
      <c r="X253" s="149"/>
      <c r="Y253" s="149">
        <f>IF(Ruimtestaat[[#This Row],[Frequentie weekend]]&gt;0,VALUE(LEFT(X253,1))*Q253,0)</f>
        <v>0</v>
      </c>
      <c r="Z253" s="148">
        <f>IF($Y253&gt;0,VLOOKUP($J253,Ruimtegroepen[],3,FALSE)*VLOOKUP($L253,Vloersoorten[],3,FALSE)*VLOOKUP($X253,Frequenties[],3,FALSE)*VLOOKUP(#REF!,Locaties[],3,FALSE),0)</f>
        <v>0</v>
      </c>
      <c r="AA253" s="148">
        <f>Ruimtestaat[[#This Row],[Uitvoeringen weekend]]*Ruimtestaat[[#This Row],[Oppervlak (netto)]]</f>
        <v>0</v>
      </c>
      <c r="AB253" s="148">
        <f>IF(Z253&gt;0,Ruimtestaat[[#This Row],[Prest. (m2 /jaar) weekend]]/Ruimtestaat[[#This Row],[Norm (m2/uur) weekend]],0)</f>
        <v>0</v>
      </c>
      <c r="AC253" s="180">
        <f>Ruimtestaat[[#This Row],[uren / jaar weekend]]*Tariefsopbouw!$D$40</f>
        <v>0</v>
      </c>
      <c r="AD253" s="179">
        <f>Ruimtestaat[[#This Row],[Prest. (m2 /jaar) weekend]]+Ruimtestaat[[#This Row],[Prest. (m2 /jaar) werkdagen]]</f>
        <v>1050</v>
      </c>
      <c r="AE253" s="179">
        <f>Ruimtestaat[[#This Row],[uren / jaar weekend]]+Ruimtestaat[[#This Row],[uren / jaar werkdagen]]</f>
        <v>0</v>
      </c>
      <c r="AF253" s="174">
        <f>Ruimtestaat[[#This Row],[kosten / jaar weekend]]+Ruimtestaat[[#This Row],[kosten / jaar werkdagen]]</f>
        <v>0</v>
      </c>
      <c r="AG253" s="174"/>
      <c r="AH253" s="174" t="str">
        <f>IF(Ruimtestaat[[#This Row],[Frequentie werkdagen]]="","",_xlfn.CONCAT(Ruimtestaat[[#This Row],[Ruimte code]],"-",Ruimtestaat[[#This Row],[Frequentie werkdagen]]," ",Ruimtestaat[[#This Row],[Vloer code]]))</f>
        <v>5-5w S</v>
      </c>
      <c r="AI253" s="185" t="str">
        <f>_xlfn.IFNA(VLOOKUP($AH253,Programma!$F$3:$G$1101,2,0),"")</f>
        <v>_</v>
      </c>
      <c r="AJ253" s="185" t="str">
        <f>_xlfn.IFNA(VLOOKUP($AH253,Programma!$F$3:$H$1101,3,0),"")</f>
        <v>_</v>
      </c>
      <c r="AK253" s="185" t="str">
        <f>_xlfn.IFNA(VLOOKUP($AH253,Programma!$F$3:$I$1101,4,0),"")</f>
        <v>_</v>
      </c>
      <c r="AL253" s="185" t="str">
        <f>_xlfn.IFNA(VLOOKUP($AH253,Programma!$F$3:$J$1101,5,0),"")</f>
        <v>4w</v>
      </c>
      <c r="AM253" s="185" t="str">
        <f>_xlfn.IFNA(VLOOKUP($AH253,Programma!$F$3:$K$1101,6,0),"")</f>
        <v>1w</v>
      </c>
      <c r="AN253" s="185" t="str">
        <f>_xlfn.IFNA(VLOOKUP($AH253,Programma!$F$3:$L$1101,7,0),"")</f>
        <v>_</v>
      </c>
      <c r="AO253" s="185" t="str">
        <f>_xlfn.IFNA(VLOOKUP($AH253,Programma!$F$3:$M$1101,8,0),"")</f>
        <v>_</v>
      </c>
      <c r="AP253" s="185" t="str">
        <f>_xlfn.IFNA(VLOOKUP($AH253,Programma!$F$3:$N$1101,9,0),"")</f>
        <v>_</v>
      </c>
      <c r="AQ253" s="185" t="str">
        <f>_xlfn.IFNA(VLOOKUP($AH253,Programma!$F$3:$O$1101,10,0),"")</f>
        <v>_</v>
      </c>
      <c r="AR253" s="185" t="str">
        <f>_xlfn.IFNA(VLOOKUP($AH253,Programma!$F$3:$P$1101,11,0),"")</f>
        <v>_</v>
      </c>
      <c r="AS253" s="185" t="str">
        <f>_xlfn.IFNA(VLOOKUP($AH253,Programma!$F$3:$Q$1101,12,0),"")</f>
        <v>_</v>
      </c>
      <c r="AT253" s="185" t="str">
        <f>_xlfn.IFNA(VLOOKUP($AH253,Programma!$F$3:$R$1101,13,0),"")</f>
        <v>_</v>
      </c>
      <c r="AU253" s="185" t="str">
        <f>_xlfn.IFNA(VLOOKUP($AH253,Programma!$F$3:$S$1101,14,0),"")</f>
        <v>_</v>
      </c>
      <c r="AV253" s="185" t="str">
        <f>_xlfn.IFNA(VLOOKUP($AH253,Programma!$F$3:$T$1101,15,0),"")</f>
        <v>_</v>
      </c>
      <c r="AW253" s="185" t="str">
        <f>_xlfn.IFNA(VLOOKUP($AH253,Programma!$F$3:$U$1101,16,0),"")</f>
        <v>_</v>
      </c>
      <c r="AX253" s="185" t="str">
        <f>_xlfn.IFNA(VLOOKUP($AH253,Programma!$F$3:$V$1101,17,0),"")</f>
        <v>_</v>
      </c>
      <c r="AY253" s="185" t="str">
        <f>_xlfn.IFNA(VLOOKUP($AH253,Programma!$F$3:$W$1101,18,0),"")</f>
        <v>4w</v>
      </c>
      <c r="AZ253" s="185" t="str">
        <f>_xlfn.IFNA(VLOOKUP($AH253,Programma!$F$3:$X$1101,19,0),"")</f>
        <v>1w</v>
      </c>
      <c r="BA253" s="185" t="str">
        <f>_xlfn.IFNA(VLOOKUP($AH253,Programma!$F$3:$Y$1101,20,0),"")</f>
        <v>_</v>
      </c>
      <c r="BB253" s="182"/>
      <c r="BC253" s="174" t="str">
        <f>IF(Ruimtestaat[[#This Row],[Frequentie weekend]]="","",_xlfn.CONCAT(Ruimtestaat[[#This Row],[Ruimte code]],"-",Ruimtestaat[[#This Row],[Frequentie weekend]]," ",Ruimtestaat[[#This Row],[Vloer code]]))</f>
        <v/>
      </c>
      <c r="BD253" s="185" t="str">
        <f>_xlfn.IFNA(VLOOKUP($BC253,Programma!$F$3:$G$1101,2,0),"")</f>
        <v/>
      </c>
      <c r="BE253" s="185" t="str">
        <f>_xlfn.IFNA(VLOOKUP($BC253,Programma!$F$3:$H$1101,3,0),"")</f>
        <v/>
      </c>
      <c r="BF253" s="185" t="str">
        <f>_xlfn.IFNA(VLOOKUP($BC253,Programma!$F$3:$I$1101,4,0),"")</f>
        <v/>
      </c>
      <c r="BG253" s="185" t="str">
        <f>_xlfn.IFNA(VLOOKUP($BC253,Programma!$F$3:$J$1101,5,0),"")</f>
        <v/>
      </c>
      <c r="BH253" s="185" t="str">
        <f>_xlfn.IFNA(VLOOKUP($BC253,Programma!$F$3:$K$1101,6,0),"")</f>
        <v/>
      </c>
      <c r="BI253" s="185" t="str">
        <f>_xlfn.IFNA(VLOOKUP($BC253,Programma!$F$3:$L$1101,7,0),"")</f>
        <v/>
      </c>
      <c r="BJ253" s="185" t="str">
        <f>_xlfn.IFNA(VLOOKUP($BC253,Programma!$F$3:$M$1101,8,0),"")</f>
        <v/>
      </c>
      <c r="BK253" s="185" t="str">
        <f>_xlfn.IFNA(VLOOKUP($BC253,Programma!$F$3:$N$1101,9,0),"")</f>
        <v/>
      </c>
      <c r="BL253" s="185" t="str">
        <f>_xlfn.IFNA(VLOOKUP($BC253,Programma!$F$3:$O$1101,10,0),"")</f>
        <v/>
      </c>
      <c r="BM253" s="185" t="str">
        <f>_xlfn.IFNA(VLOOKUP($BC253,Programma!$F$3:$P$1101,11,0),"")</f>
        <v/>
      </c>
      <c r="BN253" s="185" t="str">
        <f>_xlfn.IFNA(VLOOKUP($BC253,Programma!$F$3:$Q$1101,12,0),"")</f>
        <v/>
      </c>
      <c r="BO253" s="185" t="str">
        <f>_xlfn.IFNA(VLOOKUP($BC253,Programma!$F$3:$R$1101,13,0),"")</f>
        <v/>
      </c>
      <c r="BP253" s="185" t="str">
        <f>_xlfn.IFNA(VLOOKUP($BC253,Programma!$F$3:$S$1101,14,0),"")</f>
        <v/>
      </c>
      <c r="BQ253" s="185" t="str">
        <f>_xlfn.IFNA(VLOOKUP($BC253,Programma!$F$3:$T$1101,15,0),"")</f>
        <v/>
      </c>
      <c r="BR253" s="185" t="str">
        <f>_xlfn.IFNA(VLOOKUP($BC253,Programma!$F$3:$U$1101,16,0),"")</f>
        <v/>
      </c>
      <c r="BS253" s="185" t="str">
        <f>_xlfn.IFNA(VLOOKUP($BC253,Programma!$F$3:$V$1101,17,0),"")</f>
        <v/>
      </c>
      <c r="BT253" s="185" t="str">
        <f>_xlfn.IFNA(VLOOKUP($BC253,Programma!$F$3:$W$1101,18,0),"")</f>
        <v/>
      </c>
      <c r="BU253" s="185" t="str">
        <f>_xlfn.IFNA(VLOOKUP($BC253,Programma!$F$3:$X$1101,19,0),"")</f>
        <v/>
      </c>
      <c r="BV253" s="185" t="str">
        <f>_xlfn.IFNA(VLOOKUP($BC253,Programma!$F$3:$Y$1101,20,0),"")</f>
        <v/>
      </c>
      <c r="BW253" s="78"/>
      <c r="BX253" s="78"/>
      <c r="BY253" s="78"/>
      <c r="BZ253" s="78"/>
      <c r="CA253" s="78"/>
      <c r="CB253" s="78"/>
      <c r="CC253" s="78"/>
      <c r="CD253" s="78"/>
      <c r="CE253" s="78"/>
      <c r="CF253" s="78"/>
      <c r="CG253" s="78"/>
      <c r="CH253" s="78"/>
      <c r="CI253" s="78"/>
      <c r="CJ253" s="78"/>
      <c r="CK253" s="78"/>
      <c r="CL253" s="78"/>
      <c r="CM253" s="78"/>
      <c r="CN253" s="78"/>
      <c r="CO253" s="78"/>
      <c r="CP253" s="78"/>
      <c r="CQ253" s="78"/>
      <c r="CR253" s="78"/>
      <c r="CS253" s="78"/>
      <c r="CT253" s="78"/>
      <c r="CU253" s="78"/>
      <c r="CV253" s="78"/>
      <c r="CW253" s="78"/>
      <c r="CX253" s="78"/>
      <c r="CY253" s="78"/>
      <c r="CZ253" s="78"/>
      <c r="DA253" s="78"/>
      <c r="DB253" s="78"/>
      <c r="DC253" s="78"/>
      <c r="DD253" s="78"/>
      <c r="DE253" s="78"/>
      <c r="DF253" s="78"/>
      <c r="DG253" s="78"/>
      <c r="DH253" s="78"/>
      <c r="DI253" s="78"/>
      <c r="DJ253" s="78"/>
      <c r="DK253" s="78"/>
      <c r="DL253" s="78"/>
      <c r="DM253" s="78"/>
      <c r="DN253" s="78"/>
      <c r="DO253" s="78"/>
      <c r="DP253" s="78"/>
      <c r="DQ253" s="78"/>
      <c r="DR253" s="78"/>
      <c r="DS253" s="78"/>
      <c r="DT253" s="78"/>
      <c r="DU253" s="78"/>
      <c r="DV253" s="78"/>
      <c r="DW253" s="78"/>
      <c r="DX253" s="78"/>
      <c r="DY253" s="78"/>
      <c r="DZ253" s="78"/>
      <c r="EA253" s="78"/>
      <c r="EB253" s="78"/>
      <c r="EC253" s="78"/>
      <c r="ED253" s="78"/>
      <c r="EE253" s="78"/>
      <c r="EF253" s="78"/>
      <c r="EG253" s="78"/>
      <c r="EH253" s="78"/>
      <c r="EI253" s="78"/>
      <c r="EJ253" s="78"/>
      <c r="EK253" s="78"/>
      <c r="EL253" s="78"/>
      <c r="EM253" s="78"/>
      <c r="EN253" s="78"/>
      <c r="EO253" s="78"/>
      <c r="EP253" s="78"/>
      <c r="EQ253" s="78"/>
      <c r="ER253" s="78"/>
      <c r="ES253" s="78"/>
      <c r="ET253" s="78"/>
      <c r="EU253" s="78"/>
      <c r="EV253" s="78"/>
      <c r="EW253" s="78"/>
      <c r="EX253" s="78"/>
      <c r="EY253" s="78"/>
      <c r="EZ253" s="78"/>
      <c r="FA253" s="78"/>
      <c r="FB253" s="78"/>
      <c r="FC253" s="78"/>
      <c r="FD253" s="78"/>
      <c r="FE253" s="78"/>
      <c r="FF253" s="78"/>
      <c r="FG253" s="78"/>
      <c r="FH253" s="78"/>
      <c r="FI253" s="78"/>
      <c r="FJ253" s="78"/>
      <c r="FK253" s="78"/>
      <c r="FL253" s="78"/>
      <c r="FM253" s="78"/>
      <c r="FN253" s="78"/>
      <c r="FO253" s="78"/>
      <c r="FP253" s="78"/>
      <c r="FQ253" s="78"/>
      <c r="FR253" s="78"/>
      <c r="FS253" s="78"/>
      <c r="FT253" s="78"/>
      <c r="FU253" s="78"/>
      <c r="FV253" s="78"/>
      <c r="FW253" s="78"/>
      <c r="FX253" s="78"/>
      <c r="FY253" s="78"/>
      <c r="FZ253" s="78"/>
      <c r="GA253" s="78"/>
      <c r="GB253" s="78"/>
      <c r="GC253" s="78"/>
      <c r="GD253" s="78"/>
      <c r="GE253" s="78"/>
      <c r="GF253" s="78"/>
      <c r="GG253" s="78"/>
      <c r="GH253" s="78"/>
      <c r="GI253" s="78"/>
      <c r="GJ253" s="78"/>
      <c r="GK253" s="78"/>
      <c r="GL253" s="78"/>
      <c r="GM253" s="78"/>
      <c r="GN253" s="78"/>
      <c r="GO253" s="78"/>
      <c r="GP253" s="78"/>
      <c r="GQ253" s="78"/>
      <c r="GR253" s="78"/>
      <c r="GS253" s="78"/>
      <c r="GT253" s="78"/>
      <c r="GU253" s="78"/>
      <c r="GV253" s="78"/>
      <c r="GW253" s="78"/>
      <c r="GX253" s="78"/>
      <c r="GY253" s="78"/>
      <c r="GZ253" s="78"/>
      <c r="HA253" s="78"/>
      <c r="HB253" s="78"/>
      <c r="HC253" s="78"/>
      <c r="HD253" s="78"/>
      <c r="HE253" s="78"/>
      <c r="HF253" s="78"/>
      <c r="HG253" s="78"/>
      <c r="HH253" s="78"/>
      <c r="HI253" s="78"/>
      <c r="HJ253" s="78"/>
      <c r="HK253" s="78"/>
    </row>
    <row r="254" spans="1:219" ht="15" customHeight="1">
      <c r="A254" s="99">
        <v>8</v>
      </c>
      <c r="B254" s="176" t="str">
        <f>VLOOKUP(Ruimtestaat[[#This Row],[Code]],Locaties[[Code]:[Locatie]],2,FALSE)</f>
        <v>OBS Roombeek</v>
      </c>
      <c r="C254" s="176" t="str">
        <f>VLOOKUP(Ruimtestaat[[#This Row],[Code]],Locaties[[#All],[Code]:[Adres]],4,FALSE)</f>
        <v>Bosuilstraat 3</v>
      </c>
      <c r="D254" s="176" t="str">
        <f>VLOOKUP(Ruimtestaat[[#This Row],[Code]],Locaties[[#All],[Code]:[Postcode]],5,FALSE)</f>
        <v>7523 BJ</v>
      </c>
      <c r="E254" s="176" t="str">
        <f>VLOOKUP(Ruimtestaat[[#This Row],[Code]],Locaties[#All],6,FALSE)</f>
        <v>Enschede</v>
      </c>
      <c r="F254" s="149"/>
      <c r="G254" s="149" t="s">
        <v>1646</v>
      </c>
      <c r="H254" s="99" t="s">
        <v>1889</v>
      </c>
      <c r="I254" s="183" t="s">
        <v>1683</v>
      </c>
      <c r="J254" s="99">
        <v>20</v>
      </c>
      <c r="K254" s="183" t="str">
        <f>VLOOKUP(Ruimtestaat[[#This Row],[Ruimte code]],Ruimtegroepen[[#All],[Code]:[Ruimte omschrijving]],2,FALSE)</f>
        <v>Niet in Onderhoud</v>
      </c>
      <c r="L254" s="149" t="s">
        <v>100</v>
      </c>
      <c r="M254" s="301" t="s">
        <v>1697</v>
      </c>
      <c r="N254" s="177"/>
      <c r="O254" s="177">
        <v>2</v>
      </c>
      <c r="P254" s="178">
        <f>VLOOKUP(Ruimtestaat[[#This Row],[Ruimte code]],Ruimtegroepen[],4,FALSE)</f>
        <v>0</v>
      </c>
      <c r="Q254" s="149"/>
      <c r="R254" s="149"/>
      <c r="S254" s="149">
        <f>IF(Q254&gt;0,IF(RIGHT(Ruimtestaat[[#This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4" s="149">
        <f>IF(S254&gt;0,VLOOKUP($J254,Ruimtegroepen[],3,FALSE)*VLOOKUP($L254,Vloersoorten[],3,FALSE)*VLOOKUP($R254,Frequenties[],3,FALSE)*VLOOKUP($A254,Locaties[],3,FALSE),0)</f>
        <v>0</v>
      </c>
      <c r="U254" s="149">
        <f>Ruimtestaat[[#This Row],[Uitvoeringen werkdagen]]*Ruimtestaat[[#This Row],[Oppervlak (netto)]]</f>
        <v>0</v>
      </c>
      <c r="V254" s="179">
        <f>IF(T254&gt;0,Ruimtestaat[[#This Row],[Prest. (m2 /jaar) werkdagen]]/Ruimtestaat[[#This Row],[Norm (m2/uur) werkdagen]],0)</f>
        <v>0</v>
      </c>
      <c r="W254" s="180">
        <f>Ruimtestaat[[#This Row],[uren / jaar werkdagen]]*Tariefsopbouw!$E$35</f>
        <v>0</v>
      </c>
      <c r="X254" s="149"/>
      <c r="Y254" s="149">
        <f>IF(Ruimtestaat[[#This Row],[Frequentie weekend]]&gt;0,VALUE(LEFT(X254,1))*Q254,0)</f>
        <v>0</v>
      </c>
      <c r="Z254" s="148">
        <f>IF($Y254&gt;0,VLOOKUP($J254,Ruimtegroepen[],3,FALSE)*VLOOKUP($L254,Vloersoorten[],3,FALSE)*VLOOKUP($X254,Frequenties[],3,FALSE)*VLOOKUP(#REF!,Locaties[],3,FALSE),0)</f>
        <v>0</v>
      </c>
      <c r="AA254" s="148">
        <f>Ruimtestaat[[#This Row],[Uitvoeringen weekend]]*Ruimtestaat[[#This Row],[Oppervlak (netto)]]</f>
        <v>0</v>
      </c>
      <c r="AB254" s="148">
        <f>IF(Z254&gt;0,Ruimtestaat[[#This Row],[Prest. (m2 /jaar) weekend]]/Ruimtestaat[[#This Row],[Norm (m2/uur) weekend]],0)</f>
        <v>0</v>
      </c>
      <c r="AC254" s="180">
        <f>Ruimtestaat[[#This Row],[uren / jaar weekend]]*Tariefsopbouw!$D$40</f>
        <v>0</v>
      </c>
      <c r="AD254" s="179">
        <f>Ruimtestaat[[#This Row],[Prest. (m2 /jaar) weekend]]+Ruimtestaat[[#This Row],[Prest. (m2 /jaar) werkdagen]]</f>
        <v>0</v>
      </c>
      <c r="AE254" s="179">
        <f>Ruimtestaat[[#This Row],[uren / jaar weekend]]+Ruimtestaat[[#This Row],[uren / jaar werkdagen]]</f>
        <v>0</v>
      </c>
      <c r="AF254" s="174">
        <f>Ruimtestaat[[#This Row],[kosten / jaar weekend]]+Ruimtestaat[[#This Row],[kosten / jaar werkdagen]]</f>
        <v>0</v>
      </c>
      <c r="AG254" s="174"/>
      <c r="AH254" s="174" t="str">
        <f>IF(Ruimtestaat[[#This Row],[Frequentie werkdagen]]="","",_xlfn.CONCAT(Ruimtestaat[[#This Row],[Ruimte code]],"-",Ruimtestaat[[#This Row],[Frequentie werkdagen]]," ",Ruimtestaat[[#This Row],[Vloer code]]))</f>
        <v/>
      </c>
      <c r="AI254" s="185" t="str">
        <f>_xlfn.IFNA(VLOOKUP($AH254,Programma!$F$3:$G$1101,2,0),"")</f>
        <v/>
      </c>
      <c r="AJ254" s="185" t="str">
        <f>_xlfn.IFNA(VLOOKUP($AH254,Programma!$F$3:$H$1101,3,0),"")</f>
        <v/>
      </c>
      <c r="AK254" s="185" t="str">
        <f>_xlfn.IFNA(VLOOKUP($AH254,Programma!$F$3:$I$1101,4,0),"")</f>
        <v/>
      </c>
      <c r="AL254" s="185" t="str">
        <f>_xlfn.IFNA(VLOOKUP($AH254,Programma!$F$3:$J$1101,5,0),"")</f>
        <v/>
      </c>
      <c r="AM254" s="185" t="str">
        <f>_xlfn.IFNA(VLOOKUP($AH254,Programma!$F$3:$K$1101,6,0),"")</f>
        <v/>
      </c>
      <c r="AN254" s="185" t="str">
        <f>_xlfn.IFNA(VLOOKUP($AH254,Programma!$F$3:$L$1101,7,0),"")</f>
        <v/>
      </c>
      <c r="AO254" s="185" t="str">
        <f>_xlfn.IFNA(VLOOKUP($AH254,Programma!$F$3:$M$1101,8,0),"")</f>
        <v/>
      </c>
      <c r="AP254" s="185" t="str">
        <f>_xlfn.IFNA(VLOOKUP($AH254,Programma!$F$3:$N$1101,9,0),"")</f>
        <v/>
      </c>
      <c r="AQ254" s="185" t="str">
        <f>_xlfn.IFNA(VLOOKUP($AH254,Programma!$F$3:$O$1101,10,0),"")</f>
        <v/>
      </c>
      <c r="AR254" s="185" t="str">
        <f>_xlfn.IFNA(VLOOKUP($AH254,Programma!$F$3:$P$1101,11,0),"")</f>
        <v/>
      </c>
      <c r="AS254" s="185" t="str">
        <f>_xlfn.IFNA(VLOOKUP($AH254,Programma!$F$3:$Q$1101,12,0),"")</f>
        <v/>
      </c>
      <c r="AT254" s="185" t="str">
        <f>_xlfn.IFNA(VLOOKUP($AH254,Programma!$F$3:$R$1101,13,0),"")</f>
        <v/>
      </c>
      <c r="AU254" s="185" t="str">
        <f>_xlfn.IFNA(VLOOKUP($AH254,Programma!$F$3:$S$1101,14,0),"")</f>
        <v/>
      </c>
      <c r="AV254" s="185" t="str">
        <f>_xlfn.IFNA(VLOOKUP($AH254,Programma!$F$3:$T$1101,15,0),"")</f>
        <v/>
      </c>
      <c r="AW254" s="185" t="str">
        <f>_xlfn.IFNA(VLOOKUP($AH254,Programma!$F$3:$U$1101,16,0),"")</f>
        <v/>
      </c>
      <c r="AX254" s="185" t="str">
        <f>_xlfn.IFNA(VLOOKUP($AH254,Programma!$F$3:$V$1101,17,0),"")</f>
        <v/>
      </c>
      <c r="AY254" s="185" t="str">
        <f>_xlfn.IFNA(VLOOKUP($AH254,Programma!$F$3:$W$1101,18,0),"")</f>
        <v/>
      </c>
      <c r="AZ254" s="185" t="str">
        <f>_xlfn.IFNA(VLOOKUP($AH254,Programma!$F$3:$X$1101,19,0),"")</f>
        <v/>
      </c>
      <c r="BA254" s="185" t="str">
        <f>_xlfn.IFNA(VLOOKUP($AH254,Programma!$F$3:$Y$1101,20,0),"")</f>
        <v/>
      </c>
      <c r="BB254" s="182"/>
      <c r="BC254" s="174" t="str">
        <f>IF(Ruimtestaat[[#This Row],[Frequentie weekend]]="","",_xlfn.CONCAT(Ruimtestaat[[#This Row],[Ruimte code]],"-",Ruimtestaat[[#This Row],[Frequentie weekend]]," ",Ruimtestaat[[#This Row],[Vloer code]]))</f>
        <v/>
      </c>
      <c r="BD254" s="185" t="str">
        <f>_xlfn.IFNA(VLOOKUP($BC254,Programma!$F$3:$G$1101,2,0),"")</f>
        <v/>
      </c>
      <c r="BE254" s="185" t="str">
        <f>_xlfn.IFNA(VLOOKUP($BC254,Programma!$F$3:$H$1101,3,0),"")</f>
        <v/>
      </c>
      <c r="BF254" s="185" t="str">
        <f>_xlfn.IFNA(VLOOKUP($BC254,Programma!$F$3:$I$1101,4,0),"")</f>
        <v/>
      </c>
      <c r="BG254" s="185" t="str">
        <f>_xlfn.IFNA(VLOOKUP($BC254,Programma!$F$3:$J$1101,5,0),"")</f>
        <v/>
      </c>
      <c r="BH254" s="185" t="str">
        <f>_xlfn.IFNA(VLOOKUP($BC254,Programma!$F$3:$K$1101,6,0),"")</f>
        <v/>
      </c>
      <c r="BI254" s="185" t="str">
        <f>_xlfn.IFNA(VLOOKUP($BC254,Programma!$F$3:$L$1101,7,0),"")</f>
        <v/>
      </c>
      <c r="BJ254" s="185" t="str">
        <f>_xlfn.IFNA(VLOOKUP($BC254,Programma!$F$3:$M$1101,8,0),"")</f>
        <v/>
      </c>
      <c r="BK254" s="185" t="str">
        <f>_xlfn.IFNA(VLOOKUP($BC254,Programma!$F$3:$N$1101,9,0),"")</f>
        <v/>
      </c>
      <c r="BL254" s="185" t="str">
        <f>_xlfn.IFNA(VLOOKUP($BC254,Programma!$F$3:$O$1101,10,0),"")</f>
        <v/>
      </c>
      <c r="BM254" s="185" t="str">
        <f>_xlfn.IFNA(VLOOKUP($BC254,Programma!$F$3:$P$1101,11,0),"")</f>
        <v/>
      </c>
      <c r="BN254" s="185" t="str">
        <f>_xlfn.IFNA(VLOOKUP($BC254,Programma!$F$3:$Q$1101,12,0),"")</f>
        <v/>
      </c>
      <c r="BO254" s="185" t="str">
        <f>_xlfn.IFNA(VLOOKUP($BC254,Programma!$F$3:$R$1101,13,0),"")</f>
        <v/>
      </c>
      <c r="BP254" s="185" t="str">
        <f>_xlfn.IFNA(VLOOKUP($BC254,Programma!$F$3:$S$1101,14,0),"")</f>
        <v/>
      </c>
      <c r="BQ254" s="185" t="str">
        <f>_xlfn.IFNA(VLOOKUP($BC254,Programma!$F$3:$T$1101,15,0),"")</f>
        <v/>
      </c>
      <c r="BR254" s="185" t="str">
        <f>_xlfn.IFNA(VLOOKUP($BC254,Programma!$F$3:$U$1101,16,0),"")</f>
        <v/>
      </c>
      <c r="BS254" s="185" t="str">
        <f>_xlfn.IFNA(VLOOKUP($BC254,Programma!$F$3:$V$1101,17,0),"")</f>
        <v/>
      </c>
      <c r="BT254" s="185" t="str">
        <f>_xlfn.IFNA(VLOOKUP($BC254,Programma!$F$3:$W$1101,18,0),"")</f>
        <v/>
      </c>
      <c r="BU254" s="185" t="str">
        <f>_xlfn.IFNA(VLOOKUP($BC254,Programma!$F$3:$X$1101,19,0),"")</f>
        <v/>
      </c>
      <c r="BV254" s="185" t="str">
        <f>_xlfn.IFNA(VLOOKUP($BC254,Programma!$F$3:$Y$1101,20,0),"")</f>
        <v/>
      </c>
      <c r="BW254" s="78"/>
      <c r="BX254" s="78"/>
      <c r="BY254" s="78"/>
      <c r="BZ254" s="78"/>
      <c r="CA254" s="78"/>
      <c r="CB254" s="78"/>
      <c r="CC254" s="78"/>
      <c r="CD254" s="78"/>
      <c r="CE254" s="78"/>
      <c r="CF254" s="78"/>
      <c r="CG254" s="78"/>
      <c r="CH254" s="78"/>
      <c r="CI254" s="78"/>
      <c r="CJ254" s="78"/>
      <c r="CK254" s="78"/>
      <c r="CL254" s="78"/>
      <c r="CM254" s="78"/>
      <c r="CN254" s="78"/>
      <c r="CO254" s="78"/>
      <c r="CP254" s="78"/>
      <c r="CQ254" s="78"/>
      <c r="CR254" s="78"/>
      <c r="CS254" s="78"/>
      <c r="CT254" s="78"/>
      <c r="CU254" s="78"/>
      <c r="CV254" s="78"/>
      <c r="CW254" s="78"/>
      <c r="CX254" s="78"/>
      <c r="CY254" s="78"/>
      <c r="CZ254" s="78"/>
      <c r="DA254" s="78"/>
      <c r="DB254" s="78"/>
      <c r="DC254" s="78"/>
      <c r="DD254" s="78"/>
      <c r="DE254" s="78"/>
      <c r="DF254" s="78"/>
      <c r="DG254" s="78"/>
      <c r="DH254" s="78"/>
      <c r="DI254" s="78"/>
      <c r="DJ254" s="78"/>
      <c r="DK254" s="78"/>
      <c r="DL254" s="78"/>
      <c r="DM254" s="78"/>
      <c r="DN254" s="78"/>
      <c r="DO254" s="78"/>
      <c r="DP254" s="78"/>
      <c r="DQ254" s="78"/>
      <c r="DR254" s="78"/>
      <c r="DS254" s="78"/>
      <c r="DT254" s="78"/>
      <c r="DU254" s="78"/>
      <c r="DV254" s="78"/>
      <c r="DW254" s="78"/>
      <c r="DX254" s="78"/>
      <c r="DY254" s="78"/>
      <c r="DZ254" s="78"/>
      <c r="EA254" s="78"/>
      <c r="EB254" s="78"/>
      <c r="EC254" s="78"/>
      <c r="ED254" s="78"/>
      <c r="EE254" s="78"/>
      <c r="EF254" s="78"/>
      <c r="EG254" s="78"/>
      <c r="EH254" s="78"/>
      <c r="EI254" s="78"/>
      <c r="EJ254" s="78"/>
      <c r="EK254" s="78"/>
      <c r="EL254" s="78"/>
      <c r="EM254" s="78"/>
      <c r="EN254" s="78"/>
      <c r="EO254" s="78"/>
      <c r="EP254" s="78"/>
      <c r="EQ254" s="78"/>
      <c r="ER254" s="78"/>
      <c r="ES254" s="78"/>
      <c r="ET254" s="78"/>
      <c r="EU254" s="78"/>
      <c r="EV254" s="78"/>
      <c r="EW254" s="78"/>
      <c r="EX254" s="78"/>
      <c r="EY254" s="78"/>
      <c r="EZ254" s="78"/>
      <c r="FA254" s="78"/>
      <c r="FB254" s="78"/>
      <c r="FC254" s="78"/>
      <c r="FD254" s="78"/>
      <c r="FE254" s="78"/>
      <c r="FF254" s="78"/>
      <c r="FG254" s="78"/>
      <c r="FH254" s="78"/>
      <c r="FI254" s="78"/>
      <c r="FJ254" s="78"/>
      <c r="FK254" s="78"/>
      <c r="FL254" s="78"/>
      <c r="FM254" s="78"/>
      <c r="FN254" s="78"/>
      <c r="FO254" s="78"/>
      <c r="FP254" s="78"/>
      <c r="FQ254" s="78"/>
      <c r="FR254" s="78"/>
      <c r="FS254" s="78"/>
      <c r="FT254" s="78"/>
      <c r="FU254" s="78"/>
      <c r="FV254" s="78"/>
      <c r="FW254" s="78"/>
      <c r="FX254" s="78"/>
      <c r="FY254" s="78"/>
      <c r="FZ254" s="78"/>
      <c r="GA254" s="78"/>
      <c r="GB254" s="78"/>
      <c r="GC254" s="78"/>
      <c r="GD254" s="78"/>
      <c r="GE254" s="78"/>
      <c r="GF254" s="78"/>
      <c r="GG254" s="78"/>
      <c r="GH254" s="78"/>
      <c r="GI254" s="78"/>
      <c r="GJ254" s="78"/>
      <c r="GK254" s="78"/>
      <c r="GL254" s="78"/>
      <c r="GM254" s="78"/>
      <c r="GN254" s="78"/>
      <c r="GO254" s="78"/>
      <c r="GP254" s="78"/>
      <c r="GQ254" s="78"/>
      <c r="GR254" s="78"/>
      <c r="GS254" s="78"/>
      <c r="GT254" s="78"/>
      <c r="GU254" s="78"/>
      <c r="GV254" s="78"/>
      <c r="GW254" s="78"/>
      <c r="GX254" s="78"/>
      <c r="GY254" s="78"/>
      <c r="GZ254" s="78"/>
      <c r="HA254" s="78"/>
      <c r="HB254" s="78"/>
      <c r="HC254" s="78"/>
      <c r="HD254" s="78"/>
      <c r="HE254" s="78"/>
      <c r="HF254" s="78"/>
      <c r="HG254" s="78"/>
      <c r="HH254" s="78"/>
      <c r="HI254" s="78"/>
      <c r="HJ254" s="78"/>
      <c r="HK254" s="78"/>
    </row>
    <row r="255" spans="1:219" ht="15" customHeight="1">
      <c r="A255" s="99">
        <v>8</v>
      </c>
      <c r="B255" s="176" t="str">
        <f>VLOOKUP(Ruimtestaat[[#This Row],[Code]],Locaties[[Code]:[Locatie]],2,FALSE)</f>
        <v>OBS Roombeek</v>
      </c>
      <c r="C255" s="176" t="str">
        <f>VLOOKUP(Ruimtestaat[[#This Row],[Code]],Locaties[[#All],[Code]:[Adres]],4,FALSE)</f>
        <v>Bosuilstraat 3</v>
      </c>
      <c r="D255" s="176" t="str">
        <f>VLOOKUP(Ruimtestaat[[#This Row],[Code]],Locaties[[#All],[Code]:[Postcode]],5,FALSE)</f>
        <v>7523 BJ</v>
      </c>
      <c r="E255" s="176" t="str">
        <f>VLOOKUP(Ruimtestaat[[#This Row],[Code]],Locaties[#All],6,FALSE)</f>
        <v>Enschede</v>
      </c>
      <c r="F255" s="149"/>
      <c r="G255" s="149" t="s">
        <v>1646</v>
      </c>
      <c r="H255" s="99" t="s">
        <v>1890</v>
      </c>
      <c r="I255" s="183" t="s">
        <v>1684</v>
      </c>
      <c r="J255" s="99">
        <v>5</v>
      </c>
      <c r="K255" s="183" t="str">
        <f>VLOOKUP(Ruimtestaat[[#This Row],[Ruimte code]],Ruimtegroepen[[#All],[Code]:[Ruimte omschrijving]],2,FALSE)</f>
        <v>Sanitair</v>
      </c>
      <c r="L255" s="149" t="s">
        <v>101</v>
      </c>
      <c r="M255" s="301" t="s">
        <v>119</v>
      </c>
      <c r="N255" s="177">
        <v>5</v>
      </c>
      <c r="O255" s="177"/>
      <c r="P255" s="178" t="str">
        <f>VLOOKUP(Ruimtestaat[[#This Row],[Ruimte code]],Ruimtegroepen[],4,FALSE)</f>
        <v>Sa</v>
      </c>
      <c r="Q255" s="149">
        <v>42</v>
      </c>
      <c r="R255" s="149" t="s">
        <v>2</v>
      </c>
      <c r="S255" s="149">
        <f>IF(Q255&gt;0,IF(RIGHT(Ruimtestaat[[#This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55" s="149">
        <f>IF(S255&gt;0,VLOOKUP($J255,Ruimtegroepen[],3,FALSE)*VLOOKUP($L255,Vloersoorten[],3,FALSE)*VLOOKUP($R255,Frequenties[],3,FALSE)*VLOOKUP($A255,Locaties[],3,FALSE),0)</f>
        <v>0</v>
      </c>
      <c r="U255" s="149">
        <f>Ruimtestaat[[#This Row],[Uitvoeringen werkdagen]]*Ruimtestaat[[#This Row],[Oppervlak (netto)]]</f>
        <v>1050</v>
      </c>
      <c r="V255" s="179">
        <f>IF(T255&gt;0,Ruimtestaat[[#This Row],[Prest. (m2 /jaar) werkdagen]]/Ruimtestaat[[#This Row],[Norm (m2/uur) werkdagen]],0)</f>
        <v>0</v>
      </c>
      <c r="W255" s="180">
        <f>Ruimtestaat[[#This Row],[uren / jaar werkdagen]]*Tariefsopbouw!$E$35</f>
        <v>0</v>
      </c>
      <c r="X255" s="149"/>
      <c r="Y255" s="149">
        <f>IF(Ruimtestaat[[#This Row],[Frequentie weekend]]&gt;0,VALUE(LEFT(X255,1))*Q255,0)</f>
        <v>0</v>
      </c>
      <c r="Z255" s="148">
        <f>IF($Y255&gt;0,VLOOKUP($J255,Ruimtegroepen[],3,FALSE)*VLOOKUP($L255,Vloersoorten[],3,FALSE)*VLOOKUP($X255,Frequenties[],3,FALSE)*VLOOKUP(#REF!,Locaties[],3,FALSE),0)</f>
        <v>0</v>
      </c>
      <c r="AA255" s="148">
        <f>Ruimtestaat[[#This Row],[Uitvoeringen weekend]]*Ruimtestaat[[#This Row],[Oppervlak (netto)]]</f>
        <v>0</v>
      </c>
      <c r="AB255" s="148">
        <f>IF(Z255&gt;0,Ruimtestaat[[#This Row],[Prest. (m2 /jaar) weekend]]/Ruimtestaat[[#This Row],[Norm (m2/uur) weekend]],0)</f>
        <v>0</v>
      </c>
      <c r="AC255" s="180">
        <f>Ruimtestaat[[#This Row],[uren / jaar weekend]]*Tariefsopbouw!$D$40</f>
        <v>0</v>
      </c>
      <c r="AD255" s="179">
        <f>Ruimtestaat[[#This Row],[Prest. (m2 /jaar) weekend]]+Ruimtestaat[[#This Row],[Prest. (m2 /jaar) werkdagen]]</f>
        <v>1050</v>
      </c>
      <c r="AE255" s="179">
        <f>Ruimtestaat[[#This Row],[uren / jaar weekend]]+Ruimtestaat[[#This Row],[uren / jaar werkdagen]]</f>
        <v>0</v>
      </c>
      <c r="AF255" s="174">
        <f>Ruimtestaat[[#This Row],[kosten / jaar weekend]]+Ruimtestaat[[#This Row],[kosten / jaar werkdagen]]</f>
        <v>0</v>
      </c>
      <c r="AG255" s="174"/>
      <c r="AH255" s="174" t="str">
        <f>IF(Ruimtestaat[[#This Row],[Frequentie werkdagen]]="","",_xlfn.CONCAT(Ruimtestaat[[#This Row],[Ruimte code]],"-",Ruimtestaat[[#This Row],[Frequentie werkdagen]]," ",Ruimtestaat[[#This Row],[Vloer code]]))</f>
        <v>5-5w S</v>
      </c>
      <c r="AI255" s="185" t="str">
        <f>_xlfn.IFNA(VLOOKUP($AH255,Programma!$F$3:$G$1101,2,0),"")</f>
        <v>_</v>
      </c>
      <c r="AJ255" s="185" t="str">
        <f>_xlfn.IFNA(VLOOKUP($AH255,Programma!$F$3:$H$1101,3,0),"")</f>
        <v>_</v>
      </c>
      <c r="AK255" s="185" t="str">
        <f>_xlfn.IFNA(VLOOKUP($AH255,Programma!$F$3:$I$1101,4,0),"")</f>
        <v>_</v>
      </c>
      <c r="AL255" s="185" t="str">
        <f>_xlfn.IFNA(VLOOKUP($AH255,Programma!$F$3:$J$1101,5,0),"")</f>
        <v>4w</v>
      </c>
      <c r="AM255" s="185" t="str">
        <f>_xlfn.IFNA(VLOOKUP($AH255,Programma!$F$3:$K$1101,6,0),"")</f>
        <v>1w</v>
      </c>
      <c r="AN255" s="185" t="str">
        <f>_xlfn.IFNA(VLOOKUP($AH255,Programma!$F$3:$L$1101,7,0),"")</f>
        <v>_</v>
      </c>
      <c r="AO255" s="185" t="str">
        <f>_xlfn.IFNA(VLOOKUP($AH255,Programma!$F$3:$M$1101,8,0),"")</f>
        <v>_</v>
      </c>
      <c r="AP255" s="185" t="str">
        <f>_xlfn.IFNA(VLOOKUP($AH255,Programma!$F$3:$N$1101,9,0),"")</f>
        <v>_</v>
      </c>
      <c r="AQ255" s="185" t="str">
        <f>_xlfn.IFNA(VLOOKUP($AH255,Programma!$F$3:$O$1101,10,0),"")</f>
        <v>_</v>
      </c>
      <c r="AR255" s="185" t="str">
        <f>_xlfn.IFNA(VLOOKUP($AH255,Programma!$F$3:$P$1101,11,0),"")</f>
        <v>_</v>
      </c>
      <c r="AS255" s="185" t="str">
        <f>_xlfn.IFNA(VLOOKUP($AH255,Programma!$F$3:$Q$1101,12,0),"")</f>
        <v>_</v>
      </c>
      <c r="AT255" s="185" t="str">
        <f>_xlfn.IFNA(VLOOKUP($AH255,Programma!$F$3:$R$1101,13,0),"")</f>
        <v>_</v>
      </c>
      <c r="AU255" s="185" t="str">
        <f>_xlfn.IFNA(VLOOKUP($AH255,Programma!$F$3:$S$1101,14,0),"")</f>
        <v>_</v>
      </c>
      <c r="AV255" s="185" t="str">
        <f>_xlfn.IFNA(VLOOKUP($AH255,Programma!$F$3:$T$1101,15,0),"")</f>
        <v>_</v>
      </c>
      <c r="AW255" s="185" t="str">
        <f>_xlfn.IFNA(VLOOKUP($AH255,Programma!$F$3:$U$1101,16,0),"")</f>
        <v>_</v>
      </c>
      <c r="AX255" s="185" t="str">
        <f>_xlfn.IFNA(VLOOKUP($AH255,Programma!$F$3:$V$1101,17,0),"")</f>
        <v>_</v>
      </c>
      <c r="AY255" s="185" t="str">
        <f>_xlfn.IFNA(VLOOKUP($AH255,Programma!$F$3:$W$1101,18,0),"")</f>
        <v>4w</v>
      </c>
      <c r="AZ255" s="185" t="str">
        <f>_xlfn.IFNA(VLOOKUP($AH255,Programma!$F$3:$X$1101,19,0),"")</f>
        <v>1w</v>
      </c>
      <c r="BA255" s="185" t="str">
        <f>_xlfn.IFNA(VLOOKUP($AH255,Programma!$F$3:$Y$1101,20,0),"")</f>
        <v>_</v>
      </c>
      <c r="BB255" s="182"/>
      <c r="BC255" s="174" t="str">
        <f>IF(Ruimtestaat[[#This Row],[Frequentie weekend]]="","",_xlfn.CONCAT(Ruimtestaat[[#This Row],[Ruimte code]],"-",Ruimtestaat[[#This Row],[Frequentie weekend]]," ",Ruimtestaat[[#This Row],[Vloer code]]))</f>
        <v/>
      </c>
      <c r="BD255" s="185" t="str">
        <f>_xlfn.IFNA(VLOOKUP($BC255,Programma!$F$3:$G$1101,2,0),"")</f>
        <v/>
      </c>
      <c r="BE255" s="185" t="str">
        <f>_xlfn.IFNA(VLOOKUP($BC255,Programma!$F$3:$H$1101,3,0),"")</f>
        <v/>
      </c>
      <c r="BF255" s="185" t="str">
        <f>_xlfn.IFNA(VLOOKUP($BC255,Programma!$F$3:$I$1101,4,0),"")</f>
        <v/>
      </c>
      <c r="BG255" s="185" t="str">
        <f>_xlfn.IFNA(VLOOKUP($BC255,Programma!$F$3:$J$1101,5,0),"")</f>
        <v/>
      </c>
      <c r="BH255" s="185" t="str">
        <f>_xlfn.IFNA(VLOOKUP($BC255,Programma!$F$3:$K$1101,6,0),"")</f>
        <v/>
      </c>
      <c r="BI255" s="185" t="str">
        <f>_xlfn.IFNA(VLOOKUP($BC255,Programma!$F$3:$L$1101,7,0),"")</f>
        <v/>
      </c>
      <c r="BJ255" s="185" t="str">
        <f>_xlfn.IFNA(VLOOKUP($BC255,Programma!$F$3:$M$1101,8,0),"")</f>
        <v/>
      </c>
      <c r="BK255" s="185" t="str">
        <f>_xlfn.IFNA(VLOOKUP($BC255,Programma!$F$3:$N$1101,9,0),"")</f>
        <v/>
      </c>
      <c r="BL255" s="185" t="str">
        <f>_xlfn.IFNA(VLOOKUP($BC255,Programma!$F$3:$O$1101,10,0),"")</f>
        <v/>
      </c>
      <c r="BM255" s="185" t="str">
        <f>_xlfn.IFNA(VLOOKUP($BC255,Programma!$F$3:$P$1101,11,0),"")</f>
        <v/>
      </c>
      <c r="BN255" s="185" t="str">
        <f>_xlfn.IFNA(VLOOKUP($BC255,Programma!$F$3:$Q$1101,12,0),"")</f>
        <v/>
      </c>
      <c r="BO255" s="185" t="str">
        <f>_xlfn.IFNA(VLOOKUP($BC255,Programma!$F$3:$R$1101,13,0),"")</f>
        <v/>
      </c>
      <c r="BP255" s="185" t="str">
        <f>_xlfn.IFNA(VLOOKUP($BC255,Programma!$F$3:$S$1101,14,0),"")</f>
        <v/>
      </c>
      <c r="BQ255" s="185" t="str">
        <f>_xlfn.IFNA(VLOOKUP($BC255,Programma!$F$3:$T$1101,15,0),"")</f>
        <v/>
      </c>
      <c r="BR255" s="185" t="str">
        <f>_xlfn.IFNA(VLOOKUP($BC255,Programma!$F$3:$U$1101,16,0),"")</f>
        <v/>
      </c>
      <c r="BS255" s="185" t="str">
        <f>_xlfn.IFNA(VLOOKUP($BC255,Programma!$F$3:$V$1101,17,0),"")</f>
        <v/>
      </c>
      <c r="BT255" s="185" t="str">
        <f>_xlfn.IFNA(VLOOKUP($BC255,Programma!$F$3:$W$1101,18,0),"")</f>
        <v/>
      </c>
      <c r="BU255" s="185" t="str">
        <f>_xlfn.IFNA(VLOOKUP($BC255,Programma!$F$3:$X$1101,19,0),"")</f>
        <v/>
      </c>
      <c r="BV255" s="185" t="str">
        <f>_xlfn.IFNA(VLOOKUP($BC255,Programma!$F$3:$Y$1101,20,0),"")</f>
        <v/>
      </c>
      <c r="BW255" s="78"/>
      <c r="BX255" s="78"/>
      <c r="BY255" s="78"/>
      <c r="BZ255" s="78"/>
      <c r="CA255" s="78"/>
      <c r="CB255" s="78"/>
      <c r="CC255" s="78"/>
      <c r="CD255" s="78"/>
      <c r="CE255" s="78"/>
      <c r="CF255" s="78"/>
      <c r="CG255" s="78"/>
      <c r="CH255" s="78"/>
      <c r="CI255" s="78"/>
      <c r="CJ255" s="78"/>
      <c r="CK255" s="78"/>
      <c r="CL255" s="78"/>
      <c r="CM255" s="78"/>
      <c r="CN255" s="78"/>
      <c r="CO255" s="78"/>
      <c r="CP255" s="78"/>
      <c r="CQ255" s="78"/>
      <c r="CR255" s="78"/>
      <c r="CS255" s="78"/>
      <c r="CT255" s="78"/>
      <c r="CU255" s="78"/>
      <c r="CV255" s="78"/>
      <c r="CW255" s="78"/>
      <c r="CX255" s="78"/>
      <c r="CY255" s="78"/>
      <c r="CZ255" s="78"/>
      <c r="DA255" s="78"/>
      <c r="DB255" s="78"/>
      <c r="DC255" s="78"/>
      <c r="DD255" s="78"/>
      <c r="DE255" s="78"/>
      <c r="DF255" s="78"/>
      <c r="DG255" s="78"/>
      <c r="DH255" s="78"/>
      <c r="DI255" s="78"/>
      <c r="DJ255" s="78"/>
      <c r="DK255" s="78"/>
      <c r="DL255" s="78"/>
      <c r="DM255" s="78"/>
      <c r="DN255" s="78"/>
      <c r="DO255" s="78"/>
      <c r="DP255" s="78"/>
      <c r="DQ255" s="78"/>
      <c r="DR255" s="78"/>
      <c r="DS255" s="78"/>
      <c r="DT255" s="78"/>
      <c r="DU255" s="78"/>
      <c r="DV255" s="78"/>
      <c r="DW255" s="78"/>
      <c r="DX255" s="78"/>
      <c r="DY255" s="78"/>
      <c r="DZ255" s="78"/>
      <c r="EA255" s="78"/>
      <c r="EB255" s="78"/>
      <c r="EC255" s="78"/>
      <c r="ED255" s="78"/>
      <c r="EE255" s="78"/>
      <c r="EF255" s="78"/>
      <c r="EG255" s="78"/>
      <c r="EH255" s="78"/>
      <c r="EI255" s="78"/>
      <c r="EJ255" s="78"/>
      <c r="EK255" s="78"/>
      <c r="EL255" s="78"/>
      <c r="EM255" s="78"/>
      <c r="EN255" s="78"/>
      <c r="EO255" s="78"/>
      <c r="EP255" s="78"/>
      <c r="EQ255" s="78"/>
      <c r="ER255" s="78"/>
      <c r="ES255" s="78"/>
      <c r="ET255" s="78"/>
      <c r="EU255" s="78"/>
      <c r="EV255" s="78"/>
      <c r="EW255" s="78"/>
      <c r="EX255" s="78"/>
      <c r="EY255" s="78"/>
      <c r="EZ255" s="78"/>
      <c r="FA255" s="78"/>
      <c r="FB255" s="78"/>
      <c r="FC255" s="78"/>
      <c r="FD255" s="78"/>
      <c r="FE255" s="78"/>
      <c r="FF255" s="78"/>
      <c r="FG255" s="78"/>
      <c r="FH255" s="78"/>
      <c r="FI255" s="78"/>
      <c r="FJ255" s="78"/>
      <c r="FK255" s="78"/>
      <c r="FL255" s="78"/>
      <c r="FM255" s="78"/>
      <c r="FN255" s="78"/>
      <c r="FO255" s="78"/>
      <c r="FP255" s="78"/>
      <c r="FQ255" s="78"/>
      <c r="FR255" s="78"/>
      <c r="FS255" s="78"/>
      <c r="FT255" s="78"/>
      <c r="FU255" s="78"/>
      <c r="FV255" s="78"/>
      <c r="FW255" s="78"/>
      <c r="FX255" s="78"/>
      <c r="FY255" s="78"/>
      <c r="FZ255" s="78"/>
      <c r="GA255" s="78"/>
      <c r="GB255" s="78"/>
      <c r="GC255" s="78"/>
      <c r="GD255" s="78"/>
      <c r="GE255" s="78"/>
      <c r="GF255" s="78"/>
      <c r="GG255" s="78"/>
      <c r="GH255" s="78"/>
      <c r="GI255" s="78"/>
      <c r="GJ255" s="78"/>
      <c r="GK255" s="78"/>
      <c r="GL255" s="78"/>
      <c r="GM255" s="78"/>
      <c r="GN255" s="78"/>
      <c r="GO255" s="78"/>
      <c r="GP255" s="78"/>
      <c r="GQ255" s="78"/>
      <c r="GR255" s="78"/>
      <c r="GS255" s="78"/>
      <c r="GT255" s="78"/>
      <c r="GU255" s="78"/>
      <c r="GV255" s="78"/>
      <c r="GW255" s="78"/>
      <c r="GX255" s="78"/>
      <c r="GY255" s="78"/>
      <c r="GZ255" s="78"/>
      <c r="HA255" s="78"/>
      <c r="HB255" s="78"/>
      <c r="HC255" s="78"/>
      <c r="HD255" s="78"/>
      <c r="HE255" s="78"/>
      <c r="HF255" s="78"/>
      <c r="HG255" s="78"/>
      <c r="HH255" s="78"/>
      <c r="HI255" s="78"/>
      <c r="HJ255" s="78"/>
      <c r="HK255" s="78"/>
    </row>
    <row r="256" spans="1:219" ht="15" customHeight="1">
      <c r="A256" s="99">
        <v>8</v>
      </c>
      <c r="B256" s="176" t="str">
        <f>VLOOKUP(Ruimtestaat[[#This Row],[Code]],Locaties[[Code]:[Locatie]],2,FALSE)</f>
        <v>OBS Roombeek</v>
      </c>
      <c r="C256" s="176" t="str">
        <f>VLOOKUP(Ruimtestaat[[#This Row],[Code]],Locaties[[#All],[Code]:[Adres]],4,FALSE)</f>
        <v>Bosuilstraat 3</v>
      </c>
      <c r="D256" s="176" t="str">
        <f>VLOOKUP(Ruimtestaat[[#This Row],[Code]],Locaties[[#All],[Code]:[Postcode]],5,FALSE)</f>
        <v>7523 BJ</v>
      </c>
      <c r="E256" s="176" t="str">
        <f>VLOOKUP(Ruimtestaat[[#This Row],[Code]],Locaties[#All],6,FALSE)</f>
        <v>Enschede</v>
      </c>
      <c r="F256" s="149"/>
      <c r="G256" s="149" t="s">
        <v>1646</v>
      </c>
      <c r="H256" s="99" t="s">
        <v>1891</v>
      </c>
      <c r="I256" s="183" t="s">
        <v>1683</v>
      </c>
      <c r="J256" s="99">
        <v>20</v>
      </c>
      <c r="K256" s="183" t="str">
        <f>VLOOKUP(Ruimtestaat[[#This Row],[Ruimte code]],Ruimtegroepen[[#All],[Code]:[Ruimte omschrijving]],2,FALSE)</f>
        <v>Niet in Onderhoud</v>
      </c>
      <c r="L256" s="149" t="s">
        <v>100</v>
      </c>
      <c r="M256" s="301" t="s">
        <v>1697</v>
      </c>
      <c r="N256" s="177"/>
      <c r="O256" s="177">
        <v>2</v>
      </c>
      <c r="P256" s="178">
        <f>VLOOKUP(Ruimtestaat[[#This Row],[Ruimte code]],Ruimtegroepen[],4,FALSE)</f>
        <v>0</v>
      </c>
      <c r="Q256" s="149"/>
      <c r="R256" s="149"/>
      <c r="S256" s="149">
        <f>IF(Q256&gt;0,IF(RIGHT(Ruimtestaat[[#This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6" s="149">
        <f>IF(S256&gt;0,VLOOKUP($J256,Ruimtegroepen[],3,FALSE)*VLOOKUP($L256,Vloersoorten[],3,FALSE)*VLOOKUP($R256,Frequenties[],3,FALSE)*VLOOKUP($A256,Locaties[],3,FALSE),0)</f>
        <v>0</v>
      </c>
      <c r="U256" s="149">
        <f>Ruimtestaat[[#This Row],[Uitvoeringen werkdagen]]*Ruimtestaat[[#This Row],[Oppervlak (netto)]]</f>
        <v>0</v>
      </c>
      <c r="V256" s="179">
        <f>IF(T256&gt;0,Ruimtestaat[[#This Row],[Prest. (m2 /jaar) werkdagen]]/Ruimtestaat[[#This Row],[Norm (m2/uur) werkdagen]],0)</f>
        <v>0</v>
      </c>
      <c r="W256" s="180">
        <f>Ruimtestaat[[#This Row],[uren / jaar werkdagen]]*Tariefsopbouw!$E$35</f>
        <v>0</v>
      </c>
      <c r="X256" s="149"/>
      <c r="Y256" s="149">
        <f>IF(Ruimtestaat[[#This Row],[Frequentie weekend]]&gt;0,VALUE(LEFT(X256,1))*Q256,0)</f>
        <v>0</v>
      </c>
      <c r="Z256" s="148">
        <f>IF($Y256&gt;0,VLOOKUP($J256,Ruimtegroepen[],3,FALSE)*VLOOKUP($L256,Vloersoorten[],3,FALSE)*VLOOKUP($X256,Frequenties[],3,FALSE)*VLOOKUP(#REF!,Locaties[],3,FALSE),0)</f>
        <v>0</v>
      </c>
      <c r="AA256" s="148">
        <f>Ruimtestaat[[#This Row],[Uitvoeringen weekend]]*Ruimtestaat[[#This Row],[Oppervlak (netto)]]</f>
        <v>0</v>
      </c>
      <c r="AB256" s="148">
        <f>IF(Z256&gt;0,Ruimtestaat[[#This Row],[Prest. (m2 /jaar) weekend]]/Ruimtestaat[[#This Row],[Norm (m2/uur) weekend]],0)</f>
        <v>0</v>
      </c>
      <c r="AC256" s="180">
        <f>Ruimtestaat[[#This Row],[uren / jaar weekend]]*Tariefsopbouw!$D$40</f>
        <v>0</v>
      </c>
      <c r="AD256" s="179">
        <f>Ruimtestaat[[#This Row],[Prest. (m2 /jaar) weekend]]+Ruimtestaat[[#This Row],[Prest. (m2 /jaar) werkdagen]]</f>
        <v>0</v>
      </c>
      <c r="AE256" s="179">
        <f>Ruimtestaat[[#This Row],[uren / jaar weekend]]+Ruimtestaat[[#This Row],[uren / jaar werkdagen]]</f>
        <v>0</v>
      </c>
      <c r="AF256" s="174">
        <f>Ruimtestaat[[#This Row],[kosten / jaar weekend]]+Ruimtestaat[[#This Row],[kosten / jaar werkdagen]]</f>
        <v>0</v>
      </c>
      <c r="AG256" s="174"/>
      <c r="AH256" s="174" t="str">
        <f>IF(Ruimtestaat[[#This Row],[Frequentie werkdagen]]="","",_xlfn.CONCAT(Ruimtestaat[[#This Row],[Ruimte code]],"-",Ruimtestaat[[#This Row],[Frequentie werkdagen]]," ",Ruimtestaat[[#This Row],[Vloer code]]))</f>
        <v/>
      </c>
      <c r="AI256" s="185" t="str">
        <f>_xlfn.IFNA(VLOOKUP($AH256,Programma!$F$3:$G$1101,2,0),"")</f>
        <v/>
      </c>
      <c r="AJ256" s="185" t="str">
        <f>_xlfn.IFNA(VLOOKUP($AH256,Programma!$F$3:$H$1101,3,0),"")</f>
        <v/>
      </c>
      <c r="AK256" s="185" t="str">
        <f>_xlfn.IFNA(VLOOKUP($AH256,Programma!$F$3:$I$1101,4,0),"")</f>
        <v/>
      </c>
      <c r="AL256" s="185" t="str">
        <f>_xlfn.IFNA(VLOOKUP($AH256,Programma!$F$3:$J$1101,5,0),"")</f>
        <v/>
      </c>
      <c r="AM256" s="185" t="str">
        <f>_xlfn.IFNA(VLOOKUP($AH256,Programma!$F$3:$K$1101,6,0),"")</f>
        <v/>
      </c>
      <c r="AN256" s="185" t="str">
        <f>_xlfn.IFNA(VLOOKUP($AH256,Programma!$F$3:$L$1101,7,0),"")</f>
        <v/>
      </c>
      <c r="AO256" s="185" t="str">
        <f>_xlfn.IFNA(VLOOKUP($AH256,Programma!$F$3:$M$1101,8,0),"")</f>
        <v/>
      </c>
      <c r="AP256" s="185" t="str">
        <f>_xlfn.IFNA(VLOOKUP($AH256,Programma!$F$3:$N$1101,9,0),"")</f>
        <v/>
      </c>
      <c r="AQ256" s="185" t="str">
        <f>_xlfn.IFNA(VLOOKUP($AH256,Programma!$F$3:$O$1101,10,0),"")</f>
        <v/>
      </c>
      <c r="AR256" s="185" t="str">
        <f>_xlfn.IFNA(VLOOKUP($AH256,Programma!$F$3:$P$1101,11,0),"")</f>
        <v/>
      </c>
      <c r="AS256" s="185" t="str">
        <f>_xlfn.IFNA(VLOOKUP($AH256,Programma!$F$3:$Q$1101,12,0),"")</f>
        <v/>
      </c>
      <c r="AT256" s="185" t="str">
        <f>_xlfn.IFNA(VLOOKUP($AH256,Programma!$F$3:$R$1101,13,0),"")</f>
        <v/>
      </c>
      <c r="AU256" s="185" t="str">
        <f>_xlfn.IFNA(VLOOKUP($AH256,Programma!$F$3:$S$1101,14,0),"")</f>
        <v/>
      </c>
      <c r="AV256" s="185" t="str">
        <f>_xlfn.IFNA(VLOOKUP($AH256,Programma!$F$3:$T$1101,15,0),"")</f>
        <v/>
      </c>
      <c r="AW256" s="185" t="str">
        <f>_xlfn.IFNA(VLOOKUP($AH256,Programma!$F$3:$U$1101,16,0),"")</f>
        <v/>
      </c>
      <c r="AX256" s="185" t="str">
        <f>_xlfn.IFNA(VLOOKUP($AH256,Programma!$F$3:$V$1101,17,0),"")</f>
        <v/>
      </c>
      <c r="AY256" s="185" t="str">
        <f>_xlfn.IFNA(VLOOKUP($AH256,Programma!$F$3:$W$1101,18,0),"")</f>
        <v/>
      </c>
      <c r="AZ256" s="185" t="str">
        <f>_xlfn.IFNA(VLOOKUP($AH256,Programma!$F$3:$X$1101,19,0),"")</f>
        <v/>
      </c>
      <c r="BA256" s="185" t="str">
        <f>_xlfn.IFNA(VLOOKUP($AH256,Programma!$F$3:$Y$1101,20,0),"")</f>
        <v/>
      </c>
      <c r="BB256" s="182"/>
      <c r="BC256" s="174" t="str">
        <f>IF(Ruimtestaat[[#This Row],[Frequentie weekend]]="","",_xlfn.CONCAT(Ruimtestaat[[#This Row],[Ruimte code]],"-",Ruimtestaat[[#This Row],[Frequentie weekend]]," ",Ruimtestaat[[#This Row],[Vloer code]]))</f>
        <v/>
      </c>
      <c r="BD256" s="185" t="str">
        <f>_xlfn.IFNA(VLOOKUP($BC256,Programma!$F$3:$G$1101,2,0),"")</f>
        <v/>
      </c>
      <c r="BE256" s="185" t="str">
        <f>_xlfn.IFNA(VLOOKUP($BC256,Programma!$F$3:$H$1101,3,0),"")</f>
        <v/>
      </c>
      <c r="BF256" s="185" t="str">
        <f>_xlfn.IFNA(VLOOKUP($BC256,Programma!$F$3:$I$1101,4,0),"")</f>
        <v/>
      </c>
      <c r="BG256" s="185" t="str">
        <f>_xlfn.IFNA(VLOOKUP($BC256,Programma!$F$3:$J$1101,5,0),"")</f>
        <v/>
      </c>
      <c r="BH256" s="185" t="str">
        <f>_xlfn.IFNA(VLOOKUP($BC256,Programma!$F$3:$K$1101,6,0),"")</f>
        <v/>
      </c>
      <c r="BI256" s="185" t="str">
        <f>_xlfn.IFNA(VLOOKUP($BC256,Programma!$F$3:$L$1101,7,0),"")</f>
        <v/>
      </c>
      <c r="BJ256" s="185" t="str">
        <f>_xlfn.IFNA(VLOOKUP($BC256,Programma!$F$3:$M$1101,8,0),"")</f>
        <v/>
      </c>
      <c r="BK256" s="185" t="str">
        <f>_xlfn.IFNA(VLOOKUP($BC256,Programma!$F$3:$N$1101,9,0),"")</f>
        <v/>
      </c>
      <c r="BL256" s="185" t="str">
        <f>_xlfn.IFNA(VLOOKUP($BC256,Programma!$F$3:$O$1101,10,0),"")</f>
        <v/>
      </c>
      <c r="BM256" s="185" t="str">
        <f>_xlfn.IFNA(VLOOKUP($BC256,Programma!$F$3:$P$1101,11,0),"")</f>
        <v/>
      </c>
      <c r="BN256" s="185" t="str">
        <f>_xlfn.IFNA(VLOOKUP($BC256,Programma!$F$3:$Q$1101,12,0),"")</f>
        <v/>
      </c>
      <c r="BO256" s="185" t="str">
        <f>_xlfn.IFNA(VLOOKUP($BC256,Programma!$F$3:$R$1101,13,0),"")</f>
        <v/>
      </c>
      <c r="BP256" s="185" t="str">
        <f>_xlfn.IFNA(VLOOKUP($BC256,Programma!$F$3:$S$1101,14,0),"")</f>
        <v/>
      </c>
      <c r="BQ256" s="185" t="str">
        <f>_xlfn.IFNA(VLOOKUP($BC256,Programma!$F$3:$T$1101,15,0),"")</f>
        <v/>
      </c>
      <c r="BR256" s="185" t="str">
        <f>_xlfn.IFNA(VLOOKUP($BC256,Programma!$F$3:$U$1101,16,0),"")</f>
        <v/>
      </c>
      <c r="BS256" s="185" t="str">
        <f>_xlfn.IFNA(VLOOKUP($BC256,Programma!$F$3:$V$1101,17,0),"")</f>
        <v/>
      </c>
      <c r="BT256" s="185" t="str">
        <f>_xlfn.IFNA(VLOOKUP($BC256,Programma!$F$3:$W$1101,18,0),"")</f>
        <v/>
      </c>
      <c r="BU256" s="185" t="str">
        <f>_xlfn.IFNA(VLOOKUP($BC256,Programma!$F$3:$X$1101,19,0),"")</f>
        <v/>
      </c>
      <c r="BV256" s="185" t="str">
        <f>_xlfn.IFNA(VLOOKUP($BC256,Programma!$F$3:$Y$1101,20,0),"")</f>
        <v/>
      </c>
      <c r="BW256" s="78"/>
      <c r="BX256" s="78"/>
      <c r="BY256" s="78"/>
      <c r="BZ256" s="78"/>
      <c r="CA256" s="78"/>
      <c r="CB256" s="78"/>
      <c r="CC256" s="78"/>
      <c r="CD256" s="78"/>
      <c r="CE256" s="78"/>
      <c r="CF256" s="78"/>
      <c r="CG256" s="78"/>
      <c r="CH256" s="78"/>
      <c r="CI256" s="78"/>
      <c r="CJ256" s="78"/>
      <c r="CK256" s="78"/>
      <c r="CL256" s="78"/>
      <c r="CM256" s="78"/>
      <c r="CN256" s="78"/>
      <c r="CO256" s="78"/>
      <c r="CP256" s="78"/>
      <c r="CQ256" s="78"/>
      <c r="CR256" s="78"/>
      <c r="CS256" s="78"/>
      <c r="CT256" s="78"/>
      <c r="CU256" s="78"/>
      <c r="CV256" s="78"/>
      <c r="CW256" s="78"/>
      <c r="CX256" s="78"/>
      <c r="CY256" s="78"/>
      <c r="CZ256" s="78"/>
      <c r="DA256" s="78"/>
      <c r="DB256" s="78"/>
      <c r="DC256" s="78"/>
      <c r="DD256" s="78"/>
      <c r="DE256" s="78"/>
      <c r="DF256" s="78"/>
      <c r="DG256" s="78"/>
      <c r="DH256" s="78"/>
      <c r="DI256" s="78"/>
      <c r="DJ256" s="78"/>
      <c r="DK256" s="78"/>
      <c r="DL256" s="78"/>
      <c r="DM256" s="78"/>
      <c r="DN256" s="78"/>
      <c r="DO256" s="78"/>
      <c r="DP256" s="78"/>
      <c r="DQ256" s="78"/>
      <c r="DR256" s="78"/>
      <c r="DS256" s="78"/>
      <c r="DT256" s="78"/>
      <c r="DU256" s="78"/>
      <c r="DV256" s="78"/>
      <c r="DW256" s="78"/>
      <c r="DX256" s="78"/>
      <c r="DY256" s="78"/>
      <c r="DZ256" s="78"/>
      <c r="EA256" s="78"/>
      <c r="EB256" s="78"/>
      <c r="EC256" s="78"/>
      <c r="ED256" s="78"/>
      <c r="EE256" s="78"/>
      <c r="EF256" s="78"/>
      <c r="EG256" s="78"/>
      <c r="EH256" s="78"/>
      <c r="EI256" s="78"/>
      <c r="EJ256" s="78"/>
      <c r="EK256" s="78"/>
      <c r="EL256" s="78"/>
      <c r="EM256" s="78"/>
      <c r="EN256" s="78"/>
      <c r="EO256" s="78"/>
      <c r="EP256" s="78"/>
      <c r="EQ256" s="78"/>
      <c r="ER256" s="78"/>
      <c r="ES256" s="78"/>
      <c r="ET256" s="78"/>
      <c r="EU256" s="78"/>
      <c r="EV256" s="78"/>
      <c r="EW256" s="78"/>
      <c r="EX256" s="78"/>
      <c r="EY256" s="78"/>
      <c r="EZ256" s="78"/>
      <c r="FA256" s="78"/>
      <c r="FB256" s="78"/>
      <c r="FC256" s="78"/>
      <c r="FD256" s="78"/>
      <c r="FE256" s="78"/>
      <c r="FF256" s="78"/>
      <c r="FG256" s="78"/>
      <c r="FH256" s="78"/>
      <c r="FI256" s="78"/>
      <c r="FJ256" s="78"/>
      <c r="FK256" s="78"/>
      <c r="FL256" s="78"/>
      <c r="FM256" s="78"/>
      <c r="FN256" s="78"/>
      <c r="FO256" s="78"/>
      <c r="FP256" s="78"/>
      <c r="FQ256" s="78"/>
      <c r="FR256" s="78"/>
      <c r="FS256" s="78"/>
      <c r="FT256" s="78"/>
      <c r="FU256" s="78"/>
      <c r="FV256" s="78"/>
      <c r="FW256" s="78"/>
      <c r="FX256" s="78"/>
      <c r="FY256" s="78"/>
      <c r="FZ256" s="78"/>
      <c r="GA256" s="78"/>
      <c r="GB256" s="78"/>
      <c r="GC256" s="78"/>
      <c r="GD256" s="78"/>
      <c r="GE256" s="78"/>
      <c r="GF256" s="78"/>
      <c r="GG256" s="78"/>
      <c r="GH256" s="78"/>
      <c r="GI256" s="78"/>
      <c r="GJ256" s="78"/>
      <c r="GK256" s="78"/>
      <c r="GL256" s="78"/>
      <c r="GM256" s="78"/>
      <c r="GN256" s="78"/>
      <c r="GO256" s="78"/>
      <c r="GP256" s="78"/>
      <c r="GQ256" s="78"/>
      <c r="GR256" s="78"/>
      <c r="GS256" s="78"/>
      <c r="GT256" s="78"/>
      <c r="GU256" s="78"/>
      <c r="GV256" s="78"/>
      <c r="GW256" s="78"/>
      <c r="GX256" s="78"/>
      <c r="GY256" s="78"/>
      <c r="GZ256" s="78"/>
      <c r="HA256" s="78"/>
      <c r="HB256" s="78"/>
      <c r="HC256" s="78"/>
      <c r="HD256" s="78"/>
      <c r="HE256" s="78"/>
      <c r="HF256" s="78"/>
      <c r="HG256" s="78"/>
      <c r="HH256" s="78"/>
      <c r="HI256" s="78"/>
      <c r="HJ256" s="78"/>
      <c r="HK256" s="78"/>
    </row>
    <row r="257" spans="1:74" s="78" customFormat="1" ht="15" customHeight="1">
      <c r="A257" s="99">
        <v>8</v>
      </c>
      <c r="B257" s="176" t="str">
        <f>VLOOKUP(Ruimtestaat[[#This Row],[Code]],Locaties[[Code]:[Locatie]],2,FALSE)</f>
        <v>OBS Roombeek</v>
      </c>
      <c r="C257" s="176" t="str">
        <f>VLOOKUP(Ruimtestaat[[#This Row],[Code]],Locaties[[#All],[Code]:[Adres]],4,FALSE)</f>
        <v>Bosuilstraat 3</v>
      </c>
      <c r="D257" s="176" t="str">
        <f>VLOOKUP(Ruimtestaat[[#This Row],[Code]],Locaties[[#All],[Code]:[Postcode]],5,FALSE)</f>
        <v>7523 BJ</v>
      </c>
      <c r="E257" s="176" t="str">
        <f>VLOOKUP(Ruimtestaat[[#This Row],[Code]],Locaties[#All],6,FALSE)</f>
        <v>Enschede</v>
      </c>
      <c r="F257" s="149"/>
      <c r="G257" s="149" t="s">
        <v>1646</v>
      </c>
      <c r="H257" s="99" t="s">
        <v>1892</v>
      </c>
      <c r="I257" s="183" t="s">
        <v>1686</v>
      </c>
      <c r="J257" s="99">
        <v>16</v>
      </c>
      <c r="K257" s="183" t="str">
        <f>VLOOKUP(Ruimtestaat[[#This Row],[Ruimte code]],Ruimtegroepen[[#All],[Code]:[Ruimte omschrijving]],2,FALSE)</f>
        <v>Leslokalen</v>
      </c>
      <c r="L257" s="149" t="s">
        <v>100</v>
      </c>
      <c r="M257" s="301" t="s">
        <v>1697</v>
      </c>
      <c r="N257" s="177">
        <v>59.7</v>
      </c>
      <c r="O257" s="177"/>
      <c r="P257" s="178" t="str">
        <f>VLOOKUP(Ruimtestaat[[#This Row],[Ruimte code]],Ruimtegroepen[],4,FALSE)</f>
        <v>Le</v>
      </c>
      <c r="Q257" s="149">
        <v>42</v>
      </c>
      <c r="R257" s="149" t="s">
        <v>2</v>
      </c>
      <c r="S257" s="149">
        <f>IF(Q257&gt;0,IF(RIGHT(Ruimtestaat[[#This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57" s="149">
        <f>IF(S257&gt;0,VLOOKUP($J257,Ruimtegroepen[],3,FALSE)*VLOOKUP($L257,Vloersoorten[],3,FALSE)*VLOOKUP($R257,Frequenties[],3,FALSE)*VLOOKUP($A257,Locaties[],3,FALSE),0)</f>
        <v>0</v>
      </c>
      <c r="U257" s="149">
        <f>Ruimtestaat[[#This Row],[Uitvoeringen werkdagen]]*Ruimtestaat[[#This Row],[Oppervlak (netto)]]</f>
        <v>12537</v>
      </c>
      <c r="V257" s="179">
        <f>IF(T257&gt;0,Ruimtestaat[[#This Row],[Prest. (m2 /jaar) werkdagen]]/Ruimtestaat[[#This Row],[Norm (m2/uur) werkdagen]],0)</f>
        <v>0</v>
      </c>
      <c r="W257" s="180">
        <f>Ruimtestaat[[#This Row],[uren / jaar werkdagen]]*Tariefsopbouw!$E$35</f>
        <v>0</v>
      </c>
      <c r="X257" s="149"/>
      <c r="Y257" s="149">
        <f>IF(Ruimtestaat[[#This Row],[Frequentie weekend]]&gt;0,VALUE(LEFT(X257,1))*Q257,0)</f>
        <v>0</v>
      </c>
      <c r="Z257" s="148">
        <f>IF($Y257&gt;0,VLOOKUP($J257,Ruimtegroepen[],3,FALSE)*VLOOKUP($L257,Vloersoorten[],3,FALSE)*VLOOKUP($X257,Frequenties[],3,FALSE)*VLOOKUP(#REF!,Locaties[],3,FALSE),0)</f>
        <v>0</v>
      </c>
      <c r="AA257" s="148">
        <f>Ruimtestaat[[#This Row],[Uitvoeringen weekend]]*Ruimtestaat[[#This Row],[Oppervlak (netto)]]</f>
        <v>0</v>
      </c>
      <c r="AB257" s="148">
        <f>IF(Z257&gt;0,Ruimtestaat[[#This Row],[Prest. (m2 /jaar) weekend]]/Ruimtestaat[[#This Row],[Norm (m2/uur) weekend]],0)</f>
        <v>0</v>
      </c>
      <c r="AC257" s="180">
        <f>Ruimtestaat[[#This Row],[uren / jaar weekend]]*Tariefsopbouw!$D$40</f>
        <v>0</v>
      </c>
      <c r="AD257" s="179">
        <f>Ruimtestaat[[#This Row],[Prest. (m2 /jaar) weekend]]+Ruimtestaat[[#This Row],[Prest. (m2 /jaar) werkdagen]]</f>
        <v>12537</v>
      </c>
      <c r="AE257" s="179">
        <f>Ruimtestaat[[#This Row],[uren / jaar weekend]]+Ruimtestaat[[#This Row],[uren / jaar werkdagen]]</f>
        <v>0</v>
      </c>
      <c r="AF257" s="174">
        <f>Ruimtestaat[[#This Row],[kosten / jaar weekend]]+Ruimtestaat[[#This Row],[kosten / jaar werkdagen]]</f>
        <v>0</v>
      </c>
      <c r="AG257" s="174"/>
      <c r="AH257" s="174" t="str">
        <f>IF(Ruimtestaat[[#This Row],[Frequentie werkdagen]]="","",_xlfn.CONCAT(Ruimtestaat[[#This Row],[Ruimte code]],"-",Ruimtestaat[[#This Row],[Frequentie werkdagen]]," ",Ruimtestaat[[#This Row],[Vloer code]]))</f>
        <v>16-5w L</v>
      </c>
      <c r="AI257" s="185" t="str">
        <f>_xlfn.IFNA(VLOOKUP($AH257,Programma!$F$3:$G$1101,2,0),"")</f>
        <v>_</v>
      </c>
      <c r="AJ257" s="185" t="str">
        <f>_xlfn.IFNA(VLOOKUP($AH257,Programma!$F$3:$H$1101,3,0),"")</f>
        <v>_</v>
      </c>
      <c r="AK257" s="185" t="str">
        <f>_xlfn.IFNA(VLOOKUP($AH257,Programma!$F$3:$I$1101,4,0),"")</f>
        <v>4w</v>
      </c>
      <c r="AL257" s="185" t="str">
        <f>_xlfn.IFNA(VLOOKUP($AH257,Programma!$F$3:$J$1101,5,0),"")</f>
        <v>1w</v>
      </c>
      <c r="AM257" s="185" t="str">
        <f>_xlfn.IFNA(VLOOKUP($AH257,Programma!$F$3:$K$1101,6,0),"")</f>
        <v>_</v>
      </c>
      <c r="AN257" s="185" t="str">
        <f>_xlfn.IFNA(VLOOKUP($AH257,Programma!$F$3:$L$1101,7,0),"")</f>
        <v>_</v>
      </c>
      <c r="AO257" s="185" t="str">
        <f>_xlfn.IFNA(VLOOKUP($AH257,Programma!$F$3:$M$1101,8,0),"")</f>
        <v>_</v>
      </c>
      <c r="AP257" s="185" t="str">
        <f>_xlfn.IFNA(VLOOKUP($AH257,Programma!$F$3:$N$1101,9,0),"")</f>
        <v>_</v>
      </c>
      <c r="AQ257" s="185" t="str">
        <f>_xlfn.IFNA(VLOOKUP($AH257,Programma!$F$3:$O$1101,10,0),"")</f>
        <v>5w</v>
      </c>
      <c r="AR257" s="185" t="str">
        <f>_xlfn.IFNA(VLOOKUP($AH257,Programma!$F$3:$P$1101,11,0),"")</f>
        <v>5w</v>
      </c>
      <c r="AS257" s="185" t="str">
        <f>_xlfn.IFNA(VLOOKUP($AH257,Programma!$F$3:$Q$1101,12,0),"")</f>
        <v>1w</v>
      </c>
      <c r="AT257" s="185" t="str">
        <f>_xlfn.IFNA(VLOOKUP($AH257,Programma!$F$3:$R$1101,13,0),"")</f>
        <v>1w</v>
      </c>
      <c r="AU257" s="185" t="str">
        <f>_xlfn.IFNA(VLOOKUP($AH257,Programma!$F$3:$S$1101,14,0),"")</f>
        <v>1m</v>
      </c>
      <c r="AV257" s="185" t="str">
        <f>_xlfn.IFNA(VLOOKUP($AH257,Programma!$F$3:$T$1101,15,0),"")</f>
        <v>2j</v>
      </c>
      <c r="AW257" s="185" t="str">
        <f>_xlfn.IFNA(VLOOKUP($AH257,Programma!$F$3:$U$1101,16,0),"")</f>
        <v>1j</v>
      </c>
      <c r="AX257" s="185" t="str">
        <f>_xlfn.IFNA(VLOOKUP($AH257,Programma!$F$3:$V$1101,17,0),"")</f>
        <v>_</v>
      </c>
      <c r="AY257" s="185" t="str">
        <f>_xlfn.IFNA(VLOOKUP($AH257,Programma!$F$3:$W$1101,18,0),"")</f>
        <v>_</v>
      </c>
      <c r="AZ257" s="185" t="str">
        <f>_xlfn.IFNA(VLOOKUP($AH257,Programma!$F$3:$X$1101,19,0),"")</f>
        <v>_</v>
      </c>
      <c r="BA257" s="185" t="str">
        <f>_xlfn.IFNA(VLOOKUP($AH257,Programma!$F$3:$Y$1101,20,0),"")</f>
        <v>_</v>
      </c>
      <c r="BB257" s="182"/>
      <c r="BC257" s="174" t="str">
        <f>IF(Ruimtestaat[[#This Row],[Frequentie weekend]]="","",_xlfn.CONCAT(Ruimtestaat[[#This Row],[Ruimte code]],"-",Ruimtestaat[[#This Row],[Frequentie weekend]]," ",Ruimtestaat[[#This Row],[Vloer code]]))</f>
        <v/>
      </c>
      <c r="BD257" s="185" t="str">
        <f>_xlfn.IFNA(VLOOKUP($BC257,Programma!$F$3:$G$1101,2,0),"")</f>
        <v/>
      </c>
      <c r="BE257" s="185" t="str">
        <f>_xlfn.IFNA(VLOOKUP($BC257,Programma!$F$3:$H$1101,3,0),"")</f>
        <v/>
      </c>
      <c r="BF257" s="185" t="str">
        <f>_xlfn.IFNA(VLOOKUP($BC257,Programma!$F$3:$I$1101,4,0),"")</f>
        <v/>
      </c>
      <c r="BG257" s="185" t="str">
        <f>_xlfn.IFNA(VLOOKUP($BC257,Programma!$F$3:$J$1101,5,0),"")</f>
        <v/>
      </c>
      <c r="BH257" s="185" t="str">
        <f>_xlfn.IFNA(VLOOKUP($BC257,Programma!$F$3:$K$1101,6,0),"")</f>
        <v/>
      </c>
      <c r="BI257" s="185" t="str">
        <f>_xlfn.IFNA(VLOOKUP($BC257,Programma!$F$3:$L$1101,7,0),"")</f>
        <v/>
      </c>
      <c r="BJ257" s="185" t="str">
        <f>_xlfn.IFNA(VLOOKUP($BC257,Programma!$F$3:$M$1101,8,0),"")</f>
        <v/>
      </c>
      <c r="BK257" s="185" t="str">
        <f>_xlfn.IFNA(VLOOKUP($BC257,Programma!$F$3:$N$1101,9,0),"")</f>
        <v/>
      </c>
      <c r="BL257" s="185" t="str">
        <f>_xlfn.IFNA(VLOOKUP($BC257,Programma!$F$3:$O$1101,10,0),"")</f>
        <v/>
      </c>
      <c r="BM257" s="185" t="str">
        <f>_xlfn.IFNA(VLOOKUP($BC257,Programma!$F$3:$P$1101,11,0),"")</f>
        <v/>
      </c>
      <c r="BN257" s="185" t="str">
        <f>_xlfn.IFNA(VLOOKUP($BC257,Programma!$F$3:$Q$1101,12,0),"")</f>
        <v/>
      </c>
      <c r="BO257" s="185" t="str">
        <f>_xlfn.IFNA(VLOOKUP($BC257,Programma!$F$3:$R$1101,13,0),"")</f>
        <v/>
      </c>
      <c r="BP257" s="185" t="str">
        <f>_xlfn.IFNA(VLOOKUP($BC257,Programma!$F$3:$S$1101,14,0),"")</f>
        <v/>
      </c>
      <c r="BQ257" s="185" t="str">
        <f>_xlfn.IFNA(VLOOKUP($BC257,Programma!$F$3:$T$1101,15,0),"")</f>
        <v/>
      </c>
      <c r="BR257" s="185" t="str">
        <f>_xlfn.IFNA(VLOOKUP($BC257,Programma!$F$3:$U$1101,16,0),"")</f>
        <v/>
      </c>
      <c r="BS257" s="185" t="str">
        <f>_xlfn.IFNA(VLOOKUP($BC257,Programma!$F$3:$V$1101,17,0),"")</f>
        <v/>
      </c>
      <c r="BT257" s="185" t="str">
        <f>_xlfn.IFNA(VLOOKUP($BC257,Programma!$F$3:$W$1101,18,0),"")</f>
        <v/>
      </c>
      <c r="BU257" s="185" t="str">
        <f>_xlfn.IFNA(VLOOKUP($BC257,Programma!$F$3:$X$1101,19,0),"")</f>
        <v/>
      </c>
      <c r="BV257" s="185" t="str">
        <f>_xlfn.IFNA(VLOOKUP($BC257,Programma!$F$3:$Y$1101,20,0),"")</f>
        <v/>
      </c>
    </row>
    <row r="258" spans="1:74" s="78" customFormat="1" ht="15" customHeight="1">
      <c r="A258" s="99">
        <v>8</v>
      </c>
      <c r="B258" s="176" t="str">
        <f>VLOOKUP(Ruimtestaat[[#This Row],[Code]],Locaties[[Code]:[Locatie]],2,FALSE)</f>
        <v>OBS Roombeek</v>
      </c>
      <c r="C258" s="176" t="str">
        <f>VLOOKUP(Ruimtestaat[[#This Row],[Code]],Locaties[[#All],[Code]:[Adres]],4,FALSE)</f>
        <v>Bosuilstraat 3</v>
      </c>
      <c r="D258" s="176" t="str">
        <f>VLOOKUP(Ruimtestaat[[#This Row],[Code]],Locaties[[#All],[Code]:[Postcode]],5,FALSE)</f>
        <v>7523 BJ</v>
      </c>
      <c r="E258" s="176" t="str">
        <f>VLOOKUP(Ruimtestaat[[#This Row],[Code]],Locaties[#All],6,FALSE)</f>
        <v>Enschede</v>
      </c>
      <c r="F258" s="149"/>
      <c r="G258" s="149" t="s">
        <v>1646</v>
      </c>
      <c r="H258" s="99" t="s">
        <v>1893</v>
      </c>
      <c r="I258" s="183" t="s">
        <v>1683</v>
      </c>
      <c r="J258" s="99">
        <v>20</v>
      </c>
      <c r="K258" s="183" t="str">
        <f>VLOOKUP(Ruimtestaat[[#This Row],[Ruimte code]],Ruimtegroepen[[#All],[Code]:[Ruimte omschrijving]],2,FALSE)</f>
        <v>Niet in Onderhoud</v>
      </c>
      <c r="L258" s="149" t="s">
        <v>100</v>
      </c>
      <c r="M258" s="301" t="s">
        <v>1697</v>
      </c>
      <c r="N258" s="177"/>
      <c r="O258" s="177">
        <v>21</v>
      </c>
      <c r="P258" s="178">
        <f>VLOOKUP(Ruimtestaat[[#This Row],[Ruimte code]],Ruimtegroepen[],4,FALSE)</f>
        <v>0</v>
      </c>
      <c r="Q258" s="149"/>
      <c r="R258" s="149"/>
      <c r="S258" s="149">
        <f>IF(Q258&gt;0,IF(RIGHT(Ruimtestaat[[#This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8" s="149">
        <f>IF(S258&gt;0,VLOOKUP($J258,Ruimtegroepen[],3,FALSE)*VLOOKUP($L258,Vloersoorten[],3,FALSE)*VLOOKUP($R258,Frequenties[],3,FALSE)*VLOOKUP($A258,Locaties[],3,FALSE),0)</f>
        <v>0</v>
      </c>
      <c r="U258" s="149">
        <f>Ruimtestaat[[#This Row],[Uitvoeringen werkdagen]]*Ruimtestaat[[#This Row],[Oppervlak (netto)]]</f>
        <v>0</v>
      </c>
      <c r="V258" s="179">
        <f>IF(T258&gt;0,Ruimtestaat[[#This Row],[Prest. (m2 /jaar) werkdagen]]/Ruimtestaat[[#This Row],[Norm (m2/uur) werkdagen]],0)</f>
        <v>0</v>
      </c>
      <c r="W258" s="180">
        <f>Ruimtestaat[[#This Row],[uren / jaar werkdagen]]*Tariefsopbouw!$E$35</f>
        <v>0</v>
      </c>
      <c r="X258" s="149"/>
      <c r="Y258" s="149">
        <f>IF(Ruimtestaat[[#This Row],[Frequentie weekend]]&gt;0,VALUE(LEFT(X258,1))*Q258,0)</f>
        <v>0</v>
      </c>
      <c r="Z258" s="148">
        <f>IF($Y258&gt;0,VLOOKUP($J258,Ruimtegroepen[],3,FALSE)*VLOOKUP($L258,Vloersoorten[],3,FALSE)*VLOOKUP($X258,Frequenties[],3,FALSE)*VLOOKUP(#REF!,Locaties[],3,FALSE),0)</f>
        <v>0</v>
      </c>
      <c r="AA258" s="148">
        <f>Ruimtestaat[[#This Row],[Uitvoeringen weekend]]*Ruimtestaat[[#This Row],[Oppervlak (netto)]]</f>
        <v>0</v>
      </c>
      <c r="AB258" s="148">
        <f>IF(Z258&gt;0,Ruimtestaat[[#This Row],[Prest. (m2 /jaar) weekend]]/Ruimtestaat[[#This Row],[Norm (m2/uur) weekend]],0)</f>
        <v>0</v>
      </c>
      <c r="AC258" s="180">
        <f>Ruimtestaat[[#This Row],[uren / jaar weekend]]*Tariefsopbouw!$D$40</f>
        <v>0</v>
      </c>
      <c r="AD258" s="179">
        <f>Ruimtestaat[[#This Row],[Prest. (m2 /jaar) weekend]]+Ruimtestaat[[#This Row],[Prest. (m2 /jaar) werkdagen]]</f>
        <v>0</v>
      </c>
      <c r="AE258" s="179">
        <f>Ruimtestaat[[#This Row],[uren / jaar weekend]]+Ruimtestaat[[#This Row],[uren / jaar werkdagen]]</f>
        <v>0</v>
      </c>
      <c r="AF258" s="174">
        <f>Ruimtestaat[[#This Row],[kosten / jaar weekend]]+Ruimtestaat[[#This Row],[kosten / jaar werkdagen]]</f>
        <v>0</v>
      </c>
      <c r="AG258" s="174"/>
      <c r="AH258" s="174" t="str">
        <f>IF(Ruimtestaat[[#This Row],[Frequentie werkdagen]]="","",_xlfn.CONCAT(Ruimtestaat[[#This Row],[Ruimte code]],"-",Ruimtestaat[[#This Row],[Frequentie werkdagen]]," ",Ruimtestaat[[#This Row],[Vloer code]]))</f>
        <v/>
      </c>
      <c r="AI258" s="185" t="str">
        <f>_xlfn.IFNA(VLOOKUP($AH258,Programma!$F$3:$G$1101,2,0),"")</f>
        <v/>
      </c>
      <c r="AJ258" s="185" t="str">
        <f>_xlfn.IFNA(VLOOKUP($AH258,Programma!$F$3:$H$1101,3,0),"")</f>
        <v/>
      </c>
      <c r="AK258" s="185" t="str">
        <f>_xlfn.IFNA(VLOOKUP($AH258,Programma!$F$3:$I$1101,4,0),"")</f>
        <v/>
      </c>
      <c r="AL258" s="185" t="str">
        <f>_xlfn.IFNA(VLOOKUP($AH258,Programma!$F$3:$J$1101,5,0),"")</f>
        <v/>
      </c>
      <c r="AM258" s="185" t="str">
        <f>_xlfn.IFNA(VLOOKUP($AH258,Programma!$F$3:$K$1101,6,0),"")</f>
        <v/>
      </c>
      <c r="AN258" s="185" t="str">
        <f>_xlfn.IFNA(VLOOKUP($AH258,Programma!$F$3:$L$1101,7,0),"")</f>
        <v/>
      </c>
      <c r="AO258" s="185" t="str">
        <f>_xlfn.IFNA(VLOOKUP($AH258,Programma!$F$3:$M$1101,8,0),"")</f>
        <v/>
      </c>
      <c r="AP258" s="185" t="str">
        <f>_xlfn.IFNA(VLOOKUP($AH258,Programma!$F$3:$N$1101,9,0),"")</f>
        <v/>
      </c>
      <c r="AQ258" s="185" t="str">
        <f>_xlfn.IFNA(VLOOKUP($AH258,Programma!$F$3:$O$1101,10,0),"")</f>
        <v/>
      </c>
      <c r="AR258" s="185" t="str">
        <f>_xlfn.IFNA(VLOOKUP($AH258,Programma!$F$3:$P$1101,11,0),"")</f>
        <v/>
      </c>
      <c r="AS258" s="185" t="str">
        <f>_xlfn.IFNA(VLOOKUP($AH258,Programma!$F$3:$Q$1101,12,0),"")</f>
        <v/>
      </c>
      <c r="AT258" s="185" t="str">
        <f>_xlfn.IFNA(VLOOKUP($AH258,Programma!$F$3:$R$1101,13,0),"")</f>
        <v/>
      </c>
      <c r="AU258" s="185" t="str">
        <f>_xlfn.IFNA(VLOOKUP($AH258,Programma!$F$3:$S$1101,14,0),"")</f>
        <v/>
      </c>
      <c r="AV258" s="185" t="str">
        <f>_xlfn.IFNA(VLOOKUP($AH258,Programma!$F$3:$T$1101,15,0),"")</f>
        <v/>
      </c>
      <c r="AW258" s="185" t="str">
        <f>_xlfn.IFNA(VLOOKUP($AH258,Programma!$F$3:$U$1101,16,0),"")</f>
        <v/>
      </c>
      <c r="AX258" s="185" t="str">
        <f>_xlfn.IFNA(VLOOKUP($AH258,Programma!$F$3:$V$1101,17,0),"")</f>
        <v/>
      </c>
      <c r="AY258" s="185" t="str">
        <f>_xlfn.IFNA(VLOOKUP($AH258,Programma!$F$3:$W$1101,18,0),"")</f>
        <v/>
      </c>
      <c r="AZ258" s="185" t="str">
        <f>_xlfn.IFNA(VLOOKUP($AH258,Programma!$F$3:$X$1101,19,0),"")</f>
        <v/>
      </c>
      <c r="BA258" s="185" t="str">
        <f>_xlfn.IFNA(VLOOKUP($AH258,Programma!$F$3:$Y$1101,20,0),"")</f>
        <v/>
      </c>
      <c r="BB258" s="182"/>
      <c r="BC258" s="174" t="str">
        <f>IF(Ruimtestaat[[#This Row],[Frequentie weekend]]="","",_xlfn.CONCAT(Ruimtestaat[[#This Row],[Ruimte code]],"-",Ruimtestaat[[#This Row],[Frequentie weekend]]," ",Ruimtestaat[[#This Row],[Vloer code]]))</f>
        <v/>
      </c>
      <c r="BD258" s="185" t="str">
        <f>_xlfn.IFNA(VLOOKUP($BC258,Programma!$F$3:$G$1101,2,0),"")</f>
        <v/>
      </c>
      <c r="BE258" s="185" t="str">
        <f>_xlfn.IFNA(VLOOKUP($BC258,Programma!$F$3:$H$1101,3,0),"")</f>
        <v/>
      </c>
      <c r="BF258" s="185" t="str">
        <f>_xlfn.IFNA(VLOOKUP($BC258,Programma!$F$3:$I$1101,4,0),"")</f>
        <v/>
      </c>
      <c r="BG258" s="185" t="str">
        <f>_xlfn.IFNA(VLOOKUP($BC258,Programma!$F$3:$J$1101,5,0),"")</f>
        <v/>
      </c>
      <c r="BH258" s="185" t="str">
        <f>_xlfn.IFNA(VLOOKUP($BC258,Programma!$F$3:$K$1101,6,0),"")</f>
        <v/>
      </c>
      <c r="BI258" s="185" t="str">
        <f>_xlfn.IFNA(VLOOKUP($BC258,Programma!$F$3:$L$1101,7,0),"")</f>
        <v/>
      </c>
      <c r="BJ258" s="185" t="str">
        <f>_xlfn.IFNA(VLOOKUP($BC258,Programma!$F$3:$M$1101,8,0),"")</f>
        <v/>
      </c>
      <c r="BK258" s="185" t="str">
        <f>_xlfn.IFNA(VLOOKUP($BC258,Programma!$F$3:$N$1101,9,0),"")</f>
        <v/>
      </c>
      <c r="BL258" s="185" t="str">
        <f>_xlfn.IFNA(VLOOKUP($BC258,Programma!$F$3:$O$1101,10,0),"")</f>
        <v/>
      </c>
      <c r="BM258" s="185" t="str">
        <f>_xlfn.IFNA(VLOOKUP($BC258,Programma!$F$3:$P$1101,11,0),"")</f>
        <v/>
      </c>
      <c r="BN258" s="185" t="str">
        <f>_xlfn.IFNA(VLOOKUP($BC258,Programma!$F$3:$Q$1101,12,0),"")</f>
        <v/>
      </c>
      <c r="BO258" s="185" t="str">
        <f>_xlfn.IFNA(VLOOKUP($BC258,Programma!$F$3:$R$1101,13,0),"")</f>
        <v/>
      </c>
      <c r="BP258" s="185" t="str">
        <f>_xlfn.IFNA(VLOOKUP($BC258,Programma!$F$3:$S$1101,14,0),"")</f>
        <v/>
      </c>
      <c r="BQ258" s="185" t="str">
        <f>_xlfn.IFNA(VLOOKUP($BC258,Programma!$F$3:$T$1101,15,0),"")</f>
        <v/>
      </c>
      <c r="BR258" s="185" t="str">
        <f>_xlfn.IFNA(VLOOKUP($BC258,Programma!$F$3:$U$1101,16,0),"")</f>
        <v/>
      </c>
      <c r="BS258" s="185" t="str">
        <f>_xlfn.IFNA(VLOOKUP($BC258,Programma!$F$3:$V$1101,17,0),"")</f>
        <v/>
      </c>
      <c r="BT258" s="185" t="str">
        <f>_xlfn.IFNA(VLOOKUP($BC258,Programma!$F$3:$W$1101,18,0),"")</f>
        <v/>
      </c>
      <c r="BU258" s="185" t="str">
        <f>_xlfn.IFNA(VLOOKUP($BC258,Programma!$F$3:$X$1101,19,0),"")</f>
        <v/>
      </c>
      <c r="BV258" s="185" t="str">
        <f>_xlfn.IFNA(VLOOKUP($BC258,Programma!$F$3:$Y$1101,20,0),"")</f>
        <v/>
      </c>
    </row>
    <row r="259" spans="1:74" s="78" customFormat="1" ht="15" customHeight="1">
      <c r="A259" s="99">
        <v>8</v>
      </c>
      <c r="B259" s="176" t="str">
        <f>VLOOKUP(Ruimtestaat[[#This Row],[Code]],Locaties[[Code]:[Locatie]],2,FALSE)</f>
        <v>OBS Roombeek</v>
      </c>
      <c r="C259" s="176" t="str">
        <f>VLOOKUP(Ruimtestaat[[#This Row],[Code]],Locaties[[#All],[Code]:[Adres]],4,FALSE)</f>
        <v>Bosuilstraat 3</v>
      </c>
      <c r="D259" s="176" t="str">
        <f>VLOOKUP(Ruimtestaat[[#This Row],[Code]],Locaties[[#All],[Code]:[Postcode]],5,FALSE)</f>
        <v>7523 BJ</v>
      </c>
      <c r="E259" s="176" t="str">
        <f>VLOOKUP(Ruimtestaat[[#This Row],[Code]],Locaties[#All],6,FALSE)</f>
        <v>Enschede</v>
      </c>
      <c r="F259" s="149"/>
      <c r="G259" s="149" t="s">
        <v>1646</v>
      </c>
      <c r="H259" s="99" t="s">
        <v>1894</v>
      </c>
      <c r="I259" s="183" t="s">
        <v>1649</v>
      </c>
      <c r="J259" s="99">
        <v>2</v>
      </c>
      <c r="K259" s="183" t="str">
        <f>VLOOKUP(Ruimtestaat[[#This Row],[Ruimte code]],Ruimtegroepen[[#All],[Code]:[Ruimte omschrijving]],2,FALSE)</f>
        <v>Kantoren</v>
      </c>
      <c r="L259" s="149" t="s">
        <v>100</v>
      </c>
      <c r="M259" s="301" t="s">
        <v>1697</v>
      </c>
      <c r="N259" s="177">
        <v>14.2</v>
      </c>
      <c r="O259" s="177"/>
      <c r="P259" s="178" t="str">
        <f>VLOOKUP(Ruimtestaat[[#This Row],[Ruimte code]],Ruimtegroepen[],4,FALSE)</f>
        <v>Bu</v>
      </c>
      <c r="Q259" s="149">
        <v>42</v>
      </c>
      <c r="R259" s="149" t="s">
        <v>18</v>
      </c>
      <c r="S259" s="149">
        <f>IF(Q259&gt;0,IF(RIGHT(Ruimtestaat[[#This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126</v>
      </c>
      <c r="T259" s="149">
        <f>IF(S259&gt;0,VLOOKUP($J259,Ruimtegroepen[],3,FALSE)*VLOOKUP($L259,Vloersoorten[],3,FALSE)*VLOOKUP($R259,Frequenties[],3,FALSE)*VLOOKUP($A259,Locaties[],3,FALSE),0)</f>
        <v>0</v>
      </c>
      <c r="U259" s="149">
        <f>Ruimtestaat[[#This Row],[Uitvoeringen werkdagen]]*Ruimtestaat[[#This Row],[Oppervlak (netto)]]</f>
        <v>1789.1999999999998</v>
      </c>
      <c r="V259" s="179">
        <f>IF(T259&gt;0,Ruimtestaat[[#This Row],[Prest. (m2 /jaar) werkdagen]]/Ruimtestaat[[#This Row],[Norm (m2/uur) werkdagen]],0)</f>
        <v>0</v>
      </c>
      <c r="W259" s="180">
        <f>Ruimtestaat[[#This Row],[uren / jaar werkdagen]]*Tariefsopbouw!$E$35</f>
        <v>0</v>
      </c>
      <c r="X259" s="149"/>
      <c r="Y259" s="149">
        <f>IF(Ruimtestaat[[#This Row],[Frequentie weekend]]&gt;0,VALUE(LEFT(X259,1))*Q259,0)</f>
        <v>0</v>
      </c>
      <c r="Z259" s="148">
        <f>IF($Y259&gt;0,VLOOKUP($J259,Ruimtegroepen[],3,FALSE)*VLOOKUP($L259,Vloersoorten[],3,FALSE)*VLOOKUP($X259,Frequenties[],3,FALSE)*VLOOKUP(#REF!,Locaties[],3,FALSE),0)</f>
        <v>0</v>
      </c>
      <c r="AA259" s="148">
        <f>Ruimtestaat[[#This Row],[Uitvoeringen weekend]]*Ruimtestaat[[#This Row],[Oppervlak (netto)]]</f>
        <v>0</v>
      </c>
      <c r="AB259" s="148">
        <f>IF(Z259&gt;0,Ruimtestaat[[#This Row],[Prest. (m2 /jaar) weekend]]/Ruimtestaat[[#This Row],[Norm (m2/uur) weekend]],0)</f>
        <v>0</v>
      </c>
      <c r="AC259" s="180">
        <f>Ruimtestaat[[#This Row],[uren / jaar weekend]]*Tariefsopbouw!$D$40</f>
        <v>0</v>
      </c>
      <c r="AD259" s="179">
        <f>Ruimtestaat[[#This Row],[Prest. (m2 /jaar) weekend]]+Ruimtestaat[[#This Row],[Prest. (m2 /jaar) werkdagen]]</f>
        <v>1789.1999999999998</v>
      </c>
      <c r="AE259" s="179">
        <f>Ruimtestaat[[#This Row],[uren / jaar weekend]]+Ruimtestaat[[#This Row],[uren / jaar werkdagen]]</f>
        <v>0</v>
      </c>
      <c r="AF259" s="174">
        <f>Ruimtestaat[[#This Row],[kosten / jaar weekend]]+Ruimtestaat[[#This Row],[kosten / jaar werkdagen]]</f>
        <v>0</v>
      </c>
      <c r="AG259" s="174"/>
      <c r="AH259" s="174" t="str">
        <f>IF(Ruimtestaat[[#This Row],[Frequentie werkdagen]]="","",_xlfn.CONCAT(Ruimtestaat[[#This Row],[Ruimte code]],"-",Ruimtestaat[[#This Row],[Frequentie werkdagen]]," ",Ruimtestaat[[#This Row],[Vloer code]]))</f>
        <v>2-3w L</v>
      </c>
      <c r="AI259" s="185" t="str">
        <f>_xlfn.IFNA(VLOOKUP($AH259,Programma!$F$3:$G$1101,2,0),"")</f>
        <v>_</v>
      </c>
      <c r="AJ259" s="185" t="str">
        <f>_xlfn.IFNA(VLOOKUP($AH259,Programma!$F$3:$H$1101,3,0),"")</f>
        <v>_</v>
      </c>
      <c r="AK259" s="185" t="str">
        <f>_xlfn.IFNA(VLOOKUP($AH259,Programma!$F$3:$I$1101,4,0),"")</f>
        <v>2w</v>
      </c>
      <c r="AL259" s="185" t="str">
        <f>_xlfn.IFNA(VLOOKUP($AH259,Programma!$F$3:$J$1101,5,0),"")</f>
        <v>1w</v>
      </c>
      <c r="AM259" s="185" t="str">
        <f>_xlfn.IFNA(VLOOKUP($AH259,Programma!$F$3:$K$1101,6,0),"")</f>
        <v>_</v>
      </c>
      <c r="AN259" s="185" t="str">
        <f>_xlfn.IFNA(VLOOKUP($AH259,Programma!$F$3:$L$1101,7,0),"")</f>
        <v>_</v>
      </c>
      <c r="AO259" s="185" t="str">
        <f>_xlfn.IFNA(VLOOKUP($AH259,Programma!$F$3:$M$1101,8,0),"")</f>
        <v>_</v>
      </c>
      <c r="AP259" s="185" t="str">
        <f>_xlfn.IFNA(VLOOKUP($AH259,Programma!$F$3:$N$1101,9,0),"")</f>
        <v>_</v>
      </c>
      <c r="AQ259" s="185" t="str">
        <f>_xlfn.IFNA(VLOOKUP($AH259,Programma!$F$3:$O$1101,10,0),"")</f>
        <v>3w</v>
      </c>
      <c r="AR259" s="185" t="str">
        <f>_xlfn.IFNA(VLOOKUP($AH259,Programma!$F$3:$P$1101,11,0),"")</f>
        <v>3w</v>
      </c>
      <c r="AS259" s="185" t="str">
        <f>_xlfn.IFNA(VLOOKUP($AH259,Programma!$F$3:$Q$1101,12,0),"")</f>
        <v>1w</v>
      </c>
      <c r="AT259" s="185" t="str">
        <f>_xlfn.IFNA(VLOOKUP($AH259,Programma!$F$3:$R$1101,13,0),"")</f>
        <v>1w</v>
      </c>
      <c r="AU259" s="185" t="str">
        <f>_xlfn.IFNA(VLOOKUP($AH259,Programma!$F$3:$S$1101,14,0),"")</f>
        <v>1m</v>
      </c>
      <c r="AV259" s="185" t="str">
        <f>_xlfn.IFNA(VLOOKUP($AH259,Programma!$F$3:$T$1101,15,0),"")</f>
        <v>2j</v>
      </c>
      <c r="AW259" s="185" t="str">
        <f>_xlfn.IFNA(VLOOKUP($AH259,Programma!$F$3:$U$1101,16,0),"")</f>
        <v>1j</v>
      </c>
      <c r="AX259" s="185" t="str">
        <f>_xlfn.IFNA(VLOOKUP($AH259,Programma!$F$3:$V$1101,17,0),"")</f>
        <v>_</v>
      </c>
      <c r="AY259" s="185" t="str">
        <f>_xlfn.IFNA(VLOOKUP($AH259,Programma!$F$3:$W$1101,18,0),"")</f>
        <v>_</v>
      </c>
      <c r="AZ259" s="185" t="str">
        <f>_xlfn.IFNA(VLOOKUP($AH259,Programma!$F$3:$X$1101,19,0),"")</f>
        <v>_</v>
      </c>
      <c r="BA259" s="185" t="str">
        <f>_xlfn.IFNA(VLOOKUP($AH259,Programma!$F$3:$Y$1101,20,0),"")</f>
        <v>_</v>
      </c>
      <c r="BB259" s="182"/>
      <c r="BC259" s="174" t="str">
        <f>IF(Ruimtestaat[[#This Row],[Frequentie weekend]]="","",_xlfn.CONCAT(Ruimtestaat[[#This Row],[Ruimte code]],"-",Ruimtestaat[[#This Row],[Frequentie weekend]]," ",Ruimtestaat[[#This Row],[Vloer code]]))</f>
        <v/>
      </c>
      <c r="BD259" s="185" t="str">
        <f>_xlfn.IFNA(VLOOKUP($BC259,Programma!$F$3:$G$1101,2,0),"")</f>
        <v/>
      </c>
      <c r="BE259" s="185" t="str">
        <f>_xlfn.IFNA(VLOOKUP($BC259,Programma!$F$3:$H$1101,3,0),"")</f>
        <v/>
      </c>
      <c r="BF259" s="185" t="str">
        <f>_xlfn.IFNA(VLOOKUP($BC259,Programma!$F$3:$I$1101,4,0),"")</f>
        <v/>
      </c>
      <c r="BG259" s="185" t="str">
        <f>_xlfn.IFNA(VLOOKUP($BC259,Programma!$F$3:$J$1101,5,0),"")</f>
        <v/>
      </c>
      <c r="BH259" s="185" t="str">
        <f>_xlfn.IFNA(VLOOKUP($BC259,Programma!$F$3:$K$1101,6,0),"")</f>
        <v/>
      </c>
      <c r="BI259" s="185" t="str">
        <f>_xlfn.IFNA(VLOOKUP($BC259,Programma!$F$3:$L$1101,7,0),"")</f>
        <v/>
      </c>
      <c r="BJ259" s="185" t="str">
        <f>_xlfn.IFNA(VLOOKUP($BC259,Programma!$F$3:$M$1101,8,0),"")</f>
        <v/>
      </c>
      <c r="BK259" s="185" t="str">
        <f>_xlfn.IFNA(VLOOKUP($BC259,Programma!$F$3:$N$1101,9,0),"")</f>
        <v/>
      </c>
      <c r="BL259" s="185" t="str">
        <f>_xlfn.IFNA(VLOOKUP($BC259,Programma!$F$3:$O$1101,10,0),"")</f>
        <v/>
      </c>
      <c r="BM259" s="185" t="str">
        <f>_xlfn.IFNA(VLOOKUP($BC259,Programma!$F$3:$P$1101,11,0),"")</f>
        <v/>
      </c>
      <c r="BN259" s="185" t="str">
        <f>_xlfn.IFNA(VLOOKUP($BC259,Programma!$F$3:$Q$1101,12,0),"")</f>
        <v/>
      </c>
      <c r="BO259" s="185" t="str">
        <f>_xlfn.IFNA(VLOOKUP($BC259,Programma!$F$3:$R$1101,13,0),"")</f>
        <v/>
      </c>
      <c r="BP259" s="185" t="str">
        <f>_xlfn.IFNA(VLOOKUP($BC259,Programma!$F$3:$S$1101,14,0),"")</f>
        <v/>
      </c>
      <c r="BQ259" s="185" t="str">
        <f>_xlfn.IFNA(VLOOKUP($BC259,Programma!$F$3:$T$1101,15,0),"")</f>
        <v/>
      </c>
      <c r="BR259" s="185" t="str">
        <f>_xlfn.IFNA(VLOOKUP($BC259,Programma!$F$3:$U$1101,16,0),"")</f>
        <v/>
      </c>
      <c r="BS259" s="185" t="str">
        <f>_xlfn.IFNA(VLOOKUP($BC259,Programma!$F$3:$V$1101,17,0),"")</f>
        <v/>
      </c>
      <c r="BT259" s="185" t="str">
        <f>_xlfn.IFNA(VLOOKUP($BC259,Programma!$F$3:$W$1101,18,0),"")</f>
        <v/>
      </c>
      <c r="BU259" s="185" t="str">
        <f>_xlfn.IFNA(VLOOKUP($BC259,Programma!$F$3:$X$1101,19,0),"")</f>
        <v/>
      </c>
      <c r="BV259" s="185" t="str">
        <f>_xlfn.IFNA(VLOOKUP($BC259,Programma!$F$3:$Y$1101,20,0),"")</f>
        <v/>
      </c>
    </row>
    <row r="260" spans="1:74" s="78" customFormat="1" ht="15" customHeight="1">
      <c r="A260" s="99">
        <v>8</v>
      </c>
      <c r="B260" s="176" t="str">
        <f>VLOOKUP(Ruimtestaat[[#This Row],[Code]],Locaties[[Code]:[Locatie]],2,FALSE)</f>
        <v>OBS Roombeek</v>
      </c>
      <c r="C260" s="176" t="str">
        <f>VLOOKUP(Ruimtestaat[[#This Row],[Code]],Locaties[[#All],[Code]:[Adres]],4,FALSE)</f>
        <v>Bosuilstraat 3</v>
      </c>
      <c r="D260" s="176" t="str">
        <f>VLOOKUP(Ruimtestaat[[#This Row],[Code]],Locaties[[#All],[Code]:[Postcode]],5,FALSE)</f>
        <v>7523 BJ</v>
      </c>
      <c r="E260" s="176" t="str">
        <f>VLOOKUP(Ruimtestaat[[#This Row],[Code]],Locaties[#All],6,FALSE)</f>
        <v>Enschede</v>
      </c>
      <c r="F260" s="149"/>
      <c r="G260" s="149" t="s">
        <v>1646</v>
      </c>
      <c r="H260" s="99" t="s">
        <v>1895</v>
      </c>
      <c r="I260" s="183" t="s">
        <v>1685</v>
      </c>
      <c r="J260" s="99">
        <v>20</v>
      </c>
      <c r="K260" s="183" t="str">
        <f>VLOOKUP(Ruimtestaat[[#This Row],[Ruimte code]],Ruimtegroepen[[#All],[Code]:[Ruimte omschrijving]],2,FALSE)</f>
        <v>Niet in Onderhoud</v>
      </c>
      <c r="L260" s="149" t="s">
        <v>100</v>
      </c>
      <c r="M260" s="301" t="s">
        <v>1697</v>
      </c>
      <c r="N260" s="177"/>
      <c r="O260" s="177">
        <v>20</v>
      </c>
      <c r="P260" s="178">
        <f>VLOOKUP(Ruimtestaat[[#This Row],[Ruimte code]],Ruimtegroepen[],4,FALSE)</f>
        <v>0</v>
      </c>
      <c r="Q260" s="149"/>
      <c r="R260" s="149"/>
      <c r="S260" s="149">
        <f>IF(Q260&gt;0,IF(RIGHT(Ruimtestaat[[#This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0" s="149">
        <f>IF(S260&gt;0,VLOOKUP($J260,Ruimtegroepen[],3,FALSE)*VLOOKUP($L260,Vloersoorten[],3,FALSE)*VLOOKUP($R260,Frequenties[],3,FALSE)*VLOOKUP($A260,Locaties[],3,FALSE),0)</f>
        <v>0</v>
      </c>
      <c r="U260" s="149">
        <f>Ruimtestaat[[#This Row],[Uitvoeringen werkdagen]]*Ruimtestaat[[#This Row],[Oppervlak (netto)]]</f>
        <v>0</v>
      </c>
      <c r="V260" s="179">
        <f>IF(T260&gt;0,Ruimtestaat[[#This Row],[Prest. (m2 /jaar) werkdagen]]/Ruimtestaat[[#This Row],[Norm (m2/uur) werkdagen]],0)</f>
        <v>0</v>
      </c>
      <c r="W260" s="180">
        <f>Ruimtestaat[[#This Row],[uren / jaar werkdagen]]*Tariefsopbouw!$E$35</f>
        <v>0</v>
      </c>
      <c r="X260" s="149"/>
      <c r="Y260" s="149">
        <f>IF(Ruimtestaat[[#This Row],[Frequentie weekend]]&gt;0,VALUE(LEFT(X260,1))*Q260,0)</f>
        <v>0</v>
      </c>
      <c r="Z260" s="148">
        <f>IF($Y260&gt;0,VLOOKUP($J260,Ruimtegroepen[],3,FALSE)*VLOOKUP($L260,Vloersoorten[],3,FALSE)*VLOOKUP($X260,Frequenties[],3,FALSE)*VLOOKUP(#REF!,Locaties[],3,FALSE),0)</f>
        <v>0</v>
      </c>
      <c r="AA260" s="148">
        <f>Ruimtestaat[[#This Row],[Uitvoeringen weekend]]*Ruimtestaat[[#This Row],[Oppervlak (netto)]]</f>
        <v>0</v>
      </c>
      <c r="AB260" s="148">
        <f>IF(Z260&gt;0,Ruimtestaat[[#This Row],[Prest. (m2 /jaar) weekend]]/Ruimtestaat[[#This Row],[Norm (m2/uur) weekend]],0)</f>
        <v>0</v>
      </c>
      <c r="AC260" s="180">
        <f>Ruimtestaat[[#This Row],[uren / jaar weekend]]*Tariefsopbouw!$D$40</f>
        <v>0</v>
      </c>
      <c r="AD260" s="179">
        <f>Ruimtestaat[[#This Row],[Prest. (m2 /jaar) weekend]]+Ruimtestaat[[#This Row],[Prest. (m2 /jaar) werkdagen]]</f>
        <v>0</v>
      </c>
      <c r="AE260" s="179">
        <f>Ruimtestaat[[#This Row],[uren / jaar weekend]]+Ruimtestaat[[#This Row],[uren / jaar werkdagen]]</f>
        <v>0</v>
      </c>
      <c r="AF260" s="174">
        <f>Ruimtestaat[[#This Row],[kosten / jaar weekend]]+Ruimtestaat[[#This Row],[kosten / jaar werkdagen]]</f>
        <v>0</v>
      </c>
      <c r="AG260" s="174"/>
      <c r="AH260" s="174" t="str">
        <f>IF(Ruimtestaat[[#This Row],[Frequentie werkdagen]]="","",_xlfn.CONCAT(Ruimtestaat[[#This Row],[Ruimte code]],"-",Ruimtestaat[[#This Row],[Frequentie werkdagen]]," ",Ruimtestaat[[#This Row],[Vloer code]]))</f>
        <v/>
      </c>
      <c r="AI260" s="185" t="str">
        <f>_xlfn.IFNA(VLOOKUP($AH260,Programma!$F$3:$G$1101,2,0),"")</f>
        <v/>
      </c>
      <c r="AJ260" s="185" t="str">
        <f>_xlfn.IFNA(VLOOKUP($AH260,Programma!$F$3:$H$1101,3,0),"")</f>
        <v/>
      </c>
      <c r="AK260" s="185" t="str">
        <f>_xlfn.IFNA(VLOOKUP($AH260,Programma!$F$3:$I$1101,4,0),"")</f>
        <v/>
      </c>
      <c r="AL260" s="185" t="str">
        <f>_xlfn.IFNA(VLOOKUP($AH260,Programma!$F$3:$J$1101,5,0),"")</f>
        <v/>
      </c>
      <c r="AM260" s="185" t="str">
        <f>_xlfn.IFNA(VLOOKUP($AH260,Programma!$F$3:$K$1101,6,0),"")</f>
        <v/>
      </c>
      <c r="AN260" s="185" t="str">
        <f>_xlfn.IFNA(VLOOKUP($AH260,Programma!$F$3:$L$1101,7,0),"")</f>
        <v/>
      </c>
      <c r="AO260" s="185" t="str">
        <f>_xlfn.IFNA(VLOOKUP($AH260,Programma!$F$3:$M$1101,8,0),"")</f>
        <v/>
      </c>
      <c r="AP260" s="185" t="str">
        <f>_xlfn.IFNA(VLOOKUP($AH260,Programma!$F$3:$N$1101,9,0),"")</f>
        <v/>
      </c>
      <c r="AQ260" s="185" t="str">
        <f>_xlfn.IFNA(VLOOKUP($AH260,Programma!$F$3:$O$1101,10,0),"")</f>
        <v/>
      </c>
      <c r="AR260" s="185" t="str">
        <f>_xlfn.IFNA(VLOOKUP($AH260,Programma!$F$3:$P$1101,11,0),"")</f>
        <v/>
      </c>
      <c r="AS260" s="185" t="str">
        <f>_xlfn.IFNA(VLOOKUP($AH260,Programma!$F$3:$Q$1101,12,0),"")</f>
        <v/>
      </c>
      <c r="AT260" s="185" t="str">
        <f>_xlfn.IFNA(VLOOKUP($AH260,Programma!$F$3:$R$1101,13,0),"")</f>
        <v/>
      </c>
      <c r="AU260" s="185" t="str">
        <f>_xlfn.IFNA(VLOOKUP($AH260,Programma!$F$3:$S$1101,14,0),"")</f>
        <v/>
      </c>
      <c r="AV260" s="185" t="str">
        <f>_xlfn.IFNA(VLOOKUP($AH260,Programma!$F$3:$T$1101,15,0),"")</f>
        <v/>
      </c>
      <c r="AW260" s="185" t="str">
        <f>_xlfn.IFNA(VLOOKUP($AH260,Programma!$F$3:$U$1101,16,0),"")</f>
        <v/>
      </c>
      <c r="AX260" s="185" t="str">
        <f>_xlfn.IFNA(VLOOKUP($AH260,Programma!$F$3:$V$1101,17,0),"")</f>
        <v/>
      </c>
      <c r="AY260" s="185" t="str">
        <f>_xlfn.IFNA(VLOOKUP($AH260,Programma!$F$3:$W$1101,18,0),"")</f>
        <v/>
      </c>
      <c r="AZ260" s="185" t="str">
        <f>_xlfn.IFNA(VLOOKUP($AH260,Programma!$F$3:$X$1101,19,0),"")</f>
        <v/>
      </c>
      <c r="BA260" s="185" t="str">
        <f>_xlfn.IFNA(VLOOKUP($AH260,Programma!$F$3:$Y$1101,20,0),"")</f>
        <v/>
      </c>
      <c r="BB260" s="182"/>
      <c r="BC260" s="174" t="str">
        <f>IF(Ruimtestaat[[#This Row],[Frequentie weekend]]="","",_xlfn.CONCAT(Ruimtestaat[[#This Row],[Ruimte code]],"-",Ruimtestaat[[#This Row],[Frequentie weekend]]," ",Ruimtestaat[[#This Row],[Vloer code]]))</f>
        <v/>
      </c>
      <c r="BD260" s="185" t="str">
        <f>_xlfn.IFNA(VLOOKUP($BC260,Programma!$F$3:$G$1101,2,0),"")</f>
        <v/>
      </c>
      <c r="BE260" s="185" t="str">
        <f>_xlfn.IFNA(VLOOKUP($BC260,Programma!$F$3:$H$1101,3,0),"")</f>
        <v/>
      </c>
      <c r="BF260" s="185" t="str">
        <f>_xlfn.IFNA(VLOOKUP($BC260,Programma!$F$3:$I$1101,4,0),"")</f>
        <v/>
      </c>
      <c r="BG260" s="185" t="str">
        <f>_xlfn.IFNA(VLOOKUP($BC260,Programma!$F$3:$J$1101,5,0),"")</f>
        <v/>
      </c>
      <c r="BH260" s="185" t="str">
        <f>_xlfn.IFNA(VLOOKUP($BC260,Programma!$F$3:$K$1101,6,0),"")</f>
        <v/>
      </c>
      <c r="BI260" s="185" t="str">
        <f>_xlfn.IFNA(VLOOKUP($BC260,Programma!$F$3:$L$1101,7,0),"")</f>
        <v/>
      </c>
      <c r="BJ260" s="185" t="str">
        <f>_xlfn.IFNA(VLOOKUP($BC260,Programma!$F$3:$M$1101,8,0),"")</f>
        <v/>
      </c>
      <c r="BK260" s="185" t="str">
        <f>_xlfn.IFNA(VLOOKUP($BC260,Programma!$F$3:$N$1101,9,0),"")</f>
        <v/>
      </c>
      <c r="BL260" s="185" t="str">
        <f>_xlfn.IFNA(VLOOKUP($BC260,Programma!$F$3:$O$1101,10,0),"")</f>
        <v/>
      </c>
      <c r="BM260" s="185" t="str">
        <f>_xlfn.IFNA(VLOOKUP($BC260,Programma!$F$3:$P$1101,11,0),"")</f>
        <v/>
      </c>
      <c r="BN260" s="185" t="str">
        <f>_xlfn.IFNA(VLOOKUP($BC260,Programma!$F$3:$Q$1101,12,0),"")</f>
        <v/>
      </c>
      <c r="BO260" s="185" t="str">
        <f>_xlfn.IFNA(VLOOKUP($BC260,Programma!$F$3:$R$1101,13,0),"")</f>
        <v/>
      </c>
      <c r="BP260" s="185" t="str">
        <f>_xlfn.IFNA(VLOOKUP($BC260,Programma!$F$3:$S$1101,14,0),"")</f>
        <v/>
      </c>
      <c r="BQ260" s="185" t="str">
        <f>_xlfn.IFNA(VLOOKUP($BC260,Programma!$F$3:$T$1101,15,0),"")</f>
        <v/>
      </c>
      <c r="BR260" s="185" t="str">
        <f>_xlfn.IFNA(VLOOKUP($BC260,Programma!$F$3:$U$1101,16,0),"")</f>
        <v/>
      </c>
      <c r="BS260" s="185" t="str">
        <f>_xlfn.IFNA(VLOOKUP($BC260,Programma!$F$3:$V$1101,17,0),"")</f>
        <v/>
      </c>
      <c r="BT260" s="185" t="str">
        <f>_xlfn.IFNA(VLOOKUP($BC260,Programma!$F$3:$W$1101,18,0),"")</f>
        <v/>
      </c>
      <c r="BU260" s="185" t="str">
        <f>_xlfn.IFNA(VLOOKUP($BC260,Programma!$F$3:$X$1101,19,0),"")</f>
        <v/>
      </c>
      <c r="BV260" s="185" t="str">
        <f>_xlfn.IFNA(VLOOKUP($BC260,Programma!$F$3:$Y$1101,20,0),"")</f>
        <v/>
      </c>
    </row>
    <row r="261" spans="1:74" s="78" customFormat="1" ht="15" customHeight="1">
      <c r="A261" s="99">
        <v>8</v>
      </c>
      <c r="B261" s="176" t="str">
        <f>VLOOKUP(Ruimtestaat[[#This Row],[Code]],Locaties[[Code]:[Locatie]],2,FALSE)</f>
        <v>OBS Roombeek</v>
      </c>
      <c r="C261" s="176" t="str">
        <f>VLOOKUP(Ruimtestaat[[#This Row],[Code]],Locaties[[#All],[Code]:[Adres]],4,FALSE)</f>
        <v>Bosuilstraat 3</v>
      </c>
      <c r="D261" s="176" t="str">
        <f>VLOOKUP(Ruimtestaat[[#This Row],[Code]],Locaties[[#All],[Code]:[Postcode]],5,FALSE)</f>
        <v>7523 BJ</v>
      </c>
      <c r="E261" s="176" t="str">
        <f>VLOOKUP(Ruimtestaat[[#This Row],[Code]],Locaties[#All],6,FALSE)</f>
        <v>Enschede</v>
      </c>
      <c r="F261" s="149"/>
      <c r="G261" s="149" t="s">
        <v>1646</v>
      </c>
      <c r="H261" s="99" t="s">
        <v>1896</v>
      </c>
      <c r="I261" s="183" t="s">
        <v>1789</v>
      </c>
      <c r="J261" s="99">
        <v>10</v>
      </c>
      <c r="K261" s="183" t="str">
        <f>VLOOKUP(Ruimtestaat[[#This Row],[Ruimte code]],Ruimtegroepen[[#All],[Code]:[Ruimte omschrijving]],2,FALSE)</f>
        <v>Trappenhuizen/lift</v>
      </c>
      <c r="L261" s="149" t="s">
        <v>100</v>
      </c>
      <c r="M261" s="301" t="s">
        <v>1697</v>
      </c>
      <c r="N261" s="177">
        <v>20.9</v>
      </c>
      <c r="O261" s="177"/>
      <c r="P261" s="178" t="str">
        <f>VLOOKUP(Ruimtestaat[[#This Row],[Ruimte code]],Ruimtegroepen[],4,FALSE)</f>
        <v>Ve</v>
      </c>
      <c r="Q261" s="149">
        <v>42</v>
      </c>
      <c r="R261" s="149" t="s">
        <v>2</v>
      </c>
      <c r="S261" s="149">
        <f>IF(Q261&gt;0,IF(RIGHT(Ruimtestaat[[#This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61" s="149">
        <f>IF(S261&gt;0,VLOOKUP($J261,Ruimtegroepen[],3,FALSE)*VLOOKUP($L261,Vloersoorten[],3,FALSE)*VLOOKUP($R261,Frequenties[],3,FALSE)*VLOOKUP($A261,Locaties[],3,FALSE),0)</f>
        <v>0</v>
      </c>
      <c r="U261" s="149">
        <f>Ruimtestaat[[#This Row],[Uitvoeringen werkdagen]]*Ruimtestaat[[#This Row],[Oppervlak (netto)]]</f>
        <v>4389</v>
      </c>
      <c r="V261" s="179">
        <f>IF(T261&gt;0,Ruimtestaat[[#This Row],[Prest. (m2 /jaar) werkdagen]]/Ruimtestaat[[#This Row],[Norm (m2/uur) werkdagen]],0)</f>
        <v>0</v>
      </c>
      <c r="W261" s="180">
        <f>Ruimtestaat[[#This Row],[uren / jaar werkdagen]]*Tariefsopbouw!$E$35</f>
        <v>0</v>
      </c>
      <c r="X261" s="149"/>
      <c r="Y261" s="149">
        <f>IF(Ruimtestaat[[#This Row],[Frequentie weekend]]&gt;0,VALUE(LEFT(X261,1))*Q261,0)</f>
        <v>0</v>
      </c>
      <c r="Z261" s="148">
        <f>IF($Y261&gt;0,VLOOKUP($J261,Ruimtegroepen[],3,FALSE)*VLOOKUP($L261,Vloersoorten[],3,FALSE)*VLOOKUP($X261,Frequenties[],3,FALSE)*VLOOKUP(#REF!,Locaties[],3,FALSE),0)</f>
        <v>0</v>
      </c>
      <c r="AA261" s="148">
        <f>Ruimtestaat[[#This Row],[Uitvoeringen weekend]]*Ruimtestaat[[#This Row],[Oppervlak (netto)]]</f>
        <v>0</v>
      </c>
      <c r="AB261" s="148">
        <f>IF(Z261&gt;0,Ruimtestaat[[#This Row],[Prest. (m2 /jaar) weekend]]/Ruimtestaat[[#This Row],[Norm (m2/uur) weekend]],0)</f>
        <v>0</v>
      </c>
      <c r="AC261" s="180">
        <f>Ruimtestaat[[#This Row],[uren / jaar weekend]]*Tariefsopbouw!$D$40</f>
        <v>0</v>
      </c>
      <c r="AD261" s="179">
        <f>Ruimtestaat[[#This Row],[Prest. (m2 /jaar) weekend]]+Ruimtestaat[[#This Row],[Prest. (m2 /jaar) werkdagen]]</f>
        <v>4389</v>
      </c>
      <c r="AE261" s="179">
        <f>Ruimtestaat[[#This Row],[uren / jaar weekend]]+Ruimtestaat[[#This Row],[uren / jaar werkdagen]]</f>
        <v>0</v>
      </c>
      <c r="AF261" s="174">
        <f>Ruimtestaat[[#This Row],[kosten / jaar weekend]]+Ruimtestaat[[#This Row],[kosten / jaar werkdagen]]</f>
        <v>0</v>
      </c>
      <c r="AG261" s="174"/>
      <c r="AH261" s="174" t="str">
        <f>IF(Ruimtestaat[[#This Row],[Frequentie werkdagen]]="","",_xlfn.CONCAT(Ruimtestaat[[#This Row],[Ruimte code]],"-",Ruimtestaat[[#This Row],[Frequentie werkdagen]]," ",Ruimtestaat[[#This Row],[Vloer code]]))</f>
        <v>10-5w L</v>
      </c>
      <c r="AI261" s="185" t="str">
        <f>_xlfn.IFNA(VLOOKUP($AH261,Programma!$F$3:$G$1101,2,0),"")</f>
        <v>_</v>
      </c>
      <c r="AJ261" s="185" t="str">
        <f>_xlfn.IFNA(VLOOKUP($AH261,Programma!$F$3:$H$1101,3,0),"")</f>
        <v>_</v>
      </c>
      <c r="AK261" s="185" t="str">
        <f>_xlfn.IFNA(VLOOKUP($AH261,Programma!$F$3:$I$1101,4,0),"")</f>
        <v>4w</v>
      </c>
      <c r="AL261" s="185" t="str">
        <f>_xlfn.IFNA(VLOOKUP($AH261,Programma!$F$3:$J$1101,5,0),"")</f>
        <v>1w</v>
      </c>
      <c r="AM261" s="185" t="str">
        <f>_xlfn.IFNA(VLOOKUP($AH261,Programma!$F$3:$K$1101,6,0),"")</f>
        <v>_</v>
      </c>
      <c r="AN261" s="185" t="str">
        <f>_xlfn.IFNA(VLOOKUP($AH261,Programma!$F$3:$L$1101,7,0),"")</f>
        <v>_</v>
      </c>
      <c r="AO261" s="185" t="str">
        <f>_xlfn.IFNA(VLOOKUP($AH261,Programma!$F$3:$M$1101,8,0),"")</f>
        <v>_</v>
      </c>
      <c r="AP261" s="185" t="str">
        <f>_xlfn.IFNA(VLOOKUP($AH261,Programma!$F$3:$N$1101,9,0),"")</f>
        <v>_</v>
      </c>
      <c r="AQ261" s="185" t="str">
        <f>_xlfn.IFNA(VLOOKUP($AH261,Programma!$F$3:$O$1101,10,0),"")</f>
        <v>5w</v>
      </c>
      <c r="AR261" s="185" t="str">
        <f>_xlfn.IFNA(VLOOKUP($AH261,Programma!$F$3:$P$1101,11,0),"")</f>
        <v>5w</v>
      </c>
      <c r="AS261" s="185" t="str">
        <f>_xlfn.IFNA(VLOOKUP($AH261,Programma!$F$3:$Q$1101,12,0),"")</f>
        <v>1w</v>
      </c>
      <c r="AT261" s="185" t="str">
        <f>_xlfn.IFNA(VLOOKUP($AH261,Programma!$F$3:$R$1101,13,0),"")</f>
        <v>1w</v>
      </c>
      <c r="AU261" s="185" t="str">
        <f>_xlfn.IFNA(VLOOKUP($AH261,Programma!$F$3:$S$1101,14,0),"")</f>
        <v>1m</v>
      </c>
      <c r="AV261" s="185" t="str">
        <f>_xlfn.IFNA(VLOOKUP($AH261,Programma!$F$3:$T$1101,15,0),"")</f>
        <v>2j</v>
      </c>
      <c r="AW261" s="185" t="str">
        <f>_xlfn.IFNA(VLOOKUP($AH261,Programma!$F$3:$U$1101,16,0),"")</f>
        <v>1j</v>
      </c>
      <c r="AX261" s="185" t="str">
        <f>_xlfn.IFNA(VLOOKUP($AH261,Programma!$F$3:$V$1101,17,0),"")</f>
        <v>_</v>
      </c>
      <c r="AY261" s="185" t="str">
        <f>_xlfn.IFNA(VLOOKUP($AH261,Programma!$F$3:$W$1101,18,0),"")</f>
        <v>_</v>
      </c>
      <c r="AZ261" s="185" t="str">
        <f>_xlfn.IFNA(VLOOKUP($AH261,Programma!$F$3:$X$1101,19,0),"")</f>
        <v>_</v>
      </c>
      <c r="BA261" s="185" t="str">
        <f>_xlfn.IFNA(VLOOKUP($AH261,Programma!$F$3:$Y$1101,20,0),"")</f>
        <v>_</v>
      </c>
      <c r="BB261" s="182"/>
      <c r="BC261" s="174" t="str">
        <f>IF(Ruimtestaat[[#This Row],[Frequentie weekend]]="","",_xlfn.CONCAT(Ruimtestaat[[#This Row],[Ruimte code]],"-",Ruimtestaat[[#This Row],[Frequentie weekend]]," ",Ruimtestaat[[#This Row],[Vloer code]]))</f>
        <v/>
      </c>
      <c r="BD261" s="185" t="str">
        <f>_xlfn.IFNA(VLOOKUP($BC261,Programma!$F$3:$G$1101,2,0),"")</f>
        <v/>
      </c>
      <c r="BE261" s="185" t="str">
        <f>_xlfn.IFNA(VLOOKUP($BC261,Programma!$F$3:$H$1101,3,0),"")</f>
        <v/>
      </c>
      <c r="BF261" s="185" t="str">
        <f>_xlfn.IFNA(VLOOKUP($BC261,Programma!$F$3:$I$1101,4,0),"")</f>
        <v/>
      </c>
      <c r="BG261" s="185" t="str">
        <f>_xlfn.IFNA(VLOOKUP($BC261,Programma!$F$3:$J$1101,5,0),"")</f>
        <v/>
      </c>
      <c r="BH261" s="185" t="str">
        <f>_xlfn.IFNA(VLOOKUP($BC261,Programma!$F$3:$K$1101,6,0),"")</f>
        <v/>
      </c>
      <c r="BI261" s="185" t="str">
        <f>_xlfn.IFNA(VLOOKUP($BC261,Programma!$F$3:$L$1101,7,0),"")</f>
        <v/>
      </c>
      <c r="BJ261" s="185" t="str">
        <f>_xlfn.IFNA(VLOOKUP($BC261,Programma!$F$3:$M$1101,8,0),"")</f>
        <v/>
      </c>
      <c r="BK261" s="185" t="str">
        <f>_xlfn.IFNA(VLOOKUP($BC261,Programma!$F$3:$N$1101,9,0),"")</f>
        <v/>
      </c>
      <c r="BL261" s="185" t="str">
        <f>_xlfn.IFNA(VLOOKUP($BC261,Programma!$F$3:$O$1101,10,0),"")</f>
        <v/>
      </c>
      <c r="BM261" s="185" t="str">
        <f>_xlfn.IFNA(VLOOKUP($BC261,Programma!$F$3:$P$1101,11,0),"")</f>
        <v/>
      </c>
      <c r="BN261" s="185" t="str">
        <f>_xlfn.IFNA(VLOOKUP($BC261,Programma!$F$3:$Q$1101,12,0),"")</f>
        <v/>
      </c>
      <c r="BO261" s="185" t="str">
        <f>_xlfn.IFNA(VLOOKUP($BC261,Programma!$F$3:$R$1101,13,0),"")</f>
        <v/>
      </c>
      <c r="BP261" s="185" t="str">
        <f>_xlfn.IFNA(VLOOKUP($BC261,Programma!$F$3:$S$1101,14,0),"")</f>
        <v/>
      </c>
      <c r="BQ261" s="185" t="str">
        <f>_xlfn.IFNA(VLOOKUP($BC261,Programma!$F$3:$T$1101,15,0),"")</f>
        <v/>
      </c>
      <c r="BR261" s="185" t="str">
        <f>_xlfn.IFNA(VLOOKUP($BC261,Programma!$F$3:$U$1101,16,0),"")</f>
        <v/>
      </c>
      <c r="BS261" s="185" t="str">
        <f>_xlfn.IFNA(VLOOKUP($BC261,Programma!$F$3:$V$1101,17,0),"")</f>
        <v/>
      </c>
      <c r="BT261" s="185" t="str">
        <f>_xlfn.IFNA(VLOOKUP($BC261,Programma!$F$3:$W$1101,18,0),"")</f>
        <v/>
      </c>
      <c r="BU261" s="185" t="str">
        <f>_xlfn.IFNA(VLOOKUP($BC261,Programma!$F$3:$X$1101,19,0),"")</f>
        <v/>
      </c>
      <c r="BV261" s="185" t="str">
        <f>_xlfn.IFNA(VLOOKUP($BC261,Programma!$F$3:$Y$1101,20,0),"")</f>
        <v/>
      </c>
    </row>
    <row r="262" spans="1:74" s="78" customFormat="1" ht="15" customHeight="1">
      <c r="A262" s="99">
        <v>8</v>
      </c>
      <c r="B262" s="176" t="str">
        <f>VLOOKUP(Ruimtestaat[[#This Row],[Code]],Locaties[[Code]:[Locatie]],2,FALSE)</f>
        <v>OBS Roombeek</v>
      </c>
      <c r="C262" s="176" t="str">
        <f>VLOOKUP(Ruimtestaat[[#This Row],[Code]],Locaties[[#All],[Code]:[Adres]],4,FALSE)</f>
        <v>Bosuilstraat 3</v>
      </c>
      <c r="D262" s="176" t="str">
        <f>VLOOKUP(Ruimtestaat[[#This Row],[Code]],Locaties[[#All],[Code]:[Postcode]],5,FALSE)</f>
        <v>7523 BJ</v>
      </c>
      <c r="E262" s="176" t="str">
        <f>VLOOKUP(Ruimtestaat[[#This Row],[Code]],Locaties[#All],6,FALSE)</f>
        <v>Enschede</v>
      </c>
      <c r="F262" s="149"/>
      <c r="G262" s="149" t="s">
        <v>1646</v>
      </c>
      <c r="H262" s="99" t="s">
        <v>1897</v>
      </c>
      <c r="I262" s="183" t="s">
        <v>1658</v>
      </c>
      <c r="J262" s="99">
        <v>10</v>
      </c>
      <c r="K262" s="183" t="str">
        <f>VLOOKUP(Ruimtestaat[[#This Row],[Ruimte code]],Ruimtegroepen[[#All],[Code]:[Ruimte omschrijving]],2,FALSE)</f>
        <v>Trappenhuizen/lift</v>
      </c>
      <c r="L262" s="149" t="s">
        <v>100</v>
      </c>
      <c r="M262" s="301" t="s">
        <v>1697</v>
      </c>
      <c r="N262" s="177">
        <v>64.400000000000006</v>
      </c>
      <c r="O262" s="177"/>
      <c r="P262" s="178" t="str">
        <f>VLOOKUP(Ruimtestaat[[#This Row],[Ruimte code]],Ruimtegroepen[],4,FALSE)</f>
        <v>Ve</v>
      </c>
      <c r="Q262" s="149">
        <v>42</v>
      </c>
      <c r="R262" s="149" t="s">
        <v>2</v>
      </c>
      <c r="S262" s="149">
        <f>IF(Q262&gt;0,IF(RIGHT(Ruimtestaat[[#This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62" s="149">
        <f>IF(S262&gt;0,VLOOKUP($J262,Ruimtegroepen[],3,FALSE)*VLOOKUP($L262,Vloersoorten[],3,FALSE)*VLOOKUP($R262,Frequenties[],3,FALSE)*VLOOKUP($A262,Locaties[],3,FALSE),0)</f>
        <v>0</v>
      </c>
      <c r="U262" s="149">
        <f>Ruimtestaat[[#This Row],[Uitvoeringen werkdagen]]*Ruimtestaat[[#This Row],[Oppervlak (netto)]]</f>
        <v>13524.000000000002</v>
      </c>
      <c r="V262" s="179">
        <f>IF(T262&gt;0,Ruimtestaat[[#This Row],[Prest. (m2 /jaar) werkdagen]]/Ruimtestaat[[#This Row],[Norm (m2/uur) werkdagen]],0)</f>
        <v>0</v>
      </c>
      <c r="W262" s="180">
        <f>Ruimtestaat[[#This Row],[uren / jaar werkdagen]]*Tariefsopbouw!$E$35</f>
        <v>0</v>
      </c>
      <c r="X262" s="149"/>
      <c r="Y262" s="149">
        <f>IF(Ruimtestaat[[#This Row],[Frequentie weekend]]&gt;0,VALUE(LEFT(X262,1))*Q262,0)</f>
        <v>0</v>
      </c>
      <c r="Z262" s="148">
        <f>IF($Y262&gt;0,VLOOKUP($J262,Ruimtegroepen[],3,FALSE)*VLOOKUP($L262,Vloersoorten[],3,FALSE)*VLOOKUP($X262,Frequenties[],3,FALSE)*VLOOKUP(#REF!,Locaties[],3,FALSE),0)</f>
        <v>0</v>
      </c>
      <c r="AA262" s="148">
        <f>Ruimtestaat[[#This Row],[Uitvoeringen weekend]]*Ruimtestaat[[#This Row],[Oppervlak (netto)]]</f>
        <v>0</v>
      </c>
      <c r="AB262" s="148">
        <f>IF(Z262&gt;0,Ruimtestaat[[#This Row],[Prest. (m2 /jaar) weekend]]/Ruimtestaat[[#This Row],[Norm (m2/uur) weekend]],0)</f>
        <v>0</v>
      </c>
      <c r="AC262" s="180">
        <f>Ruimtestaat[[#This Row],[uren / jaar weekend]]*Tariefsopbouw!$D$40</f>
        <v>0</v>
      </c>
      <c r="AD262" s="179">
        <f>Ruimtestaat[[#This Row],[Prest. (m2 /jaar) weekend]]+Ruimtestaat[[#This Row],[Prest. (m2 /jaar) werkdagen]]</f>
        <v>13524.000000000002</v>
      </c>
      <c r="AE262" s="179">
        <f>Ruimtestaat[[#This Row],[uren / jaar weekend]]+Ruimtestaat[[#This Row],[uren / jaar werkdagen]]</f>
        <v>0</v>
      </c>
      <c r="AF262" s="174">
        <f>Ruimtestaat[[#This Row],[kosten / jaar weekend]]+Ruimtestaat[[#This Row],[kosten / jaar werkdagen]]</f>
        <v>0</v>
      </c>
      <c r="AG262" s="174"/>
      <c r="AH262" s="174" t="str">
        <f>IF(Ruimtestaat[[#This Row],[Frequentie werkdagen]]="","",_xlfn.CONCAT(Ruimtestaat[[#This Row],[Ruimte code]],"-",Ruimtestaat[[#This Row],[Frequentie werkdagen]]," ",Ruimtestaat[[#This Row],[Vloer code]]))</f>
        <v>10-5w L</v>
      </c>
      <c r="AI262" s="185" t="str">
        <f>_xlfn.IFNA(VLOOKUP($AH262,Programma!$F$3:$G$1101,2,0),"")</f>
        <v>_</v>
      </c>
      <c r="AJ262" s="185" t="str">
        <f>_xlfn.IFNA(VLOOKUP($AH262,Programma!$F$3:$H$1101,3,0),"")</f>
        <v>_</v>
      </c>
      <c r="AK262" s="185" t="str">
        <f>_xlfn.IFNA(VLOOKUP($AH262,Programma!$F$3:$I$1101,4,0),"")</f>
        <v>4w</v>
      </c>
      <c r="AL262" s="185" t="str">
        <f>_xlfn.IFNA(VLOOKUP($AH262,Programma!$F$3:$J$1101,5,0),"")</f>
        <v>1w</v>
      </c>
      <c r="AM262" s="185" t="str">
        <f>_xlfn.IFNA(VLOOKUP($AH262,Programma!$F$3:$K$1101,6,0),"")</f>
        <v>_</v>
      </c>
      <c r="AN262" s="185" t="str">
        <f>_xlfn.IFNA(VLOOKUP($AH262,Programma!$F$3:$L$1101,7,0),"")</f>
        <v>_</v>
      </c>
      <c r="AO262" s="185" t="str">
        <f>_xlfn.IFNA(VLOOKUP($AH262,Programma!$F$3:$M$1101,8,0),"")</f>
        <v>_</v>
      </c>
      <c r="AP262" s="185" t="str">
        <f>_xlfn.IFNA(VLOOKUP($AH262,Programma!$F$3:$N$1101,9,0),"")</f>
        <v>_</v>
      </c>
      <c r="AQ262" s="185" t="str">
        <f>_xlfn.IFNA(VLOOKUP($AH262,Programma!$F$3:$O$1101,10,0),"")</f>
        <v>5w</v>
      </c>
      <c r="AR262" s="185" t="str">
        <f>_xlfn.IFNA(VLOOKUP($AH262,Programma!$F$3:$P$1101,11,0),"")</f>
        <v>5w</v>
      </c>
      <c r="AS262" s="185" t="str">
        <f>_xlfn.IFNA(VLOOKUP($AH262,Programma!$F$3:$Q$1101,12,0),"")</f>
        <v>1w</v>
      </c>
      <c r="AT262" s="185" t="str">
        <f>_xlfn.IFNA(VLOOKUP($AH262,Programma!$F$3:$R$1101,13,0),"")</f>
        <v>1w</v>
      </c>
      <c r="AU262" s="185" t="str">
        <f>_xlfn.IFNA(VLOOKUP($AH262,Programma!$F$3:$S$1101,14,0),"")</f>
        <v>1m</v>
      </c>
      <c r="AV262" s="185" t="str">
        <f>_xlfn.IFNA(VLOOKUP($AH262,Programma!$F$3:$T$1101,15,0),"")</f>
        <v>2j</v>
      </c>
      <c r="AW262" s="185" t="str">
        <f>_xlfn.IFNA(VLOOKUP($AH262,Programma!$F$3:$U$1101,16,0),"")</f>
        <v>1j</v>
      </c>
      <c r="AX262" s="185" t="str">
        <f>_xlfn.IFNA(VLOOKUP($AH262,Programma!$F$3:$V$1101,17,0),"")</f>
        <v>_</v>
      </c>
      <c r="AY262" s="185" t="str">
        <f>_xlfn.IFNA(VLOOKUP($AH262,Programma!$F$3:$W$1101,18,0),"")</f>
        <v>_</v>
      </c>
      <c r="AZ262" s="185" t="str">
        <f>_xlfn.IFNA(VLOOKUP($AH262,Programma!$F$3:$X$1101,19,0),"")</f>
        <v>_</v>
      </c>
      <c r="BA262" s="185" t="str">
        <f>_xlfn.IFNA(VLOOKUP($AH262,Programma!$F$3:$Y$1101,20,0),"")</f>
        <v>_</v>
      </c>
      <c r="BB262" s="182"/>
      <c r="BC262" s="174" t="str">
        <f>IF(Ruimtestaat[[#This Row],[Frequentie weekend]]="","",_xlfn.CONCAT(Ruimtestaat[[#This Row],[Ruimte code]],"-",Ruimtestaat[[#This Row],[Frequentie weekend]]," ",Ruimtestaat[[#This Row],[Vloer code]]))</f>
        <v/>
      </c>
      <c r="BD262" s="185" t="str">
        <f>_xlfn.IFNA(VLOOKUP($BC262,Programma!$F$3:$G$1101,2,0),"")</f>
        <v/>
      </c>
      <c r="BE262" s="185" t="str">
        <f>_xlfn.IFNA(VLOOKUP($BC262,Programma!$F$3:$H$1101,3,0),"")</f>
        <v/>
      </c>
      <c r="BF262" s="185" t="str">
        <f>_xlfn.IFNA(VLOOKUP($BC262,Programma!$F$3:$I$1101,4,0),"")</f>
        <v/>
      </c>
      <c r="BG262" s="185" t="str">
        <f>_xlfn.IFNA(VLOOKUP($BC262,Programma!$F$3:$J$1101,5,0),"")</f>
        <v/>
      </c>
      <c r="BH262" s="185" t="str">
        <f>_xlfn.IFNA(VLOOKUP($BC262,Programma!$F$3:$K$1101,6,0),"")</f>
        <v/>
      </c>
      <c r="BI262" s="185" t="str">
        <f>_xlfn.IFNA(VLOOKUP($BC262,Programma!$F$3:$L$1101,7,0),"")</f>
        <v/>
      </c>
      <c r="BJ262" s="185" t="str">
        <f>_xlfn.IFNA(VLOOKUP($BC262,Programma!$F$3:$M$1101,8,0),"")</f>
        <v/>
      </c>
      <c r="BK262" s="185" t="str">
        <f>_xlfn.IFNA(VLOOKUP($BC262,Programma!$F$3:$N$1101,9,0),"")</f>
        <v/>
      </c>
      <c r="BL262" s="185" t="str">
        <f>_xlfn.IFNA(VLOOKUP($BC262,Programma!$F$3:$O$1101,10,0),"")</f>
        <v/>
      </c>
      <c r="BM262" s="185" t="str">
        <f>_xlfn.IFNA(VLOOKUP($BC262,Programma!$F$3:$P$1101,11,0),"")</f>
        <v/>
      </c>
      <c r="BN262" s="185" t="str">
        <f>_xlfn.IFNA(VLOOKUP($BC262,Programma!$F$3:$Q$1101,12,0),"")</f>
        <v/>
      </c>
      <c r="BO262" s="185" t="str">
        <f>_xlfn.IFNA(VLOOKUP($BC262,Programma!$F$3:$R$1101,13,0),"")</f>
        <v/>
      </c>
      <c r="BP262" s="185" t="str">
        <f>_xlfn.IFNA(VLOOKUP($BC262,Programma!$F$3:$S$1101,14,0),"")</f>
        <v/>
      </c>
      <c r="BQ262" s="185" t="str">
        <f>_xlfn.IFNA(VLOOKUP($BC262,Programma!$F$3:$T$1101,15,0),"")</f>
        <v/>
      </c>
      <c r="BR262" s="185" t="str">
        <f>_xlfn.IFNA(VLOOKUP($BC262,Programma!$F$3:$U$1101,16,0),"")</f>
        <v/>
      </c>
      <c r="BS262" s="185" t="str">
        <f>_xlfn.IFNA(VLOOKUP($BC262,Programma!$F$3:$V$1101,17,0),"")</f>
        <v/>
      </c>
      <c r="BT262" s="185" t="str">
        <f>_xlfn.IFNA(VLOOKUP($BC262,Programma!$F$3:$W$1101,18,0),"")</f>
        <v/>
      </c>
      <c r="BU262" s="185" t="str">
        <f>_xlfn.IFNA(VLOOKUP($BC262,Programma!$F$3:$X$1101,19,0),"")</f>
        <v/>
      </c>
      <c r="BV262" s="185" t="str">
        <f>_xlfn.IFNA(VLOOKUP($BC262,Programma!$F$3:$Y$1101,20,0),"")</f>
        <v/>
      </c>
    </row>
    <row r="263" spans="1:74" s="78" customFormat="1" ht="15" customHeight="1">
      <c r="A263" s="99">
        <v>8</v>
      </c>
      <c r="B263" s="176" t="str">
        <f>VLOOKUP(Ruimtestaat[[#This Row],[Code]],Locaties[[Code]:[Locatie]],2,FALSE)</f>
        <v>OBS Roombeek</v>
      </c>
      <c r="C263" s="176" t="str">
        <f>VLOOKUP(Ruimtestaat[[#This Row],[Code]],Locaties[[#All],[Code]:[Adres]],4,FALSE)</f>
        <v>Bosuilstraat 3</v>
      </c>
      <c r="D263" s="176" t="str">
        <f>VLOOKUP(Ruimtestaat[[#This Row],[Code]],Locaties[[#All],[Code]:[Postcode]],5,FALSE)</f>
        <v>7523 BJ</v>
      </c>
      <c r="E263" s="176" t="str">
        <f>VLOOKUP(Ruimtestaat[[#This Row],[Code]],Locaties[#All],6,FALSE)</f>
        <v>Enschede</v>
      </c>
      <c r="F263" s="149"/>
      <c r="G263" s="149" t="s">
        <v>1646</v>
      </c>
      <c r="H263" s="99" t="s">
        <v>1898</v>
      </c>
      <c r="I263" s="183" t="s">
        <v>1686</v>
      </c>
      <c r="J263" s="99">
        <v>16</v>
      </c>
      <c r="K263" s="183" t="str">
        <f>VLOOKUP(Ruimtestaat[[#This Row],[Ruimte code]],Ruimtegroepen[[#All],[Code]:[Ruimte omschrijving]],2,FALSE)</f>
        <v>Leslokalen</v>
      </c>
      <c r="L263" s="149" t="s">
        <v>100</v>
      </c>
      <c r="M263" s="301" t="s">
        <v>1697</v>
      </c>
      <c r="N263" s="177">
        <v>57.9</v>
      </c>
      <c r="O263" s="177"/>
      <c r="P263" s="178" t="str">
        <f>VLOOKUP(Ruimtestaat[[#This Row],[Ruimte code]],Ruimtegroepen[],4,FALSE)</f>
        <v>Le</v>
      </c>
      <c r="Q263" s="149">
        <v>42</v>
      </c>
      <c r="R263" s="149" t="s">
        <v>2</v>
      </c>
      <c r="S263" s="149">
        <f>IF(Q263&gt;0,IF(RIGHT(Ruimtestaat[[#This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63" s="149">
        <f>IF(S263&gt;0,VLOOKUP($J263,Ruimtegroepen[],3,FALSE)*VLOOKUP($L263,Vloersoorten[],3,FALSE)*VLOOKUP($R263,Frequenties[],3,FALSE)*VLOOKUP($A263,Locaties[],3,FALSE),0)</f>
        <v>0</v>
      </c>
      <c r="U263" s="149">
        <f>Ruimtestaat[[#This Row],[Uitvoeringen werkdagen]]*Ruimtestaat[[#This Row],[Oppervlak (netto)]]</f>
        <v>12159</v>
      </c>
      <c r="V263" s="179">
        <f>IF(T263&gt;0,Ruimtestaat[[#This Row],[Prest. (m2 /jaar) werkdagen]]/Ruimtestaat[[#This Row],[Norm (m2/uur) werkdagen]],0)</f>
        <v>0</v>
      </c>
      <c r="W263" s="180">
        <f>Ruimtestaat[[#This Row],[uren / jaar werkdagen]]*Tariefsopbouw!$E$35</f>
        <v>0</v>
      </c>
      <c r="X263" s="149"/>
      <c r="Y263" s="149">
        <f>IF(Ruimtestaat[[#This Row],[Frequentie weekend]]&gt;0,VALUE(LEFT(X263,1))*Q263,0)</f>
        <v>0</v>
      </c>
      <c r="Z263" s="148">
        <f>IF($Y263&gt;0,VLOOKUP($J263,Ruimtegroepen[],3,FALSE)*VLOOKUP($L263,Vloersoorten[],3,FALSE)*VLOOKUP($X263,Frequenties[],3,FALSE)*VLOOKUP(#REF!,Locaties[],3,FALSE),0)</f>
        <v>0</v>
      </c>
      <c r="AA263" s="148">
        <f>Ruimtestaat[[#This Row],[Uitvoeringen weekend]]*Ruimtestaat[[#This Row],[Oppervlak (netto)]]</f>
        <v>0</v>
      </c>
      <c r="AB263" s="148">
        <f>IF(Z263&gt;0,Ruimtestaat[[#This Row],[Prest. (m2 /jaar) weekend]]/Ruimtestaat[[#This Row],[Norm (m2/uur) weekend]],0)</f>
        <v>0</v>
      </c>
      <c r="AC263" s="180">
        <f>Ruimtestaat[[#This Row],[uren / jaar weekend]]*Tariefsopbouw!$D$40</f>
        <v>0</v>
      </c>
      <c r="AD263" s="179">
        <f>Ruimtestaat[[#This Row],[Prest. (m2 /jaar) weekend]]+Ruimtestaat[[#This Row],[Prest. (m2 /jaar) werkdagen]]</f>
        <v>12159</v>
      </c>
      <c r="AE263" s="179">
        <f>Ruimtestaat[[#This Row],[uren / jaar weekend]]+Ruimtestaat[[#This Row],[uren / jaar werkdagen]]</f>
        <v>0</v>
      </c>
      <c r="AF263" s="174">
        <f>Ruimtestaat[[#This Row],[kosten / jaar weekend]]+Ruimtestaat[[#This Row],[kosten / jaar werkdagen]]</f>
        <v>0</v>
      </c>
      <c r="AG263" s="174"/>
      <c r="AH263" s="174" t="str">
        <f>IF(Ruimtestaat[[#This Row],[Frequentie werkdagen]]="","",_xlfn.CONCAT(Ruimtestaat[[#This Row],[Ruimte code]],"-",Ruimtestaat[[#This Row],[Frequentie werkdagen]]," ",Ruimtestaat[[#This Row],[Vloer code]]))</f>
        <v>16-5w L</v>
      </c>
      <c r="AI263" s="185" t="str">
        <f>_xlfn.IFNA(VLOOKUP($AH263,Programma!$F$3:$G$1101,2,0),"")</f>
        <v>_</v>
      </c>
      <c r="AJ263" s="185" t="str">
        <f>_xlfn.IFNA(VLOOKUP($AH263,Programma!$F$3:$H$1101,3,0),"")</f>
        <v>_</v>
      </c>
      <c r="AK263" s="185" t="str">
        <f>_xlfn.IFNA(VLOOKUP($AH263,Programma!$F$3:$I$1101,4,0),"")</f>
        <v>4w</v>
      </c>
      <c r="AL263" s="185" t="str">
        <f>_xlfn.IFNA(VLOOKUP($AH263,Programma!$F$3:$J$1101,5,0),"")</f>
        <v>1w</v>
      </c>
      <c r="AM263" s="185" t="str">
        <f>_xlfn.IFNA(VLOOKUP($AH263,Programma!$F$3:$K$1101,6,0),"")</f>
        <v>_</v>
      </c>
      <c r="AN263" s="185" t="str">
        <f>_xlfn.IFNA(VLOOKUP($AH263,Programma!$F$3:$L$1101,7,0),"")</f>
        <v>_</v>
      </c>
      <c r="AO263" s="185" t="str">
        <f>_xlfn.IFNA(VLOOKUP($AH263,Programma!$F$3:$M$1101,8,0),"")</f>
        <v>_</v>
      </c>
      <c r="AP263" s="185" t="str">
        <f>_xlfn.IFNA(VLOOKUP($AH263,Programma!$F$3:$N$1101,9,0),"")</f>
        <v>_</v>
      </c>
      <c r="AQ263" s="185" t="str">
        <f>_xlfn.IFNA(VLOOKUP($AH263,Programma!$F$3:$O$1101,10,0),"")</f>
        <v>5w</v>
      </c>
      <c r="AR263" s="185" t="str">
        <f>_xlfn.IFNA(VLOOKUP($AH263,Programma!$F$3:$P$1101,11,0),"")</f>
        <v>5w</v>
      </c>
      <c r="AS263" s="185" t="str">
        <f>_xlfn.IFNA(VLOOKUP($AH263,Programma!$F$3:$Q$1101,12,0),"")</f>
        <v>1w</v>
      </c>
      <c r="AT263" s="185" t="str">
        <f>_xlfn.IFNA(VLOOKUP($AH263,Programma!$F$3:$R$1101,13,0),"")</f>
        <v>1w</v>
      </c>
      <c r="AU263" s="185" t="str">
        <f>_xlfn.IFNA(VLOOKUP($AH263,Programma!$F$3:$S$1101,14,0),"")</f>
        <v>1m</v>
      </c>
      <c r="AV263" s="185" t="str">
        <f>_xlfn.IFNA(VLOOKUP($AH263,Programma!$F$3:$T$1101,15,0),"")</f>
        <v>2j</v>
      </c>
      <c r="AW263" s="185" t="str">
        <f>_xlfn.IFNA(VLOOKUP($AH263,Programma!$F$3:$U$1101,16,0),"")</f>
        <v>1j</v>
      </c>
      <c r="AX263" s="185" t="str">
        <f>_xlfn.IFNA(VLOOKUP($AH263,Programma!$F$3:$V$1101,17,0),"")</f>
        <v>_</v>
      </c>
      <c r="AY263" s="185" t="str">
        <f>_xlfn.IFNA(VLOOKUP($AH263,Programma!$F$3:$W$1101,18,0),"")</f>
        <v>_</v>
      </c>
      <c r="AZ263" s="185" t="str">
        <f>_xlfn.IFNA(VLOOKUP($AH263,Programma!$F$3:$X$1101,19,0),"")</f>
        <v>_</v>
      </c>
      <c r="BA263" s="185" t="str">
        <f>_xlfn.IFNA(VLOOKUP($AH263,Programma!$F$3:$Y$1101,20,0),"")</f>
        <v>_</v>
      </c>
      <c r="BB263" s="182"/>
      <c r="BC263" s="174" t="str">
        <f>IF(Ruimtestaat[[#This Row],[Frequentie weekend]]="","",_xlfn.CONCAT(Ruimtestaat[[#This Row],[Ruimte code]],"-",Ruimtestaat[[#This Row],[Frequentie weekend]]," ",Ruimtestaat[[#This Row],[Vloer code]]))</f>
        <v/>
      </c>
      <c r="BD263" s="185" t="str">
        <f>_xlfn.IFNA(VLOOKUP($BC263,Programma!$F$3:$G$1101,2,0),"")</f>
        <v/>
      </c>
      <c r="BE263" s="185" t="str">
        <f>_xlfn.IFNA(VLOOKUP($BC263,Programma!$F$3:$H$1101,3,0),"")</f>
        <v/>
      </c>
      <c r="BF263" s="185" t="str">
        <f>_xlfn.IFNA(VLOOKUP($BC263,Programma!$F$3:$I$1101,4,0),"")</f>
        <v/>
      </c>
      <c r="BG263" s="185" t="str">
        <f>_xlfn.IFNA(VLOOKUP($BC263,Programma!$F$3:$J$1101,5,0),"")</f>
        <v/>
      </c>
      <c r="BH263" s="185" t="str">
        <f>_xlfn.IFNA(VLOOKUP($BC263,Programma!$F$3:$K$1101,6,0),"")</f>
        <v/>
      </c>
      <c r="BI263" s="185" t="str">
        <f>_xlfn.IFNA(VLOOKUP($BC263,Programma!$F$3:$L$1101,7,0),"")</f>
        <v/>
      </c>
      <c r="BJ263" s="185" t="str">
        <f>_xlfn.IFNA(VLOOKUP($BC263,Programma!$F$3:$M$1101,8,0),"")</f>
        <v/>
      </c>
      <c r="BK263" s="185" t="str">
        <f>_xlfn.IFNA(VLOOKUP($BC263,Programma!$F$3:$N$1101,9,0),"")</f>
        <v/>
      </c>
      <c r="BL263" s="185" t="str">
        <f>_xlfn.IFNA(VLOOKUP($BC263,Programma!$F$3:$O$1101,10,0),"")</f>
        <v/>
      </c>
      <c r="BM263" s="185" t="str">
        <f>_xlfn.IFNA(VLOOKUP($BC263,Programma!$F$3:$P$1101,11,0),"")</f>
        <v/>
      </c>
      <c r="BN263" s="185" t="str">
        <f>_xlfn.IFNA(VLOOKUP($BC263,Programma!$F$3:$Q$1101,12,0),"")</f>
        <v/>
      </c>
      <c r="BO263" s="185" t="str">
        <f>_xlfn.IFNA(VLOOKUP($BC263,Programma!$F$3:$R$1101,13,0),"")</f>
        <v/>
      </c>
      <c r="BP263" s="185" t="str">
        <f>_xlfn.IFNA(VLOOKUP($BC263,Programma!$F$3:$S$1101,14,0),"")</f>
        <v/>
      </c>
      <c r="BQ263" s="185" t="str">
        <f>_xlfn.IFNA(VLOOKUP($BC263,Programma!$F$3:$T$1101,15,0),"")</f>
        <v/>
      </c>
      <c r="BR263" s="185" t="str">
        <f>_xlfn.IFNA(VLOOKUP($BC263,Programma!$F$3:$U$1101,16,0),"")</f>
        <v/>
      </c>
      <c r="BS263" s="185" t="str">
        <f>_xlfn.IFNA(VLOOKUP($BC263,Programma!$F$3:$V$1101,17,0),"")</f>
        <v/>
      </c>
      <c r="BT263" s="185" t="str">
        <f>_xlfn.IFNA(VLOOKUP($BC263,Programma!$F$3:$W$1101,18,0),"")</f>
        <v/>
      </c>
      <c r="BU263" s="185" t="str">
        <f>_xlfn.IFNA(VLOOKUP($BC263,Programma!$F$3:$X$1101,19,0),"")</f>
        <v/>
      </c>
      <c r="BV263" s="185" t="str">
        <f>_xlfn.IFNA(VLOOKUP($BC263,Programma!$F$3:$Y$1101,20,0),"")</f>
        <v/>
      </c>
    </row>
    <row r="264" spans="1:74" s="78" customFormat="1" ht="15" customHeight="1">
      <c r="A264" s="99">
        <v>8</v>
      </c>
      <c r="B264" s="176" t="str">
        <f>VLOOKUP(Ruimtestaat[[#This Row],[Code]],Locaties[[Code]:[Locatie]],2,FALSE)</f>
        <v>OBS Roombeek</v>
      </c>
      <c r="C264" s="176" t="str">
        <f>VLOOKUP(Ruimtestaat[[#This Row],[Code]],Locaties[[#All],[Code]:[Adres]],4,FALSE)</f>
        <v>Bosuilstraat 3</v>
      </c>
      <c r="D264" s="176" t="str">
        <f>VLOOKUP(Ruimtestaat[[#This Row],[Code]],Locaties[[#All],[Code]:[Postcode]],5,FALSE)</f>
        <v>7523 BJ</v>
      </c>
      <c r="E264" s="176" t="str">
        <f>VLOOKUP(Ruimtestaat[[#This Row],[Code]],Locaties[#All],6,FALSE)</f>
        <v>Enschede</v>
      </c>
      <c r="F264" s="149"/>
      <c r="G264" s="149" t="s">
        <v>1646</v>
      </c>
      <c r="H264" s="99" t="s">
        <v>1899</v>
      </c>
      <c r="I264" s="183" t="s">
        <v>1684</v>
      </c>
      <c r="J264" s="99">
        <v>5</v>
      </c>
      <c r="K264" s="183" t="str">
        <f>VLOOKUP(Ruimtestaat[[#This Row],[Ruimte code]],Ruimtegroepen[[#All],[Code]:[Ruimte omschrijving]],2,FALSE)</f>
        <v>Sanitair</v>
      </c>
      <c r="L264" s="149" t="s">
        <v>101</v>
      </c>
      <c r="M264" s="301" t="s">
        <v>119</v>
      </c>
      <c r="N264" s="177">
        <v>5.5</v>
      </c>
      <c r="O264" s="177"/>
      <c r="P264" s="178" t="str">
        <f>VLOOKUP(Ruimtestaat[[#This Row],[Ruimte code]],Ruimtegroepen[],4,FALSE)</f>
        <v>Sa</v>
      </c>
      <c r="Q264" s="149">
        <v>42</v>
      </c>
      <c r="R264" s="149" t="s">
        <v>2</v>
      </c>
      <c r="S264" s="149">
        <f>IF(Q264&gt;0,IF(RIGHT(Ruimtestaat[[#This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64" s="149">
        <f>IF(S264&gt;0,VLOOKUP($J264,Ruimtegroepen[],3,FALSE)*VLOOKUP($L264,Vloersoorten[],3,FALSE)*VLOOKUP($R264,Frequenties[],3,FALSE)*VLOOKUP($A264,Locaties[],3,FALSE),0)</f>
        <v>0</v>
      </c>
      <c r="U264" s="149">
        <f>Ruimtestaat[[#This Row],[Uitvoeringen werkdagen]]*Ruimtestaat[[#This Row],[Oppervlak (netto)]]</f>
        <v>1155</v>
      </c>
      <c r="V264" s="179">
        <f>IF(T264&gt;0,Ruimtestaat[[#This Row],[Prest. (m2 /jaar) werkdagen]]/Ruimtestaat[[#This Row],[Norm (m2/uur) werkdagen]],0)</f>
        <v>0</v>
      </c>
      <c r="W264" s="180">
        <f>Ruimtestaat[[#This Row],[uren / jaar werkdagen]]*Tariefsopbouw!$E$35</f>
        <v>0</v>
      </c>
      <c r="X264" s="149"/>
      <c r="Y264" s="149">
        <f>IF(Ruimtestaat[[#This Row],[Frequentie weekend]]&gt;0,VALUE(LEFT(X264,1))*Q264,0)</f>
        <v>0</v>
      </c>
      <c r="Z264" s="148">
        <f>IF($Y264&gt;0,VLOOKUP($J264,Ruimtegroepen[],3,FALSE)*VLOOKUP($L264,Vloersoorten[],3,FALSE)*VLOOKUP($X264,Frequenties[],3,FALSE)*VLOOKUP(#REF!,Locaties[],3,FALSE),0)</f>
        <v>0</v>
      </c>
      <c r="AA264" s="148">
        <f>Ruimtestaat[[#This Row],[Uitvoeringen weekend]]*Ruimtestaat[[#This Row],[Oppervlak (netto)]]</f>
        <v>0</v>
      </c>
      <c r="AB264" s="148">
        <f>IF(Z264&gt;0,Ruimtestaat[[#This Row],[Prest. (m2 /jaar) weekend]]/Ruimtestaat[[#This Row],[Norm (m2/uur) weekend]],0)</f>
        <v>0</v>
      </c>
      <c r="AC264" s="180">
        <f>Ruimtestaat[[#This Row],[uren / jaar weekend]]*Tariefsopbouw!$D$40</f>
        <v>0</v>
      </c>
      <c r="AD264" s="179">
        <f>Ruimtestaat[[#This Row],[Prest. (m2 /jaar) weekend]]+Ruimtestaat[[#This Row],[Prest. (m2 /jaar) werkdagen]]</f>
        <v>1155</v>
      </c>
      <c r="AE264" s="179">
        <f>Ruimtestaat[[#This Row],[uren / jaar weekend]]+Ruimtestaat[[#This Row],[uren / jaar werkdagen]]</f>
        <v>0</v>
      </c>
      <c r="AF264" s="174">
        <f>Ruimtestaat[[#This Row],[kosten / jaar weekend]]+Ruimtestaat[[#This Row],[kosten / jaar werkdagen]]</f>
        <v>0</v>
      </c>
      <c r="AG264" s="174"/>
      <c r="AH264" s="174" t="str">
        <f>IF(Ruimtestaat[[#This Row],[Frequentie werkdagen]]="","",_xlfn.CONCAT(Ruimtestaat[[#This Row],[Ruimte code]],"-",Ruimtestaat[[#This Row],[Frequentie werkdagen]]," ",Ruimtestaat[[#This Row],[Vloer code]]))</f>
        <v>5-5w S</v>
      </c>
      <c r="AI264" s="185" t="str">
        <f>_xlfn.IFNA(VLOOKUP($AH264,Programma!$F$3:$G$1101,2,0),"")</f>
        <v>_</v>
      </c>
      <c r="AJ264" s="185" t="str">
        <f>_xlfn.IFNA(VLOOKUP($AH264,Programma!$F$3:$H$1101,3,0),"")</f>
        <v>_</v>
      </c>
      <c r="AK264" s="185" t="str">
        <f>_xlfn.IFNA(VLOOKUP($AH264,Programma!$F$3:$I$1101,4,0),"")</f>
        <v>_</v>
      </c>
      <c r="AL264" s="185" t="str">
        <f>_xlfn.IFNA(VLOOKUP($AH264,Programma!$F$3:$J$1101,5,0),"")</f>
        <v>4w</v>
      </c>
      <c r="AM264" s="185" t="str">
        <f>_xlfn.IFNA(VLOOKUP($AH264,Programma!$F$3:$K$1101,6,0),"")</f>
        <v>1w</v>
      </c>
      <c r="AN264" s="185" t="str">
        <f>_xlfn.IFNA(VLOOKUP($AH264,Programma!$F$3:$L$1101,7,0),"")</f>
        <v>_</v>
      </c>
      <c r="AO264" s="185" t="str">
        <f>_xlfn.IFNA(VLOOKUP($AH264,Programma!$F$3:$M$1101,8,0),"")</f>
        <v>_</v>
      </c>
      <c r="AP264" s="185" t="str">
        <f>_xlfn.IFNA(VLOOKUP($AH264,Programma!$F$3:$N$1101,9,0),"")</f>
        <v>_</v>
      </c>
      <c r="AQ264" s="185" t="str">
        <f>_xlfn.IFNA(VLOOKUP($AH264,Programma!$F$3:$O$1101,10,0),"")</f>
        <v>_</v>
      </c>
      <c r="AR264" s="185" t="str">
        <f>_xlfn.IFNA(VLOOKUP($AH264,Programma!$F$3:$P$1101,11,0),"")</f>
        <v>_</v>
      </c>
      <c r="AS264" s="185" t="str">
        <f>_xlfn.IFNA(VLOOKUP($AH264,Programma!$F$3:$Q$1101,12,0),"")</f>
        <v>_</v>
      </c>
      <c r="AT264" s="185" t="str">
        <f>_xlfn.IFNA(VLOOKUP($AH264,Programma!$F$3:$R$1101,13,0),"")</f>
        <v>_</v>
      </c>
      <c r="AU264" s="185" t="str">
        <f>_xlfn.IFNA(VLOOKUP($AH264,Programma!$F$3:$S$1101,14,0),"")</f>
        <v>_</v>
      </c>
      <c r="AV264" s="185" t="str">
        <f>_xlfn.IFNA(VLOOKUP($AH264,Programma!$F$3:$T$1101,15,0),"")</f>
        <v>_</v>
      </c>
      <c r="AW264" s="185" t="str">
        <f>_xlfn.IFNA(VLOOKUP($AH264,Programma!$F$3:$U$1101,16,0),"")</f>
        <v>_</v>
      </c>
      <c r="AX264" s="185" t="str">
        <f>_xlfn.IFNA(VLOOKUP($AH264,Programma!$F$3:$V$1101,17,0),"")</f>
        <v>_</v>
      </c>
      <c r="AY264" s="185" t="str">
        <f>_xlfn.IFNA(VLOOKUP($AH264,Programma!$F$3:$W$1101,18,0),"")</f>
        <v>4w</v>
      </c>
      <c r="AZ264" s="185" t="str">
        <f>_xlfn.IFNA(VLOOKUP($AH264,Programma!$F$3:$X$1101,19,0),"")</f>
        <v>1w</v>
      </c>
      <c r="BA264" s="185" t="str">
        <f>_xlfn.IFNA(VLOOKUP($AH264,Programma!$F$3:$Y$1101,20,0),"")</f>
        <v>_</v>
      </c>
      <c r="BB264" s="182"/>
      <c r="BC264" s="174" t="str">
        <f>IF(Ruimtestaat[[#This Row],[Frequentie weekend]]="","",_xlfn.CONCAT(Ruimtestaat[[#This Row],[Ruimte code]],"-",Ruimtestaat[[#This Row],[Frequentie weekend]]," ",Ruimtestaat[[#This Row],[Vloer code]]))</f>
        <v/>
      </c>
      <c r="BD264" s="185" t="str">
        <f>_xlfn.IFNA(VLOOKUP($BC264,Programma!$F$3:$G$1101,2,0),"")</f>
        <v/>
      </c>
      <c r="BE264" s="185" t="str">
        <f>_xlfn.IFNA(VLOOKUP($BC264,Programma!$F$3:$H$1101,3,0),"")</f>
        <v/>
      </c>
      <c r="BF264" s="185" t="str">
        <f>_xlfn.IFNA(VLOOKUP($BC264,Programma!$F$3:$I$1101,4,0),"")</f>
        <v/>
      </c>
      <c r="BG264" s="185" t="str">
        <f>_xlfn.IFNA(VLOOKUP($BC264,Programma!$F$3:$J$1101,5,0),"")</f>
        <v/>
      </c>
      <c r="BH264" s="185" t="str">
        <f>_xlfn.IFNA(VLOOKUP($BC264,Programma!$F$3:$K$1101,6,0),"")</f>
        <v/>
      </c>
      <c r="BI264" s="185" t="str">
        <f>_xlfn.IFNA(VLOOKUP($BC264,Programma!$F$3:$L$1101,7,0),"")</f>
        <v/>
      </c>
      <c r="BJ264" s="185" t="str">
        <f>_xlfn.IFNA(VLOOKUP($BC264,Programma!$F$3:$M$1101,8,0),"")</f>
        <v/>
      </c>
      <c r="BK264" s="185" t="str">
        <f>_xlfn.IFNA(VLOOKUP($BC264,Programma!$F$3:$N$1101,9,0),"")</f>
        <v/>
      </c>
      <c r="BL264" s="185" t="str">
        <f>_xlfn.IFNA(VLOOKUP($BC264,Programma!$F$3:$O$1101,10,0),"")</f>
        <v/>
      </c>
      <c r="BM264" s="185" t="str">
        <f>_xlfn.IFNA(VLOOKUP($BC264,Programma!$F$3:$P$1101,11,0),"")</f>
        <v/>
      </c>
      <c r="BN264" s="185" t="str">
        <f>_xlfn.IFNA(VLOOKUP($BC264,Programma!$F$3:$Q$1101,12,0),"")</f>
        <v/>
      </c>
      <c r="BO264" s="185" t="str">
        <f>_xlfn.IFNA(VLOOKUP($BC264,Programma!$F$3:$R$1101,13,0),"")</f>
        <v/>
      </c>
      <c r="BP264" s="185" t="str">
        <f>_xlfn.IFNA(VLOOKUP($BC264,Programma!$F$3:$S$1101,14,0),"")</f>
        <v/>
      </c>
      <c r="BQ264" s="185" t="str">
        <f>_xlfn.IFNA(VLOOKUP($BC264,Programma!$F$3:$T$1101,15,0),"")</f>
        <v/>
      </c>
      <c r="BR264" s="185" t="str">
        <f>_xlfn.IFNA(VLOOKUP($BC264,Programma!$F$3:$U$1101,16,0),"")</f>
        <v/>
      </c>
      <c r="BS264" s="185" t="str">
        <f>_xlfn.IFNA(VLOOKUP($BC264,Programma!$F$3:$V$1101,17,0),"")</f>
        <v/>
      </c>
      <c r="BT264" s="185" t="str">
        <f>_xlfn.IFNA(VLOOKUP($BC264,Programma!$F$3:$W$1101,18,0),"")</f>
        <v/>
      </c>
      <c r="BU264" s="185" t="str">
        <f>_xlfn.IFNA(VLOOKUP($BC264,Programma!$F$3:$X$1101,19,0),"")</f>
        <v/>
      </c>
      <c r="BV264" s="185" t="str">
        <f>_xlfn.IFNA(VLOOKUP($BC264,Programma!$F$3:$Y$1101,20,0),"")</f>
        <v/>
      </c>
    </row>
    <row r="265" spans="1:74" s="78" customFormat="1" ht="15" customHeight="1">
      <c r="A265" s="99">
        <v>8</v>
      </c>
      <c r="B265" s="176" t="str">
        <f>VLOOKUP(Ruimtestaat[[#This Row],[Code]],Locaties[[Code]:[Locatie]],2,FALSE)</f>
        <v>OBS Roombeek</v>
      </c>
      <c r="C265" s="176" t="str">
        <f>VLOOKUP(Ruimtestaat[[#This Row],[Code]],Locaties[[#All],[Code]:[Adres]],4,FALSE)</f>
        <v>Bosuilstraat 3</v>
      </c>
      <c r="D265" s="176" t="str">
        <f>VLOOKUP(Ruimtestaat[[#This Row],[Code]],Locaties[[#All],[Code]:[Postcode]],5,FALSE)</f>
        <v>7523 BJ</v>
      </c>
      <c r="E265" s="176" t="str">
        <f>VLOOKUP(Ruimtestaat[[#This Row],[Code]],Locaties[#All],6,FALSE)</f>
        <v>Enschede</v>
      </c>
      <c r="F265" s="149"/>
      <c r="G265" s="149" t="s">
        <v>1646</v>
      </c>
      <c r="H265" s="99" t="s">
        <v>1900</v>
      </c>
      <c r="I265" s="183" t="s">
        <v>1683</v>
      </c>
      <c r="J265" s="99">
        <v>20</v>
      </c>
      <c r="K265" s="183" t="str">
        <f>VLOOKUP(Ruimtestaat[[#This Row],[Ruimte code]],Ruimtegroepen[[#All],[Code]:[Ruimte omschrijving]],2,FALSE)</f>
        <v>Niet in Onderhoud</v>
      </c>
      <c r="L265" s="149" t="s">
        <v>100</v>
      </c>
      <c r="M265" s="301" t="s">
        <v>1697</v>
      </c>
      <c r="N265" s="177"/>
      <c r="O265" s="177">
        <v>2</v>
      </c>
      <c r="P265" s="178">
        <f>VLOOKUP(Ruimtestaat[[#This Row],[Ruimte code]],Ruimtegroepen[],4,FALSE)</f>
        <v>0</v>
      </c>
      <c r="Q265" s="149"/>
      <c r="R265" s="149"/>
      <c r="S265" s="149">
        <f>IF(Q265&gt;0,IF(RIGHT(Ruimtestaat[[#This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5" s="149">
        <f>IF(S265&gt;0,VLOOKUP($J265,Ruimtegroepen[],3,FALSE)*VLOOKUP($L265,Vloersoorten[],3,FALSE)*VLOOKUP($R265,Frequenties[],3,FALSE)*VLOOKUP($A265,Locaties[],3,FALSE),0)</f>
        <v>0</v>
      </c>
      <c r="U265" s="149">
        <f>Ruimtestaat[[#This Row],[Uitvoeringen werkdagen]]*Ruimtestaat[[#This Row],[Oppervlak (netto)]]</f>
        <v>0</v>
      </c>
      <c r="V265" s="179">
        <f>IF(T265&gt;0,Ruimtestaat[[#This Row],[Prest. (m2 /jaar) werkdagen]]/Ruimtestaat[[#This Row],[Norm (m2/uur) werkdagen]],0)</f>
        <v>0</v>
      </c>
      <c r="W265" s="180">
        <f>Ruimtestaat[[#This Row],[uren / jaar werkdagen]]*Tariefsopbouw!$E$35</f>
        <v>0</v>
      </c>
      <c r="X265" s="149"/>
      <c r="Y265" s="149">
        <f>IF(Ruimtestaat[[#This Row],[Frequentie weekend]]&gt;0,VALUE(LEFT(X265,1))*Q265,0)</f>
        <v>0</v>
      </c>
      <c r="Z265" s="148">
        <f>IF($Y265&gt;0,VLOOKUP($J265,Ruimtegroepen[],3,FALSE)*VLOOKUP($L265,Vloersoorten[],3,FALSE)*VLOOKUP($X265,Frequenties[],3,FALSE)*VLOOKUP(#REF!,Locaties[],3,FALSE),0)</f>
        <v>0</v>
      </c>
      <c r="AA265" s="148">
        <f>Ruimtestaat[[#This Row],[Uitvoeringen weekend]]*Ruimtestaat[[#This Row],[Oppervlak (netto)]]</f>
        <v>0</v>
      </c>
      <c r="AB265" s="148">
        <f>IF(Z265&gt;0,Ruimtestaat[[#This Row],[Prest. (m2 /jaar) weekend]]/Ruimtestaat[[#This Row],[Norm (m2/uur) weekend]],0)</f>
        <v>0</v>
      </c>
      <c r="AC265" s="180">
        <f>Ruimtestaat[[#This Row],[uren / jaar weekend]]*Tariefsopbouw!$D$40</f>
        <v>0</v>
      </c>
      <c r="AD265" s="179">
        <f>Ruimtestaat[[#This Row],[Prest. (m2 /jaar) weekend]]+Ruimtestaat[[#This Row],[Prest. (m2 /jaar) werkdagen]]</f>
        <v>0</v>
      </c>
      <c r="AE265" s="179">
        <f>Ruimtestaat[[#This Row],[uren / jaar weekend]]+Ruimtestaat[[#This Row],[uren / jaar werkdagen]]</f>
        <v>0</v>
      </c>
      <c r="AF265" s="174">
        <f>Ruimtestaat[[#This Row],[kosten / jaar weekend]]+Ruimtestaat[[#This Row],[kosten / jaar werkdagen]]</f>
        <v>0</v>
      </c>
      <c r="AG265" s="174"/>
      <c r="AH265" s="174" t="str">
        <f>IF(Ruimtestaat[[#This Row],[Frequentie werkdagen]]="","",_xlfn.CONCAT(Ruimtestaat[[#This Row],[Ruimte code]],"-",Ruimtestaat[[#This Row],[Frequentie werkdagen]]," ",Ruimtestaat[[#This Row],[Vloer code]]))</f>
        <v/>
      </c>
      <c r="AI265" s="185" t="str">
        <f>_xlfn.IFNA(VLOOKUP($AH265,Programma!$F$3:$G$1101,2,0),"")</f>
        <v/>
      </c>
      <c r="AJ265" s="185" t="str">
        <f>_xlfn.IFNA(VLOOKUP($AH265,Programma!$F$3:$H$1101,3,0),"")</f>
        <v/>
      </c>
      <c r="AK265" s="185" t="str">
        <f>_xlfn.IFNA(VLOOKUP($AH265,Programma!$F$3:$I$1101,4,0),"")</f>
        <v/>
      </c>
      <c r="AL265" s="185" t="str">
        <f>_xlfn.IFNA(VLOOKUP($AH265,Programma!$F$3:$J$1101,5,0),"")</f>
        <v/>
      </c>
      <c r="AM265" s="185" t="str">
        <f>_xlfn.IFNA(VLOOKUP($AH265,Programma!$F$3:$K$1101,6,0),"")</f>
        <v/>
      </c>
      <c r="AN265" s="185" t="str">
        <f>_xlfn.IFNA(VLOOKUP($AH265,Programma!$F$3:$L$1101,7,0),"")</f>
        <v/>
      </c>
      <c r="AO265" s="185" t="str">
        <f>_xlfn.IFNA(VLOOKUP($AH265,Programma!$F$3:$M$1101,8,0),"")</f>
        <v/>
      </c>
      <c r="AP265" s="185" t="str">
        <f>_xlfn.IFNA(VLOOKUP($AH265,Programma!$F$3:$N$1101,9,0),"")</f>
        <v/>
      </c>
      <c r="AQ265" s="185" t="str">
        <f>_xlfn.IFNA(VLOOKUP($AH265,Programma!$F$3:$O$1101,10,0),"")</f>
        <v/>
      </c>
      <c r="AR265" s="185" t="str">
        <f>_xlfn.IFNA(VLOOKUP($AH265,Programma!$F$3:$P$1101,11,0),"")</f>
        <v/>
      </c>
      <c r="AS265" s="185" t="str">
        <f>_xlfn.IFNA(VLOOKUP($AH265,Programma!$F$3:$Q$1101,12,0),"")</f>
        <v/>
      </c>
      <c r="AT265" s="185" t="str">
        <f>_xlfn.IFNA(VLOOKUP($AH265,Programma!$F$3:$R$1101,13,0),"")</f>
        <v/>
      </c>
      <c r="AU265" s="185" t="str">
        <f>_xlfn.IFNA(VLOOKUP($AH265,Programma!$F$3:$S$1101,14,0),"")</f>
        <v/>
      </c>
      <c r="AV265" s="185" t="str">
        <f>_xlfn.IFNA(VLOOKUP($AH265,Programma!$F$3:$T$1101,15,0),"")</f>
        <v/>
      </c>
      <c r="AW265" s="185" t="str">
        <f>_xlfn.IFNA(VLOOKUP($AH265,Programma!$F$3:$U$1101,16,0),"")</f>
        <v/>
      </c>
      <c r="AX265" s="185" t="str">
        <f>_xlfn.IFNA(VLOOKUP($AH265,Programma!$F$3:$V$1101,17,0),"")</f>
        <v/>
      </c>
      <c r="AY265" s="185" t="str">
        <f>_xlfn.IFNA(VLOOKUP($AH265,Programma!$F$3:$W$1101,18,0),"")</f>
        <v/>
      </c>
      <c r="AZ265" s="185" t="str">
        <f>_xlfn.IFNA(VLOOKUP($AH265,Programma!$F$3:$X$1101,19,0),"")</f>
        <v/>
      </c>
      <c r="BA265" s="185" t="str">
        <f>_xlfn.IFNA(VLOOKUP($AH265,Programma!$F$3:$Y$1101,20,0),"")</f>
        <v/>
      </c>
      <c r="BB265" s="182"/>
      <c r="BC265" s="174" t="str">
        <f>IF(Ruimtestaat[[#This Row],[Frequentie weekend]]="","",_xlfn.CONCAT(Ruimtestaat[[#This Row],[Ruimte code]],"-",Ruimtestaat[[#This Row],[Frequentie weekend]]," ",Ruimtestaat[[#This Row],[Vloer code]]))</f>
        <v/>
      </c>
      <c r="BD265" s="185" t="str">
        <f>_xlfn.IFNA(VLOOKUP($BC265,Programma!$F$3:$G$1101,2,0),"")</f>
        <v/>
      </c>
      <c r="BE265" s="185" t="str">
        <f>_xlfn.IFNA(VLOOKUP($BC265,Programma!$F$3:$H$1101,3,0),"")</f>
        <v/>
      </c>
      <c r="BF265" s="185" t="str">
        <f>_xlfn.IFNA(VLOOKUP($BC265,Programma!$F$3:$I$1101,4,0),"")</f>
        <v/>
      </c>
      <c r="BG265" s="185" t="str">
        <f>_xlfn.IFNA(VLOOKUP($BC265,Programma!$F$3:$J$1101,5,0),"")</f>
        <v/>
      </c>
      <c r="BH265" s="185" t="str">
        <f>_xlfn.IFNA(VLOOKUP($BC265,Programma!$F$3:$K$1101,6,0),"")</f>
        <v/>
      </c>
      <c r="BI265" s="185" t="str">
        <f>_xlfn.IFNA(VLOOKUP($BC265,Programma!$F$3:$L$1101,7,0),"")</f>
        <v/>
      </c>
      <c r="BJ265" s="185" t="str">
        <f>_xlfn.IFNA(VLOOKUP($BC265,Programma!$F$3:$M$1101,8,0),"")</f>
        <v/>
      </c>
      <c r="BK265" s="185" t="str">
        <f>_xlfn.IFNA(VLOOKUP($BC265,Programma!$F$3:$N$1101,9,0),"")</f>
        <v/>
      </c>
      <c r="BL265" s="185" t="str">
        <f>_xlfn.IFNA(VLOOKUP($BC265,Programma!$F$3:$O$1101,10,0),"")</f>
        <v/>
      </c>
      <c r="BM265" s="185" t="str">
        <f>_xlfn.IFNA(VLOOKUP($BC265,Programma!$F$3:$P$1101,11,0),"")</f>
        <v/>
      </c>
      <c r="BN265" s="185" t="str">
        <f>_xlfn.IFNA(VLOOKUP($BC265,Programma!$F$3:$Q$1101,12,0),"")</f>
        <v/>
      </c>
      <c r="BO265" s="185" t="str">
        <f>_xlfn.IFNA(VLOOKUP($BC265,Programma!$F$3:$R$1101,13,0),"")</f>
        <v/>
      </c>
      <c r="BP265" s="185" t="str">
        <f>_xlfn.IFNA(VLOOKUP($BC265,Programma!$F$3:$S$1101,14,0),"")</f>
        <v/>
      </c>
      <c r="BQ265" s="185" t="str">
        <f>_xlfn.IFNA(VLOOKUP($BC265,Programma!$F$3:$T$1101,15,0),"")</f>
        <v/>
      </c>
      <c r="BR265" s="185" t="str">
        <f>_xlfn.IFNA(VLOOKUP($BC265,Programma!$F$3:$U$1101,16,0),"")</f>
        <v/>
      </c>
      <c r="BS265" s="185" t="str">
        <f>_xlfn.IFNA(VLOOKUP($BC265,Programma!$F$3:$V$1101,17,0),"")</f>
        <v/>
      </c>
      <c r="BT265" s="185" t="str">
        <f>_xlfn.IFNA(VLOOKUP($BC265,Programma!$F$3:$W$1101,18,0),"")</f>
        <v/>
      </c>
      <c r="BU265" s="185" t="str">
        <f>_xlfn.IFNA(VLOOKUP($BC265,Programma!$F$3:$X$1101,19,0),"")</f>
        <v/>
      </c>
      <c r="BV265" s="185" t="str">
        <f>_xlfn.IFNA(VLOOKUP($BC265,Programma!$F$3:$Y$1101,20,0),"")</f>
        <v/>
      </c>
    </row>
    <row r="266" spans="1:74" s="78" customFormat="1" ht="15" customHeight="1">
      <c r="A266" s="99">
        <v>8</v>
      </c>
      <c r="B266" s="176" t="str">
        <f>VLOOKUP(Ruimtestaat[[#This Row],[Code]],Locaties[[Code]:[Locatie]],2,FALSE)</f>
        <v>OBS Roombeek</v>
      </c>
      <c r="C266" s="176" t="str">
        <f>VLOOKUP(Ruimtestaat[[#This Row],[Code]],Locaties[[#All],[Code]:[Adres]],4,FALSE)</f>
        <v>Bosuilstraat 3</v>
      </c>
      <c r="D266" s="176" t="str">
        <f>VLOOKUP(Ruimtestaat[[#This Row],[Code]],Locaties[[#All],[Code]:[Postcode]],5,FALSE)</f>
        <v>7523 BJ</v>
      </c>
      <c r="E266" s="176" t="str">
        <f>VLOOKUP(Ruimtestaat[[#This Row],[Code]],Locaties[#All],6,FALSE)</f>
        <v>Enschede</v>
      </c>
      <c r="F266" s="149"/>
      <c r="G266" s="149" t="s">
        <v>1646</v>
      </c>
      <c r="H266" s="99" t="s">
        <v>1901</v>
      </c>
      <c r="I266" s="183" t="s">
        <v>1686</v>
      </c>
      <c r="J266" s="99">
        <v>16</v>
      </c>
      <c r="K266" s="183" t="str">
        <f>VLOOKUP(Ruimtestaat[[#This Row],[Ruimte code]],Ruimtegroepen[[#All],[Code]:[Ruimte omschrijving]],2,FALSE)</f>
        <v>Leslokalen</v>
      </c>
      <c r="L266" s="149" t="s">
        <v>100</v>
      </c>
      <c r="M266" s="301" t="s">
        <v>1697</v>
      </c>
      <c r="N266" s="177">
        <v>58.1</v>
      </c>
      <c r="O266" s="177"/>
      <c r="P266" s="178" t="str">
        <f>VLOOKUP(Ruimtestaat[[#This Row],[Ruimte code]],Ruimtegroepen[],4,FALSE)</f>
        <v>Le</v>
      </c>
      <c r="Q266" s="149">
        <v>42</v>
      </c>
      <c r="R266" s="149" t="s">
        <v>2</v>
      </c>
      <c r="S266" s="149">
        <f>IF(Q266&gt;0,IF(RIGHT(Ruimtestaat[[#This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66" s="149">
        <f>IF(S266&gt;0,VLOOKUP($J266,Ruimtegroepen[],3,FALSE)*VLOOKUP($L266,Vloersoorten[],3,FALSE)*VLOOKUP($R266,Frequenties[],3,FALSE)*VLOOKUP($A266,Locaties[],3,FALSE),0)</f>
        <v>0</v>
      </c>
      <c r="U266" s="149">
        <f>Ruimtestaat[[#This Row],[Uitvoeringen werkdagen]]*Ruimtestaat[[#This Row],[Oppervlak (netto)]]</f>
        <v>12201</v>
      </c>
      <c r="V266" s="179">
        <f>IF(T266&gt;0,Ruimtestaat[[#This Row],[Prest. (m2 /jaar) werkdagen]]/Ruimtestaat[[#This Row],[Norm (m2/uur) werkdagen]],0)</f>
        <v>0</v>
      </c>
      <c r="W266" s="180">
        <f>Ruimtestaat[[#This Row],[uren / jaar werkdagen]]*Tariefsopbouw!$E$35</f>
        <v>0</v>
      </c>
      <c r="X266" s="149"/>
      <c r="Y266" s="149">
        <f>IF(Ruimtestaat[[#This Row],[Frequentie weekend]]&gt;0,VALUE(LEFT(X266,1))*Q266,0)</f>
        <v>0</v>
      </c>
      <c r="Z266" s="148">
        <f>IF($Y266&gt;0,VLOOKUP($J266,Ruimtegroepen[],3,FALSE)*VLOOKUP($L266,Vloersoorten[],3,FALSE)*VLOOKUP($X266,Frequenties[],3,FALSE)*VLOOKUP(#REF!,Locaties[],3,FALSE),0)</f>
        <v>0</v>
      </c>
      <c r="AA266" s="148">
        <f>Ruimtestaat[[#This Row],[Uitvoeringen weekend]]*Ruimtestaat[[#This Row],[Oppervlak (netto)]]</f>
        <v>0</v>
      </c>
      <c r="AB266" s="148">
        <f>IF(Z266&gt;0,Ruimtestaat[[#This Row],[Prest. (m2 /jaar) weekend]]/Ruimtestaat[[#This Row],[Norm (m2/uur) weekend]],0)</f>
        <v>0</v>
      </c>
      <c r="AC266" s="180">
        <f>Ruimtestaat[[#This Row],[uren / jaar weekend]]*Tariefsopbouw!$D$40</f>
        <v>0</v>
      </c>
      <c r="AD266" s="179">
        <f>Ruimtestaat[[#This Row],[Prest. (m2 /jaar) weekend]]+Ruimtestaat[[#This Row],[Prest. (m2 /jaar) werkdagen]]</f>
        <v>12201</v>
      </c>
      <c r="AE266" s="179">
        <f>Ruimtestaat[[#This Row],[uren / jaar weekend]]+Ruimtestaat[[#This Row],[uren / jaar werkdagen]]</f>
        <v>0</v>
      </c>
      <c r="AF266" s="174">
        <f>Ruimtestaat[[#This Row],[kosten / jaar weekend]]+Ruimtestaat[[#This Row],[kosten / jaar werkdagen]]</f>
        <v>0</v>
      </c>
      <c r="AG266" s="174"/>
      <c r="AH266" s="174" t="str">
        <f>IF(Ruimtestaat[[#This Row],[Frequentie werkdagen]]="","",_xlfn.CONCAT(Ruimtestaat[[#This Row],[Ruimte code]],"-",Ruimtestaat[[#This Row],[Frequentie werkdagen]]," ",Ruimtestaat[[#This Row],[Vloer code]]))</f>
        <v>16-5w L</v>
      </c>
      <c r="AI266" s="185" t="str">
        <f>_xlfn.IFNA(VLOOKUP($AH266,Programma!$F$3:$G$1101,2,0),"")</f>
        <v>_</v>
      </c>
      <c r="AJ266" s="185" t="str">
        <f>_xlfn.IFNA(VLOOKUP($AH266,Programma!$F$3:$H$1101,3,0),"")</f>
        <v>_</v>
      </c>
      <c r="AK266" s="185" t="str">
        <f>_xlfn.IFNA(VLOOKUP($AH266,Programma!$F$3:$I$1101,4,0),"")</f>
        <v>4w</v>
      </c>
      <c r="AL266" s="185" t="str">
        <f>_xlfn.IFNA(VLOOKUP($AH266,Programma!$F$3:$J$1101,5,0),"")</f>
        <v>1w</v>
      </c>
      <c r="AM266" s="185" t="str">
        <f>_xlfn.IFNA(VLOOKUP($AH266,Programma!$F$3:$K$1101,6,0),"")</f>
        <v>_</v>
      </c>
      <c r="AN266" s="185" t="str">
        <f>_xlfn.IFNA(VLOOKUP($AH266,Programma!$F$3:$L$1101,7,0),"")</f>
        <v>_</v>
      </c>
      <c r="AO266" s="185" t="str">
        <f>_xlfn.IFNA(VLOOKUP($AH266,Programma!$F$3:$M$1101,8,0),"")</f>
        <v>_</v>
      </c>
      <c r="AP266" s="185" t="str">
        <f>_xlfn.IFNA(VLOOKUP($AH266,Programma!$F$3:$N$1101,9,0),"")</f>
        <v>_</v>
      </c>
      <c r="AQ266" s="185" t="str">
        <f>_xlfn.IFNA(VLOOKUP($AH266,Programma!$F$3:$O$1101,10,0),"")</f>
        <v>5w</v>
      </c>
      <c r="AR266" s="185" t="str">
        <f>_xlfn.IFNA(VLOOKUP($AH266,Programma!$F$3:$P$1101,11,0),"")</f>
        <v>5w</v>
      </c>
      <c r="AS266" s="185" t="str">
        <f>_xlfn.IFNA(VLOOKUP($AH266,Programma!$F$3:$Q$1101,12,0),"")</f>
        <v>1w</v>
      </c>
      <c r="AT266" s="185" t="str">
        <f>_xlfn.IFNA(VLOOKUP($AH266,Programma!$F$3:$R$1101,13,0),"")</f>
        <v>1w</v>
      </c>
      <c r="AU266" s="185" t="str">
        <f>_xlfn.IFNA(VLOOKUP($AH266,Programma!$F$3:$S$1101,14,0),"")</f>
        <v>1m</v>
      </c>
      <c r="AV266" s="185" t="str">
        <f>_xlfn.IFNA(VLOOKUP($AH266,Programma!$F$3:$T$1101,15,0),"")</f>
        <v>2j</v>
      </c>
      <c r="AW266" s="185" t="str">
        <f>_xlfn.IFNA(VLOOKUP($AH266,Programma!$F$3:$U$1101,16,0),"")</f>
        <v>1j</v>
      </c>
      <c r="AX266" s="185" t="str">
        <f>_xlfn.IFNA(VLOOKUP($AH266,Programma!$F$3:$V$1101,17,0),"")</f>
        <v>_</v>
      </c>
      <c r="AY266" s="185" t="str">
        <f>_xlfn.IFNA(VLOOKUP($AH266,Programma!$F$3:$W$1101,18,0),"")</f>
        <v>_</v>
      </c>
      <c r="AZ266" s="185" t="str">
        <f>_xlfn.IFNA(VLOOKUP($AH266,Programma!$F$3:$X$1101,19,0),"")</f>
        <v>_</v>
      </c>
      <c r="BA266" s="185" t="str">
        <f>_xlfn.IFNA(VLOOKUP($AH266,Programma!$F$3:$Y$1101,20,0),"")</f>
        <v>_</v>
      </c>
      <c r="BB266" s="182"/>
      <c r="BC266" s="174" t="str">
        <f>IF(Ruimtestaat[[#This Row],[Frequentie weekend]]="","",_xlfn.CONCAT(Ruimtestaat[[#This Row],[Ruimte code]],"-",Ruimtestaat[[#This Row],[Frequentie weekend]]," ",Ruimtestaat[[#This Row],[Vloer code]]))</f>
        <v/>
      </c>
      <c r="BD266" s="185" t="str">
        <f>_xlfn.IFNA(VLOOKUP($BC266,Programma!$F$3:$G$1101,2,0),"")</f>
        <v/>
      </c>
      <c r="BE266" s="185" t="str">
        <f>_xlfn.IFNA(VLOOKUP($BC266,Programma!$F$3:$H$1101,3,0),"")</f>
        <v/>
      </c>
      <c r="BF266" s="185" t="str">
        <f>_xlfn.IFNA(VLOOKUP($BC266,Programma!$F$3:$I$1101,4,0),"")</f>
        <v/>
      </c>
      <c r="BG266" s="185" t="str">
        <f>_xlfn.IFNA(VLOOKUP($BC266,Programma!$F$3:$J$1101,5,0),"")</f>
        <v/>
      </c>
      <c r="BH266" s="185" t="str">
        <f>_xlfn.IFNA(VLOOKUP($BC266,Programma!$F$3:$K$1101,6,0),"")</f>
        <v/>
      </c>
      <c r="BI266" s="185" t="str">
        <f>_xlfn.IFNA(VLOOKUP($BC266,Programma!$F$3:$L$1101,7,0),"")</f>
        <v/>
      </c>
      <c r="BJ266" s="185" t="str">
        <f>_xlfn.IFNA(VLOOKUP($BC266,Programma!$F$3:$M$1101,8,0),"")</f>
        <v/>
      </c>
      <c r="BK266" s="185" t="str">
        <f>_xlfn.IFNA(VLOOKUP($BC266,Programma!$F$3:$N$1101,9,0),"")</f>
        <v/>
      </c>
      <c r="BL266" s="185" t="str">
        <f>_xlfn.IFNA(VLOOKUP($BC266,Programma!$F$3:$O$1101,10,0),"")</f>
        <v/>
      </c>
      <c r="BM266" s="185" t="str">
        <f>_xlfn.IFNA(VLOOKUP($BC266,Programma!$F$3:$P$1101,11,0),"")</f>
        <v/>
      </c>
      <c r="BN266" s="185" t="str">
        <f>_xlfn.IFNA(VLOOKUP($BC266,Programma!$F$3:$Q$1101,12,0),"")</f>
        <v/>
      </c>
      <c r="BO266" s="185" t="str">
        <f>_xlfn.IFNA(VLOOKUP($BC266,Programma!$F$3:$R$1101,13,0),"")</f>
        <v/>
      </c>
      <c r="BP266" s="185" t="str">
        <f>_xlfn.IFNA(VLOOKUP($BC266,Programma!$F$3:$S$1101,14,0),"")</f>
        <v/>
      </c>
      <c r="BQ266" s="185" t="str">
        <f>_xlfn.IFNA(VLOOKUP($BC266,Programma!$F$3:$T$1101,15,0),"")</f>
        <v/>
      </c>
      <c r="BR266" s="185" t="str">
        <f>_xlfn.IFNA(VLOOKUP($BC266,Programma!$F$3:$U$1101,16,0),"")</f>
        <v/>
      </c>
      <c r="BS266" s="185" t="str">
        <f>_xlfn.IFNA(VLOOKUP($BC266,Programma!$F$3:$V$1101,17,0),"")</f>
        <v/>
      </c>
      <c r="BT266" s="185" t="str">
        <f>_xlfn.IFNA(VLOOKUP($BC266,Programma!$F$3:$W$1101,18,0),"")</f>
        <v/>
      </c>
      <c r="BU266" s="185" t="str">
        <f>_xlfn.IFNA(VLOOKUP($BC266,Programma!$F$3:$X$1101,19,0),"")</f>
        <v/>
      </c>
      <c r="BV266" s="185" t="str">
        <f>_xlfn.IFNA(VLOOKUP($BC266,Programma!$F$3:$Y$1101,20,0),"")</f>
        <v/>
      </c>
    </row>
    <row r="267" spans="1:74" s="78" customFormat="1" ht="15" customHeight="1">
      <c r="A267" s="99">
        <v>8</v>
      </c>
      <c r="B267" s="176" t="str">
        <f>VLOOKUP(Ruimtestaat[[#This Row],[Code]],Locaties[[Code]:[Locatie]],2,FALSE)</f>
        <v>OBS Roombeek</v>
      </c>
      <c r="C267" s="176" t="str">
        <f>VLOOKUP(Ruimtestaat[[#This Row],[Code]],Locaties[[#All],[Code]:[Adres]],4,FALSE)</f>
        <v>Bosuilstraat 3</v>
      </c>
      <c r="D267" s="176" t="str">
        <f>VLOOKUP(Ruimtestaat[[#This Row],[Code]],Locaties[[#All],[Code]:[Postcode]],5,FALSE)</f>
        <v>7523 BJ</v>
      </c>
      <c r="E267" s="176" t="str">
        <f>VLOOKUP(Ruimtestaat[[#This Row],[Code]],Locaties[#All],6,FALSE)</f>
        <v>Enschede</v>
      </c>
      <c r="F267" s="149"/>
      <c r="G267" s="149" t="s">
        <v>1646</v>
      </c>
      <c r="H267" s="99" t="s">
        <v>1902</v>
      </c>
      <c r="I267" s="183" t="s">
        <v>1684</v>
      </c>
      <c r="J267" s="99">
        <v>5</v>
      </c>
      <c r="K267" s="183" t="str">
        <f>VLOOKUP(Ruimtestaat[[#This Row],[Ruimte code]],Ruimtegroepen[[#All],[Code]:[Ruimte omschrijving]],2,FALSE)</f>
        <v>Sanitair</v>
      </c>
      <c r="L267" s="149" t="s">
        <v>101</v>
      </c>
      <c r="M267" s="301" t="s">
        <v>119</v>
      </c>
      <c r="N267" s="177">
        <v>5</v>
      </c>
      <c r="O267" s="177"/>
      <c r="P267" s="178" t="str">
        <f>VLOOKUP(Ruimtestaat[[#This Row],[Ruimte code]],Ruimtegroepen[],4,FALSE)</f>
        <v>Sa</v>
      </c>
      <c r="Q267" s="149">
        <v>42</v>
      </c>
      <c r="R267" s="149" t="s">
        <v>2</v>
      </c>
      <c r="S267" s="149">
        <f>IF(Q267&gt;0,IF(RIGHT(Ruimtestaat[[#This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67" s="149">
        <f>IF(S267&gt;0,VLOOKUP($J267,Ruimtegroepen[],3,FALSE)*VLOOKUP($L267,Vloersoorten[],3,FALSE)*VLOOKUP($R267,Frequenties[],3,FALSE)*VLOOKUP($A267,Locaties[],3,FALSE),0)</f>
        <v>0</v>
      </c>
      <c r="U267" s="149">
        <f>Ruimtestaat[[#This Row],[Uitvoeringen werkdagen]]*Ruimtestaat[[#This Row],[Oppervlak (netto)]]</f>
        <v>1050</v>
      </c>
      <c r="V267" s="179">
        <f>IF(T267&gt;0,Ruimtestaat[[#This Row],[Prest. (m2 /jaar) werkdagen]]/Ruimtestaat[[#This Row],[Norm (m2/uur) werkdagen]],0)</f>
        <v>0</v>
      </c>
      <c r="W267" s="180">
        <f>Ruimtestaat[[#This Row],[uren / jaar werkdagen]]*Tariefsopbouw!$E$35</f>
        <v>0</v>
      </c>
      <c r="X267" s="149"/>
      <c r="Y267" s="149">
        <f>IF(Ruimtestaat[[#This Row],[Frequentie weekend]]&gt;0,VALUE(LEFT(X267,1))*Q267,0)</f>
        <v>0</v>
      </c>
      <c r="Z267" s="148">
        <f>IF($Y267&gt;0,VLOOKUP($J267,Ruimtegroepen[],3,FALSE)*VLOOKUP($L267,Vloersoorten[],3,FALSE)*VLOOKUP($X267,Frequenties[],3,FALSE)*VLOOKUP(#REF!,Locaties[],3,FALSE),0)</f>
        <v>0</v>
      </c>
      <c r="AA267" s="148">
        <f>Ruimtestaat[[#This Row],[Uitvoeringen weekend]]*Ruimtestaat[[#This Row],[Oppervlak (netto)]]</f>
        <v>0</v>
      </c>
      <c r="AB267" s="148">
        <f>IF(Z267&gt;0,Ruimtestaat[[#This Row],[Prest. (m2 /jaar) weekend]]/Ruimtestaat[[#This Row],[Norm (m2/uur) weekend]],0)</f>
        <v>0</v>
      </c>
      <c r="AC267" s="180">
        <f>Ruimtestaat[[#This Row],[uren / jaar weekend]]*Tariefsopbouw!$D$40</f>
        <v>0</v>
      </c>
      <c r="AD267" s="179">
        <f>Ruimtestaat[[#This Row],[Prest. (m2 /jaar) weekend]]+Ruimtestaat[[#This Row],[Prest. (m2 /jaar) werkdagen]]</f>
        <v>1050</v>
      </c>
      <c r="AE267" s="179">
        <f>Ruimtestaat[[#This Row],[uren / jaar weekend]]+Ruimtestaat[[#This Row],[uren / jaar werkdagen]]</f>
        <v>0</v>
      </c>
      <c r="AF267" s="174">
        <f>Ruimtestaat[[#This Row],[kosten / jaar weekend]]+Ruimtestaat[[#This Row],[kosten / jaar werkdagen]]</f>
        <v>0</v>
      </c>
      <c r="AG267" s="174"/>
      <c r="AH267" s="174" t="str">
        <f>IF(Ruimtestaat[[#This Row],[Frequentie werkdagen]]="","",_xlfn.CONCAT(Ruimtestaat[[#This Row],[Ruimte code]],"-",Ruimtestaat[[#This Row],[Frequentie werkdagen]]," ",Ruimtestaat[[#This Row],[Vloer code]]))</f>
        <v>5-5w S</v>
      </c>
      <c r="AI267" s="185" t="str">
        <f>_xlfn.IFNA(VLOOKUP($AH267,Programma!$F$3:$G$1101,2,0),"")</f>
        <v>_</v>
      </c>
      <c r="AJ267" s="185" t="str">
        <f>_xlfn.IFNA(VLOOKUP($AH267,Programma!$F$3:$H$1101,3,0),"")</f>
        <v>_</v>
      </c>
      <c r="AK267" s="185" t="str">
        <f>_xlfn.IFNA(VLOOKUP($AH267,Programma!$F$3:$I$1101,4,0),"")</f>
        <v>_</v>
      </c>
      <c r="AL267" s="185" t="str">
        <f>_xlfn.IFNA(VLOOKUP($AH267,Programma!$F$3:$J$1101,5,0),"")</f>
        <v>4w</v>
      </c>
      <c r="AM267" s="185" t="str">
        <f>_xlfn.IFNA(VLOOKUP($AH267,Programma!$F$3:$K$1101,6,0),"")</f>
        <v>1w</v>
      </c>
      <c r="AN267" s="185" t="str">
        <f>_xlfn.IFNA(VLOOKUP($AH267,Programma!$F$3:$L$1101,7,0),"")</f>
        <v>_</v>
      </c>
      <c r="AO267" s="185" t="str">
        <f>_xlfn.IFNA(VLOOKUP($AH267,Programma!$F$3:$M$1101,8,0),"")</f>
        <v>_</v>
      </c>
      <c r="AP267" s="185" t="str">
        <f>_xlfn.IFNA(VLOOKUP($AH267,Programma!$F$3:$N$1101,9,0),"")</f>
        <v>_</v>
      </c>
      <c r="AQ267" s="185" t="str">
        <f>_xlfn.IFNA(VLOOKUP($AH267,Programma!$F$3:$O$1101,10,0),"")</f>
        <v>_</v>
      </c>
      <c r="AR267" s="185" t="str">
        <f>_xlfn.IFNA(VLOOKUP($AH267,Programma!$F$3:$P$1101,11,0),"")</f>
        <v>_</v>
      </c>
      <c r="AS267" s="185" t="str">
        <f>_xlfn.IFNA(VLOOKUP($AH267,Programma!$F$3:$Q$1101,12,0),"")</f>
        <v>_</v>
      </c>
      <c r="AT267" s="185" t="str">
        <f>_xlfn.IFNA(VLOOKUP($AH267,Programma!$F$3:$R$1101,13,0),"")</f>
        <v>_</v>
      </c>
      <c r="AU267" s="185" t="str">
        <f>_xlfn.IFNA(VLOOKUP($AH267,Programma!$F$3:$S$1101,14,0),"")</f>
        <v>_</v>
      </c>
      <c r="AV267" s="185" t="str">
        <f>_xlfn.IFNA(VLOOKUP($AH267,Programma!$F$3:$T$1101,15,0),"")</f>
        <v>_</v>
      </c>
      <c r="AW267" s="185" t="str">
        <f>_xlfn.IFNA(VLOOKUP($AH267,Programma!$F$3:$U$1101,16,0),"")</f>
        <v>_</v>
      </c>
      <c r="AX267" s="185" t="str">
        <f>_xlfn.IFNA(VLOOKUP($AH267,Programma!$F$3:$V$1101,17,0),"")</f>
        <v>_</v>
      </c>
      <c r="AY267" s="185" t="str">
        <f>_xlfn.IFNA(VLOOKUP($AH267,Programma!$F$3:$W$1101,18,0),"")</f>
        <v>4w</v>
      </c>
      <c r="AZ267" s="185" t="str">
        <f>_xlfn.IFNA(VLOOKUP($AH267,Programma!$F$3:$X$1101,19,0),"")</f>
        <v>1w</v>
      </c>
      <c r="BA267" s="185" t="str">
        <f>_xlfn.IFNA(VLOOKUP($AH267,Programma!$F$3:$Y$1101,20,0),"")</f>
        <v>_</v>
      </c>
      <c r="BB267" s="182"/>
      <c r="BC267" s="174" t="str">
        <f>IF(Ruimtestaat[[#This Row],[Frequentie weekend]]="","",_xlfn.CONCAT(Ruimtestaat[[#This Row],[Ruimte code]],"-",Ruimtestaat[[#This Row],[Frequentie weekend]]," ",Ruimtestaat[[#This Row],[Vloer code]]))</f>
        <v/>
      </c>
      <c r="BD267" s="185" t="str">
        <f>_xlfn.IFNA(VLOOKUP($BC267,Programma!$F$3:$G$1101,2,0),"")</f>
        <v/>
      </c>
      <c r="BE267" s="185" t="str">
        <f>_xlfn.IFNA(VLOOKUP($BC267,Programma!$F$3:$H$1101,3,0),"")</f>
        <v/>
      </c>
      <c r="BF267" s="185" t="str">
        <f>_xlfn.IFNA(VLOOKUP($BC267,Programma!$F$3:$I$1101,4,0),"")</f>
        <v/>
      </c>
      <c r="BG267" s="185" t="str">
        <f>_xlfn.IFNA(VLOOKUP($BC267,Programma!$F$3:$J$1101,5,0),"")</f>
        <v/>
      </c>
      <c r="BH267" s="185" t="str">
        <f>_xlfn.IFNA(VLOOKUP($BC267,Programma!$F$3:$K$1101,6,0),"")</f>
        <v/>
      </c>
      <c r="BI267" s="185" t="str">
        <f>_xlfn.IFNA(VLOOKUP($BC267,Programma!$F$3:$L$1101,7,0),"")</f>
        <v/>
      </c>
      <c r="BJ267" s="185" t="str">
        <f>_xlfn.IFNA(VLOOKUP($BC267,Programma!$F$3:$M$1101,8,0),"")</f>
        <v/>
      </c>
      <c r="BK267" s="185" t="str">
        <f>_xlfn.IFNA(VLOOKUP($BC267,Programma!$F$3:$N$1101,9,0),"")</f>
        <v/>
      </c>
      <c r="BL267" s="185" t="str">
        <f>_xlfn.IFNA(VLOOKUP($BC267,Programma!$F$3:$O$1101,10,0),"")</f>
        <v/>
      </c>
      <c r="BM267" s="185" t="str">
        <f>_xlfn.IFNA(VLOOKUP($BC267,Programma!$F$3:$P$1101,11,0),"")</f>
        <v/>
      </c>
      <c r="BN267" s="185" t="str">
        <f>_xlfn.IFNA(VLOOKUP($BC267,Programma!$F$3:$Q$1101,12,0),"")</f>
        <v/>
      </c>
      <c r="BO267" s="185" t="str">
        <f>_xlfn.IFNA(VLOOKUP($BC267,Programma!$F$3:$R$1101,13,0),"")</f>
        <v/>
      </c>
      <c r="BP267" s="185" t="str">
        <f>_xlfn.IFNA(VLOOKUP($BC267,Programma!$F$3:$S$1101,14,0),"")</f>
        <v/>
      </c>
      <c r="BQ267" s="185" t="str">
        <f>_xlfn.IFNA(VLOOKUP($BC267,Programma!$F$3:$T$1101,15,0),"")</f>
        <v/>
      </c>
      <c r="BR267" s="185" t="str">
        <f>_xlfn.IFNA(VLOOKUP($BC267,Programma!$F$3:$U$1101,16,0),"")</f>
        <v/>
      </c>
      <c r="BS267" s="185" t="str">
        <f>_xlfn.IFNA(VLOOKUP($BC267,Programma!$F$3:$V$1101,17,0),"")</f>
        <v/>
      </c>
      <c r="BT267" s="185" t="str">
        <f>_xlfn.IFNA(VLOOKUP($BC267,Programma!$F$3:$W$1101,18,0),"")</f>
        <v/>
      </c>
      <c r="BU267" s="185" t="str">
        <f>_xlfn.IFNA(VLOOKUP($BC267,Programma!$F$3:$X$1101,19,0),"")</f>
        <v/>
      </c>
      <c r="BV267" s="185" t="str">
        <f>_xlfn.IFNA(VLOOKUP($BC267,Programma!$F$3:$Y$1101,20,0),"")</f>
        <v/>
      </c>
    </row>
    <row r="268" spans="1:74" s="78" customFormat="1" ht="15" customHeight="1">
      <c r="A268" s="99">
        <v>8</v>
      </c>
      <c r="B268" s="176" t="str">
        <f>VLOOKUP(Ruimtestaat[[#This Row],[Code]],Locaties[[Code]:[Locatie]],2,FALSE)</f>
        <v>OBS Roombeek</v>
      </c>
      <c r="C268" s="176" t="str">
        <f>VLOOKUP(Ruimtestaat[[#This Row],[Code]],Locaties[[#All],[Code]:[Adres]],4,FALSE)</f>
        <v>Bosuilstraat 3</v>
      </c>
      <c r="D268" s="176" t="str">
        <f>VLOOKUP(Ruimtestaat[[#This Row],[Code]],Locaties[[#All],[Code]:[Postcode]],5,FALSE)</f>
        <v>7523 BJ</v>
      </c>
      <c r="E268" s="176" t="str">
        <f>VLOOKUP(Ruimtestaat[[#This Row],[Code]],Locaties[#All],6,FALSE)</f>
        <v>Enschede</v>
      </c>
      <c r="F268" s="149"/>
      <c r="G268" s="149" t="s">
        <v>1646</v>
      </c>
      <c r="H268" s="99" t="s">
        <v>1903</v>
      </c>
      <c r="I268" s="183" t="s">
        <v>1683</v>
      </c>
      <c r="J268" s="99">
        <v>20</v>
      </c>
      <c r="K268" s="183" t="str">
        <f>VLOOKUP(Ruimtestaat[[#This Row],[Ruimte code]],Ruimtegroepen[[#All],[Code]:[Ruimte omschrijving]],2,FALSE)</f>
        <v>Niet in Onderhoud</v>
      </c>
      <c r="L268" s="149" t="s">
        <v>100</v>
      </c>
      <c r="M268" s="301" t="s">
        <v>1697</v>
      </c>
      <c r="N268" s="177"/>
      <c r="O268" s="177">
        <v>2</v>
      </c>
      <c r="P268" s="178">
        <f>VLOOKUP(Ruimtestaat[[#This Row],[Ruimte code]],Ruimtegroepen[],4,FALSE)</f>
        <v>0</v>
      </c>
      <c r="Q268" s="149"/>
      <c r="R268" s="149"/>
      <c r="S268" s="149">
        <f>IF(Q268&gt;0,IF(RIGHT(Ruimtestaat[[#This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8" s="149">
        <f>IF(S268&gt;0,VLOOKUP($J268,Ruimtegroepen[],3,FALSE)*VLOOKUP($L268,Vloersoorten[],3,FALSE)*VLOOKUP($R268,Frequenties[],3,FALSE)*VLOOKUP($A268,Locaties[],3,FALSE),0)</f>
        <v>0</v>
      </c>
      <c r="U268" s="149">
        <f>Ruimtestaat[[#This Row],[Uitvoeringen werkdagen]]*Ruimtestaat[[#This Row],[Oppervlak (netto)]]</f>
        <v>0</v>
      </c>
      <c r="V268" s="179">
        <f>IF(T268&gt;0,Ruimtestaat[[#This Row],[Prest. (m2 /jaar) werkdagen]]/Ruimtestaat[[#This Row],[Norm (m2/uur) werkdagen]],0)</f>
        <v>0</v>
      </c>
      <c r="W268" s="180">
        <f>Ruimtestaat[[#This Row],[uren / jaar werkdagen]]*Tariefsopbouw!$E$35</f>
        <v>0</v>
      </c>
      <c r="X268" s="149"/>
      <c r="Y268" s="149">
        <f>IF(Ruimtestaat[[#This Row],[Frequentie weekend]]&gt;0,VALUE(LEFT(X268,1))*Q268,0)</f>
        <v>0</v>
      </c>
      <c r="Z268" s="148">
        <f>IF($Y268&gt;0,VLOOKUP($J268,Ruimtegroepen[],3,FALSE)*VLOOKUP($L268,Vloersoorten[],3,FALSE)*VLOOKUP($X268,Frequenties[],3,FALSE)*VLOOKUP(#REF!,Locaties[],3,FALSE),0)</f>
        <v>0</v>
      </c>
      <c r="AA268" s="148">
        <f>Ruimtestaat[[#This Row],[Uitvoeringen weekend]]*Ruimtestaat[[#This Row],[Oppervlak (netto)]]</f>
        <v>0</v>
      </c>
      <c r="AB268" s="148">
        <f>IF(Z268&gt;0,Ruimtestaat[[#This Row],[Prest. (m2 /jaar) weekend]]/Ruimtestaat[[#This Row],[Norm (m2/uur) weekend]],0)</f>
        <v>0</v>
      </c>
      <c r="AC268" s="180">
        <f>Ruimtestaat[[#This Row],[uren / jaar weekend]]*Tariefsopbouw!$D$40</f>
        <v>0</v>
      </c>
      <c r="AD268" s="179">
        <f>Ruimtestaat[[#This Row],[Prest. (m2 /jaar) weekend]]+Ruimtestaat[[#This Row],[Prest. (m2 /jaar) werkdagen]]</f>
        <v>0</v>
      </c>
      <c r="AE268" s="179">
        <f>Ruimtestaat[[#This Row],[uren / jaar weekend]]+Ruimtestaat[[#This Row],[uren / jaar werkdagen]]</f>
        <v>0</v>
      </c>
      <c r="AF268" s="174">
        <f>Ruimtestaat[[#This Row],[kosten / jaar weekend]]+Ruimtestaat[[#This Row],[kosten / jaar werkdagen]]</f>
        <v>0</v>
      </c>
      <c r="AG268" s="174"/>
      <c r="AH268" s="174" t="str">
        <f>IF(Ruimtestaat[[#This Row],[Frequentie werkdagen]]="","",_xlfn.CONCAT(Ruimtestaat[[#This Row],[Ruimte code]],"-",Ruimtestaat[[#This Row],[Frequentie werkdagen]]," ",Ruimtestaat[[#This Row],[Vloer code]]))</f>
        <v/>
      </c>
      <c r="AI268" s="185" t="str">
        <f>_xlfn.IFNA(VLOOKUP($AH268,Programma!$F$3:$G$1101,2,0),"")</f>
        <v/>
      </c>
      <c r="AJ268" s="185" t="str">
        <f>_xlfn.IFNA(VLOOKUP($AH268,Programma!$F$3:$H$1101,3,0),"")</f>
        <v/>
      </c>
      <c r="AK268" s="185" t="str">
        <f>_xlfn.IFNA(VLOOKUP($AH268,Programma!$F$3:$I$1101,4,0),"")</f>
        <v/>
      </c>
      <c r="AL268" s="185" t="str">
        <f>_xlfn.IFNA(VLOOKUP($AH268,Programma!$F$3:$J$1101,5,0),"")</f>
        <v/>
      </c>
      <c r="AM268" s="185" t="str">
        <f>_xlfn.IFNA(VLOOKUP($AH268,Programma!$F$3:$K$1101,6,0),"")</f>
        <v/>
      </c>
      <c r="AN268" s="185" t="str">
        <f>_xlfn.IFNA(VLOOKUP($AH268,Programma!$F$3:$L$1101,7,0),"")</f>
        <v/>
      </c>
      <c r="AO268" s="185" t="str">
        <f>_xlfn.IFNA(VLOOKUP($AH268,Programma!$F$3:$M$1101,8,0),"")</f>
        <v/>
      </c>
      <c r="AP268" s="185" t="str">
        <f>_xlfn.IFNA(VLOOKUP($AH268,Programma!$F$3:$N$1101,9,0),"")</f>
        <v/>
      </c>
      <c r="AQ268" s="185" t="str">
        <f>_xlfn.IFNA(VLOOKUP($AH268,Programma!$F$3:$O$1101,10,0),"")</f>
        <v/>
      </c>
      <c r="AR268" s="185" t="str">
        <f>_xlfn.IFNA(VLOOKUP($AH268,Programma!$F$3:$P$1101,11,0),"")</f>
        <v/>
      </c>
      <c r="AS268" s="185" t="str">
        <f>_xlfn.IFNA(VLOOKUP($AH268,Programma!$F$3:$Q$1101,12,0),"")</f>
        <v/>
      </c>
      <c r="AT268" s="185" t="str">
        <f>_xlfn.IFNA(VLOOKUP($AH268,Programma!$F$3:$R$1101,13,0),"")</f>
        <v/>
      </c>
      <c r="AU268" s="185" t="str">
        <f>_xlfn.IFNA(VLOOKUP($AH268,Programma!$F$3:$S$1101,14,0),"")</f>
        <v/>
      </c>
      <c r="AV268" s="185" t="str">
        <f>_xlfn.IFNA(VLOOKUP($AH268,Programma!$F$3:$T$1101,15,0),"")</f>
        <v/>
      </c>
      <c r="AW268" s="185" t="str">
        <f>_xlfn.IFNA(VLOOKUP($AH268,Programma!$F$3:$U$1101,16,0),"")</f>
        <v/>
      </c>
      <c r="AX268" s="185" t="str">
        <f>_xlfn.IFNA(VLOOKUP($AH268,Programma!$F$3:$V$1101,17,0),"")</f>
        <v/>
      </c>
      <c r="AY268" s="185" t="str">
        <f>_xlfn.IFNA(VLOOKUP($AH268,Programma!$F$3:$W$1101,18,0),"")</f>
        <v/>
      </c>
      <c r="AZ268" s="185" t="str">
        <f>_xlfn.IFNA(VLOOKUP($AH268,Programma!$F$3:$X$1101,19,0),"")</f>
        <v/>
      </c>
      <c r="BA268" s="185" t="str">
        <f>_xlfn.IFNA(VLOOKUP($AH268,Programma!$F$3:$Y$1101,20,0),"")</f>
        <v/>
      </c>
      <c r="BB268" s="182"/>
      <c r="BC268" s="174" t="str">
        <f>IF(Ruimtestaat[[#This Row],[Frequentie weekend]]="","",_xlfn.CONCAT(Ruimtestaat[[#This Row],[Ruimte code]],"-",Ruimtestaat[[#This Row],[Frequentie weekend]]," ",Ruimtestaat[[#This Row],[Vloer code]]))</f>
        <v/>
      </c>
      <c r="BD268" s="185" t="str">
        <f>_xlfn.IFNA(VLOOKUP($BC268,Programma!$F$3:$G$1101,2,0),"")</f>
        <v/>
      </c>
      <c r="BE268" s="185" t="str">
        <f>_xlfn.IFNA(VLOOKUP($BC268,Programma!$F$3:$H$1101,3,0),"")</f>
        <v/>
      </c>
      <c r="BF268" s="185" t="str">
        <f>_xlfn.IFNA(VLOOKUP($BC268,Programma!$F$3:$I$1101,4,0),"")</f>
        <v/>
      </c>
      <c r="BG268" s="185" t="str">
        <f>_xlfn.IFNA(VLOOKUP($BC268,Programma!$F$3:$J$1101,5,0),"")</f>
        <v/>
      </c>
      <c r="BH268" s="185" t="str">
        <f>_xlfn.IFNA(VLOOKUP($BC268,Programma!$F$3:$K$1101,6,0),"")</f>
        <v/>
      </c>
      <c r="BI268" s="185" t="str">
        <f>_xlfn.IFNA(VLOOKUP($BC268,Programma!$F$3:$L$1101,7,0),"")</f>
        <v/>
      </c>
      <c r="BJ268" s="185" t="str">
        <f>_xlfn.IFNA(VLOOKUP($BC268,Programma!$F$3:$M$1101,8,0),"")</f>
        <v/>
      </c>
      <c r="BK268" s="185" t="str">
        <f>_xlfn.IFNA(VLOOKUP($BC268,Programma!$F$3:$N$1101,9,0),"")</f>
        <v/>
      </c>
      <c r="BL268" s="185" t="str">
        <f>_xlfn.IFNA(VLOOKUP($BC268,Programma!$F$3:$O$1101,10,0),"")</f>
        <v/>
      </c>
      <c r="BM268" s="185" t="str">
        <f>_xlfn.IFNA(VLOOKUP($BC268,Programma!$F$3:$P$1101,11,0),"")</f>
        <v/>
      </c>
      <c r="BN268" s="185" t="str">
        <f>_xlfn.IFNA(VLOOKUP($BC268,Programma!$F$3:$Q$1101,12,0),"")</f>
        <v/>
      </c>
      <c r="BO268" s="185" t="str">
        <f>_xlfn.IFNA(VLOOKUP($BC268,Programma!$F$3:$R$1101,13,0),"")</f>
        <v/>
      </c>
      <c r="BP268" s="185" t="str">
        <f>_xlfn.IFNA(VLOOKUP($BC268,Programma!$F$3:$S$1101,14,0),"")</f>
        <v/>
      </c>
      <c r="BQ268" s="185" t="str">
        <f>_xlfn.IFNA(VLOOKUP($BC268,Programma!$F$3:$T$1101,15,0),"")</f>
        <v/>
      </c>
      <c r="BR268" s="185" t="str">
        <f>_xlfn.IFNA(VLOOKUP($BC268,Programma!$F$3:$U$1101,16,0),"")</f>
        <v/>
      </c>
      <c r="BS268" s="185" t="str">
        <f>_xlfn.IFNA(VLOOKUP($BC268,Programma!$F$3:$V$1101,17,0),"")</f>
        <v/>
      </c>
      <c r="BT268" s="185" t="str">
        <f>_xlfn.IFNA(VLOOKUP($BC268,Programma!$F$3:$W$1101,18,0),"")</f>
        <v/>
      </c>
      <c r="BU268" s="185" t="str">
        <f>_xlfn.IFNA(VLOOKUP($BC268,Programma!$F$3:$X$1101,19,0),"")</f>
        <v/>
      </c>
      <c r="BV268" s="185" t="str">
        <f>_xlfn.IFNA(VLOOKUP($BC268,Programma!$F$3:$Y$1101,20,0),"")</f>
        <v/>
      </c>
    </row>
    <row r="269" spans="1:74" s="78" customFormat="1" ht="15" customHeight="1">
      <c r="A269" s="99">
        <v>8</v>
      </c>
      <c r="B269" s="176" t="str">
        <f>VLOOKUP(Ruimtestaat[[#This Row],[Code]],Locaties[[Code]:[Locatie]],2,FALSE)</f>
        <v>OBS Roombeek</v>
      </c>
      <c r="C269" s="176" t="str">
        <f>VLOOKUP(Ruimtestaat[[#This Row],[Code]],Locaties[[#All],[Code]:[Adres]],4,FALSE)</f>
        <v>Bosuilstraat 3</v>
      </c>
      <c r="D269" s="176" t="str">
        <f>VLOOKUP(Ruimtestaat[[#This Row],[Code]],Locaties[[#All],[Code]:[Postcode]],5,FALSE)</f>
        <v>7523 BJ</v>
      </c>
      <c r="E269" s="176" t="str">
        <f>VLOOKUP(Ruimtestaat[[#This Row],[Code]],Locaties[#All],6,FALSE)</f>
        <v>Enschede</v>
      </c>
      <c r="F269" s="149"/>
      <c r="G269" s="149" t="s">
        <v>1646</v>
      </c>
      <c r="H269" s="99" t="s">
        <v>1904</v>
      </c>
      <c r="I269" s="183" t="s">
        <v>1684</v>
      </c>
      <c r="J269" s="99">
        <v>5</v>
      </c>
      <c r="K269" s="183" t="str">
        <f>VLOOKUP(Ruimtestaat[[#This Row],[Ruimte code]],Ruimtegroepen[[#All],[Code]:[Ruimte omschrijving]],2,FALSE)</f>
        <v>Sanitair</v>
      </c>
      <c r="L269" s="149" t="s">
        <v>101</v>
      </c>
      <c r="M269" s="301" t="s">
        <v>119</v>
      </c>
      <c r="N269" s="177">
        <v>5</v>
      </c>
      <c r="O269" s="177"/>
      <c r="P269" s="178" t="str">
        <f>VLOOKUP(Ruimtestaat[[#This Row],[Ruimte code]],Ruimtegroepen[],4,FALSE)</f>
        <v>Sa</v>
      </c>
      <c r="Q269" s="149">
        <v>42</v>
      </c>
      <c r="R269" s="149" t="s">
        <v>2</v>
      </c>
      <c r="S269" s="149">
        <f>IF(Q269&gt;0,IF(RIGHT(Ruimtestaat[[#This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69" s="149">
        <f>IF(S269&gt;0,VLOOKUP($J269,Ruimtegroepen[],3,FALSE)*VLOOKUP($L269,Vloersoorten[],3,FALSE)*VLOOKUP($R269,Frequenties[],3,FALSE)*VLOOKUP($A269,Locaties[],3,FALSE),0)</f>
        <v>0</v>
      </c>
      <c r="U269" s="149">
        <f>Ruimtestaat[[#This Row],[Uitvoeringen werkdagen]]*Ruimtestaat[[#This Row],[Oppervlak (netto)]]</f>
        <v>1050</v>
      </c>
      <c r="V269" s="179">
        <f>IF(T269&gt;0,Ruimtestaat[[#This Row],[Prest. (m2 /jaar) werkdagen]]/Ruimtestaat[[#This Row],[Norm (m2/uur) werkdagen]],0)</f>
        <v>0</v>
      </c>
      <c r="W269" s="180">
        <f>Ruimtestaat[[#This Row],[uren / jaar werkdagen]]*Tariefsopbouw!$E$35</f>
        <v>0</v>
      </c>
      <c r="X269" s="149"/>
      <c r="Y269" s="149">
        <f>IF(Ruimtestaat[[#This Row],[Frequentie weekend]]&gt;0,VALUE(LEFT(X269,1))*Q269,0)</f>
        <v>0</v>
      </c>
      <c r="Z269" s="148">
        <f>IF($Y269&gt;0,VLOOKUP($J269,Ruimtegroepen[],3,FALSE)*VLOOKUP($L269,Vloersoorten[],3,FALSE)*VLOOKUP($X269,Frequenties[],3,FALSE)*VLOOKUP(#REF!,Locaties[],3,FALSE),0)</f>
        <v>0</v>
      </c>
      <c r="AA269" s="148">
        <f>Ruimtestaat[[#This Row],[Uitvoeringen weekend]]*Ruimtestaat[[#This Row],[Oppervlak (netto)]]</f>
        <v>0</v>
      </c>
      <c r="AB269" s="148">
        <f>IF(Z269&gt;0,Ruimtestaat[[#This Row],[Prest. (m2 /jaar) weekend]]/Ruimtestaat[[#This Row],[Norm (m2/uur) weekend]],0)</f>
        <v>0</v>
      </c>
      <c r="AC269" s="180">
        <f>Ruimtestaat[[#This Row],[uren / jaar weekend]]*Tariefsopbouw!$D$40</f>
        <v>0</v>
      </c>
      <c r="AD269" s="179">
        <f>Ruimtestaat[[#This Row],[Prest. (m2 /jaar) weekend]]+Ruimtestaat[[#This Row],[Prest. (m2 /jaar) werkdagen]]</f>
        <v>1050</v>
      </c>
      <c r="AE269" s="179">
        <f>Ruimtestaat[[#This Row],[uren / jaar weekend]]+Ruimtestaat[[#This Row],[uren / jaar werkdagen]]</f>
        <v>0</v>
      </c>
      <c r="AF269" s="174">
        <f>Ruimtestaat[[#This Row],[kosten / jaar weekend]]+Ruimtestaat[[#This Row],[kosten / jaar werkdagen]]</f>
        <v>0</v>
      </c>
      <c r="AG269" s="174"/>
      <c r="AH269" s="174" t="str">
        <f>IF(Ruimtestaat[[#This Row],[Frequentie werkdagen]]="","",_xlfn.CONCAT(Ruimtestaat[[#This Row],[Ruimte code]],"-",Ruimtestaat[[#This Row],[Frequentie werkdagen]]," ",Ruimtestaat[[#This Row],[Vloer code]]))</f>
        <v>5-5w S</v>
      </c>
      <c r="AI269" s="185" t="str">
        <f>_xlfn.IFNA(VLOOKUP($AH269,Programma!$F$3:$G$1101,2,0),"")</f>
        <v>_</v>
      </c>
      <c r="AJ269" s="185" t="str">
        <f>_xlfn.IFNA(VLOOKUP($AH269,Programma!$F$3:$H$1101,3,0),"")</f>
        <v>_</v>
      </c>
      <c r="AK269" s="185" t="str">
        <f>_xlfn.IFNA(VLOOKUP($AH269,Programma!$F$3:$I$1101,4,0),"")</f>
        <v>_</v>
      </c>
      <c r="AL269" s="185" t="str">
        <f>_xlfn.IFNA(VLOOKUP($AH269,Programma!$F$3:$J$1101,5,0),"")</f>
        <v>4w</v>
      </c>
      <c r="AM269" s="185" t="str">
        <f>_xlfn.IFNA(VLOOKUP($AH269,Programma!$F$3:$K$1101,6,0),"")</f>
        <v>1w</v>
      </c>
      <c r="AN269" s="185" t="str">
        <f>_xlfn.IFNA(VLOOKUP($AH269,Programma!$F$3:$L$1101,7,0),"")</f>
        <v>_</v>
      </c>
      <c r="AO269" s="185" t="str">
        <f>_xlfn.IFNA(VLOOKUP($AH269,Programma!$F$3:$M$1101,8,0),"")</f>
        <v>_</v>
      </c>
      <c r="AP269" s="185" t="str">
        <f>_xlfn.IFNA(VLOOKUP($AH269,Programma!$F$3:$N$1101,9,0),"")</f>
        <v>_</v>
      </c>
      <c r="AQ269" s="185" t="str">
        <f>_xlfn.IFNA(VLOOKUP($AH269,Programma!$F$3:$O$1101,10,0),"")</f>
        <v>_</v>
      </c>
      <c r="AR269" s="185" t="str">
        <f>_xlfn.IFNA(VLOOKUP($AH269,Programma!$F$3:$P$1101,11,0),"")</f>
        <v>_</v>
      </c>
      <c r="AS269" s="185" t="str">
        <f>_xlfn.IFNA(VLOOKUP($AH269,Programma!$F$3:$Q$1101,12,0),"")</f>
        <v>_</v>
      </c>
      <c r="AT269" s="185" t="str">
        <f>_xlfn.IFNA(VLOOKUP($AH269,Programma!$F$3:$R$1101,13,0),"")</f>
        <v>_</v>
      </c>
      <c r="AU269" s="185" t="str">
        <f>_xlfn.IFNA(VLOOKUP($AH269,Programma!$F$3:$S$1101,14,0),"")</f>
        <v>_</v>
      </c>
      <c r="AV269" s="185" t="str">
        <f>_xlfn.IFNA(VLOOKUP($AH269,Programma!$F$3:$T$1101,15,0),"")</f>
        <v>_</v>
      </c>
      <c r="AW269" s="185" t="str">
        <f>_xlfn.IFNA(VLOOKUP($AH269,Programma!$F$3:$U$1101,16,0),"")</f>
        <v>_</v>
      </c>
      <c r="AX269" s="185" t="str">
        <f>_xlfn.IFNA(VLOOKUP($AH269,Programma!$F$3:$V$1101,17,0),"")</f>
        <v>_</v>
      </c>
      <c r="AY269" s="185" t="str">
        <f>_xlfn.IFNA(VLOOKUP($AH269,Programma!$F$3:$W$1101,18,0),"")</f>
        <v>4w</v>
      </c>
      <c r="AZ269" s="185" t="str">
        <f>_xlfn.IFNA(VLOOKUP($AH269,Programma!$F$3:$X$1101,19,0),"")</f>
        <v>1w</v>
      </c>
      <c r="BA269" s="185" t="str">
        <f>_xlfn.IFNA(VLOOKUP($AH269,Programma!$F$3:$Y$1101,20,0),"")</f>
        <v>_</v>
      </c>
      <c r="BB269" s="182"/>
      <c r="BC269" s="174" t="str">
        <f>IF(Ruimtestaat[[#This Row],[Frequentie weekend]]="","",_xlfn.CONCAT(Ruimtestaat[[#This Row],[Ruimte code]],"-",Ruimtestaat[[#This Row],[Frequentie weekend]]," ",Ruimtestaat[[#This Row],[Vloer code]]))</f>
        <v/>
      </c>
      <c r="BD269" s="185" t="str">
        <f>_xlfn.IFNA(VLOOKUP($BC269,Programma!$F$3:$G$1101,2,0),"")</f>
        <v/>
      </c>
      <c r="BE269" s="185" t="str">
        <f>_xlfn.IFNA(VLOOKUP($BC269,Programma!$F$3:$H$1101,3,0),"")</f>
        <v/>
      </c>
      <c r="BF269" s="185" t="str">
        <f>_xlfn.IFNA(VLOOKUP($BC269,Programma!$F$3:$I$1101,4,0),"")</f>
        <v/>
      </c>
      <c r="BG269" s="185" t="str">
        <f>_xlfn.IFNA(VLOOKUP($BC269,Programma!$F$3:$J$1101,5,0),"")</f>
        <v/>
      </c>
      <c r="BH269" s="185" t="str">
        <f>_xlfn.IFNA(VLOOKUP($BC269,Programma!$F$3:$K$1101,6,0),"")</f>
        <v/>
      </c>
      <c r="BI269" s="185" t="str">
        <f>_xlfn.IFNA(VLOOKUP($BC269,Programma!$F$3:$L$1101,7,0),"")</f>
        <v/>
      </c>
      <c r="BJ269" s="185" t="str">
        <f>_xlfn.IFNA(VLOOKUP($BC269,Programma!$F$3:$M$1101,8,0),"")</f>
        <v/>
      </c>
      <c r="BK269" s="185" t="str">
        <f>_xlfn.IFNA(VLOOKUP($BC269,Programma!$F$3:$N$1101,9,0),"")</f>
        <v/>
      </c>
      <c r="BL269" s="185" t="str">
        <f>_xlfn.IFNA(VLOOKUP($BC269,Programma!$F$3:$O$1101,10,0),"")</f>
        <v/>
      </c>
      <c r="BM269" s="185" t="str">
        <f>_xlfn.IFNA(VLOOKUP($BC269,Programma!$F$3:$P$1101,11,0),"")</f>
        <v/>
      </c>
      <c r="BN269" s="185" t="str">
        <f>_xlfn.IFNA(VLOOKUP($BC269,Programma!$F$3:$Q$1101,12,0),"")</f>
        <v/>
      </c>
      <c r="BO269" s="185" t="str">
        <f>_xlfn.IFNA(VLOOKUP($BC269,Programma!$F$3:$R$1101,13,0),"")</f>
        <v/>
      </c>
      <c r="BP269" s="185" t="str">
        <f>_xlfn.IFNA(VLOOKUP($BC269,Programma!$F$3:$S$1101,14,0),"")</f>
        <v/>
      </c>
      <c r="BQ269" s="185" t="str">
        <f>_xlfn.IFNA(VLOOKUP($BC269,Programma!$F$3:$T$1101,15,0),"")</f>
        <v/>
      </c>
      <c r="BR269" s="185" t="str">
        <f>_xlfn.IFNA(VLOOKUP($BC269,Programma!$F$3:$U$1101,16,0),"")</f>
        <v/>
      </c>
      <c r="BS269" s="185" t="str">
        <f>_xlfn.IFNA(VLOOKUP($BC269,Programma!$F$3:$V$1101,17,0),"")</f>
        <v/>
      </c>
      <c r="BT269" s="185" t="str">
        <f>_xlfn.IFNA(VLOOKUP($BC269,Programma!$F$3:$W$1101,18,0),"")</f>
        <v/>
      </c>
      <c r="BU269" s="185" t="str">
        <f>_xlfn.IFNA(VLOOKUP($BC269,Programma!$F$3:$X$1101,19,0),"")</f>
        <v/>
      </c>
      <c r="BV269" s="185" t="str">
        <f>_xlfn.IFNA(VLOOKUP($BC269,Programma!$F$3:$Y$1101,20,0),"")</f>
        <v/>
      </c>
    </row>
    <row r="270" spans="1:74" s="78" customFormat="1" ht="15" customHeight="1">
      <c r="A270" s="99">
        <v>8</v>
      </c>
      <c r="B270" s="176" t="str">
        <f>VLOOKUP(Ruimtestaat[[#This Row],[Code]],Locaties[[Code]:[Locatie]],2,FALSE)</f>
        <v>OBS Roombeek</v>
      </c>
      <c r="C270" s="176" t="str">
        <f>VLOOKUP(Ruimtestaat[[#This Row],[Code]],Locaties[[#All],[Code]:[Adres]],4,FALSE)</f>
        <v>Bosuilstraat 3</v>
      </c>
      <c r="D270" s="176" t="str">
        <f>VLOOKUP(Ruimtestaat[[#This Row],[Code]],Locaties[[#All],[Code]:[Postcode]],5,FALSE)</f>
        <v>7523 BJ</v>
      </c>
      <c r="E270" s="176" t="str">
        <f>VLOOKUP(Ruimtestaat[[#This Row],[Code]],Locaties[#All],6,FALSE)</f>
        <v>Enschede</v>
      </c>
      <c r="F270" s="149"/>
      <c r="G270" s="149" t="s">
        <v>1646</v>
      </c>
      <c r="H270" s="99" t="s">
        <v>1905</v>
      </c>
      <c r="I270" s="183" t="s">
        <v>1683</v>
      </c>
      <c r="J270" s="99">
        <v>20</v>
      </c>
      <c r="K270" s="183" t="str">
        <f>VLOOKUP(Ruimtestaat[[#This Row],[Ruimte code]],Ruimtegroepen[[#All],[Code]:[Ruimte omschrijving]],2,FALSE)</f>
        <v>Niet in Onderhoud</v>
      </c>
      <c r="L270" s="149" t="s">
        <v>100</v>
      </c>
      <c r="M270" s="301" t="s">
        <v>1697</v>
      </c>
      <c r="N270" s="177"/>
      <c r="O270" s="177">
        <v>2</v>
      </c>
      <c r="P270" s="178">
        <f>VLOOKUP(Ruimtestaat[[#This Row],[Ruimte code]],Ruimtegroepen[],4,FALSE)</f>
        <v>0</v>
      </c>
      <c r="Q270" s="149"/>
      <c r="R270" s="149"/>
      <c r="S270" s="149">
        <f>IF(Q270&gt;0,IF(RIGHT(Ruimtestaat[[#This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70" s="149">
        <f>IF(S270&gt;0,VLOOKUP($J270,Ruimtegroepen[],3,FALSE)*VLOOKUP($L270,Vloersoorten[],3,FALSE)*VLOOKUP($R270,Frequenties[],3,FALSE)*VLOOKUP($A270,Locaties[],3,FALSE),0)</f>
        <v>0</v>
      </c>
      <c r="U270" s="149">
        <f>Ruimtestaat[[#This Row],[Uitvoeringen werkdagen]]*Ruimtestaat[[#This Row],[Oppervlak (netto)]]</f>
        <v>0</v>
      </c>
      <c r="V270" s="179">
        <f>IF(T270&gt;0,Ruimtestaat[[#This Row],[Prest. (m2 /jaar) werkdagen]]/Ruimtestaat[[#This Row],[Norm (m2/uur) werkdagen]],0)</f>
        <v>0</v>
      </c>
      <c r="W270" s="180">
        <f>Ruimtestaat[[#This Row],[uren / jaar werkdagen]]*Tariefsopbouw!$E$35</f>
        <v>0</v>
      </c>
      <c r="X270" s="149"/>
      <c r="Y270" s="149">
        <f>IF(Ruimtestaat[[#This Row],[Frequentie weekend]]&gt;0,VALUE(LEFT(X270,1))*Q270,0)</f>
        <v>0</v>
      </c>
      <c r="Z270" s="148">
        <f>IF($Y270&gt;0,VLOOKUP($J270,Ruimtegroepen[],3,FALSE)*VLOOKUP($L270,Vloersoorten[],3,FALSE)*VLOOKUP($X270,Frequenties[],3,FALSE)*VLOOKUP(#REF!,Locaties[],3,FALSE),0)</f>
        <v>0</v>
      </c>
      <c r="AA270" s="148">
        <f>Ruimtestaat[[#This Row],[Uitvoeringen weekend]]*Ruimtestaat[[#This Row],[Oppervlak (netto)]]</f>
        <v>0</v>
      </c>
      <c r="AB270" s="148">
        <f>IF(Z270&gt;0,Ruimtestaat[[#This Row],[Prest. (m2 /jaar) weekend]]/Ruimtestaat[[#This Row],[Norm (m2/uur) weekend]],0)</f>
        <v>0</v>
      </c>
      <c r="AC270" s="180">
        <f>Ruimtestaat[[#This Row],[uren / jaar weekend]]*Tariefsopbouw!$D$40</f>
        <v>0</v>
      </c>
      <c r="AD270" s="179">
        <f>Ruimtestaat[[#This Row],[Prest. (m2 /jaar) weekend]]+Ruimtestaat[[#This Row],[Prest. (m2 /jaar) werkdagen]]</f>
        <v>0</v>
      </c>
      <c r="AE270" s="179">
        <f>Ruimtestaat[[#This Row],[uren / jaar weekend]]+Ruimtestaat[[#This Row],[uren / jaar werkdagen]]</f>
        <v>0</v>
      </c>
      <c r="AF270" s="174">
        <f>Ruimtestaat[[#This Row],[kosten / jaar weekend]]+Ruimtestaat[[#This Row],[kosten / jaar werkdagen]]</f>
        <v>0</v>
      </c>
      <c r="AG270" s="174"/>
      <c r="AH270" s="174" t="str">
        <f>IF(Ruimtestaat[[#This Row],[Frequentie werkdagen]]="","",_xlfn.CONCAT(Ruimtestaat[[#This Row],[Ruimte code]],"-",Ruimtestaat[[#This Row],[Frequentie werkdagen]]," ",Ruimtestaat[[#This Row],[Vloer code]]))</f>
        <v/>
      </c>
      <c r="AI270" s="185" t="str">
        <f>_xlfn.IFNA(VLOOKUP($AH270,Programma!$F$3:$G$1101,2,0),"")</f>
        <v/>
      </c>
      <c r="AJ270" s="185" t="str">
        <f>_xlfn.IFNA(VLOOKUP($AH270,Programma!$F$3:$H$1101,3,0),"")</f>
        <v/>
      </c>
      <c r="AK270" s="185" t="str">
        <f>_xlfn.IFNA(VLOOKUP($AH270,Programma!$F$3:$I$1101,4,0),"")</f>
        <v/>
      </c>
      <c r="AL270" s="185" t="str">
        <f>_xlfn.IFNA(VLOOKUP($AH270,Programma!$F$3:$J$1101,5,0),"")</f>
        <v/>
      </c>
      <c r="AM270" s="185" t="str">
        <f>_xlfn.IFNA(VLOOKUP($AH270,Programma!$F$3:$K$1101,6,0),"")</f>
        <v/>
      </c>
      <c r="AN270" s="185" t="str">
        <f>_xlfn.IFNA(VLOOKUP($AH270,Programma!$F$3:$L$1101,7,0),"")</f>
        <v/>
      </c>
      <c r="AO270" s="185" t="str">
        <f>_xlfn.IFNA(VLOOKUP($AH270,Programma!$F$3:$M$1101,8,0),"")</f>
        <v/>
      </c>
      <c r="AP270" s="185" t="str">
        <f>_xlfn.IFNA(VLOOKUP($AH270,Programma!$F$3:$N$1101,9,0),"")</f>
        <v/>
      </c>
      <c r="AQ270" s="185" t="str">
        <f>_xlfn.IFNA(VLOOKUP($AH270,Programma!$F$3:$O$1101,10,0),"")</f>
        <v/>
      </c>
      <c r="AR270" s="185" t="str">
        <f>_xlfn.IFNA(VLOOKUP($AH270,Programma!$F$3:$P$1101,11,0),"")</f>
        <v/>
      </c>
      <c r="AS270" s="185" t="str">
        <f>_xlfn.IFNA(VLOOKUP($AH270,Programma!$F$3:$Q$1101,12,0),"")</f>
        <v/>
      </c>
      <c r="AT270" s="185" t="str">
        <f>_xlfn.IFNA(VLOOKUP($AH270,Programma!$F$3:$R$1101,13,0),"")</f>
        <v/>
      </c>
      <c r="AU270" s="185" t="str">
        <f>_xlfn.IFNA(VLOOKUP($AH270,Programma!$F$3:$S$1101,14,0),"")</f>
        <v/>
      </c>
      <c r="AV270" s="185" t="str">
        <f>_xlfn.IFNA(VLOOKUP($AH270,Programma!$F$3:$T$1101,15,0),"")</f>
        <v/>
      </c>
      <c r="AW270" s="185" t="str">
        <f>_xlfn.IFNA(VLOOKUP($AH270,Programma!$F$3:$U$1101,16,0),"")</f>
        <v/>
      </c>
      <c r="AX270" s="185" t="str">
        <f>_xlfn.IFNA(VLOOKUP($AH270,Programma!$F$3:$V$1101,17,0),"")</f>
        <v/>
      </c>
      <c r="AY270" s="185" t="str">
        <f>_xlfn.IFNA(VLOOKUP($AH270,Programma!$F$3:$W$1101,18,0),"")</f>
        <v/>
      </c>
      <c r="AZ270" s="185" t="str">
        <f>_xlfn.IFNA(VLOOKUP($AH270,Programma!$F$3:$X$1101,19,0),"")</f>
        <v/>
      </c>
      <c r="BA270" s="185" t="str">
        <f>_xlfn.IFNA(VLOOKUP($AH270,Programma!$F$3:$Y$1101,20,0),"")</f>
        <v/>
      </c>
      <c r="BB270" s="182"/>
      <c r="BC270" s="174" t="str">
        <f>IF(Ruimtestaat[[#This Row],[Frequentie weekend]]="","",_xlfn.CONCAT(Ruimtestaat[[#This Row],[Ruimte code]],"-",Ruimtestaat[[#This Row],[Frequentie weekend]]," ",Ruimtestaat[[#This Row],[Vloer code]]))</f>
        <v/>
      </c>
      <c r="BD270" s="185" t="str">
        <f>_xlfn.IFNA(VLOOKUP($BC270,Programma!$F$3:$G$1101,2,0),"")</f>
        <v/>
      </c>
      <c r="BE270" s="185" t="str">
        <f>_xlfn.IFNA(VLOOKUP($BC270,Programma!$F$3:$H$1101,3,0),"")</f>
        <v/>
      </c>
      <c r="BF270" s="185" t="str">
        <f>_xlfn.IFNA(VLOOKUP($BC270,Programma!$F$3:$I$1101,4,0),"")</f>
        <v/>
      </c>
      <c r="BG270" s="185" t="str">
        <f>_xlfn.IFNA(VLOOKUP($BC270,Programma!$F$3:$J$1101,5,0),"")</f>
        <v/>
      </c>
      <c r="BH270" s="185" t="str">
        <f>_xlfn.IFNA(VLOOKUP($BC270,Programma!$F$3:$K$1101,6,0),"")</f>
        <v/>
      </c>
      <c r="BI270" s="185" t="str">
        <f>_xlfn.IFNA(VLOOKUP($BC270,Programma!$F$3:$L$1101,7,0),"")</f>
        <v/>
      </c>
      <c r="BJ270" s="185" t="str">
        <f>_xlfn.IFNA(VLOOKUP($BC270,Programma!$F$3:$M$1101,8,0),"")</f>
        <v/>
      </c>
      <c r="BK270" s="185" t="str">
        <f>_xlfn.IFNA(VLOOKUP($BC270,Programma!$F$3:$N$1101,9,0),"")</f>
        <v/>
      </c>
      <c r="BL270" s="185" t="str">
        <f>_xlfn.IFNA(VLOOKUP($BC270,Programma!$F$3:$O$1101,10,0),"")</f>
        <v/>
      </c>
      <c r="BM270" s="185" t="str">
        <f>_xlfn.IFNA(VLOOKUP($BC270,Programma!$F$3:$P$1101,11,0),"")</f>
        <v/>
      </c>
      <c r="BN270" s="185" t="str">
        <f>_xlfn.IFNA(VLOOKUP($BC270,Programma!$F$3:$Q$1101,12,0),"")</f>
        <v/>
      </c>
      <c r="BO270" s="185" t="str">
        <f>_xlfn.IFNA(VLOOKUP($BC270,Programma!$F$3:$R$1101,13,0),"")</f>
        <v/>
      </c>
      <c r="BP270" s="185" t="str">
        <f>_xlfn.IFNA(VLOOKUP($BC270,Programma!$F$3:$S$1101,14,0),"")</f>
        <v/>
      </c>
      <c r="BQ270" s="185" t="str">
        <f>_xlfn.IFNA(VLOOKUP($BC270,Programma!$F$3:$T$1101,15,0),"")</f>
        <v/>
      </c>
      <c r="BR270" s="185" t="str">
        <f>_xlfn.IFNA(VLOOKUP($BC270,Programma!$F$3:$U$1101,16,0),"")</f>
        <v/>
      </c>
      <c r="BS270" s="185" t="str">
        <f>_xlfn.IFNA(VLOOKUP($BC270,Programma!$F$3:$V$1101,17,0),"")</f>
        <v/>
      </c>
      <c r="BT270" s="185" t="str">
        <f>_xlfn.IFNA(VLOOKUP($BC270,Programma!$F$3:$W$1101,18,0),"")</f>
        <v/>
      </c>
      <c r="BU270" s="185" t="str">
        <f>_xlfn.IFNA(VLOOKUP($BC270,Programma!$F$3:$X$1101,19,0),"")</f>
        <v/>
      </c>
      <c r="BV270" s="185" t="str">
        <f>_xlfn.IFNA(VLOOKUP($BC270,Programma!$F$3:$Y$1101,20,0),"")</f>
        <v/>
      </c>
    </row>
    <row r="271" spans="1:74" s="78" customFormat="1" ht="15" customHeight="1">
      <c r="A271" s="99">
        <v>8</v>
      </c>
      <c r="B271" s="176" t="str">
        <f>VLOOKUP(Ruimtestaat[[#This Row],[Code]],Locaties[[Code]:[Locatie]],2,FALSE)</f>
        <v>OBS Roombeek</v>
      </c>
      <c r="C271" s="176" t="str">
        <f>VLOOKUP(Ruimtestaat[[#This Row],[Code]],Locaties[[#All],[Code]:[Adres]],4,FALSE)</f>
        <v>Bosuilstraat 3</v>
      </c>
      <c r="D271" s="176" t="str">
        <f>VLOOKUP(Ruimtestaat[[#This Row],[Code]],Locaties[[#All],[Code]:[Postcode]],5,FALSE)</f>
        <v>7523 BJ</v>
      </c>
      <c r="E271" s="176" t="str">
        <f>VLOOKUP(Ruimtestaat[[#This Row],[Code]],Locaties[#All],6,FALSE)</f>
        <v>Enschede</v>
      </c>
      <c r="F271" s="149"/>
      <c r="G271" s="149" t="s">
        <v>1646</v>
      </c>
      <c r="H271" s="99" t="s">
        <v>1906</v>
      </c>
      <c r="I271" s="183" t="s">
        <v>1686</v>
      </c>
      <c r="J271" s="99">
        <v>16</v>
      </c>
      <c r="K271" s="183" t="str">
        <f>VLOOKUP(Ruimtestaat[[#This Row],[Ruimte code]],Ruimtegroepen[[#All],[Code]:[Ruimte omschrijving]],2,FALSE)</f>
        <v>Leslokalen</v>
      </c>
      <c r="L271" s="149" t="s">
        <v>100</v>
      </c>
      <c r="M271" s="301" t="s">
        <v>1697</v>
      </c>
      <c r="N271" s="177">
        <v>59.7</v>
      </c>
      <c r="O271" s="177"/>
      <c r="P271" s="178" t="str">
        <f>VLOOKUP(Ruimtestaat[[#This Row],[Ruimte code]],Ruimtegroepen[],4,FALSE)</f>
        <v>Le</v>
      </c>
      <c r="Q271" s="149">
        <v>42</v>
      </c>
      <c r="R271" s="149" t="s">
        <v>2</v>
      </c>
      <c r="S271" s="149">
        <f>IF(Q271&gt;0,IF(RIGHT(Ruimtestaat[[#This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210</v>
      </c>
      <c r="T271" s="149">
        <f>IF(S271&gt;0,VLOOKUP($J271,Ruimtegroepen[],3,FALSE)*VLOOKUP($L271,Vloersoorten[],3,FALSE)*VLOOKUP($R271,Frequenties[],3,FALSE)*VLOOKUP($A271,Locaties[],3,FALSE),0)</f>
        <v>0</v>
      </c>
      <c r="U271" s="149">
        <f>Ruimtestaat[[#This Row],[Uitvoeringen werkdagen]]*Ruimtestaat[[#This Row],[Oppervlak (netto)]]</f>
        <v>12537</v>
      </c>
      <c r="V271" s="179">
        <f>IF(T271&gt;0,Ruimtestaat[[#This Row],[Prest. (m2 /jaar) werkdagen]]/Ruimtestaat[[#This Row],[Norm (m2/uur) werkdagen]],0)</f>
        <v>0</v>
      </c>
      <c r="W271" s="180">
        <f>Ruimtestaat[[#This Row],[uren / jaar werkdagen]]*Tariefsopbouw!$E$35</f>
        <v>0</v>
      </c>
      <c r="X271" s="149"/>
      <c r="Y271" s="149">
        <f>IF(Ruimtestaat[[#This Row],[Frequentie weekend]]&gt;0,VALUE(LEFT(X271,1))*Q271,0)</f>
        <v>0</v>
      </c>
      <c r="Z271" s="148">
        <f>IF($Y271&gt;0,VLOOKUP($J271,Ruimtegroepen[],3,FALSE)*VLOOKUP($L271,Vloersoorten[],3,FALSE)*VLOOKUP($X271,Frequenties[],3,FALSE)*VLOOKUP(#REF!,Locaties[],3,FALSE),0)</f>
        <v>0</v>
      </c>
      <c r="AA271" s="148">
        <f>Ruimtestaat[[#This Row],[Uitvoeringen weekend]]*Ruimtestaat[[#This Row],[Oppervlak (netto)]]</f>
        <v>0</v>
      </c>
      <c r="AB271" s="148">
        <f>IF(Z271&gt;0,Ruimtestaat[[#This Row],[Prest. (m2 /jaar) weekend]]/Ruimtestaat[[#This Row],[Norm (m2/uur) weekend]],0)</f>
        <v>0</v>
      </c>
      <c r="AC271" s="180">
        <f>Ruimtestaat[[#This Row],[uren / jaar weekend]]*Tariefsopbouw!$D$40</f>
        <v>0</v>
      </c>
      <c r="AD271" s="179">
        <f>Ruimtestaat[[#This Row],[Prest. (m2 /jaar) weekend]]+Ruimtestaat[[#This Row],[Prest. (m2 /jaar) werkdagen]]</f>
        <v>12537</v>
      </c>
      <c r="AE271" s="179">
        <f>Ruimtestaat[[#This Row],[uren / jaar weekend]]+Ruimtestaat[[#This Row],[uren / jaar werkdagen]]</f>
        <v>0</v>
      </c>
      <c r="AF271" s="174">
        <f>Ruimtestaat[[#This Row],[kosten / jaar weekend]]+Ruimtestaat[[#This Row],[kosten / jaar werkdagen]]</f>
        <v>0</v>
      </c>
      <c r="AG271" s="174"/>
      <c r="AH271" s="174" t="str">
        <f>IF(Ruimtestaat[[#This Row],[Frequentie werkdagen]]="","",_xlfn.CONCAT(Ruimtestaat[[#This Row],[Ruimte code]],"-",Ruimtestaat[[#This Row],[Frequentie werkdagen]]," ",Ruimtestaat[[#This Row],[Vloer code]]))</f>
        <v>16-5w L</v>
      </c>
      <c r="AI271" s="185" t="str">
        <f>_xlfn.IFNA(VLOOKUP($AH271,Programma!$F$3:$G$1101,2,0),"")</f>
        <v>_</v>
      </c>
      <c r="AJ271" s="185" t="str">
        <f>_xlfn.IFNA(VLOOKUP($AH271,Programma!$F$3:$H$1101,3,0),"")</f>
        <v>_</v>
      </c>
      <c r="AK271" s="185" t="str">
        <f>_xlfn.IFNA(VLOOKUP($AH271,Programma!$F$3:$I$1101,4,0),"")</f>
        <v>4w</v>
      </c>
      <c r="AL271" s="185" t="str">
        <f>_xlfn.IFNA(VLOOKUP($AH271,Programma!$F$3:$J$1101,5,0),"")</f>
        <v>1w</v>
      </c>
      <c r="AM271" s="185" t="str">
        <f>_xlfn.IFNA(VLOOKUP($AH271,Programma!$F$3:$K$1101,6,0),"")</f>
        <v>_</v>
      </c>
      <c r="AN271" s="185" t="str">
        <f>_xlfn.IFNA(VLOOKUP($AH271,Programma!$F$3:$L$1101,7,0),"")</f>
        <v>_</v>
      </c>
      <c r="AO271" s="185" t="str">
        <f>_xlfn.IFNA(VLOOKUP($AH271,Programma!$F$3:$M$1101,8,0),"")</f>
        <v>_</v>
      </c>
      <c r="AP271" s="185" t="str">
        <f>_xlfn.IFNA(VLOOKUP($AH271,Programma!$F$3:$N$1101,9,0),"")</f>
        <v>_</v>
      </c>
      <c r="AQ271" s="185" t="str">
        <f>_xlfn.IFNA(VLOOKUP($AH271,Programma!$F$3:$O$1101,10,0),"")</f>
        <v>5w</v>
      </c>
      <c r="AR271" s="185" t="str">
        <f>_xlfn.IFNA(VLOOKUP($AH271,Programma!$F$3:$P$1101,11,0),"")</f>
        <v>5w</v>
      </c>
      <c r="AS271" s="185" t="str">
        <f>_xlfn.IFNA(VLOOKUP($AH271,Programma!$F$3:$Q$1101,12,0),"")</f>
        <v>1w</v>
      </c>
      <c r="AT271" s="185" t="str">
        <f>_xlfn.IFNA(VLOOKUP($AH271,Programma!$F$3:$R$1101,13,0),"")</f>
        <v>1w</v>
      </c>
      <c r="AU271" s="185" t="str">
        <f>_xlfn.IFNA(VLOOKUP($AH271,Programma!$F$3:$S$1101,14,0),"")</f>
        <v>1m</v>
      </c>
      <c r="AV271" s="185" t="str">
        <f>_xlfn.IFNA(VLOOKUP($AH271,Programma!$F$3:$T$1101,15,0),"")</f>
        <v>2j</v>
      </c>
      <c r="AW271" s="185" t="str">
        <f>_xlfn.IFNA(VLOOKUP($AH271,Programma!$F$3:$U$1101,16,0),"")</f>
        <v>1j</v>
      </c>
      <c r="AX271" s="185" t="str">
        <f>_xlfn.IFNA(VLOOKUP($AH271,Programma!$F$3:$V$1101,17,0),"")</f>
        <v>_</v>
      </c>
      <c r="AY271" s="185" t="str">
        <f>_xlfn.IFNA(VLOOKUP($AH271,Programma!$F$3:$W$1101,18,0),"")</f>
        <v>_</v>
      </c>
      <c r="AZ271" s="185" t="str">
        <f>_xlfn.IFNA(VLOOKUP($AH271,Programma!$F$3:$X$1101,19,0),"")</f>
        <v>_</v>
      </c>
      <c r="BA271" s="185" t="str">
        <f>_xlfn.IFNA(VLOOKUP($AH271,Programma!$F$3:$Y$1101,20,0),"")</f>
        <v>_</v>
      </c>
      <c r="BB271" s="182"/>
      <c r="BC271" s="174" t="str">
        <f>IF(Ruimtestaat[[#This Row],[Frequentie weekend]]="","",_xlfn.CONCAT(Ruimtestaat[[#This Row],[Ruimte code]],"-",Ruimtestaat[[#This Row],[Frequentie weekend]]," ",Ruimtestaat[[#This Row],[Vloer code]]))</f>
        <v/>
      </c>
      <c r="BD271" s="185" t="str">
        <f>_xlfn.IFNA(VLOOKUP($BC271,Programma!$F$3:$G$1101,2,0),"")</f>
        <v/>
      </c>
      <c r="BE271" s="185" t="str">
        <f>_xlfn.IFNA(VLOOKUP($BC271,Programma!$F$3:$H$1101,3,0),"")</f>
        <v/>
      </c>
      <c r="BF271" s="185" t="str">
        <f>_xlfn.IFNA(VLOOKUP($BC271,Programma!$F$3:$I$1101,4,0),"")</f>
        <v/>
      </c>
      <c r="BG271" s="185" t="str">
        <f>_xlfn.IFNA(VLOOKUP($BC271,Programma!$F$3:$J$1101,5,0),"")</f>
        <v/>
      </c>
      <c r="BH271" s="185" t="str">
        <f>_xlfn.IFNA(VLOOKUP($BC271,Programma!$F$3:$K$1101,6,0),"")</f>
        <v/>
      </c>
      <c r="BI271" s="185" t="str">
        <f>_xlfn.IFNA(VLOOKUP($BC271,Programma!$F$3:$L$1101,7,0),"")</f>
        <v/>
      </c>
      <c r="BJ271" s="185" t="str">
        <f>_xlfn.IFNA(VLOOKUP($BC271,Programma!$F$3:$M$1101,8,0),"")</f>
        <v/>
      </c>
      <c r="BK271" s="185" t="str">
        <f>_xlfn.IFNA(VLOOKUP($BC271,Programma!$F$3:$N$1101,9,0),"")</f>
        <v/>
      </c>
      <c r="BL271" s="185" t="str">
        <f>_xlfn.IFNA(VLOOKUP($BC271,Programma!$F$3:$O$1101,10,0),"")</f>
        <v/>
      </c>
      <c r="BM271" s="185" t="str">
        <f>_xlfn.IFNA(VLOOKUP($BC271,Programma!$F$3:$P$1101,11,0),"")</f>
        <v/>
      </c>
      <c r="BN271" s="185" t="str">
        <f>_xlfn.IFNA(VLOOKUP($BC271,Programma!$F$3:$Q$1101,12,0),"")</f>
        <v/>
      </c>
      <c r="BO271" s="185" t="str">
        <f>_xlfn.IFNA(VLOOKUP($BC271,Programma!$F$3:$R$1101,13,0),"")</f>
        <v/>
      </c>
      <c r="BP271" s="185" t="str">
        <f>_xlfn.IFNA(VLOOKUP($BC271,Programma!$F$3:$S$1101,14,0),"")</f>
        <v/>
      </c>
      <c r="BQ271" s="185" t="str">
        <f>_xlfn.IFNA(VLOOKUP($BC271,Programma!$F$3:$T$1101,15,0),"")</f>
        <v/>
      </c>
      <c r="BR271" s="185" t="str">
        <f>_xlfn.IFNA(VLOOKUP($BC271,Programma!$F$3:$U$1101,16,0),"")</f>
        <v/>
      </c>
      <c r="BS271" s="185" t="str">
        <f>_xlfn.IFNA(VLOOKUP($BC271,Programma!$F$3:$V$1101,17,0),"")</f>
        <v/>
      </c>
      <c r="BT271" s="185" t="str">
        <f>_xlfn.IFNA(VLOOKUP($BC271,Programma!$F$3:$W$1101,18,0),"")</f>
        <v/>
      </c>
      <c r="BU271" s="185" t="str">
        <f>_xlfn.IFNA(VLOOKUP($BC271,Programma!$F$3:$X$1101,19,0),"")</f>
        <v/>
      </c>
      <c r="BV271" s="185" t="str">
        <f>_xlfn.IFNA(VLOOKUP($BC271,Programma!$F$3:$Y$1101,20,0),"")</f>
        <v/>
      </c>
    </row>
    <row r="272" spans="1:74" s="78" customFormat="1" ht="15" customHeight="1">
      <c r="A272" s="99">
        <v>9</v>
      </c>
      <c r="B272" s="176" t="str">
        <f>VLOOKUP(Ruimtestaat[[#This Row],[Code]],Locaties[[Code]:[Locatie]],2,FALSE)</f>
        <v>ODBS Europa</v>
      </c>
      <c r="C272" s="176" t="str">
        <f>VLOOKUP(Ruimtestaat[[#This Row],[Code]],Locaties[[#All],[Code]:[Adres]],4,FALSE)</f>
        <v>Belgiëlaan 75</v>
      </c>
      <c r="D272" s="176" t="str">
        <f>VLOOKUP(Ruimtestaat[[#This Row],[Code]],Locaties[[#All],[Code]:[Postcode]],5,FALSE)</f>
        <v>7543 ZJ</v>
      </c>
      <c r="E272" s="176" t="str">
        <f>VLOOKUP(Ruimtestaat[[#This Row],[Code]],Locaties[#All],6,FALSE)</f>
        <v>Enschede</v>
      </c>
      <c r="F272" s="149"/>
      <c r="G272" s="99" t="s">
        <v>1646</v>
      </c>
      <c r="H272" s="99" t="s">
        <v>1647</v>
      </c>
      <c r="I272" s="183" t="s">
        <v>38</v>
      </c>
      <c r="J272" s="99">
        <v>7</v>
      </c>
      <c r="K272" s="183" t="str">
        <f>VLOOKUP(Ruimtestaat[[#This Row],[Ruimte code]],Ruimtegroepen[[#All],[Code]:[Ruimte omschrijving]],2,FALSE)</f>
        <v>Entree</v>
      </c>
      <c r="L272" s="149" t="s">
        <v>99</v>
      </c>
      <c r="M272" s="301" t="s">
        <v>36</v>
      </c>
      <c r="N272" s="177">
        <v>5.9</v>
      </c>
      <c r="O272" s="177"/>
      <c r="P272" s="178" t="str">
        <f>VLOOKUP(Ruimtestaat[[#This Row],[Ruimte code]],Ruimtegroepen[],4,FALSE)</f>
        <v>Ve</v>
      </c>
      <c r="Q272" s="149">
        <v>40</v>
      </c>
      <c r="R272" s="149" t="s">
        <v>2</v>
      </c>
      <c r="S272" s="149">
        <f>IF(Q272&gt;0,IF(RIGHT(Ruimtestaat[[#This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2" s="149">
        <f>IF(S272&gt;0,VLOOKUP($J272,Ruimtegroepen[],3,FALSE)*VLOOKUP($L272,Vloersoorten[],3,FALSE)*VLOOKUP($R272,Frequenties[],3,FALSE)*VLOOKUP($A272,Locaties[],3,FALSE),0)</f>
        <v>0</v>
      </c>
      <c r="U272" s="149">
        <f>Ruimtestaat[[#This Row],[Uitvoeringen werkdagen]]*Ruimtestaat[[#This Row],[Oppervlak (netto)]]</f>
        <v>1180</v>
      </c>
      <c r="V272" s="179">
        <f>IF(T272&gt;0,Ruimtestaat[[#This Row],[Prest. (m2 /jaar) werkdagen]]/Ruimtestaat[[#This Row],[Norm (m2/uur) werkdagen]],0)</f>
        <v>0</v>
      </c>
      <c r="W272" s="180">
        <f>Ruimtestaat[[#This Row],[uren / jaar werkdagen]]*Tariefsopbouw!$E$35</f>
        <v>0</v>
      </c>
      <c r="X272" s="149"/>
      <c r="Y272" s="149">
        <f>IF(Ruimtestaat[[#This Row],[Frequentie weekend]]&gt;0,VALUE(LEFT(X272,1))*Q272,0)</f>
        <v>0</v>
      </c>
      <c r="Z272" s="148">
        <f>IF($Y272&gt;0,VLOOKUP($J272,Ruimtegroepen[],3,FALSE)*VLOOKUP($L272,Vloersoorten[],3,FALSE)*VLOOKUP($X272,Frequenties[],3,FALSE)*VLOOKUP(Ruimtestaat[[#This Row],[Code]],Locaties[],3,FALSE),0)</f>
        <v>0</v>
      </c>
      <c r="AA272" s="148">
        <f>Ruimtestaat[[#This Row],[Uitvoeringen weekend]]*Ruimtestaat[[#This Row],[Oppervlak (netto)]]</f>
        <v>0</v>
      </c>
      <c r="AB272" s="148">
        <f>IF(Z272&gt;0,Ruimtestaat[[#This Row],[Prest. (m2 /jaar) weekend]]/Ruimtestaat[[#This Row],[Norm (m2/uur) weekend]],0)</f>
        <v>0</v>
      </c>
      <c r="AC272" s="180">
        <f>Ruimtestaat[[#This Row],[uren / jaar weekend]]*Tariefsopbouw!$D$40</f>
        <v>0</v>
      </c>
      <c r="AD272" s="179">
        <f>Ruimtestaat[[#This Row],[Prest. (m2 /jaar) weekend]]+Ruimtestaat[[#This Row],[Prest. (m2 /jaar) werkdagen]]</f>
        <v>1180</v>
      </c>
      <c r="AE272" s="179">
        <f>Ruimtestaat[[#This Row],[uren / jaar weekend]]+Ruimtestaat[[#This Row],[uren / jaar werkdagen]]</f>
        <v>0</v>
      </c>
      <c r="AF272" s="174">
        <f>Ruimtestaat[[#This Row],[kosten / jaar weekend]]+Ruimtestaat[[#This Row],[kosten / jaar werkdagen]]</f>
        <v>0</v>
      </c>
      <c r="AG272" s="174"/>
      <c r="AH272" s="181" t="str">
        <f>IF(Ruimtestaat[[#This Row],[Frequentie werkdagen]]="","",_xlfn.CONCAT(Ruimtestaat[[#This Row],[Ruimte code]],"-",Ruimtestaat[[#This Row],[Frequentie werkdagen]]," ",Ruimtestaat[[#This Row],[Vloer code]]))</f>
        <v>7-5w T</v>
      </c>
      <c r="AI272" s="185" t="str">
        <f>_xlfn.IFNA(VLOOKUP($AH272,Programma!$F$3:$G$1101,2,0),"")</f>
        <v>_</v>
      </c>
      <c r="AJ272" s="185" t="str">
        <f>_xlfn.IFNA(VLOOKUP($AH272,Programma!$F$3:$H$1101,3,0),"")</f>
        <v>5w</v>
      </c>
      <c r="AK272" s="185" t="str">
        <f>_xlfn.IFNA(VLOOKUP($AH272,Programma!$F$3:$I$1101,4,0),"")</f>
        <v>_</v>
      </c>
      <c r="AL272" s="185" t="str">
        <f>_xlfn.IFNA(VLOOKUP($AH272,Programma!$F$3:$J$1101,5,0),"")</f>
        <v>_</v>
      </c>
      <c r="AM272" s="185" t="str">
        <f>_xlfn.IFNA(VLOOKUP($AH272,Programma!$F$3:$K$1101,6,0),"")</f>
        <v>_</v>
      </c>
      <c r="AN272" s="185" t="str">
        <f>_xlfn.IFNA(VLOOKUP($AH272,Programma!$F$3:$L$1101,7,0),"")</f>
        <v>_</v>
      </c>
      <c r="AO272" s="185" t="str">
        <f>_xlfn.IFNA(VLOOKUP($AH272,Programma!$F$3:$M$1101,8,0),"")</f>
        <v>_</v>
      </c>
      <c r="AP272" s="185" t="str">
        <f>_xlfn.IFNA(VLOOKUP($AH272,Programma!$F$3:$N$1101,9,0),"")</f>
        <v>_</v>
      </c>
      <c r="AQ272" s="185" t="str">
        <f>_xlfn.IFNA(VLOOKUP($AH272,Programma!$F$3:$O$1101,10,0),"")</f>
        <v>5w</v>
      </c>
      <c r="AR272" s="185" t="str">
        <f>_xlfn.IFNA(VLOOKUP($AH272,Programma!$F$3:$P$1101,11,0),"")</f>
        <v>5w</v>
      </c>
      <c r="AS272" s="185" t="str">
        <f>_xlfn.IFNA(VLOOKUP($AH272,Programma!$F$3:$Q$1101,12,0),"")</f>
        <v>1w</v>
      </c>
      <c r="AT272" s="185" t="str">
        <f>_xlfn.IFNA(VLOOKUP($AH272,Programma!$F$3:$R$1101,13,0),"")</f>
        <v>1w</v>
      </c>
      <c r="AU272" s="185" t="str">
        <f>_xlfn.IFNA(VLOOKUP($AH272,Programma!$F$3:$S$1101,14,0),"")</f>
        <v>1m</v>
      </c>
      <c r="AV272" s="185" t="str">
        <f>_xlfn.IFNA(VLOOKUP($AH272,Programma!$F$3:$T$1101,15,0),"")</f>
        <v>2j</v>
      </c>
      <c r="AW272" s="185" t="str">
        <f>_xlfn.IFNA(VLOOKUP($AH272,Programma!$F$3:$U$1101,16,0),"")</f>
        <v>1j</v>
      </c>
      <c r="AX272" s="185" t="str">
        <f>_xlfn.IFNA(VLOOKUP($AH272,Programma!$F$3:$V$1101,17,0),"")</f>
        <v>_</v>
      </c>
      <c r="AY272" s="185" t="str">
        <f>_xlfn.IFNA(VLOOKUP($AH272,Programma!$F$3:$W$1101,18,0),"")</f>
        <v>_</v>
      </c>
      <c r="AZ272" s="185" t="str">
        <f>_xlfn.IFNA(VLOOKUP($AH272,Programma!$F$3:$X$1101,19,0),"")</f>
        <v>_</v>
      </c>
      <c r="BA272" s="185" t="str">
        <f>_xlfn.IFNA(VLOOKUP($AH272,Programma!$F$3:$Y$1101,20,0),"")</f>
        <v>_</v>
      </c>
      <c r="BB272" s="182"/>
      <c r="BC272" s="181" t="str">
        <f>IF(Ruimtestaat[[#This Row],[Frequentie weekend]]="","",_xlfn.CONCAT(Ruimtestaat[[#This Row],[Ruimte code]],"-",Ruimtestaat[[#This Row],[Frequentie weekend]]," ",Ruimtestaat[[#This Row],[Vloer code]]))</f>
        <v/>
      </c>
      <c r="BD272" s="185" t="str">
        <f>_xlfn.IFNA(VLOOKUP($BC272,Programma!$F$3:$G$1101,2,0),"")</f>
        <v/>
      </c>
      <c r="BE272" s="185" t="str">
        <f>_xlfn.IFNA(VLOOKUP($BC272,Programma!$F$3:$H$1101,3,0),"")</f>
        <v/>
      </c>
      <c r="BF272" s="185" t="str">
        <f>_xlfn.IFNA(VLOOKUP($BC272,Programma!$F$3:$I$1101,4,0),"")</f>
        <v/>
      </c>
      <c r="BG272" s="185" t="str">
        <f>_xlfn.IFNA(VLOOKUP($BC272,Programma!$F$3:$J$1101,5,0),"")</f>
        <v/>
      </c>
      <c r="BH272" s="185" t="str">
        <f>_xlfn.IFNA(VLOOKUP($BC272,Programma!$F$3:$K$1101,6,0),"")</f>
        <v/>
      </c>
      <c r="BI272" s="185" t="str">
        <f>_xlfn.IFNA(VLOOKUP($BC272,Programma!$F$3:$L$1101,7,0),"")</f>
        <v/>
      </c>
      <c r="BJ272" s="185" t="str">
        <f>_xlfn.IFNA(VLOOKUP($BC272,Programma!$F$3:$M$1101,8,0),"")</f>
        <v/>
      </c>
      <c r="BK272" s="185" t="str">
        <f>_xlfn.IFNA(VLOOKUP($BC272,Programma!$F$3:$N$1101,9,0),"")</f>
        <v/>
      </c>
      <c r="BL272" s="185" t="str">
        <f>_xlfn.IFNA(VLOOKUP($BC272,Programma!$F$3:$O$1101,10,0),"")</f>
        <v/>
      </c>
      <c r="BM272" s="185" t="str">
        <f>_xlfn.IFNA(VLOOKUP($BC272,Programma!$F$3:$P$1101,11,0),"")</f>
        <v/>
      </c>
      <c r="BN272" s="185" t="str">
        <f>_xlfn.IFNA(VLOOKUP($BC272,Programma!$F$3:$Q$1101,12,0),"")</f>
        <v/>
      </c>
      <c r="BO272" s="185" t="str">
        <f>_xlfn.IFNA(VLOOKUP($BC272,Programma!$F$3:$R$1101,13,0),"")</f>
        <v/>
      </c>
      <c r="BP272" s="185" t="str">
        <f>_xlfn.IFNA(VLOOKUP($BC272,Programma!$F$3:$S$1101,14,0),"")</f>
        <v/>
      </c>
      <c r="BQ272" s="185" t="str">
        <f>_xlfn.IFNA(VLOOKUP($BC272,Programma!$F$3:$T$1101,15,0),"")</f>
        <v/>
      </c>
      <c r="BR272" s="185" t="str">
        <f>_xlfn.IFNA(VLOOKUP($BC272,Programma!$F$3:$U$1101,16,0),"")</f>
        <v/>
      </c>
      <c r="BS272" s="185" t="str">
        <f>_xlfn.IFNA(VLOOKUP($BC272,Programma!$F$3:$V$1101,17,0),"")</f>
        <v/>
      </c>
      <c r="BT272" s="185" t="str">
        <f>_xlfn.IFNA(VLOOKUP($BC272,Programma!$F$3:$W$1101,18,0),"")</f>
        <v/>
      </c>
      <c r="BU272" s="185" t="str">
        <f>_xlfn.IFNA(VLOOKUP($BC272,Programma!$F$3:$X$1101,19,0),"")</f>
        <v/>
      </c>
      <c r="BV272" s="185" t="str">
        <f>_xlfn.IFNA(VLOOKUP($BC272,Programma!$F$3:$Y$1101,20,0),"")</f>
        <v/>
      </c>
    </row>
    <row r="273" spans="1:74" s="78" customFormat="1" ht="15" customHeight="1">
      <c r="A273" s="99">
        <v>9</v>
      </c>
      <c r="B273" s="176" t="str">
        <f>VLOOKUP(Ruimtestaat[[#This Row],[Code]],Locaties[[Code]:[Locatie]],2,FALSE)</f>
        <v>ODBS Europa</v>
      </c>
      <c r="C273" s="176" t="str">
        <f>VLOOKUP(Ruimtestaat[[#This Row],[Code]],Locaties[[#All],[Code]:[Adres]],4,FALSE)</f>
        <v>Belgiëlaan 75</v>
      </c>
      <c r="D273" s="176" t="str">
        <f>VLOOKUP(Ruimtestaat[[#This Row],[Code]],Locaties[[#All],[Code]:[Postcode]],5,FALSE)</f>
        <v>7543 ZJ</v>
      </c>
      <c r="E273" s="176" t="str">
        <f>VLOOKUP(Ruimtestaat[[#This Row],[Code]],Locaties[#All],6,FALSE)</f>
        <v>Enschede</v>
      </c>
      <c r="F273" s="149"/>
      <c r="G273" s="99" t="s">
        <v>1646</v>
      </c>
      <c r="H273" s="99" t="s">
        <v>1648</v>
      </c>
      <c r="I273" s="183" t="s">
        <v>1651</v>
      </c>
      <c r="J273" s="99">
        <v>16</v>
      </c>
      <c r="K273" s="183" t="str">
        <f>VLOOKUP(Ruimtestaat[[#This Row],[Ruimte code]],Ruimtegroepen[[#All],[Code]:[Ruimte omschrijving]],2,FALSE)</f>
        <v>Leslokalen</v>
      </c>
      <c r="L273" s="149" t="s">
        <v>100</v>
      </c>
      <c r="M273" s="301" t="s">
        <v>1697</v>
      </c>
      <c r="N273" s="177">
        <v>54.4</v>
      </c>
      <c r="O273" s="177"/>
      <c r="P273" s="178" t="str">
        <f>VLOOKUP(Ruimtestaat[[#This Row],[Ruimte code]],Ruimtegroepen[],4,FALSE)</f>
        <v>Le</v>
      </c>
      <c r="Q273" s="149">
        <v>40</v>
      </c>
      <c r="R273" s="149" t="s">
        <v>2</v>
      </c>
      <c r="S273" s="149">
        <f>IF(Q273&gt;0,IF(RIGHT(Ruimtestaat[[#This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3" s="149">
        <f>IF(S273&gt;0,VLOOKUP($J273,Ruimtegroepen[],3,FALSE)*VLOOKUP($L273,Vloersoorten[],3,FALSE)*VLOOKUP($R273,Frequenties[],3,FALSE)*VLOOKUP($A273,Locaties[],3,FALSE),0)</f>
        <v>0</v>
      </c>
      <c r="U273" s="149">
        <f>Ruimtestaat[[#This Row],[Uitvoeringen werkdagen]]*Ruimtestaat[[#This Row],[Oppervlak (netto)]]</f>
        <v>10880</v>
      </c>
      <c r="V273" s="179">
        <f>IF(T273&gt;0,Ruimtestaat[[#This Row],[Prest. (m2 /jaar) werkdagen]]/Ruimtestaat[[#This Row],[Norm (m2/uur) werkdagen]],0)</f>
        <v>0</v>
      </c>
      <c r="W273" s="180">
        <f>Ruimtestaat[[#This Row],[uren / jaar werkdagen]]*Tariefsopbouw!$E$35</f>
        <v>0</v>
      </c>
      <c r="X273" s="149"/>
      <c r="Y273" s="149">
        <f>IF(Ruimtestaat[[#This Row],[Frequentie weekend]]&gt;0,VALUE(LEFT(X273,1))*Q273,0)</f>
        <v>0</v>
      </c>
      <c r="Z273" s="148">
        <f>IF($Y273&gt;0,VLOOKUP($J273,Ruimtegroepen[],3,FALSE)*VLOOKUP($L273,Vloersoorten[],3,FALSE)*VLOOKUP($X273,Frequenties[],3,FALSE)*VLOOKUP(Ruimtestaat[[#This Row],[Code]],Locaties[],3,FALSE),0)</f>
        <v>0</v>
      </c>
      <c r="AA273" s="148">
        <f>Ruimtestaat[[#This Row],[Uitvoeringen weekend]]*Ruimtestaat[[#This Row],[Oppervlak (netto)]]</f>
        <v>0</v>
      </c>
      <c r="AB273" s="148">
        <f>IF(Z273&gt;0,Ruimtestaat[[#This Row],[Prest. (m2 /jaar) weekend]]/Ruimtestaat[[#This Row],[Norm (m2/uur) weekend]],0)</f>
        <v>0</v>
      </c>
      <c r="AC273" s="180">
        <f>Ruimtestaat[[#This Row],[uren / jaar weekend]]*Tariefsopbouw!$D$40</f>
        <v>0</v>
      </c>
      <c r="AD273" s="179">
        <f>Ruimtestaat[[#This Row],[Prest. (m2 /jaar) weekend]]+Ruimtestaat[[#This Row],[Prest. (m2 /jaar) werkdagen]]</f>
        <v>10880</v>
      </c>
      <c r="AE273" s="179">
        <f>Ruimtestaat[[#This Row],[uren / jaar weekend]]+Ruimtestaat[[#This Row],[uren / jaar werkdagen]]</f>
        <v>0</v>
      </c>
      <c r="AF273" s="174">
        <f>Ruimtestaat[[#This Row],[kosten / jaar weekend]]+Ruimtestaat[[#This Row],[kosten / jaar werkdagen]]</f>
        <v>0</v>
      </c>
      <c r="AG273" s="174"/>
      <c r="AH273" s="181" t="str">
        <f>IF(Ruimtestaat[[#This Row],[Frequentie werkdagen]]="","",_xlfn.CONCAT(Ruimtestaat[[#This Row],[Ruimte code]],"-",Ruimtestaat[[#This Row],[Frequentie werkdagen]]," ",Ruimtestaat[[#This Row],[Vloer code]]))</f>
        <v>16-5w L</v>
      </c>
      <c r="AI273" s="185" t="str">
        <f>_xlfn.IFNA(VLOOKUP($AH273,Programma!$F$3:$G$1101,2,0),"")</f>
        <v>_</v>
      </c>
      <c r="AJ273" s="185" t="str">
        <f>_xlfn.IFNA(VLOOKUP($AH273,Programma!$F$3:$H$1101,3,0),"")</f>
        <v>_</v>
      </c>
      <c r="AK273" s="185" t="str">
        <f>_xlfn.IFNA(VLOOKUP($AH273,Programma!$F$3:$I$1101,4,0),"")</f>
        <v>4w</v>
      </c>
      <c r="AL273" s="185" t="str">
        <f>_xlfn.IFNA(VLOOKUP($AH273,Programma!$F$3:$J$1101,5,0),"")</f>
        <v>1w</v>
      </c>
      <c r="AM273" s="185" t="str">
        <f>_xlfn.IFNA(VLOOKUP($AH273,Programma!$F$3:$K$1101,6,0),"")</f>
        <v>_</v>
      </c>
      <c r="AN273" s="185" t="str">
        <f>_xlfn.IFNA(VLOOKUP($AH273,Programma!$F$3:$L$1101,7,0),"")</f>
        <v>_</v>
      </c>
      <c r="AO273" s="185" t="str">
        <f>_xlfn.IFNA(VLOOKUP($AH273,Programma!$F$3:$M$1101,8,0),"")</f>
        <v>_</v>
      </c>
      <c r="AP273" s="185" t="str">
        <f>_xlfn.IFNA(VLOOKUP($AH273,Programma!$F$3:$N$1101,9,0),"")</f>
        <v>_</v>
      </c>
      <c r="AQ273" s="185" t="str">
        <f>_xlfn.IFNA(VLOOKUP($AH273,Programma!$F$3:$O$1101,10,0),"")</f>
        <v>5w</v>
      </c>
      <c r="AR273" s="185" t="str">
        <f>_xlfn.IFNA(VLOOKUP($AH273,Programma!$F$3:$P$1101,11,0),"")</f>
        <v>5w</v>
      </c>
      <c r="AS273" s="185" t="str">
        <f>_xlfn.IFNA(VLOOKUP($AH273,Programma!$F$3:$Q$1101,12,0),"")</f>
        <v>1w</v>
      </c>
      <c r="AT273" s="185" t="str">
        <f>_xlfn.IFNA(VLOOKUP($AH273,Programma!$F$3:$R$1101,13,0),"")</f>
        <v>1w</v>
      </c>
      <c r="AU273" s="185" t="str">
        <f>_xlfn.IFNA(VLOOKUP($AH273,Programma!$F$3:$S$1101,14,0),"")</f>
        <v>1m</v>
      </c>
      <c r="AV273" s="185" t="str">
        <f>_xlfn.IFNA(VLOOKUP($AH273,Programma!$F$3:$T$1101,15,0),"")</f>
        <v>2j</v>
      </c>
      <c r="AW273" s="185" t="str">
        <f>_xlfn.IFNA(VLOOKUP($AH273,Programma!$F$3:$U$1101,16,0),"")</f>
        <v>1j</v>
      </c>
      <c r="AX273" s="185" t="str">
        <f>_xlfn.IFNA(VLOOKUP($AH273,Programma!$F$3:$V$1101,17,0),"")</f>
        <v>_</v>
      </c>
      <c r="AY273" s="185" t="str">
        <f>_xlfn.IFNA(VLOOKUP($AH273,Programma!$F$3:$W$1101,18,0),"")</f>
        <v>_</v>
      </c>
      <c r="AZ273" s="185" t="str">
        <f>_xlfn.IFNA(VLOOKUP($AH273,Programma!$F$3:$X$1101,19,0),"")</f>
        <v>_</v>
      </c>
      <c r="BA273" s="185" t="str">
        <f>_xlfn.IFNA(VLOOKUP($AH273,Programma!$F$3:$Y$1101,20,0),"")</f>
        <v>_</v>
      </c>
      <c r="BB273" s="182"/>
      <c r="BC273" s="181" t="str">
        <f>IF(Ruimtestaat[[#This Row],[Frequentie weekend]]="","",_xlfn.CONCAT(Ruimtestaat[[#This Row],[Ruimte code]],"-",Ruimtestaat[[#This Row],[Frequentie weekend]]," ",Ruimtestaat[[#This Row],[Vloer code]]))</f>
        <v/>
      </c>
      <c r="BD273" s="185" t="str">
        <f>_xlfn.IFNA(VLOOKUP($BC273,Programma!$F$3:$G$1101,2,0),"")</f>
        <v/>
      </c>
      <c r="BE273" s="185" t="str">
        <f>_xlfn.IFNA(VLOOKUP($BC273,Programma!$F$3:$H$1101,3,0),"")</f>
        <v/>
      </c>
      <c r="BF273" s="185" t="str">
        <f>_xlfn.IFNA(VLOOKUP($BC273,Programma!$F$3:$I$1101,4,0),"")</f>
        <v/>
      </c>
      <c r="BG273" s="185" t="str">
        <f>_xlfn.IFNA(VLOOKUP($BC273,Programma!$F$3:$J$1101,5,0),"")</f>
        <v/>
      </c>
      <c r="BH273" s="185" t="str">
        <f>_xlfn.IFNA(VLOOKUP($BC273,Programma!$F$3:$K$1101,6,0),"")</f>
        <v/>
      </c>
      <c r="BI273" s="185" t="str">
        <f>_xlfn.IFNA(VLOOKUP($BC273,Programma!$F$3:$L$1101,7,0),"")</f>
        <v/>
      </c>
      <c r="BJ273" s="185" t="str">
        <f>_xlfn.IFNA(VLOOKUP($BC273,Programma!$F$3:$M$1101,8,0),"")</f>
        <v/>
      </c>
      <c r="BK273" s="185" t="str">
        <f>_xlfn.IFNA(VLOOKUP($BC273,Programma!$F$3:$N$1101,9,0),"")</f>
        <v/>
      </c>
      <c r="BL273" s="185" t="str">
        <f>_xlfn.IFNA(VLOOKUP($BC273,Programma!$F$3:$O$1101,10,0),"")</f>
        <v/>
      </c>
      <c r="BM273" s="185" t="str">
        <f>_xlfn.IFNA(VLOOKUP($BC273,Programma!$F$3:$P$1101,11,0),"")</f>
        <v/>
      </c>
      <c r="BN273" s="185" t="str">
        <f>_xlfn.IFNA(VLOOKUP($BC273,Programma!$F$3:$Q$1101,12,0),"")</f>
        <v/>
      </c>
      <c r="BO273" s="185" t="str">
        <f>_xlfn.IFNA(VLOOKUP($BC273,Programma!$F$3:$R$1101,13,0),"")</f>
        <v/>
      </c>
      <c r="BP273" s="185" t="str">
        <f>_xlfn.IFNA(VLOOKUP($BC273,Programma!$F$3:$S$1101,14,0),"")</f>
        <v/>
      </c>
      <c r="BQ273" s="185" t="str">
        <f>_xlfn.IFNA(VLOOKUP($BC273,Programma!$F$3:$T$1101,15,0),"")</f>
        <v/>
      </c>
      <c r="BR273" s="185" t="str">
        <f>_xlfn.IFNA(VLOOKUP($BC273,Programma!$F$3:$U$1101,16,0),"")</f>
        <v/>
      </c>
      <c r="BS273" s="185" t="str">
        <f>_xlfn.IFNA(VLOOKUP($BC273,Programma!$F$3:$V$1101,17,0),"")</f>
        <v/>
      </c>
      <c r="BT273" s="185" t="str">
        <f>_xlfn.IFNA(VLOOKUP($BC273,Programma!$F$3:$W$1101,18,0),"")</f>
        <v/>
      </c>
      <c r="BU273" s="185" t="str">
        <f>_xlfn.IFNA(VLOOKUP($BC273,Programma!$F$3:$X$1101,19,0),"")</f>
        <v/>
      </c>
      <c r="BV273" s="185" t="str">
        <f>_xlfn.IFNA(VLOOKUP($BC273,Programma!$F$3:$Y$1101,20,0),"")</f>
        <v/>
      </c>
    </row>
    <row r="274" spans="1:74" s="78" customFormat="1" ht="15" customHeight="1">
      <c r="A274" s="99">
        <v>9</v>
      </c>
      <c r="B274" s="176" t="str">
        <f>VLOOKUP(Ruimtestaat[[#This Row],[Code]],Locaties[[Code]:[Locatie]],2,FALSE)</f>
        <v>ODBS Europa</v>
      </c>
      <c r="C274" s="176" t="str">
        <f>VLOOKUP(Ruimtestaat[[#This Row],[Code]],Locaties[[#All],[Code]:[Adres]],4,FALSE)</f>
        <v>Belgiëlaan 75</v>
      </c>
      <c r="D274" s="176" t="str">
        <f>VLOOKUP(Ruimtestaat[[#This Row],[Code]],Locaties[[#All],[Code]:[Postcode]],5,FALSE)</f>
        <v>7543 ZJ</v>
      </c>
      <c r="E274" s="176" t="str">
        <f>VLOOKUP(Ruimtestaat[[#This Row],[Code]],Locaties[#All],6,FALSE)</f>
        <v>Enschede</v>
      </c>
      <c r="F274" s="149"/>
      <c r="G274" s="99" t="s">
        <v>1646</v>
      </c>
      <c r="H274" s="99" t="s">
        <v>1650</v>
      </c>
      <c r="I274" s="183" t="s">
        <v>1651</v>
      </c>
      <c r="J274" s="99">
        <v>16</v>
      </c>
      <c r="K274" s="183" t="str">
        <f>VLOOKUP(Ruimtestaat[[#This Row],[Ruimte code]],Ruimtegroepen[[#All],[Code]:[Ruimte omschrijving]],2,FALSE)</f>
        <v>Leslokalen</v>
      </c>
      <c r="L274" s="149" t="s">
        <v>100</v>
      </c>
      <c r="M274" s="301" t="s">
        <v>1697</v>
      </c>
      <c r="N274" s="177">
        <v>54.4</v>
      </c>
      <c r="O274" s="177"/>
      <c r="P274" s="178" t="str">
        <f>VLOOKUP(Ruimtestaat[[#This Row],[Ruimte code]],Ruimtegroepen[],4,FALSE)</f>
        <v>Le</v>
      </c>
      <c r="Q274" s="149">
        <v>40</v>
      </c>
      <c r="R274" s="149" t="s">
        <v>2</v>
      </c>
      <c r="S274" s="149">
        <f>IF(Q274&gt;0,IF(RIGHT(Ruimtestaat[[#This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4" s="149">
        <f>IF(S274&gt;0,VLOOKUP($J274,Ruimtegroepen[],3,FALSE)*VLOOKUP($L274,Vloersoorten[],3,FALSE)*VLOOKUP($R274,Frequenties[],3,FALSE)*VLOOKUP($A274,Locaties[],3,FALSE),0)</f>
        <v>0</v>
      </c>
      <c r="U274" s="149">
        <f>Ruimtestaat[[#This Row],[Uitvoeringen werkdagen]]*Ruimtestaat[[#This Row],[Oppervlak (netto)]]</f>
        <v>10880</v>
      </c>
      <c r="V274" s="179">
        <f>IF(T274&gt;0,Ruimtestaat[[#This Row],[Prest. (m2 /jaar) werkdagen]]/Ruimtestaat[[#This Row],[Norm (m2/uur) werkdagen]],0)</f>
        <v>0</v>
      </c>
      <c r="W274" s="180">
        <f>Ruimtestaat[[#This Row],[uren / jaar werkdagen]]*Tariefsopbouw!$E$35</f>
        <v>0</v>
      </c>
      <c r="X274" s="149"/>
      <c r="Y274" s="149">
        <f>IF(Ruimtestaat[[#This Row],[Frequentie weekend]]&gt;0,VALUE(LEFT(X274,1))*Q274,0)</f>
        <v>0</v>
      </c>
      <c r="Z274" s="148">
        <f>IF($Y274&gt;0,VLOOKUP($J274,Ruimtegroepen[],3,FALSE)*VLOOKUP($L274,Vloersoorten[],3,FALSE)*VLOOKUP($X274,Frequenties[],3,FALSE)*VLOOKUP(Ruimtestaat[[#This Row],[Code]],Locaties[],3,FALSE),0)</f>
        <v>0</v>
      </c>
      <c r="AA274" s="148">
        <f>Ruimtestaat[[#This Row],[Uitvoeringen weekend]]*Ruimtestaat[[#This Row],[Oppervlak (netto)]]</f>
        <v>0</v>
      </c>
      <c r="AB274" s="148">
        <f>IF(Z274&gt;0,Ruimtestaat[[#This Row],[Prest. (m2 /jaar) weekend]]/Ruimtestaat[[#This Row],[Norm (m2/uur) weekend]],0)</f>
        <v>0</v>
      </c>
      <c r="AC274" s="180">
        <f>Ruimtestaat[[#This Row],[uren / jaar weekend]]*Tariefsopbouw!$D$40</f>
        <v>0</v>
      </c>
      <c r="AD274" s="179">
        <f>Ruimtestaat[[#This Row],[Prest. (m2 /jaar) weekend]]+Ruimtestaat[[#This Row],[Prest. (m2 /jaar) werkdagen]]</f>
        <v>10880</v>
      </c>
      <c r="AE274" s="179">
        <f>Ruimtestaat[[#This Row],[uren / jaar weekend]]+Ruimtestaat[[#This Row],[uren / jaar werkdagen]]</f>
        <v>0</v>
      </c>
      <c r="AF274" s="174">
        <f>Ruimtestaat[[#This Row],[kosten / jaar weekend]]+Ruimtestaat[[#This Row],[kosten / jaar werkdagen]]</f>
        <v>0</v>
      </c>
      <c r="AG274" s="174"/>
      <c r="AH274" s="181" t="str">
        <f>IF(Ruimtestaat[[#This Row],[Frequentie werkdagen]]="","",_xlfn.CONCAT(Ruimtestaat[[#This Row],[Ruimte code]],"-",Ruimtestaat[[#This Row],[Frequentie werkdagen]]," ",Ruimtestaat[[#This Row],[Vloer code]]))</f>
        <v>16-5w L</v>
      </c>
      <c r="AI274" s="185" t="str">
        <f>_xlfn.IFNA(VLOOKUP($AH274,Programma!$F$3:$G$1101,2,0),"")</f>
        <v>_</v>
      </c>
      <c r="AJ274" s="185" t="str">
        <f>_xlfn.IFNA(VLOOKUP($AH274,Programma!$F$3:$H$1101,3,0),"")</f>
        <v>_</v>
      </c>
      <c r="AK274" s="185" t="str">
        <f>_xlfn.IFNA(VLOOKUP($AH274,Programma!$F$3:$I$1101,4,0),"")</f>
        <v>4w</v>
      </c>
      <c r="AL274" s="185" t="str">
        <f>_xlfn.IFNA(VLOOKUP($AH274,Programma!$F$3:$J$1101,5,0),"")</f>
        <v>1w</v>
      </c>
      <c r="AM274" s="185" t="str">
        <f>_xlfn.IFNA(VLOOKUP($AH274,Programma!$F$3:$K$1101,6,0),"")</f>
        <v>_</v>
      </c>
      <c r="AN274" s="185" t="str">
        <f>_xlfn.IFNA(VLOOKUP($AH274,Programma!$F$3:$L$1101,7,0),"")</f>
        <v>_</v>
      </c>
      <c r="AO274" s="185" t="str">
        <f>_xlfn.IFNA(VLOOKUP($AH274,Programma!$F$3:$M$1101,8,0),"")</f>
        <v>_</v>
      </c>
      <c r="AP274" s="185" t="str">
        <f>_xlfn.IFNA(VLOOKUP($AH274,Programma!$F$3:$N$1101,9,0),"")</f>
        <v>_</v>
      </c>
      <c r="AQ274" s="185" t="str">
        <f>_xlfn.IFNA(VLOOKUP($AH274,Programma!$F$3:$O$1101,10,0),"")</f>
        <v>5w</v>
      </c>
      <c r="AR274" s="185" t="str">
        <f>_xlfn.IFNA(VLOOKUP($AH274,Programma!$F$3:$P$1101,11,0),"")</f>
        <v>5w</v>
      </c>
      <c r="AS274" s="185" t="str">
        <f>_xlfn.IFNA(VLOOKUP($AH274,Programma!$F$3:$Q$1101,12,0),"")</f>
        <v>1w</v>
      </c>
      <c r="AT274" s="185" t="str">
        <f>_xlfn.IFNA(VLOOKUP($AH274,Programma!$F$3:$R$1101,13,0),"")</f>
        <v>1w</v>
      </c>
      <c r="AU274" s="185" t="str">
        <f>_xlfn.IFNA(VLOOKUP($AH274,Programma!$F$3:$S$1101,14,0),"")</f>
        <v>1m</v>
      </c>
      <c r="AV274" s="185" t="str">
        <f>_xlfn.IFNA(VLOOKUP($AH274,Programma!$F$3:$T$1101,15,0),"")</f>
        <v>2j</v>
      </c>
      <c r="AW274" s="185" t="str">
        <f>_xlfn.IFNA(VLOOKUP($AH274,Programma!$F$3:$U$1101,16,0),"")</f>
        <v>1j</v>
      </c>
      <c r="AX274" s="185" t="str">
        <f>_xlfn.IFNA(VLOOKUP($AH274,Programma!$F$3:$V$1101,17,0),"")</f>
        <v>_</v>
      </c>
      <c r="AY274" s="185" t="str">
        <f>_xlfn.IFNA(VLOOKUP($AH274,Programma!$F$3:$W$1101,18,0),"")</f>
        <v>_</v>
      </c>
      <c r="AZ274" s="185" t="str">
        <f>_xlfn.IFNA(VLOOKUP($AH274,Programma!$F$3:$X$1101,19,0),"")</f>
        <v>_</v>
      </c>
      <c r="BA274" s="185" t="str">
        <f>_xlfn.IFNA(VLOOKUP($AH274,Programma!$F$3:$Y$1101,20,0),"")</f>
        <v>_</v>
      </c>
      <c r="BB274" s="182"/>
      <c r="BC274" s="181" t="str">
        <f>IF(Ruimtestaat[[#This Row],[Frequentie weekend]]="","",_xlfn.CONCAT(Ruimtestaat[[#This Row],[Ruimte code]],"-",Ruimtestaat[[#This Row],[Frequentie weekend]]," ",Ruimtestaat[[#This Row],[Vloer code]]))</f>
        <v/>
      </c>
      <c r="BD274" s="185" t="str">
        <f>_xlfn.IFNA(VLOOKUP($BC274,Programma!$F$3:$G$1101,2,0),"")</f>
        <v/>
      </c>
      <c r="BE274" s="185" t="str">
        <f>_xlfn.IFNA(VLOOKUP($BC274,Programma!$F$3:$H$1101,3,0),"")</f>
        <v/>
      </c>
      <c r="BF274" s="185" t="str">
        <f>_xlfn.IFNA(VLOOKUP($BC274,Programma!$F$3:$I$1101,4,0),"")</f>
        <v/>
      </c>
      <c r="BG274" s="185" t="str">
        <f>_xlfn.IFNA(VLOOKUP($BC274,Programma!$F$3:$J$1101,5,0),"")</f>
        <v/>
      </c>
      <c r="BH274" s="185" t="str">
        <f>_xlfn.IFNA(VLOOKUP($BC274,Programma!$F$3:$K$1101,6,0),"")</f>
        <v/>
      </c>
      <c r="BI274" s="185" t="str">
        <f>_xlfn.IFNA(VLOOKUP($BC274,Programma!$F$3:$L$1101,7,0),"")</f>
        <v/>
      </c>
      <c r="BJ274" s="185" t="str">
        <f>_xlfn.IFNA(VLOOKUP($BC274,Programma!$F$3:$M$1101,8,0),"")</f>
        <v/>
      </c>
      <c r="BK274" s="185" t="str">
        <f>_xlfn.IFNA(VLOOKUP($BC274,Programma!$F$3:$N$1101,9,0),"")</f>
        <v/>
      </c>
      <c r="BL274" s="185" t="str">
        <f>_xlfn.IFNA(VLOOKUP($BC274,Programma!$F$3:$O$1101,10,0),"")</f>
        <v/>
      </c>
      <c r="BM274" s="185" t="str">
        <f>_xlfn.IFNA(VLOOKUP($BC274,Programma!$F$3:$P$1101,11,0),"")</f>
        <v/>
      </c>
      <c r="BN274" s="185" t="str">
        <f>_xlfn.IFNA(VLOOKUP($BC274,Programma!$F$3:$Q$1101,12,0),"")</f>
        <v/>
      </c>
      <c r="BO274" s="185" t="str">
        <f>_xlfn.IFNA(VLOOKUP($BC274,Programma!$F$3:$R$1101,13,0),"")</f>
        <v/>
      </c>
      <c r="BP274" s="185" t="str">
        <f>_xlfn.IFNA(VLOOKUP($BC274,Programma!$F$3:$S$1101,14,0),"")</f>
        <v/>
      </c>
      <c r="BQ274" s="185" t="str">
        <f>_xlfn.IFNA(VLOOKUP($BC274,Programma!$F$3:$T$1101,15,0),"")</f>
        <v/>
      </c>
      <c r="BR274" s="185" t="str">
        <f>_xlfn.IFNA(VLOOKUP($BC274,Programma!$F$3:$U$1101,16,0),"")</f>
        <v/>
      </c>
      <c r="BS274" s="185" t="str">
        <f>_xlfn.IFNA(VLOOKUP($BC274,Programma!$F$3:$V$1101,17,0),"")</f>
        <v/>
      </c>
      <c r="BT274" s="185" t="str">
        <f>_xlfn.IFNA(VLOOKUP($BC274,Programma!$F$3:$W$1101,18,0),"")</f>
        <v/>
      </c>
      <c r="BU274" s="185" t="str">
        <f>_xlfn.IFNA(VLOOKUP($BC274,Programma!$F$3:$X$1101,19,0),"")</f>
        <v/>
      </c>
      <c r="BV274" s="185" t="str">
        <f>_xlfn.IFNA(VLOOKUP($BC274,Programma!$F$3:$Y$1101,20,0),"")</f>
        <v/>
      </c>
    </row>
    <row r="275" spans="1:74" s="78" customFormat="1" ht="15" customHeight="1">
      <c r="A275" s="99">
        <v>9</v>
      </c>
      <c r="B275" s="176" t="str">
        <f>VLOOKUP(Ruimtestaat[[#This Row],[Code]],Locaties[[Code]:[Locatie]],2,FALSE)</f>
        <v>ODBS Europa</v>
      </c>
      <c r="C275" s="176" t="str">
        <f>VLOOKUP(Ruimtestaat[[#This Row],[Code]],Locaties[[#All],[Code]:[Adres]],4,FALSE)</f>
        <v>Belgiëlaan 75</v>
      </c>
      <c r="D275" s="176" t="str">
        <f>VLOOKUP(Ruimtestaat[[#This Row],[Code]],Locaties[[#All],[Code]:[Postcode]],5,FALSE)</f>
        <v>7543 ZJ</v>
      </c>
      <c r="E275" s="176" t="str">
        <f>VLOOKUP(Ruimtestaat[[#This Row],[Code]],Locaties[#All],6,FALSE)</f>
        <v>Enschede</v>
      </c>
      <c r="F275" s="149"/>
      <c r="G275" s="99" t="s">
        <v>1646</v>
      </c>
      <c r="H275" s="99" t="s">
        <v>1652</v>
      </c>
      <c r="I275" s="183" t="s">
        <v>1649</v>
      </c>
      <c r="J275" s="99">
        <v>2</v>
      </c>
      <c r="K275" s="183" t="str">
        <f>VLOOKUP(Ruimtestaat[[#This Row],[Ruimte code]],Ruimtegroepen[[#All],[Code]:[Ruimte omschrijving]],2,FALSE)</f>
        <v>Kantoren</v>
      </c>
      <c r="L275" s="149" t="s">
        <v>100</v>
      </c>
      <c r="M275" s="301" t="s">
        <v>1697</v>
      </c>
      <c r="N275" s="177">
        <v>30.6</v>
      </c>
      <c r="O275" s="177"/>
      <c r="P275" s="178" t="str">
        <f>VLOOKUP(Ruimtestaat[[#This Row],[Ruimte code]],Ruimtegroepen[],4,FALSE)</f>
        <v>Bu</v>
      </c>
      <c r="Q275" s="149">
        <v>40</v>
      </c>
      <c r="R275" s="149" t="s">
        <v>18</v>
      </c>
      <c r="S275" s="149">
        <f>IF(Q275&gt;0,IF(RIGHT(Ruimtestaat[[#This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5" s="149">
        <f>IF(S275&gt;0,VLOOKUP($J275,Ruimtegroepen[],3,FALSE)*VLOOKUP($L275,Vloersoorten[],3,FALSE)*VLOOKUP($R275,Frequenties[],3,FALSE)*VLOOKUP($A275,Locaties[],3,FALSE),0)</f>
        <v>0</v>
      </c>
      <c r="U275" s="149">
        <f>Ruimtestaat[[#This Row],[Uitvoeringen werkdagen]]*Ruimtestaat[[#This Row],[Oppervlak (netto)]]</f>
        <v>3672</v>
      </c>
      <c r="V275" s="179">
        <f>IF(T275&gt;0,Ruimtestaat[[#This Row],[Prest. (m2 /jaar) werkdagen]]/Ruimtestaat[[#This Row],[Norm (m2/uur) werkdagen]],0)</f>
        <v>0</v>
      </c>
      <c r="W275" s="180">
        <f>Ruimtestaat[[#This Row],[uren / jaar werkdagen]]*Tariefsopbouw!$E$35</f>
        <v>0</v>
      </c>
      <c r="X275" s="149"/>
      <c r="Y275" s="149">
        <f>IF(Ruimtestaat[[#This Row],[Frequentie weekend]]&gt;0,VALUE(LEFT(X275,1))*Q275,0)</f>
        <v>0</v>
      </c>
      <c r="Z275" s="148">
        <f>IF($Y275&gt;0,VLOOKUP($J275,Ruimtegroepen[],3,FALSE)*VLOOKUP($L275,Vloersoorten[],3,FALSE)*VLOOKUP($X275,Frequenties[],3,FALSE)*VLOOKUP(Ruimtestaat[[#This Row],[Code]],Locaties[],3,FALSE),0)</f>
        <v>0</v>
      </c>
      <c r="AA275" s="148">
        <f>Ruimtestaat[[#This Row],[Uitvoeringen weekend]]*Ruimtestaat[[#This Row],[Oppervlak (netto)]]</f>
        <v>0</v>
      </c>
      <c r="AB275" s="148">
        <f>IF(Z275&gt;0,Ruimtestaat[[#This Row],[Prest. (m2 /jaar) weekend]]/Ruimtestaat[[#This Row],[Norm (m2/uur) weekend]],0)</f>
        <v>0</v>
      </c>
      <c r="AC275" s="180">
        <f>Ruimtestaat[[#This Row],[uren / jaar weekend]]*Tariefsopbouw!$D$40</f>
        <v>0</v>
      </c>
      <c r="AD275" s="179">
        <f>Ruimtestaat[[#This Row],[Prest. (m2 /jaar) weekend]]+Ruimtestaat[[#This Row],[Prest. (m2 /jaar) werkdagen]]</f>
        <v>3672</v>
      </c>
      <c r="AE275" s="179">
        <f>Ruimtestaat[[#This Row],[uren / jaar weekend]]+Ruimtestaat[[#This Row],[uren / jaar werkdagen]]</f>
        <v>0</v>
      </c>
      <c r="AF275" s="174">
        <f>Ruimtestaat[[#This Row],[kosten / jaar weekend]]+Ruimtestaat[[#This Row],[kosten / jaar werkdagen]]</f>
        <v>0</v>
      </c>
      <c r="AG275" s="174"/>
      <c r="AH275" s="181" t="str">
        <f>IF(Ruimtestaat[[#This Row],[Frequentie werkdagen]]="","",_xlfn.CONCAT(Ruimtestaat[[#This Row],[Ruimte code]],"-",Ruimtestaat[[#This Row],[Frequentie werkdagen]]," ",Ruimtestaat[[#This Row],[Vloer code]]))</f>
        <v>2-3w L</v>
      </c>
      <c r="AI275" s="185" t="str">
        <f>_xlfn.IFNA(VLOOKUP($AH275,Programma!$F$3:$G$1101,2,0),"")</f>
        <v>_</v>
      </c>
      <c r="AJ275" s="185" t="str">
        <f>_xlfn.IFNA(VLOOKUP($AH275,Programma!$F$3:$H$1101,3,0),"")</f>
        <v>_</v>
      </c>
      <c r="AK275" s="185" t="str">
        <f>_xlfn.IFNA(VLOOKUP($AH275,Programma!$F$3:$I$1101,4,0),"")</f>
        <v>2w</v>
      </c>
      <c r="AL275" s="185" t="str">
        <f>_xlfn.IFNA(VLOOKUP($AH275,Programma!$F$3:$J$1101,5,0),"")</f>
        <v>1w</v>
      </c>
      <c r="AM275" s="185" t="str">
        <f>_xlfn.IFNA(VLOOKUP($AH275,Programma!$F$3:$K$1101,6,0),"")</f>
        <v>_</v>
      </c>
      <c r="AN275" s="185" t="str">
        <f>_xlfn.IFNA(VLOOKUP($AH275,Programma!$F$3:$L$1101,7,0),"")</f>
        <v>_</v>
      </c>
      <c r="AO275" s="185" t="str">
        <f>_xlfn.IFNA(VLOOKUP($AH275,Programma!$F$3:$M$1101,8,0),"")</f>
        <v>_</v>
      </c>
      <c r="AP275" s="185" t="str">
        <f>_xlfn.IFNA(VLOOKUP($AH275,Programma!$F$3:$N$1101,9,0),"")</f>
        <v>_</v>
      </c>
      <c r="AQ275" s="185" t="str">
        <f>_xlfn.IFNA(VLOOKUP($AH275,Programma!$F$3:$O$1101,10,0),"")</f>
        <v>3w</v>
      </c>
      <c r="AR275" s="185" t="str">
        <f>_xlfn.IFNA(VLOOKUP($AH275,Programma!$F$3:$P$1101,11,0),"")</f>
        <v>3w</v>
      </c>
      <c r="AS275" s="185" t="str">
        <f>_xlfn.IFNA(VLOOKUP($AH275,Programma!$F$3:$Q$1101,12,0),"")</f>
        <v>1w</v>
      </c>
      <c r="AT275" s="185" t="str">
        <f>_xlfn.IFNA(VLOOKUP($AH275,Programma!$F$3:$R$1101,13,0),"")</f>
        <v>1w</v>
      </c>
      <c r="AU275" s="185" t="str">
        <f>_xlfn.IFNA(VLOOKUP($AH275,Programma!$F$3:$S$1101,14,0),"")</f>
        <v>1m</v>
      </c>
      <c r="AV275" s="185" t="str">
        <f>_xlfn.IFNA(VLOOKUP($AH275,Programma!$F$3:$T$1101,15,0),"")</f>
        <v>2j</v>
      </c>
      <c r="AW275" s="185" t="str">
        <f>_xlfn.IFNA(VLOOKUP($AH275,Programma!$F$3:$U$1101,16,0),"")</f>
        <v>1j</v>
      </c>
      <c r="AX275" s="185" t="str">
        <f>_xlfn.IFNA(VLOOKUP($AH275,Programma!$F$3:$V$1101,17,0),"")</f>
        <v>_</v>
      </c>
      <c r="AY275" s="185" t="str">
        <f>_xlfn.IFNA(VLOOKUP($AH275,Programma!$F$3:$W$1101,18,0),"")</f>
        <v>_</v>
      </c>
      <c r="AZ275" s="185" t="str">
        <f>_xlfn.IFNA(VLOOKUP($AH275,Programma!$F$3:$X$1101,19,0),"")</f>
        <v>_</v>
      </c>
      <c r="BA275" s="185" t="str">
        <f>_xlfn.IFNA(VLOOKUP($AH275,Programma!$F$3:$Y$1101,20,0),"")</f>
        <v>_</v>
      </c>
      <c r="BB275" s="182"/>
      <c r="BC275" s="181" t="str">
        <f>IF(Ruimtestaat[[#This Row],[Frequentie weekend]]="","",_xlfn.CONCAT(Ruimtestaat[[#This Row],[Ruimte code]],"-",Ruimtestaat[[#This Row],[Frequentie weekend]]," ",Ruimtestaat[[#This Row],[Vloer code]]))</f>
        <v/>
      </c>
      <c r="BD275" s="185" t="str">
        <f>_xlfn.IFNA(VLOOKUP($BC275,Programma!$F$3:$G$1101,2,0),"")</f>
        <v/>
      </c>
      <c r="BE275" s="185" t="str">
        <f>_xlfn.IFNA(VLOOKUP($BC275,Programma!$F$3:$H$1101,3,0),"")</f>
        <v/>
      </c>
      <c r="BF275" s="185" t="str">
        <f>_xlfn.IFNA(VLOOKUP($BC275,Programma!$F$3:$I$1101,4,0),"")</f>
        <v/>
      </c>
      <c r="BG275" s="185" t="str">
        <f>_xlfn.IFNA(VLOOKUP($BC275,Programma!$F$3:$J$1101,5,0),"")</f>
        <v/>
      </c>
      <c r="BH275" s="185" t="str">
        <f>_xlfn.IFNA(VLOOKUP($BC275,Programma!$F$3:$K$1101,6,0),"")</f>
        <v/>
      </c>
      <c r="BI275" s="185" t="str">
        <f>_xlfn.IFNA(VLOOKUP($BC275,Programma!$F$3:$L$1101,7,0),"")</f>
        <v/>
      </c>
      <c r="BJ275" s="185" t="str">
        <f>_xlfn.IFNA(VLOOKUP($BC275,Programma!$F$3:$M$1101,8,0),"")</f>
        <v/>
      </c>
      <c r="BK275" s="185" t="str">
        <f>_xlfn.IFNA(VLOOKUP($BC275,Programma!$F$3:$N$1101,9,0),"")</f>
        <v/>
      </c>
      <c r="BL275" s="185" t="str">
        <f>_xlfn.IFNA(VLOOKUP($BC275,Programma!$F$3:$O$1101,10,0),"")</f>
        <v/>
      </c>
      <c r="BM275" s="185" t="str">
        <f>_xlfn.IFNA(VLOOKUP($BC275,Programma!$F$3:$P$1101,11,0),"")</f>
        <v/>
      </c>
      <c r="BN275" s="185" t="str">
        <f>_xlfn.IFNA(VLOOKUP($BC275,Programma!$F$3:$Q$1101,12,0),"")</f>
        <v/>
      </c>
      <c r="BO275" s="185" t="str">
        <f>_xlfn.IFNA(VLOOKUP($BC275,Programma!$F$3:$R$1101,13,0),"")</f>
        <v/>
      </c>
      <c r="BP275" s="185" t="str">
        <f>_xlfn.IFNA(VLOOKUP($BC275,Programma!$F$3:$S$1101,14,0),"")</f>
        <v/>
      </c>
      <c r="BQ275" s="185" t="str">
        <f>_xlfn.IFNA(VLOOKUP($BC275,Programma!$F$3:$T$1101,15,0),"")</f>
        <v/>
      </c>
      <c r="BR275" s="185" t="str">
        <f>_xlfn.IFNA(VLOOKUP($BC275,Programma!$F$3:$U$1101,16,0),"")</f>
        <v/>
      </c>
      <c r="BS275" s="185" t="str">
        <f>_xlfn.IFNA(VLOOKUP($BC275,Programma!$F$3:$V$1101,17,0),"")</f>
        <v/>
      </c>
      <c r="BT275" s="185" t="str">
        <f>_xlfn.IFNA(VLOOKUP($BC275,Programma!$F$3:$W$1101,18,0),"")</f>
        <v/>
      </c>
      <c r="BU275" s="185" t="str">
        <f>_xlfn.IFNA(VLOOKUP($BC275,Programma!$F$3:$X$1101,19,0),"")</f>
        <v/>
      </c>
      <c r="BV275" s="185" t="str">
        <f>_xlfn.IFNA(VLOOKUP($BC275,Programma!$F$3:$Y$1101,20,0),"")</f>
        <v/>
      </c>
    </row>
    <row r="276" spans="1:74" s="78" customFormat="1" ht="15" customHeight="1">
      <c r="A276" s="99">
        <v>9</v>
      </c>
      <c r="B276" s="176" t="str">
        <f>VLOOKUP(Ruimtestaat[[#This Row],[Code]],Locaties[[Code]:[Locatie]],2,FALSE)</f>
        <v>ODBS Europa</v>
      </c>
      <c r="C276" s="176" t="str">
        <f>VLOOKUP(Ruimtestaat[[#This Row],[Code]],Locaties[[#All],[Code]:[Adres]],4,FALSE)</f>
        <v>Belgiëlaan 75</v>
      </c>
      <c r="D276" s="176" t="str">
        <f>VLOOKUP(Ruimtestaat[[#This Row],[Code]],Locaties[[#All],[Code]:[Postcode]],5,FALSE)</f>
        <v>7543 ZJ</v>
      </c>
      <c r="E276" s="176" t="str">
        <f>VLOOKUP(Ruimtestaat[[#This Row],[Code]],Locaties[#All],6,FALSE)</f>
        <v>Enschede</v>
      </c>
      <c r="F276" s="149"/>
      <c r="G276" s="99" t="s">
        <v>1646</v>
      </c>
      <c r="H276" s="99" t="s">
        <v>1653</v>
      </c>
      <c r="I276" s="183" t="s">
        <v>1649</v>
      </c>
      <c r="J276" s="99">
        <v>2</v>
      </c>
      <c r="K276" s="183" t="str">
        <f>VLOOKUP(Ruimtestaat[[#This Row],[Ruimte code]],Ruimtegroepen[[#All],[Code]:[Ruimte omschrijving]],2,FALSE)</f>
        <v>Kantoren</v>
      </c>
      <c r="L276" s="149" t="s">
        <v>100</v>
      </c>
      <c r="M276" s="301" t="s">
        <v>1697</v>
      </c>
      <c r="N276" s="177">
        <v>10.5</v>
      </c>
      <c r="O276" s="177"/>
      <c r="P276" s="178" t="str">
        <f>VLOOKUP(Ruimtestaat[[#This Row],[Ruimte code]],Ruimtegroepen[],4,FALSE)</f>
        <v>Bu</v>
      </c>
      <c r="Q276" s="149">
        <v>40</v>
      </c>
      <c r="R276" s="149" t="s">
        <v>18</v>
      </c>
      <c r="S276" s="149">
        <f>IF(Q276&gt;0,IF(RIGHT(Ruimtestaat[[#This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76" s="149">
        <f>IF(S276&gt;0,VLOOKUP($J276,Ruimtegroepen[],3,FALSE)*VLOOKUP($L276,Vloersoorten[],3,FALSE)*VLOOKUP($R276,Frequenties[],3,FALSE)*VLOOKUP($A276,Locaties[],3,FALSE),0)</f>
        <v>0</v>
      </c>
      <c r="U276" s="149">
        <f>Ruimtestaat[[#This Row],[Uitvoeringen werkdagen]]*Ruimtestaat[[#This Row],[Oppervlak (netto)]]</f>
        <v>1260</v>
      </c>
      <c r="V276" s="179">
        <f>IF(T276&gt;0,Ruimtestaat[[#This Row],[Prest. (m2 /jaar) werkdagen]]/Ruimtestaat[[#This Row],[Norm (m2/uur) werkdagen]],0)</f>
        <v>0</v>
      </c>
      <c r="W276" s="180">
        <f>Ruimtestaat[[#This Row],[uren / jaar werkdagen]]*Tariefsopbouw!$E$35</f>
        <v>0</v>
      </c>
      <c r="X276" s="149"/>
      <c r="Y276" s="149">
        <f>IF(Ruimtestaat[[#This Row],[Frequentie weekend]]&gt;0,VALUE(LEFT(X276,1))*Q276,0)</f>
        <v>0</v>
      </c>
      <c r="Z276" s="148">
        <f>IF($Y276&gt;0,VLOOKUP($J276,Ruimtegroepen[],3,FALSE)*VLOOKUP($L276,Vloersoorten[],3,FALSE)*VLOOKUP($X276,Frequenties[],3,FALSE)*VLOOKUP(Ruimtestaat[[#This Row],[Code]],Locaties[],3,FALSE),0)</f>
        <v>0</v>
      </c>
      <c r="AA276" s="148">
        <f>Ruimtestaat[[#This Row],[Uitvoeringen weekend]]*Ruimtestaat[[#This Row],[Oppervlak (netto)]]</f>
        <v>0</v>
      </c>
      <c r="AB276" s="148">
        <f>IF(Z276&gt;0,Ruimtestaat[[#This Row],[Prest. (m2 /jaar) weekend]]/Ruimtestaat[[#This Row],[Norm (m2/uur) weekend]],0)</f>
        <v>0</v>
      </c>
      <c r="AC276" s="180">
        <f>Ruimtestaat[[#This Row],[uren / jaar weekend]]*Tariefsopbouw!$D$40</f>
        <v>0</v>
      </c>
      <c r="AD276" s="179">
        <f>Ruimtestaat[[#This Row],[Prest. (m2 /jaar) weekend]]+Ruimtestaat[[#This Row],[Prest. (m2 /jaar) werkdagen]]</f>
        <v>1260</v>
      </c>
      <c r="AE276" s="179">
        <f>Ruimtestaat[[#This Row],[uren / jaar weekend]]+Ruimtestaat[[#This Row],[uren / jaar werkdagen]]</f>
        <v>0</v>
      </c>
      <c r="AF276" s="174">
        <f>Ruimtestaat[[#This Row],[kosten / jaar weekend]]+Ruimtestaat[[#This Row],[kosten / jaar werkdagen]]</f>
        <v>0</v>
      </c>
      <c r="AG276" s="174"/>
      <c r="AH276" s="181" t="str">
        <f>IF(Ruimtestaat[[#This Row],[Frequentie werkdagen]]="","",_xlfn.CONCAT(Ruimtestaat[[#This Row],[Ruimte code]],"-",Ruimtestaat[[#This Row],[Frequentie werkdagen]]," ",Ruimtestaat[[#This Row],[Vloer code]]))</f>
        <v>2-3w L</v>
      </c>
      <c r="AI276" s="185" t="str">
        <f>_xlfn.IFNA(VLOOKUP($AH276,Programma!$F$3:$G$1101,2,0),"")</f>
        <v>_</v>
      </c>
      <c r="AJ276" s="185" t="str">
        <f>_xlfn.IFNA(VLOOKUP($AH276,Programma!$F$3:$H$1101,3,0),"")</f>
        <v>_</v>
      </c>
      <c r="AK276" s="185" t="str">
        <f>_xlfn.IFNA(VLOOKUP($AH276,Programma!$F$3:$I$1101,4,0),"")</f>
        <v>2w</v>
      </c>
      <c r="AL276" s="185" t="str">
        <f>_xlfn.IFNA(VLOOKUP($AH276,Programma!$F$3:$J$1101,5,0),"")</f>
        <v>1w</v>
      </c>
      <c r="AM276" s="185" t="str">
        <f>_xlfn.IFNA(VLOOKUP($AH276,Programma!$F$3:$K$1101,6,0),"")</f>
        <v>_</v>
      </c>
      <c r="AN276" s="185" t="str">
        <f>_xlfn.IFNA(VLOOKUP($AH276,Programma!$F$3:$L$1101,7,0),"")</f>
        <v>_</v>
      </c>
      <c r="AO276" s="185" t="str">
        <f>_xlfn.IFNA(VLOOKUP($AH276,Programma!$F$3:$M$1101,8,0),"")</f>
        <v>_</v>
      </c>
      <c r="AP276" s="185" t="str">
        <f>_xlfn.IFNA(VLOOKUP($AH276,Programma!$F$3:$N$1101,9,0),"")</f>
        <v>_</v>
      </c>
      <c r="AQ276" s="185" t="str">
        <f>_xlfn.IFNA(VLOOKUP($AH276,Programma!$F$3:$O$1101,10,0),"")</f>
        <v>3w</v>
      </c>
      <c r="AR276" s="185" t="str">
        <f>_xlfn.IFNA(VLOOKUP($AH276,Programma!$F$3:$P$1101,11,0),"")</f>
        <v>3w</v>
      </c>
      <c r="AS276" s="185" t="str">
        <f>_xlfn.IFNA(VLOOKUP($AH276,Programma!$F$3:$Q$1101,12,0),"")</f>
        <v>1w</v>
      </c>
      <c r="AT276" s="185" t="str">
        <f>_xlfn.IFNA(VLOOKUP($AH276,Programma!$F$3:$R$1101,13,0),"")</f>
        <v>1w</v>
      </c>
      <c r="AU276" s="185" t="str">
        <f>_xlfn.IFNA(VLOOKUP($AH276,Programma!$F$3:$S$1101,14,0),"")</f>
        <v>1m</v>
      </c>
      <c r="AV276" s="185" t="str">
        <f>_xlfn.IFNA(VLOOKUP($AH276,Programma!$F$3:$T$1101,15,0),"")</f>
        <v>2j</v>
      </c>
      <c r="AW276" s="185" t="str">
        <f>_xlfn.IFNA(VLOOKUP($AH276,Programma!$F$3:$U$1101,16,0),"")</f>
        <v>1j</v>
      </c>
      <c r="AX276" s="185" t="str">
        <f>_xlfn.IFNA(VLOOKUP($AH276,Programma!$F$3:$V$1101,17,0),"")</f>
        <v>_</v>
      </c>
      <c r="AY276" s="185" t="str">
        <f>_xlfn.IFNA(VLOOKUP($AH276,Programma!$F$3:$W$1101,18,0),"")</f>
        <v>_</v>
      </c>
      <c r="AZ276" s="185" t="str">
        <f>_xlfn.IFNA(VLOOKUP($AH276,Programma!$F$3:$X$1101,19,0),"")</f>
        <v>_</v>
      </c>
      <c r="BA276" s="185" t="str">
        <f>_xlfn.IFNA(VLOOKUP($AH276,Programma!$F$3:$Y$1101,20,0),"")</f>
        <v>_</v>
      </c>
      <c r="BB276" s="182"/>
      <c r="BC276" s="181" t="str">
        <f>IF(Ruimtestaat[[#This Row],[Frequentie weekend]]="","",_xlfn.CONCAT(Ruimtestaat[[#This Row],[Ruimte code]],"-",Ruimtestaat[[#This Row],[Frequentie weekend]]," ",Ruimtestaat[[#This Row],[Vloer code]]))</f>
        <v/>
      </c>
      <c r="BD276" s="185" t="str">
        <f>_xlfn.IFNA(VLOOKUP($BC276,Programma!$F$3:$G$1101,2,0),"")</f>
        <v/>
      </c>
      <c r="BE276" s="185" t="str">
        <f>_xlfn.IFNA(VLOOKUP($BC276,Programma!$F$3:$H$1101,3,0),"")</f>
        <v/>
      </c>
      <c r="BF276" s="185" t="str">
        <f>_xlfn.IFNA(VLOOKUP($BC276,Programma!$F$3:$I$1101,4,0),"")</f>
        <v/>
      </c>
      <c r="BG276" s="185" t="str">
        <f>_xlfn.IFNA(VLOOKUP($BC276,Programma!$F$3:$J$1101,5,0),"")</f>
        <v/>
      </c>
      <c r="BH276" s="185" t="str">
        <f>_xlfn.IFNA(VLOOKUP($BC276,Programma!$F$3:$K$1101,6,0),"")</f>
        <v/>
      </c>
      <c r="BI276" s="185" t="str">
        <f>_xlfn.IFNA(VLOOKUP($BC276,Programma!$F$3:$L$1101,7,0),"")</f>
        <v/>
      </c>
      <c r="BJ276" s="185" t="str">
        <f>_xlfn.IFNA(VLOOKUP($BC276,Programma!$F$3:$M$1101,8,0),"")</f>
        <v/>
      </c>
      <c r="BK276" s="185" t="str">
        <f>_xlfn.IFNA(VLOOKUP($BC276,Programma!$F$3:$N$1101,9,0),"")</f>
        <v/>
      </c>
      <c r="BL276" s="185" t="str">
        <f>_xlfn.IFNA(VLOOKUP($BC276,Programma!$F$3:$O$1101,10,0),"")</f>
        <v/>
      </c>
      <c r="BM276" s="185" t="str">
        <f>_xlfn.IFNA(VLOOKUP($BC276,Programma!$F$3:$P$1101,11,0),"")</f>
        <v/>
      </c>
      <c r="BN276" s="185" t="str">
        <f>_xlfn.IFNA(VLOOKUP($BC276,Programma!$F$3:$Q$1101,12,0),"")</f>
        <v/>
      </c>
      <c r="BO276" s="185" t="str">
        <f>_xlfn.IFNA(VLOOKUP($BC276,Programma!$F$3:$R$1101,13,0),"")</f>
        <v/>
      </c>
      <c r="BP276" s="185" t="str">
        <f>_xlfn.IFNA(VLOOKUP($BC276,Programma!$F$3:$S$1101,14,0),"")</f>
        <v/>
      </c>
      <c r="BQ276" s="185" t="str">
        <f>_xlfn.IFNA(VLOOKUP($BC276,Programma!$F$3:$T$1101,15,0),"")</f>
        <v/>
      </c>
      <c r="BR276" s="185" t="str">
        <f>_xlfn.IFNA(VLOOKUP($BC276,Programma!$F$3:$U$1101,16,0),"")</f>
        <v/>
      </c>
      <c r="BS276" s="185" t="str">
        <f>_xlfn.IFNA(VLOOKUP($BC276,Programma!$F$3:$V$1101,17,0),"")</f>
        <v/>
      </c>
      <c r="BT276" s="185" t="str">
        <f>_xlfn.IFNA(VLOOKUP($BC276,Programma!$F$3:$W$1101,18,0),"")</f>
        <v/>
      </c>
      <c r="BU276" s="185" t="str">
        <f>_xlfn.IFNA(VLOOKUP($BC276,Programma!$F$3:$X$1101,19,0),"")</f>
        <v/>
      </c>
      <c r="BV276" s="185" t="str">
        <f>_xlfn.IFNA(VLOOKUP($BC276,Programma!$F$3:$Y$1101,20,0),"")</f>
        <v/>
      </c>
    </row>
    <row r="277" spans="1:74" s="78" customFormat="1" ht="15" customHeight="1">
      <c r="A277" s="99">
        <v>9</v>
      </c>
      <c r="B277" s="176" t="str">
        <f>VLOOKUP(Ruimtestaat[[#This Row],[Code]],Locaties[[Code]:[Locatie]],2,FALSE)</f>
        <v>ODBS Europa</v>
      </c>
      <c r="C277" s="176" t="str">
        <f>VLOOKUP(Ruimtestaat[[#This Row],[Code]],Locaties[[#All],[Code]:[Adres]],4,FALSE)</f>
        <v>Belgiëlaan 75</v>
      </c>
      <c r="D277" s="176" t="str">
        <f>VLOOKUP(Ruimtestaat[[#This Row],[Code]],Locaties[[#All],[Code]:[Postcode]],5,FALSE)</f>
        <v>7543 ZJ</v>
      </c>
      <c r="E277" s="176" t="str">
        <f>VLOOKUP(Ruimtestaat[[#This Row],[Code]],Locaties[#All],6,FALSE)</f>
        <v>Enschede</v>
      </c>
      <c r="F277" s="149"/>
      <c r="G277" s="99" t="s">
        <v>1646</v>
      </c>
      <c r="H277" s="99" t="s">
        <v>1654</v>
      </c>
      <c r="I277" s="183" t="s">
        <v>1651</v>
      </c>
      <c r="J277" s="99">
        <v>16</v>
      </c>
      <c r="K277" s="183" t="str">
        <f>VLOOKUP(Ruimtestaat[[#This Row],[Ruimte code]],Ruimtegroepen[[#All],[Code]:[Ruimte omschrijving]],2,FALSE)</f>
        <v>Leslokalen</v>
      </c>
      <c r="L277" s="149" t="s">
        <v>100</v>
      </c>
      <c r="M277" s="301" t="s">
        <v>1697</v>
      </c>
      <c r="N277" s="177">
        <v>55.8</v>
      </c>
      <c r="O277" s="177"/>
      <c r="P277" s="178" t="str">
        <f>VLOOKUP(Ruimtestaat[[#This Row],[Ruimte code]],Ruimtegroepen[],4,FALSE)</f>
        <v>Le</v>
      </c>
      <c r="Q277" s="149">
        <v>40</v>
      </c>
      <c r="R277" s="149" t="s">
        <v>2</v>
      </c>
      <c r="S277" s="149">
        <f>IF(Q277&gt;0,IF(RIGHT(Ruimtestaat[[#This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7" s="149">
        <f>IF(S277&gt;0,VLOOKUP($J277,Ruimtegroepen[],3,FALSE)*VLOOKUP($L277,Vloersoorten[],3,FALSE)*VLOOKUP($R277,Frequenties[],3,FALSE)*VLOOKUP($A277,Locaties[],3,FALSE),0)</f>
        <v>0</v>
      </c>
      <c r="U277" s="149">
        <f>Ruimtestaat[[#This Row],[Uitvoeringen werkdagen]]*Ruimtestaat[[#This Row],[Oppervlak (netto)]]</f>
        <v>11160</v>
      </c>
      <c r="V277" s="179">
        <f>IF(T277&gt;0,Ruimtestaat[[#This Row],[Prest. (m2 /jaar) werkdagen]]/Ruimtestaat[[#This Row],[Norm (m2/uur) werkdagen]],0)</f>
        <v>0</v>
      </c>
      <c r="W277" s="180">
        <f>Ruimtestaat[[#This Row],[uren / jaar werkdagen]]*Tariefsopbouw!$E$35</f>
        <v>0</v>
      </c>
      <c r="X277" s="149"/>
      <c r="Y277" s="149">
        <f>IF(Ruimtestaat[[#This Row],[Frequentie weekend]]&gt;0,VALUE(LEFT(X277,1))*Q277,0)</f>
        <v>0</v>
      </c>
      <c r="Z277" s="148">
        <f>IF($Y277&gt;0,VLOOKUP($J277,Ruimtegroepen[],3,FALSE)*VLOOKUP($L277,Vloersoorten[],3,FALSE)*VLOOKUP($X277,Frequenties[],3,FALSE)*VLOOKUP(Ruimtestaat[[#This Row],[Code]],Locaties[],3,FALSE),0)</f>
        <v>0</v>
      </c>
      <c r="AA277" s="148">
        <f>Ruimtestaat[[#This Row],[Uitvoeringen weekend]]*Ruimtestaat[[#This Row],[Oppervlak (netto)]]</f>
        <v>0</v>
      </c>
      <c r="AB277" s="148">
        <f>IF(Z277&gt;0,Ruimtestaat[[#This Row],[Prest. (m2 /jaar) weekend]]/Ruimtestaat[[#This Row],[Norm (m2/uur) weekend]],0)</f>
        <v>0</v>
      </c>
      <c r="AC277" s="180">
        <f>Ruimtestaat[[#This Row],[uren / jaar weekend]]*Tariefsopbouw!$D$40</f>
        <v>0</v>
      </c>
      <c r="AD277" s="179">
        <f>Ruimtestaat[[#This Row],[Prest. (m2 /jaar) weekend]]+Ruimtestaat[[#This Row],[Prest. (m2 /jaar) werkdagen]]</f>
        <v>11160</v>
      </c>
      <c r="AE277" s="179">
        <f>Ruimtestaat[[#This Row],[uren / jaar weekend]]+Ruimtestaat[[#This Row],[uren / jaar werkdagen]]</f>
        <v>0</v>
      </c>
      <c r="AF277" s="174">
        <f>Ruimtestaat[[#This Row],[kosten / jaar weekend]]+Ruimtestaat[[#This Row],[kosten / jaar werkdagen]]</f>
        <v>0</v>
      </c>
      <c r="AG277" s="174"/>
      <c r="AH277" s="181" t="str">
        <f>IF(Ruimtestaat[[#This Row],[Frequentie werkdagen]]="","",_xlfn.CONCAT(Ruimtestaat[[#This Row],[Ruimte code]],"-",Ruimtestaat[[#This Row],[Frequentie werkdagen]]," ",Ruimtestaat[[#This Row],[Vloer code]]))</f>
        <v>16-5w L</v>
      </c>
      <c r="AI277" s="185" t="str">
        <f>_xlfn.IFNA(VLOOKUP($AH277,Programma!$F$3:$G$1101,2,0),"")</f>
        <v>_</v>
      </c>
      <c r="AJ277" s="185" t="str">
        <f>_xlfn.IFNA(VLOOKUP($AH277,Programma!$F$3:$H$1101,3,0),"")</f>
        <v>_</v>
      </c>
      <c r="AK277" s="185" t="str">
        <f>_xlfn.IFNA(VLOOKUP($AH277,Programma!$F$3:$I$1101,4,0),"")</f>
        <v>4w</v>
      </c>
      <c r="AL277" s="185" t="str">
        <f>_xlfn.IFNA(VLOOKUP($AH277,Programma!$F$3:$J$1101,5,0),"")</f>
        <v>1w</v>
      </c>
      <c r="AM277" s="185" t="str">
        <f>_xlfn.IFNA(VLOOKUP($AH277,Programma!$F$3:$K$1101,6,0),"")</f>
        <v>_</v>
      </c>
      <c r="AN277" s="185" t="str">
        <f>_xlfn.IFNA(VLOOKUP($AH277,Programma!$F$3:$L$1101,7,0),"")</f>
        <v>_</v>
      </c>
      <c r="AO277" s="185" t="str">
        <f>_xlfn.IFNA(VLOOKUP($AH277,Programma!$F$3:$M$1101,8,0),"")</f>
        <v>_</v>
      </c>
      <c r="AP277" s="185" t="str">
        <f>_xlfn.IFNA(VLOOKUP($AH277,Programma!$F$3:$N$1101,9,0),"")</f>
        <v>_</v>
      </c>
      <c r="AQ277" s="185" t="str">
        <f>_xlfn.IFNA(VLOOKUP($AH277,Programma!$F$3:$O$1101,10,0),"")</f>
        <v>5w</v>
      </c>
      <c r="AR277" s="185" t="str">
        <f>_xlfn.IFNA(VLOOKUP($AH277,Programma!$F$3:$P$1101,11,0),"")</f>
        <v>5w</v>
      </c>
      <c r="AS277" s="185" t="str">
        <f>_xlfn.IFNA(VLOOKUP($AH277,Programma!$F$3:$Q$1101,12,0),"")</f>
        <v>1w</v>
      </c>
      <c r="AT277" s="185" t="str">
        <f>_xlfn.IFNA(VLOOKUP($AH277,Programma!$F$3:$R$1101,13,0),"")</f>
        <v>1w</v>
      </c>
      <c r="AU277" s="185" t="str">
        <f>_xlfn.IFNA(VLOOKUP($AH277,Programma!$F$3:$S$1101,14,0),"")</f>
        <v>1m</v>
      </c>
      <c r="AV277" s="185" t="str">
        <f>_xlfn.IFNA(VLOOKUP($AH277,Programma!$F$3:$T$1101,15,0),"")</f>
        <v>2j</v>
      </c>
      <c r="AW277" s="185" t="str">
        <f>_xlfn.IFNA(VLOOKUP($AH277,Programma!$F$3:$U$1101,16,0),"")</f>
        <v>1j</v>
      </c>
      <c r="AX277" s="185" t="str">
        <f>_xlfn.IFNA(VLOOKUP($AH277,Programma!$F$3:$V$1101,17,0),"")</f>
        <v>_</v>
      </c>
      <c r="AY277" s="185" t="str">
        <f>_xlfn.IFNA(VLOOKUP($AH277,Programma!$F$3:$W$1101,18,0),"")</f>
        <v>_</v>
      </c>
      <c r="AZ277" s="185" t="str">
        <f>_xlfn.IFNA(VLOOKUP($AH277,Programma!$F$3:$X$1101,19,0),"")</f>
        <v>_</v>
      </c>
      <c r="BA277" s="185" t="str">
        <f>_xlfn.IFNA(VLOOKUP($AH277,Programma!$F$3:$Y$1101,20,0),"")</f>
        <v>_</v>
      </c>
      <c r="BB277" s="182"/>
      <c r="BC277" s="181" t="str">
        <f>IF(Ruimtestaat[[#This Row],[Frequentie weekend]]="","",_xlfn.CONCAT(Ruimtestaat[[#This Row],[Ruimte code]],"-",Ruimtestaat[[#This Row],[Frequentie weekend]]," ",Ruimtestaat[[#This Row],[Vloer code]]))</f>
        <v/>
      </c>
      <c r="BD277" s="185" t="str">
        <f>_xlfn.IFNA(VLOOKUP($BC277,Programma!$F$3:$G$1101,2,0),"")</f>
        <v/>
      </c>
      <c r="BE277" s="185" t="str">
        <f>_xlfn.IFNA(VLOOKUP($BC277,Programma!$F$3:$H$1101,3,0),"")</f>
        <v/>
      </c>
      <c r="BF277" s="185" t="str">
        <f>_xlfn.IFNA(VLOOKUP($BC277,Programma!$F$3:$I$1101,4,0),"")</f>
        <v/>
      </c>
      <c r="BG277" s="185" t="str">
        <f>_xlfn.IFNA(VLOOKUP($BC277,Programma!$F$3:$J$1101,5,0),"")</f>
        <v/>
      </c>
      <c r="BH277" s="185" t="str">
        <f>_xlfn.IFNA(VLOOKUP($BC277,Programma!$F$3:$K$1101,6,0),"")</f>
        <v/>
      </c>
      <c r="BI277" s="185" t="str">
        <f>_xlfn.IFNA(VLOOKUP($BC277,Programma!$F$3:$L$1101,7,0),"")</f>
        <v/>
      </c>
      <c r="BJ277" s="185" t="str">
        <f>_xlfn.IFNA(VLOOKUP($BC277,Programma!$F$3:$M$1101,8,0),"")</f>
        <v/>
      </c>
      <c r="BK277" s="185" t="str">
        <f>_xlfn.IFNA(VLOOKUP($BC277,Programma!$F$3:$N$1101,9,0),"")</f>
        <v/>
      </c>
      <c r="BL277" s="185" t="str">
        <f>_xlfn.IFNA(VLOOKUP($BC277,Programma!$F$3:$O$1101,10,0),"")</f>
        <v/>
      </c>
      <c r="BM277" s="185" t="str">
        <f>_xlfn.IFNA(VLOOKUP($BC277,Programma!$F$3:$P$1101,11,0),"")</f>
        <v/>
      </c>
      <c r="BN277" s="185" t="str">
        <f>_xlfn.IFNA(VLOOKUP($BC277,Programma!$F$3:$Q$1101,12,0),"")</f>
        <v/>
      </c>
      <c r="BO277" s="185" t="str">
        <f>_xlfn.IFNA(VLOOKUP($BC277,Programma!$F$3:$R$1101,13,0),"")</f>
        <v/>
      </c>
      <c r="BP277" s="185" t="str">
        <f>_xlfn.IFNA(VLOOKUP($BC277,Programma!$F$3:$S$1101,14,0),"")</f>
        <v/>
      </c>
      <c r="BQ277" s="185" t="str">
        <f>_xlfn.IFNA(VLOOKUP($BC277,Programma!$F$3:$T$1101,15,0),"")</f>
        <v/>
      </c>
      <c r="BR277" s="185" t="str">
        <f>_xlfn.IFNA(VLOOKUP($BC277,Programma!$F$3:$U$1101,16,0),"")</f>
        <v/>
      </c>
      <c r="BS277" s="185" t="str">
        <f>_xlfn.IFNA(VLOOKUP($BC277,Programma!$F$3:$V$1101,17,0),"")</f>
        <v/>
      </c>
      <c r="BT277" s="185" t="str">
        <f>_xlfn.IFNA(VLOOKUP($BC277,Programma!$F$3:$W$1101,18,0),"")</f>
        <v/>
      </c>
      <c r="BU277" s="185" t="str">
        <f>_xlfn.IFNA(VLOOKUP($BC277,Programma!$F$3:$X$1101,19,0),"")</f>
        <v/>
      </c>
      <c r="BV277" s="185" t="str">
        <f>_xlfn.IFNA(VLOOKUP($BC277,Programma!$F$3:$Y$1101,20,0),"")</f>
        <v/>
      </c>
    </row>
    <row r="278" spans="1:74" s="78" customFormat="1" ht="15" customHeight="1">
      <c r="A278" s="99">
        <v>9</v>
      </c>
      <c r="B278" s="176" t="str">
        <f>VLOOKUP(Ruimtestaat[[#This Row],[Code]],Locaties[[Code]:[Locatie]],2,FALSE)</f>
        <v>ODBS Europa</v>
      </c>
      <c r="C278" s="176" t="str">
        <f>VLOOKUP(Ruimtestaat[[#This Row],[Code]],Locaties[[#All],[Code]:[Adres]],4,FALSE)</f>
        <v>Belgiëlaan 75</v>
      </c>
      <c r="D278" s="176" t="str">
        <f>VLOOKUP(Ruimtestaat[[#This Row],[Code]],Locaties[[#All],[Code]:[Postcode]],5,FALSE)</f>
        <v>7543 ZJ</v>
      </c>
      <c r="E278" s="176" t="str">
        <f>VLOOKUP(Ruimtestaat[[#This Row],[Code]],Locaties[#All],6,FALSE)</f>
        <v>Enschede</v>
      </c>
      <c r="F278" s="149"/>
      <c r="G278" s="99" t="s">
        <v>1646</v>
      </c>
      <c r="H278" s="99" t="s">
        <v>1656</v>
      </c>
      <c r="I278" s="183" t="s">
        <v>1651</v>
      </c>
      <c r="J278" s="99">
        <v>16</v>
      </c>
      <c r="K278" s="183" t="str">
        <f>VLOOKUP(Ruimtestaat[[#This Row],[Ruimte code]],Ruimtegroepen[[#All],[Code]:[Ruimte omschrijving]],2,FALSE)</f>
        <v>Leslokalen</v>
      </c>
      <c r="L278" s="149" t="s">
        <v>100</v>
      </c>
      <c r="M278" s="301" t="s">
        <v>1697</v>
      </c>
      <c r="N278" s="177">
        <v>56</v>
      </c>
      <c r="O278" s="177"/>
      <c r="P278" s="178" t="str">
        <f>VLOOKUP(Ruimtestaat[[#This Row],[Ruimte code]],Ruimtegroepen[],4,FALSE)</f>
        <v>Le</v>
      </c>
      <c r="Q278" s="149">
        <v>40</v>
      </c>
      <c r="R278" s="149" t="s">
        <v>2</v>
      </c>
      <c r="S278" s="149">
        <f>IF(Q278&gt;0,IF(RIGHT(Ruimtestaat[[#This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8" s="149">
        <f>IF(S278&gt;0,VLOOKUP($J278,Ruimtegroepen[],3,FALSE)*VLOOKUP($L278,Vloersoorten[],3,FALSE)*VLOOKUP($R278,Frequenties[],3,FALSE)*VLOOKUP($A278,Locaties[],3,FALSE),0)</f>
        <v>0</v>
      </c>
      <c r="U278" s="149">
        <f>Ruimtestaat[[#This Row],[Uitvoeringen werkdagen]]*Ruimtestaat[[#This Row],[Oppervlak (netto)]]</f>
        <v>11200</v>
      </c>
      <c r="V278" s="179">
        <f>IF(T278&gt;0,Ruimtestaat[[#This Row],[Prest. (m2 /jaar) werkdagen]]/Ruimtestaat[[#This Row],[Norm (m2/uur) werkdagen]],0)</f>
        <v>0</v>
      </c>
      <c r="W278" s="180">
        <f>Ruimtestaat[[#This Row],[uren / jaar werkdagen]]*Tariefsopbouw!$E$35</f>
        <v>0</v>
      </c>
      <c r="X278" s="149"/>
      <c r="Y278" s="149">
        <f>IF(Ruimtestaat[[#This Row],[Frequentie weekend]]&gt;0,VALUE(LEFT(X278,1))*Q278,0)</f>
        <v>0</v>
      </c>
      <c r="Z278" s="148">
        <f>IF($Y278&gt;0,VLOOKUP($J278,Ruimtegroepen[],3,FALSE)*VLOOKUP($L278,Vloersoorten[],3,FALSE)*VLOOKUP($X278,Frequenties[],3,FALSE)*VLOOKUP(Ruimtestaat[[#This Row],[Code]],Locaties[],3,FALSE),0)</f>
        <v>0</v>
      </c>
      <c r="AA278" s="148">
        <f>Ruimtestaat[[#This Row],[Uitvoeringen weekend]]*Ruimtestaat[[#This Row],[Oppervlak (netto)]]</f>
        <v>0</v>
      </c>
      <c r="AB278" s="148">
        <f>IF(Z278&gt;0,Ruimtestaat[[#This Row],[Prest. (m2 /jaar) weekend]]/Ruimtestaat[[#This Row],[Norm (m2/uur) weekend]],0)</f>
        <v>0</v>
      </c>
      <c r="AC278" s="180">
        <f>Ruimtestaat[[#This Row],[uren / jaar weekend]]*Tariefsopbouw!$D$40</f>
        <v>0</v>
      </c>
      <c r="AD278" s="179">
        <f>Ruimtestaat[[#This Row],[Prest. (m2 /jaar) weekend]]+Ruimtestaat[[#This Row],[Prest. (m2 /jaar) werkdagen]]</f>
        <v>11200</v>
      </c>
      <c r="AE278" s="179">
        <f>Ruimtestaat[[#This Row],[uren / jaar weekend]]+Ruimtestaat[[#This Row],[uren / jaar werkdagen]]</f>
        <v>0</v>
      </c>
      <c r="AF278" s="174">
        <f>Ruimtestaat[[#This Row],[kosten / jaar weekend]]+Ruimtestaat[[#This Row],[kosten / jaar werkdagen]]</f>
        <v>0</v>
      </c>
      <c r="AG278" s="174"/>
      <c r="AH278" s="181" t="str">
        <f>IF(Ruimtestaat[[#This Row],[Frequentie werkdagen]]="","",_xlfn.CONCAT(Ruimtestaat[[#This Row],[Ruimte code]],"-",Ruimtestaat[[#This Row],[Frequentie werkdagen]]," ",Ruimtestaat[[#This Row],[Vloer code]]))</f>
        <v>16-5w L</v>
      </c>
      <c r="AI278" s="185" t="str">
        <f>_xlfn.IFNA(VLOOKUP($AH278,Programma!$F$3:$G$1101,2,0),"")</f>
        <v>_</v>
      </c>
      <c r="AJ278" s="185" t="str">
        <f>_xlfn.IFNA(VLOOKUP($AH278,Programma!$F$3:$H$1101,3,0),"")</f>
        <v>_</v>
      </c>
      <c r="AK278" s="185" t="str">
        <f>_xlfn.IFNA(VLOOKUP($AH278,Programma!$F$3:$I$1101,4,0),"")</f>
        <v>4w</v>
      </c>
      <c r="AL278" s="185" t="str">
        <f>_xlfn.IFNA(VLOOKUP($AH278,Programma!$F$3:$J$1101,5,0),"")</f>
        <v>1w</v>
      </c>
      <c r="AM278" s="185" t="str">
        <f>_xlfn.IFNA(VLOOKUP($AH278,Programma!$F$3:$K$1101,6,0),"")</f>
        <v>_</v>
      </c>
      <c r="AN278" s="185" t="str">
        <f>_xlfn.IFNA(VLOOKUP($AH278,Programma!$F$3:$L$1101,7,0),"")</f>
        <v>_</v>
      </c>
      <c r="AO278" s="185" t="str">
        <f>_xlfn.IFNA(VLOOKUP($AH278,Programma!$F$3:$M$1101,8,0),"")</f>
        <v>_</v>
      </c>
      <c r="AP278" s="185" t="str">
        <f>_xlfn.IFNA(VLOOKUP($AH278,Programma!$F$3:$N$1101,9,0),"")</f>
        <v>_</v>
      </c>
      <c r="AQ278" s="185" t="str">
        <f>_xlfn.IFNA(VLOOKUP($AH278,Programma!$F$3:$O$1101,10,0),"")</f>
        <v>5w</v>
      </c>
      <c r="AR278" s="185" t="str">
        <f>_xlfn.IFNA(VLOOKUP($AH278,Programma!$F$3:$P$1101,11,0),"")</f>
        <v>5w</v>
      </c>
      <c r="AS278" s="185" t="str">
        <f>_xlfn.IFNA(VLOOKUP($AH278,Programma!$F$3:$Q$1101,12,0),"")</f>
        <v>1w</v>
      </c>
      <c r="AT278" s="185" t="str">
        <f>_xlfn.IFNA(VLOOKUP($AH278,Programma!$F$3:$R$1101,13,0),"")</f>
        <v>1w</v>
      </c>
      <c r="AU278" s="185" t="str">
        <f>_xlfn.IFNA(VLOOKUP($AH278,Programma!$F$3:$S$1101,14,0),"")</f>
        <v>1m</v>
      </c>
      <c r="AV278" s="185" t="str">
        <f>_xlfn.IFNA(VLOOKUP($AH278,Programma!$F$3:$T$1101,15,0),"")</f>
        <v>2j</v>
      </c>
      <c r="AW278" s="185" t="str">
        <f>_xlfn.IFNA(VLOOKUP($AH278,Programma!$F$3:$U$1101,16,0),"")</f>
        <v>1j</v>
      </c>
      <c r="AX278" s="185" t="str">
        <f>_xlfn.IFNA(VLOOKUP($AH278,Programma!$F$3:$V$1101,17,0),"")</f>
        <v>_</v>
      </c>
      <c r="AY278" s="185" t="str">
        <f>_xlfn.IFNA(VLOOKUP($AH278,Programma!$F$3:$W$1101,18,0),"")</f>
        <v>_</v>
      </c>
      <c r="AZ278" s="185" t="str">
        <f>_xlfn.IFNA(VLOOKUP($AH278,Programma!$F$3:$X$1101,19,0),"")</f>
        <v>_</v>
      </c>
      <c r="BA278" s="185" t="str">
        <f>_xlfn.IFNA(VLOOKUP($AH278,Programma!$F$3:$Y$1101,20,0),"")</f>
        <v>_</v>
      </c>
      <c r="BB278" s="182"/>
      <c r="BC278" s="181" t="str">
        <f>IF(Ruimtestaat[[#This Row],[Frequentie weekend]]="","",_xlfn.CONCAT(Ruimtestaat[[#This Row],[Ruimte code]],"-",Ruimtestaat[[#This Row],[Frequentie weekend]]," ",Ruimtestaat[[#This Row],[Vloer code]]))</f>
        <v/>
      </c>
      <c r="BD278" s="185" t="str">
        <f>_xlfn.IFNA(VLOOKUP($BC278,Programma!$F$3:$G$1101,2,0),"")</f>
        <v/>
      </c>
      <c r="BE278" s="185" t="str">
        <f>_xlfn.IFNA(VLOOKUP($BC278,Programma!$F$3:$H$1101,3,0),"")</f>
        <v/>
      </c>
      <c r="BF278" s="185" t="str">
        <f>_xlfn.IFNA(VLOOKUP($BC278,Programma!$F$3:$I$1101,4,0),"")</f>
        <v/>
      </c>
      <c r="BG278" s="185" t="str">
        <f>_xlfn.IFNA(VLOOKUP($BC278,Programma!$F$3:$J$1101,5,0),"")</f>
        <v/>
      </c>
      <c r="BH278" s="185" t="str">
        <f>_xlfn.IFNA(VLOOKUP($BC278,Programma!$F$3:$K$1101,6,0),"")</f>
        <v/>
      </c>
      <c r="BI278" s="185" t="str">
        <f>_xlfn.IFNA(VLOOKUP($BC278,Programma!$F$3:$L$1101,7,0),"")</f>
        <v/>
      </c>
      <c r="BJ278" s="185" t="str">
        <f>_xlfn.IFNA(VLOOKUP($BC278,Programma!$F$3:$M$1101,8,0),"")</f>
        <v/>
      </c>
      <c r="BK278" s="185" t="str">
        <f>_xlfn.IFNA(VLOOKUP($BC278,Programma!$F$3:$N$1101,9,0),"")</f>
        <v/>
      </c>
      <c r="BL278" s="185" t="str">
        <f>_xlfn.IFNA(VLOOKUP($BC278,Programma!$F$3:$O$1101,10,0),"")</f>
        <v/>
      </c>
      <c r="BM278" s="185" t="str">
        <f>_xlfn.IFNA(VLOOKUP($BC278,Programma!$F$3:$P$1101,11,0),"")</f>
        <v/>
      </c>
      <c r="BN278" s="185" t="str">
        <f>_xlfn.IFNA(VLOOKUP($BC278,Programma!$F$3:$Q$1101,12,0),"")</f>
        <v/>
      </c>
      <c r="BO278" s="185" t="str">
        <f>_xlfn.IFNA(VLOOKUP($BC278,Programma!$F$3:$R$1101,13,0),"")</f>
        <v/>
      </c>
      <c r="BP278" s="185" t="str">
        <f>_xlfn.IFNA(VLOOKUP($BC278,Programma!$F$3:$S$1101,14,0),"")</f>
        <v/>
      </c>
      <c r="BQ278" s="185" t="str">
        <f>_xlfn.IFNA(VLOOKUP($BC278,Programma!$F$3:$T$1101,15,0),"")</f>
        <v/>
      </c>
      <c r="BR278" s="185" t="str">
        <f>_xlfn.IFNA(VLOOKUP($BC278,Programma!$F$3:$U$1101,16,0),"")</f>
        <v/>
      </c>
      <c r="BS278" s="185" t="str">
        <f>_xlfn.IFNA(VLOOKUP($BC278,Programma!$F$3:$V$1101,17,0),"")</f>
        <v/>
      </c>
      <c r="BT278" s="185" t="str">
        <f>_xlfn.IFNA(VLOOKUP($BC278,Programma!$F$3:$W$1101,18,0),"")</f>
        <v/>
      </c>
      <c r="BU278" s="185" t="str">
        <f>_xlfn.IFNA(VLOOKUP($BC278,Programma!$F$3:$X$1101,19,0),"")</f>
        <v/>
      </c>
      <c r="BV278" s="185" t="str">
        <f>_xlfn.IFNA(VLOOKUP($BC278,Programma!$F$3:$Y$1101,20,0),"")</f>
        <v/>
      </c>
    </row>
    <row r="279" spans="1:74" s="78" customFormat="1" ht="15" customHeight="1">
      <c r="A279" s="99">
        <v>9</v>
      </c>
      <c r="B279" s="176" t="str">
        <f>VLOOKUP(Ruimtestaat[[#This Row],[Code]],Locaties[[Code]:[Locatie]],2,FALSE)</f>
        <v>ODBS Europa</v>
      </c>
      <c r="C279" s="176" t="str">
        <f>VLOOKUP(Ruimtestaat[[#This Row],[Code]],Locaties[[#All],[Code]:[Adres]],4,FALSE)</f>
        <v>Belgiëlaan 75</v>
      </c>
      <c r="D279" s="176" t="str">
        <f>VLOOKUP(Ruimtestaat[[#This Row],[Code]],Locaties[[#All],[Code]:[Postcode]],5,FALSE)</f>
        <v>7543 ZJ</v>
      </c>
      <c r="E279" s="176" t="str">
        <f>VLOOKUP(Ruimtestaat[[#This Row],[Code]],Locaties[#All],6,FALSE)</f>
        <v>Enschede</v>
      </c>
      <c r="F279" s="149"/>
      <c r="G279" s="99" t="s">
        <v>1646</v>
      </c>
      <c r="H279" s="99" t="s">
        <v>1657</v>
      </c>
      <c r="I279" s="183" t="s">
        <v>1655</v>
      </c>
      <c r="J279" s="99">
        <v>5</v>
      </c>
      <c r="K279" s="183" t="str">
        <f>VLOOKUP(Ruimtestaat[[#This Row],[Ruimte code]],Ruimtegroepen[[#All],[Code]:[Ruimte omschrijving]],2,FALSE)</f>
        <v>Sanitair</v>
      </c>
      <c r="L279" s="149" t="s">
        <v>101</v>
      </c>
      <c r="M279" s="301" t="s">
        <v>1682</v>
      </c>
      <c r="N279" s="177">
        <v>17.399999999999999</v>
      </c>
      <c r="O279" s="177"/>
      <c r="P279" s="178" t="str">
        <f>VLOOKUP(Ruimtestaat[[#This Row],[Ruimte code]],Ruimtegroepen[],4,FALSE)</f>
        <v>Sa</v>
      </c>
      <c r="Q279" s="149">
        <v>40</v>
      </c>
      <c r="R279" s="149" t="s">
        <v>2</v>
      </c>
      <c r="S279" s="149">
        <f>IF(Q279&gt;0,IF(RIGHT(Ruimtestaat[[#This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79" s="149">
        <f>IF(S279&gt;0,VLOOKUP($J279,Ruimtegroepen[],3,FALSE)*VLOOKUP($L279,Vloersoorten[],3,FALSE)*VLOOKUP($R279,Frequenties[],3,FALSE)*VLOOKUP($A279,Locaties[],3,FALSE),0)</f>
        <v>0</v>
      </c>
      <c r="U279" s="149">
        <f>Ruimtestaat[[#This Row],[Uitvoeringen werkdagen]]*Ruimtestaat[[#This Row],[Oppervlak (netto)]]</f>
        <v>3479.9999999999995</v>
      </c>
      <c r="V279" s="179">
        <f>IF(T279&gt;0,Ruimtestaat[[#This Row],[Prest. (m2 /jaar) werkdagen]]/Ruimtestaat[[#This Row],[Norm (m2/uur) werkdagen]],0)</f>
        <v>0</v>
      </c>
      <c r="W279" s="180">
        <f>Ruimtestaat[[#This Row],[uren / jaar werkdagen]]*Tariefsopbouw!$E$35</f>
        <v>0</v>
      </c>
      <c r="X279" s="149"/>
      <c r="Y279" s="149">
        <f>IF(Ruimtestaat[[#This Row],[Frequentie weekend]]&gt;0,VALUE(LEFT(X279,1))*Q279,0)</f>
        <v>0</v>
      </c>
      <c r="Z279" s="148">
        <f>IF($Y279&gt;0,VLOOKUP($J279,Ruimtegroepen[],3,FALSE)*VLOOKUP($L279,Vloersoorten[],3,FALSE)*VLOOKUP($X279,Frequenties[],3,FALSE)*VLOOKUP(Ruimtestaat[[#This Row],[Code]],Locaties[],3,FALSE),0)</f>
        <v>0</v>
      </c>
      <c r="AA279" s="148">
        <f>Ruimtestaat[[#This Row],[Uitvoeringen weekend]]*Ruimtestaat[[#This Row],[Oppervlak (netto)]]</f>
        <v>0</v>
      </c>
      <c r="AB279" s="148">
        <f>IF(Z279&gt;0,Ruimtestaat[[#This Row],[Prest. (m2 /jaar) weekend]]/Ruimtestaat[[#This Row],[Norm (m2/uur) weekend]],0)</f>
        <v>0</v>
      </c>
      <c r="AC279" s="180">
        <f>Ruimtestaat[[#This Row],[uren / jaar weekend]]*Tariefsopbouw!$D$40</f>
        <v>0</v>
      </c>
      <c r="AD279" s="179">
        <f>Ruimtestaat[[#This Row],[Prest. (m2 /jaar) weekend]]+Ruimtestaat[[#This Row],[Prest. (m2 /jaar) werkdagen]]</f>
        <v>3479.9999999999995</v>
      </c>
      <c r="AE279" s="179">
        <f>Ruimtestaat[[#This Row],[uren / jaar weekend]]+Ruimtestaat[[#This Row],[uren / jaar werkdagen]]</f>
        <v>0</v>
      </c>
      <c r="AF279" s="174">
        <f>Ruimtestaat[[#This Row],[kosten / jaar weekend]]+Ruimtestaat[[#This Row],[kosten / jaar werkdagen]]</f>
        <v>0</v>
      </c>
      <c r="AG279" s="174"/>
      <c r="AH279" s="181" t="str">
        <f>IF(Ruimtestaat[[#This Row],[Frequentie werkdagen]]="","",_xlfn.CONCAT(Ruimtestaat[[#This Row],[Ruimte code]],"-",Ruimtestaat[[#This Row],[Frequentie werkdagen]]," ",Ruimtestaat[[#This Row],[Vloer code]]))</f>
        <v>5-5w S</v>
      </c>
      <c r="AI279" s="185" t="str">
        <f>_xlfn.IFNA(VLOOKUP($AH279,Programma!$F$3:$G$1101,2,0),"")</f>
        <v>_</v>
      </c>
      <c r="AJ279" s="185" t="str">
        <f>_xlfn.IFNA(VLOOKUP($AH279,Programma!$F$3:$H$1101,3,0),"")</f>
        <v>_</v>
      </c>
      <c r="AK279" s="185" t="str">
        <f>_xlfn.IFNA(VLOOKUP($AH279,Programma!$F$3:$I$1101,4,0),"")</f>
        <v>_</v>
      </c>
      <c r="AL279" s="185" t="str">
        <f>_xlfn.IFNA(VLOOKUP($AH279,Programma!$F$3:$J$1101,5,0),"")</f>
        <v>4w</v>
      </c>
      <c r="AM279" s="185" t="str">
        <f>_xlfn.IFNA(VLOOKUP($AH279,Programma!$F$3:$K$1101,6,0),"")</f>
        <v>1w</v>
      </c>
      <c r="AN279" s="185" t="str">
        <f>_xlfn.IFNA(VLOOKUP($AH279,Programma!$F$3:$L$1101,7,0),"")</f>
        <v>_</v>
      </c>
      <c r="AO279" s="185" t="str">
        <f>_xlfn.IFNA(VLOOKUP($AH279,Programma!$F$3:$M$1101,8,0),"")</f>
        <v>_</v>
      </c>
      <c r="AP279" s="185" t="str">
        <f>_xlfn.IFNA(VLOOKUP($AH279,Programma!$F$3:$N$1101,9,0),"")</f>
        <v>_</v>
      </c>
      <c r="AQ279" s="185" t="str">
        <f>_xlfn.IFNA(VLOOKUP($AH279,Programma!$F$3:$O$1101,10,0),"")</f>
        <v>_</v>
      </c>
      <c r="AR279" s="185" t="str">
        <f>_xlfn.IFNA(VLOOKUP($AH279,Programma!$F$3:$P$1101,11,0),"")</f>
        <v>_</v>
      </c>
      <c r="AS279" s="185" t="str">
        <f>_xlfn.IFNA(VLOOKUP($AH279,Programma!$F$3:$Q$1101,12,0),"")</f>
        <v>_</v>
      </c>
      <c r="AT279" s="185" t="str">
        <f>_xlfn.IFNA(VLOOKUP($AH279,Programma!$F$3:$R$1101,13,0),"")</f>
        <v>_</v>
      </c>
      <c r="AU279" s="185" t="str">
        <f>_xlfn.IFNA(VLOOKUP($AH279,Programma!$F$3:$S$1101,14,0),"")</f>
        <v>_</v>
      </c>
      <c r="AV279" s="185" t="str">
        <f>_xlfn.IFNA(VLOOKUP($AH279,Programma!$F$3:$T$1101,15,0),"")</f>
        <v>_</v>
      </c>
      <c r="AW279" s="185" t="str">
        <f>_xlfn.IFNA(VLOOKUP($AH279,Programma!$F$3:$U$1101,16,0),"")</f>
        <v>_</v>
      </c>
      <c r="AX279" s="185" t="str">
        <f>_xlfn.IFNA(VLOOKUP($AH279,Programma!$F$3:$V$1101,17,0),"")</f>
        <v>_</v>
      </c>
      <c r="AY279" s="185" t="str">
        <f>_xlfn.IFNA(VLOOKUP($AH279,Programma!$F$3:$W$1101,18,0),"")</f>
        <v>4w</v>
      </c>
      <c r="AZ279" s="185" t="str">
        <f>_xlfn.IFNA(VLOOKUP($AH279,Programma!$F$3:$X$1101,19,0),"")</f>
        <v>1w</v>
      </c>
      <c r="BA279" s="185" t="str">
        <f>_xlfn.IFNA(VLOOKUP($AH279,Programma!$F$3:$Y$1101,20,0),"")</f>
        <v>_</v>
      </c>
      <c r="BB279" s="182"/>
      <c r="BC279" s="181" t="str">
        <f>IF(Ruimtestaat[[#This Row],[Frequentie weekend]]="","",_xlfn.CONCAT(Ruimtestaat[[#This Row],[Ruimte code]],"-",Ruimtestaat[[#This Row],[Frequentie weekend]]," ",Ruimtestaat[[#This Row],[Vloer code]]))</f>
        <v/>
      </c>
      <c r="BD279" s="185" t="str">
        <f>_xlfn.IFNA(VLOOKUP($BC279,Programma!$F$3:$G$1101,2,0),"")</f>
        <v/>
      </c>
      <c r="BE279" s="185" t="str">
        <f>_xlfn.IFNA(VLOOKUP($BC279,Programma!$F$3:$H$1101,3,0),"")</f>
        <v/>
      </c>
      <c r="BF279" s="185" t="str">
        <f>_xlfn.IFNA(VLOOKUP($BC279,Programma!$F$3:$I$1101,4,0),"")</f>
        <v/>
      </c>
      <c r="BG279" s="185" t="str">
        <f>_xlfn.IFNA(VLOOKUP($BC279,Programma!$F$3:$J$1101,5,0),"")</f>
        <v/>
      </c>
      <c r="BH279" s="185" t="str">
        <f>_xlfn.IFNA(VLOOKUP($BC279,Programma!$F$3:$K$1101,6,0),"")</f>
        <v/>
      </c>
      <c r="BI279" s="185" t="str">
        <f>_xlfn.IFNA(VLOOKUP($BC279,Programma!$F$3:$L$1101,7,0),"")</f>
        <v/>
      </c>
      <c r="BJ279" s="185" t="str">
        <f>_xlfn.IFNA(VLOOKUP($BC279,Programma!$F$3:$M$1101,8,0),"")</f>
        <v/>
      </c>
      <c r="BK279" s="185" t="str">
        <f>_xlfn.IFNA(VLOOKUP($BC279,Programma!$F$3:$N$1101,9,0),"")</f>
        <v/>
      </c>
      <c r="BL279" s="185" t="str">
        <f>_xlfn.IFNA(VLOOKUP($BC279,Programma!$F$3:$O$1101,10,0),"")</f>
        <v/>
      </c>
      <c r="BM279" s="185" t="str">
        <f>_xlfn.IFNA(VLOOKUP($BC279,Programma!$F$3:$P$1101,11,0),"")</f>
        <v/>
      </c>
      <c r="BN279" s="185" t="str">
        <f>_xlfn.IFNA(VLOOKUP($BC279,Programma!$F$3:$Q$1101,12,0),"")</f>
        <v/>
      </c>
      <c r="BO279" s="185" t="str">
        <f>_xlfn.IFNA(VLOOKUP($BC279,Programma!$F$3:$R$1101,13,0),"")</f>
        <v/>
      </c>
      <c r="BP279" s="185" t="str">
        <f>_xlfn.IFNA(VLOOKUP($BC279,Programma!$F$3:$S$1101,14,0),"")</f>
        <v/>
      </c>
      <c r="BQ279" s="185" t="str">
        <f>_xlfn.IFNA(VLOOKUP($BC279,Programma!$F$3:$T$1101,15,0),"")</f>
        <v/>
      </c>
      <c r="BR279" s="185" t="str">
        <f>_xlfn.IFNA(VLOOKUP($BC279,Programma!$F$3:$U$1101,16,0),"")</f>
        <v/>
      </c>
      <c r="BS279" s="185" t="str">
        <f>_xlfn.IFNA(VLOOKUP($BC279,Programma!$F$3:$V$1101,17,0),"")</f>
        <v/>
      </c>
      <c r="BT279" s="185" t="str">
        <f>_xlfn.IFNA(VLOOKUP($BC279,Programma!$F$3:$W$1101,18,0),"")</f>
        <v/>
      </c>
      <c r="BU279" s="185" t="str">
        <f>_xlfn.IFNA(VLOOKUP($BC279,Programma!$F$3:$X$1101,19,0),"")</f>
        <v/>
      </c>
      <c r="BV279" s="185" t="str">
        <f>_xlfn.IFNA(VLOOKUP($BC279,Programma!$F$3:$Y$1101,20,0),"")</f>
        <v/>
      </c>
    </row>
    <row r="280" spans="1:74" s="78" customFormat="1" ht="15" customHeight="1">
      <c r="A280" s="99">
        <v>9</v>
      </c>
      <c r="B280" s="176" t="str">
        <f>VLOOKUP(Ruimtestaat[[#This Row],[Code]],Locaties[[Code]:[Locatie]],2,FALSE)</f>
        <v>ODBS Europa</v>
      </c>
      <c r="C280" s="176" t="str">
        <f>VLOOKUP(Ruimtestaat[[#This Row],[Code]],Locaties[[#All],[Code]:[Adres]],4,FALSE)</f>
        <v>Belgiëlaan 75</v>
      </c>
      <c r="D280" s="176" t="str">
        <f>VLOOKUP(Ruimtestaat[[#This Row],[Code]],Locaties[[#All],[Code]:[Postcode]],5,FALSE)</f>
        <v>7543 ZJ</v>
      </c>
      <c r="E280" s="176" t="str">
        <f>VLOOKUP(Ruimtestaat[[#This Row],[Code]],Locaties[#All],6,FALSE)</f>
        <v>Enschede</v>
      </c>
      <c r="F280" s="149"/>
      <c r="G280" s="99" t="s">
        <v>1646</v>
      </c>
      <c r="H280" s="99" t="s">
        <v>1659</v>
      </c>
      <c r="I280" s="183" t="s">
        <v>1651</v>
      </c>
      <c r="J280" s="99">
        <v>16</v>
      </c>
      <c r="K280" s="183" t="str">
        <f>VLOOKUP(Ruimtestaat[[#This Row],[Ruimte code]],Ruimtegroepen[[#All],[Code]:[Ruimte omschrijving]],2,FALSE)</f>
        <v>Leslokalen</v>
      </c>
      <c r="L280" s="149" t="s">
        <v>100</v>
      </c>
      <c r="M280" s="301" t="s">
        <v>1697</v>
      </c>
      <c r="N280" s="177">
        <v>54.9</v>
      </c>
      <c r="O280" s="177"/>
      <c r="P280" s="178" t="str">
        <f>VLOOKUP(Ruimtestaat[[#This Row],[Ruimte code]],Ruimtegroepen[],4,FALSE)</f>
        <v>Le</v>
      </c>
      <c r="Q280" s="149">
        <v>40</v>
      </c>
      <c r="R280" s="149" t="s">
        <v>2</v>
      </c>
      <c r="S280" s="149">
        <f>IF(Q280&gt;0,IF(RIGHT(Ruimtestaat[[#This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0" s="149">
        <f>IF(S280&gt;0,VLOOKUP($J280,Ruimtegroepen[],3,FALSE)*VLOOKUP($L280,Vloersoorten[],3,FALSE)*VLOOKUP($R280,Frequenties[],3,FALSE)*VLOOKUP($A280,Locaties[],3,FALSE),0)</f>
        <v>0</v>
      </c>
      <c r="U280" s="149">
        <f>Ruimtestaat[[#This Row],[Uitvoeringen werkdagen]]*Ruimtestaat[[#This Row],[Oppervlak (netto)]]</f>
        <v>10980</v>
      </c>
      <c r="V280" s="179">
        <f>IF(T280&gt;0,Ruimtestaat[[#This Row],[Prest. (m2 /jaar) werkdagen]]/Ruimtestaat[[#This Row],[Norm (m2/uur) werkdagen]],0)</f>
        <v>0</v>
      </c>
      <c r="W280" s="180">
        <f>Ruimtestaat[[#This Row],[uren / jaar werkdagen]]*Tariefsopbouw!$E$35</f>
        <v>0</v>
      </c>
      <c r="X280" s="149"/>
      <c r="Y280" s="149">
        <f>IF(Ruimtestaat[[#This Row],[Frequentie weekend]]&gt;0,VALUE(LEFT(X280,1))*Q280,0)</f>
        <v>0</v>
      </c>
      <c r="Z280" s="148">
        <f>IF($Y280&gt;0,VLOOKUP($J280,Ruimtegroepen[],3,FALSE)*VLOOKUP($L280,Vloersoorten[],3,FALSE)*VLOOKUP($X280,Frequenties[],3,FALSE)*VLOOKUP(Ruimtestaat[[#This Row],[Code]],Locaties[],3,FALSE),0)</f>
        <v>0</v>
      </c>
      <c r="AA280" s="148">
        <f>Ruimtestaat[[#This Row],[Uitvoeringen weekend]]*Ruimtestaat[[#This Row],[Oppervlak (netto)]]</f>
        <v>0</v>
      </c>
      <c r="AB280" s="148">
        <f>IF(Z280&gt;0,Ruimtestaat[[#This Row],[Prest. (m2 /jaar) weekend]]/Ruimtestaat[[#This Row],[Norm (m2/uur) weekend]],0)</f>
        <v>0</v>
      </c>
      <c r="AC280" s="180">
        <f>Ruimtestaat[[#This Row],[uren / jaar weekend]]*Tariefsopbouw!$D$40</f>
        <v>0</v>
      </c>
      <c r="AD280" s="179">
        <f>Ruimtestaat[[#This Row],[Prest. (m2 /jaar) weekend]]+Ruimtestaat[[#This Row],[Prest. (m2 /jaar) werkdagen]]</f>
        <v>10980</v>
      </c>
      <c r="AE280" s="179">
        <f>Ruimtestaat[[#This Row],[uren / jaar weekend]]+Ruimtestaat[[#This Row],[uren / jaar werkdagen]]</f>
        <v>0</v>
      </c>
      <c r="AF280" s="174">
        <f>Ruimtestaat[[#This Row],[kosten / jaar weekend]]+Ruimtestaat[[#This Row],[kosten / jaar werkdagen]]</f>
        <v>0</v>
      </c>
      <c r="AG280" s="174"/>
      <c r="AH280" s="181" t="str">
        <f>IF(Ruimtestaat[[#This Row],[Frequentie werkdagen]]="","",_xlfn.CONCAT(Ruimtestaat[[#This Row],[Ruimte code]],"-",Ruimtestaat[[#This Row],[Frequentie werkdagen]]," ",Ruimtestaat[[#This Row],[Vloer code]]))</f>
        <v>16-5w L</v>
      </c>
      <c r="AI280" s="185" t="str">
        <f>_xlfn.IFNA(VLOOKUP($AH280,Programma!$F$3:$G$1101,2,0),"")</f>
        <v>_</v>
      </c>
      <c r="AJ280" s="185" t="str">
        <f>_xlfn.IFNA(VLOOKUP($AH280,Programma!$F$3:$H$1101,3,0),"")</f>
        <v>_</v>
      </c>
      <c r="AK280" s="185" t="str">
        <f>_xlfn.IFNA(VLOOKUP($AH280,Programma!$F$3:$I$1101,4,0),"")</f>
        <v>4w</v>
      </c>
      <c r="AL280" s="185" t="str">
        <f>_xlfn.IFNA(VLOOKUP($AH280,Programma!$F$3:$J$1101,5,0),"")</f>
        <v>1w</v>
      </c>
      <c r="AM280" s="185" t="str">
        <f>_xlfn.IFNA(VLOOKUP($AH280,Programma!$F$3:$K$1101,6,0),"")</f>
        <v>_</v>
      </c>
      <c r="AN280" s="185" t="str">
        <f>_xlfn.IFNA(VLOOKUP($AH280,Programma!$F$3:$L$1101,7,0),"")</f>
        <v>_</v>
      </c>
      <c r="AO280" s="185" t="str">
        <f>_xlfn.IFNA(VLOOKUP($AH280,Programma!$F$3:$M$1101,8,0),"")</f>
        <v>_</v>
      </c>
      <c r="AP280" s="185" t="str">
        <f>_xlfn.IFNA(VLOOKUP($AH280,Programma!$F$3:$N$1101,9,0),"")</f>
        <v>_</v>
      </c>
      <c r="AQ280" s="185" t="str">
        <f>_xlfn.IFNA(VLOOKUP($AH280,Programma!$F$3:$O$1101,10,0),"")</f>
        <v>5w</v>
      </c>
      <c r="AR280" s="185" t="str">
        <f>_xlfn.IFNA(VLOOKUP($AH280,Programma!$F$3:$P$1101,11,0),"")</f>
        <v>5w</v>
      </c>
      <c r="AS280" s="185" t="str">
        <f>_xlfn.IFNA(VLOOKUP($AH280,Programma!$F$3:$Q$1101,12,0),"")</f>
        <v>1w</v>
      </c>
      <c r="AT280" s="185" t="str">
        <f>_xlfn.IFNA(VLOOKUP($AH280,Programma!$F$3:$R$1101,13,0),"")</f>
        <v>1w</v>
      </c>
      <c r="AU280" s="185" t="str">
        <f>_xlfn.IFNA(VLOOKUP($AH280,Programma!$F$3:$S$1101,14,0),"")</f>
        <v>1m</v>
      </c>
      <c r="AV280" s="185" t="str">
        <f>_xlfn.IFNA(VLOOKUP($AH280,Programma!$F$3:$T$1101,15,0),"")</f>
        <v>2j</v>
      </c>
      <c r="AW280" s="185" t="str">
        <f>_xlfn.IFNA(VLOOKUP($AH280,Programma!$F$3:$U$1101,16,0),"")</f>
        <v>1j</v>
      </c>
      <c r="AX280" s="185" t="str">
        <f>_xlfn.IFNA(VLOOKUP($AH280,Programma!$F$3:$V$1101,17,0),"")</f>
        <v>_</v>
      </c>
      <c r="AY280" s="185" t="str">
        <f>_xlfn.IFNA(VLOOKUP($AH280,Programma!$F$3:$W$1101,18,0),"")</f>
        <v>_</v>
      </c>
      <c r="AZ280" s="185" t="str">
        <f>_xlfn.IFNA(VLOOKUP($AH280,Programma!$F$3:$X$1101,19,0),"")</f>
        <v>_</v>
      </c>
      <c r="BA280" s="185" t="str">
        <f>_xlfn.IFNA(VLOOKUP($AH280,Programma!$F$3:$Y$1101,20,0),"")</f>
        <v>_</v>
      </c>
      <c r="BB280" s="182"/>
      <c r="BC280" s="181" t="str">
        <f>IF(Ruimtestaat[[#This Row],[Frequentie weekend]]="","",_xlfn.CONCAT(Ruimtestaat[[#This Row],[Ruimte code]],"-",Ruimtestaat[[#This Row],[Frequentie weekend]]," ",Ruimtestaat[[#This Row],[Vloer code]]))</f>
        <v/>
      </c>
      <c r="BD280" s="185" t="str">
        <f>_xlfn.IFNA(VLOOKUP($BC280,Programma!$F$3:$G$1101,2,0),"")</f>
        <v/>
      </c>
      <c r="BE280" s="185" t="str">
        <f>_xlfn.IFNA(VLOOKUP($BC280,Programma!$F$3:$H$1101,3,0),"")</f>
        <v/>
      </c>
      <c r="BF280" s="185" t="str">
        <f>_xlfn.IFNA(VLOOKUP($BC280,Programma!$F$3:$I$1101,4,0),"")</f>
        <v/>
      </c>
      <c r="BG280" s="185" t="str">
        <f>_xlfn.IFNA(VLOOKUP($BC280,Programma!$F$3:$J$1101,5,0),"")</f>
        <v/>
      </c>
      <c r="BH280" s="185" t="str">
        <f>_xlfn.IFNA(VLOOKUP($BC280,Programma!$F$3:$K$1101,6,0),"")</f>
        <v/>
      </c>
      <c r="BI280" s="185" t="str">
        <f>_xlfn.IFNA(VLOOKUP($BC280,Programma!$F$3:$L$1101,7,0),"")</f>
        <v/>
      </c>
      <c r="BJ280" s="185" t="str">
        <f>_xlfn.IFNA(VLOOKUP($BC280,Programma!$F$3:$M$1101,8,0),"")</f>
        <v/>
      </c>
      <c r="BK280" s="185" t="str">
        <f>_xlfn.IFNA(VLOOKUP($BC280,Programma!$F$3:$N$1101,9,0),"")</f>
        <v/>
      </c>
      <c r="BL280" s="185" t="str">
        <f>_xlfn.IFNA(VLOOKUP($BC280,Programma!$F$3:$O$1101,10,0),"")</f>
        <v/>
      </c>
      <c r="BM280" s="185" t="str">
        <f>_xlfn.IFNA(VLOOKUP($BC280,Programma!$F$3:$P$1101,11,0),"")</f>
        <v/>
      </c>
      <c r="BN280" s="185" t="str">
        <f>_xlfn.IFNA(VLOOKUP($BC280,Programma!$F$3:$Q$1101,12,0),"")</f>
        <v/>
      </c>
      <c r="BO280" s="185" t="str">
        <f>_xlfn.IFNA(VLOOKUP($BC280,Programma!$F$3:$R$1101,13,0),"")</f>
        <v/>
      </c>
      <c r="BP280" s="185" t="str">
        <f>_xlfn.IFNA(VLOOKUP($BC280,Programma!$F$3:$S$1101,14,0),"")</f>
        <v/>
      </c>
      <c r="BQ280" s="185" t="str">
        <f>_xlfn.IFNA(VLOOKUP($BC280,Programma!$F$3:$T$1101,15,0),"")</f>
        <v/>
      </c>
      <c r="BR280" s="185" t="str">
        <f>_xlfn.IFNA(VLOOKUP($BC280,Programma!$F$3:$U$1101,16,0),"")</f>
        <v/>
      </c>
      <c r="BS280" s="185" t="str">
        <f>_xlfn.IFNA(VLOOKUP($BC280,Programma!$F$3:$V$1101,17,0),"")</f>
        <v/>
      </c>
      <c r="BT280" s="185" t="str">
        <f>_xlfn.IFNA(VLOOKUP($BC280,Programma!$F$3:$W$1101,18,0),"")</f>
        <v/>
      </c>
      <c r="BU280" s="185" t="str">
        <f>_xlfn.IFNA(VLOOKUP($BC280,Programma!$F$3:$X$1101,19,0),"")</f>
        <v/>
      </c>
      <c r="BV280" s="185" t="str">
        <f>_xlfn.IFNA(VLOOKUP($BC280,Programma!$F$3:$Y$1101,20,0),"")</f>
        <v/>
      </c>
    </row>
    <row r="281" spans="1:74" s="78" customFormat="1" ht="15" customHeight="1">
      <c r="A281" s="99">
        <v>9</v>
      </c>
      <c r="B281" s="176" t="str">
        <f>VLOOKUP(Ruimtestaat[[#This Row],[Code]],Locaties[[Code]:[Locatie]],2,FALSE)</f>
        <v>ODBS Europa</v>
      </c>
      <c r="C281" s="176" t="str">
        <f>VLOOKUP(Ruimtestaat[[#This Row],[Code]],Locaties[[#All],[Code]:[Adres]],4,FALSE)</f>
        <v>Belgiëlaan 75</v>
      </c>
      <c r="D281" s="176" t="str">
        <f>VLOOKUP(Ruimtestaat[[#This Row],[Code]],Locaties[[#All],[Code]:[Postcode]],5,FALSE)</f>
        <v>7543 ZJ</v>
      </c>
      <c r="E281" s="176" t="str">
        <f>VLOOKUP(Ruimtestaat[[#This Row],[Code]],Locaties[#All],6,FALSE)</f>
        <v>Enschede</v>
      </c>
      <c r="F281" s="149"/>
      <c r="G281" s="99" t="s">
        <v>1646</v>
      </c>
      <c r="H281" s="99" t="s">
        <v>1660</v>
      </c>
      <c r="I281" s="183" t="s">
        <v>1651</v>
      </c>
      <c r="J281" s="99">
        <v>16</v>
      </c>
      <c r="K281" s="183" t="str">
        <f>VLOOKUP(Ruimtestaat[[#This Row],[Ruimte code]],Ruimtegroepen[[#All],[Code]:[Ruimte omschrijving]],2,FALSE)</f>
        <v>Leslokalen</v>
      </c>
      <c r="L281" s="149" t="s">
        <v>100</v>
      </c>
      <c r="M281" s="301" t="s">
        <v>1697</v>
      </c>
      <c r="N281" s="177">
        <v>54.4</v>
      </c>
      <c r="O281" s="177"/>
      <c r="P281" s="178" t="str">
        <f>VLOOKUP(Ruimtestaat[[#This Row],[Ruimte code]],Ruimtegroepen[],4,FALSE)</f>
        <v>Le</v>
      </c>
      <c r="Q281" s="149">
        <v>40</v>
      </c>
      <c r="R281" s="149" t="s">
        <v>2</v>
      </c>
      <c r="S281" s="149">
        <f>IF(Q281&gt;0,IF(RIGHT(Ruimtestaat[[#This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1" s="149">
        <f>IF(S281&gt;0,VLOOKUP($J281,Ruimtegroepen[],3,FALSE)*VLOOKUP($L281,Vloersoorten[],3,FALSE)*VLOOKUP($R281,Frequenties[],3,FALSE)*VLOOKUP($A281,Locaties[],3,FALSE),0)</f>
        <v>0</v>
      </c>
      <c r="U281" s="149">
        <f>Ruimtestaat[[#This Row],[Uitvoeringen werkdagen]]*Ruimtestaat[[#This Row],[Oppervlak (netto)]]</f>
        <v>10880</v>
      </c>
      <c r="V281" s="179">
        <f>IF(T281&gt;0,Ruimtestaat[[#This Row],[Prest. (m2 /jaar) werkdagen]]/Ruimtestaat[[#This Row],[Norm (m2/uur) werkdagen]],0)</f>
        <v>0</v>
      </c>
      <c r="W281" s="180">
        <f>Ruimtestaat[[#This Row],[uren / jaar werkdagen]]*Tariefsopbouw!$E$35</f>
        <v>0</v>
      </c>
      <c r="X281" s="149"/>
      <c r="Y281" s="149">
        <f>IF(Ruimtestaat[[#This Row],[Frequentie weekend]]&gt;0,VALUE(LEFT(X281,1))*Q281,0)</f>
        <v>0</v>
      </c>
      <c r="Z281" s="148">
        <f>IF($Y281&gt;0,VLOOKUP($J281,Ruimtegroepen[],3,FALSE)*VLOOKUP($L281,Vloersoorten[],3,FALSE)*VLOOKUP($X281,Frequenties[],3,FALSE)*VLOOKUP(Ruimtestaat[[#This Row],[Code]],Locaties[],3,FALSE),0)</f>
        <v>0</v>
      </c>
      <c r="AA281" s="148">
        <f>Ruimtestaat[[#This Row],[Uitvoeringen weekend]]*Ruimtestaat[[#This Row],[Oppervlak (netto)]]</f>
        <v>0</v>
      </c>
      <c r="AB281" s="148">
        <f>IF(Z281&gt;0,Ruimtestaat[[#This Row],[Prest. (m2 /jaar) weekend]]/Ruimtestaat[[#This Row],[Norm (m2/uur) weekend]],0)</f>
        <v>0</v>
      </c>
      <c r="AC281" s="180">
        <f>Ruimtestaat[[#This Row],[uren / jaar weekend]]*Tariefsopbouw!$D$40</f>
        <v>0</v>
      </c>
      <c r="AD281" s="179">
        <f>Ruimtestaat[[#This Row],[Prest. (m2 /jaar) weekend]]+Ruimtestaat[[#This Row],[Prest. (m2 /jaar) werkdagen]]</f>
        <v>10880</v>
      </c>
      <c r="AE281" s="179">
        <f>Ruimtestaat[[#This Row],[uren / jaar weekend]]+Ruimtestaat[[#This Row],[uren / jaar werkdagen]]</f>
        <v>0</v>
      </c>
      <c r="AF281" s="174">
        <f>Ruimtestaat[[#This Row],[kosten / jaar weekend]]+Ruimtestaat[[#This Row],[kosten / jaar werkdagen]]</f>
        <v>0</v>
      </c>
      <c r="AG281" s="174"/>
      <c r="AH281" s="181" t="str">
        <f>IF(Ruimtestaat[[#This Row],[Frequentie werkdagen]]="","",_xlfn.CONCAT(Ruimtestaat[[#This Row],[Ruimte code]],"-",Ruimtestaat[[#This Row],[Frequentie werkdagen]]," ",Ruimtestaat[[#This Row],[Vloer code]]))</f>
        <v>16-5w L</v>
      </c>
      <c r="AI281" s="185" t="str">
        <f>_xlfn.IFNA(VLOOKUP($AH281,Programma!$F$3:$G$1101,2,0),"")</f>
        <v>_</v>
      </c>
      <c r="AJ281" s="185" t="str">
        <f>_xlfn.IFNA(VLOOKUP($AH281,Programma!$F$3:$H$1101,3,0),"")</f>
        <v>_</v>
      </c>
      <c r="AK281" s="185" t="str">
        <f>_xlfn.IFNA(VLOOKUP($AH281,Programma!$F$3:$I$1101,4,0),"")</f>
        <v>4w</v>
      </c>
      <c r="AL281" s="185" t="str">
        <f>_xlfn.IFNA(VLOOKUP($AH281,Programma!$F$3:$J$1101,5,0),"")</f>
        <v>1w</v>
      </c>
      <c r="AM281" s="185" t="str">
        <f>_xlfn.IFNA(VLOOKUP($AH281,Programma!$F$3:$K$1101,6,0),"")</f>
        <v>_</v>
      </c>
      <c r="AN281" s="185" t="str">
        <f>_xlfn.IFNA(VLOOKUP($AH281,Programma!$F$3:$L$1101,7,0),"")</f>
        <v>_</v>
      </c>
      <c r="AO281" s="185" t="str">
        <f>_xlfn.IFNA(VLOOKUP($AH281,Programma!$F$3:$M$1101,8,0),"")</f>
        <v>_</v>
      </c>
      <c r="AP281" s="185" t="str">
        <f>_xlfn.IFNA(VLOOKUP($AH281,Programma!$F$3:$N$1101,9,0),"")</f>
        <v>_</v>
      </c>
      <c r="AQ281" s="185" t="str">
        <f>_xlfn.IFNA(VLOOKUP($AH281,Programma!$F$3:$O$1101,10,0),"")</f>
        <v>5w</v>
      </c>
      <c r="AR281" s="185" t="str">
        <f>_xlfn.IFNA(VLOOKUP($AH281,Programma!$F$3:$P$1101,11,0),"")</f>
        <v>5w</v>
      </c>
      <c r="AS281" s="185" t="str">
        <f>_xlfn.IFNA(VLOOKUP($AH281,Programma!$F$3:$Q$1101,12,0),"")</f>
        <v>1w</v>
      </c>
      <c r="AT281" s="185" t="str">
        <f>_xlfn.IFNA(VLOOKUP($AH281,Programma!$F$3:$R$1101,13,0),"")</f>
        <v>1w</v>
      </c>
      <c r="AU281" s="185" t="str">
        <f>_xlfn.IFNA(VLOOKUP($AH281,Programma!$F$3:$S$1101,14,0),"")</f>
        <v>1m</v>
      </c>
      <c r="AV281" s="185" t="str">
        <f>_xlfn.IFNA(VLOOKUP($AH281,Programma!$F$3:$T$1101,15,0),"")</f>
        <v>2j</v>
      </c>
      <c r="AW281" s="185" t="str">
        <f>_xlfn.IFNA(VLOOKUP($AH281,Programma!$F$3:$U$1101,16,0),"")</f>
        <v>1j</v>
      </c>
      <c r="AX281" s="185" t="str">
        <f>_xlfn.IFNA(VLOOKUP($AH281,Programma!$F$3:$V$1101,17,0),"")</f>
        <v>_</v>
      </c>
      <c r="AY281" s="185" t="str">
        <f>_xlfn.IFNA(VLOOKUP($AH281,Programma!$F$3:$W$1101,18,0),"")</f>
        <v>_</v>
      </c>
      <c r="AZ281" s="185" t="str">
        <f>_xlfn.IFNA(VLOOKUP($AH281,Programma!$F$3:$X$1101,19,0),"")</f>
        <v>_</v>
      </c>
      <c r="BA281" s="185" t="str">
        <f>_xlfn.IFNA(VLOOKUP($AH281,Programma!$F$3:$Y$1101,20,0),"")</f>
        <v>_</v>
      </c>
      <c r="BB281" s="182"/>
      <c r="BC281" s="181" t="str">
        <f>IF(Ruimtestaat[[#This Row],[Frequentie weekend]]="","",_xlfn.CONCAT(Ruimtestaat[[#This Row],[Ruimte code]],"-",Ruimtestaat[[#This Row],[Frequentie weekend]]," ",Ruimtestaat[[#This Row],[Vloer code]]))</f>
        <v/>
      </c>
      <c r="BD281" s="185" t="str">
        <f>_xlfn.IFNA(VLOOKUP($BC281,Programma!$F$3:$G$1101,2,0),"")</f>
        <v/>
      </c>
      <c r="BE281" s="185" t="str">
        <f>_xlfn.IFNA(VLOOKUP($BC281,Programma!$F$3:$H$1101,3,0),"")</f>
        <v/>
      </c>
      <c r="BF281" s="185" t="str">
        <f>_xlfn.IFNA(VLOOKUP($BC281,Programma!$F$3:$I$1101,4,0),"")</f>
        <v/>
      </c>
      <c r="BG281" s="185" t="str">
        <f>_xlfn.IFNA(VLOOKUP($BC281,Programma!$F$3:$J$1101,5,0),"")</f>
        <v/>
      </c>
      <c r="BH281" s="185" t="str">
        <f>_xlfn.IFNA(VLOOKUP($BC281,Programma!$F$3:$K$1101,6,0),"")</f>
        <v/>
      </c>
      <c r="BI281" s="185" t="str">
        <f>_xlfn.IFNA(VLOOKUP($BC281,Programma!$F$3:$L$1101,7,0),"")</f>
        <v/>
      </c>
      <c r="BJ281" s="185" t="str">
        <f>_xlfn.IFNA(VLOOKUP($BC281,Programma!$F$3:$M$1101,8,0),"")</f>
        <v/>
      </c>
      <c r="BK281" s="185" t="str">
        <f>_xlfn.IFNA(VLOOKUP($BC281,Programma!$F$3:$N$1101,9,0),"")</f>
        <v/>
      </c>
      <c r="BL281" s="185" t="str">
        <f>_xlfn.IFNA(VLOOKUP($BC281,Programma!$F$3:$O$1101,10,0),"")</f>
        <v/>
      </c>
      <c r="BM281" s="185" t="str">
        <f>_xlfn.IFNA(VLOOKUP($BC281,Programma!$F$3:$P$1101,11,0),"")</f>
        <v/>
      </c>
      <c r="BN281" s="185" t="str">
        <f>_xlfn.IFNA(VLOOKUP($BC281,Programma!$F$3:$Q$1101,12,0),"")</f>
        <v/>
      </c>
      <c r="BO281" s="185" t="str">
        <f>_xlfn.IFNA(VLOOKUP($BC281,Programma!$F$3:$R$1101,13,0),"")</f>
        <v/>
      </c>
      <c r="BP281" s="185" t="str">
        <f>_xlfn.IFNA(VLOOKUP($BC281,Programma!$F$3:$S$1101,14,0),"")</f>
        <v/>
      </c>
      <c r="BQ281" s="185" t="str">
        <f>_xlfn.IFNA(VLOOKUP($BC281,Programma!$F$3:$T$1101,15,0),"")</f>
        <v/>
      </c>
      <c r="BR281" s="185" t="str">
        <f>_xlfn.IFNA(VLOOKUP($BC281,Programma!$F$3:$U$1101,16,0),"")</f>
        <v/>
      </c>
      <c r="BS281" s="185" t="str">
        <f>_xlfn.IFNA(VLOOKUP($BC281,Programma!$F$3:$V$1101,17,0),"")</f>
        <v/>
      </c>
      <c r="BT281" s="185" t="str">
        <f>_xlfn.IFNA(VLOOKUP($BC281,Programma!$F$3:$W$1101,18,0),"")</f>
        <v/>
      </c>
      <c r="BU281" s="185" t="str">
        <f>_xlfn.IFNA(VLOOKUP($BC281,Programma!$F$3:$X$1101,19,0),"")</f>
        <v/>
      </c>
      <c r="BV281" s="185" t="str">
        <f>_xlfn.IFNA(VLOOKUP($BC281,Programma!$F$3:$Y$1101,20,0),"")</f>
        <v/>
      </c>
    </row>
    <row r="282" spans="1:74" s="78" customFormat="1" ht="15" customHeight="1">
      <c r="A282" s="99">
        <v>9</v>
      </c>
      <c r="B282" s="176" t="str">
        <f>VLOOKUP(Ruimtestaat[[#This Row],[Code]],Locaties[[Code]:[Locatie]],2,FALSE)</f>
        <v>ODBS Europa</v>
      </c>
      <c r="C282" s="176" t="str">
        <f>VLOOKUP(Ruimtestaat[[#This Row],[Code]],Locaties[[#All],[Code]:[Adres]],4,FALSE)</f>
        <v>Belgiëlaan 75</v>
      </c>
      <c r="D282" s="176" t="str">
        <f>VLOOKUP(Ruimtestaat[[#This Row],[Code]],Locaties[[#All],[Code]:[Postcode]],5,FALSE)</f>
        <v>7543 ZJ</v>
      </c>
      <c r="E282" s="176" t="str">
        <f>VLOOKUP(Ruimtestaat[[#This Row],[Code]],Locaties[#All],6,FALSE)</f>
        <v>Enschede</v>
      </c>
      <c r="F282" s="149"/>
      <c r="G282" s="99" t="s">
        <v>1646</v>
      </c>
      <c r="H282" s="99" t="s">
        <v>1661</v>
      </c>
      <c r="I282" s="183" t="s">
        <v>1655</v>
      </c>
      <c r="J282" s="99">
        <v>5</v>
      </c>
      <c r="K282" s="183" t="str">
        <f>VLOOKUP(Ruimtestaat[[#This Row],[Ruimte code]],Ruimtegroepen[[#All],[Code]:[Ruimte omschrijving]],2,FALSE)</f>
        <v>Sanitair</v>
      </c>
      <c r="L282" s="149" t="s">
        <v>101</v>
      </c>
      <c r="M282" s="301" t="s">
        <v>1682</v>
      </c>
      <c r="N282" s="177">
        <v>5.6</v>
      </c>
      <c r="O282" s="177"/>
      <c r="P282" s="178" t="str">
        <f>VLOOKUP(Ruimtestaat[[#This Row],[Ruimte code]],Ruimtegroepen[],4,FALSE)</f>
        <v>Sa</v>
      </c>
      <c r="Q282" s="149">
        <v>40</v>
      </c>
      <c r="R282" s="149" t="s">
        <v>2</v>
      </c>
      <c r="S282" s="149">
        <f>IF(Q282&gt;0,IF(RIGHT(Ruimtestaat[[#This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2" s="149">
        <f>IF(S282&gt;0,VLOOKUP($J282,Ruimtegroepen[],3,FALSE)*VLOOKUP($L282,Vloersoorten[],3,FALSE)*VLOOKUP($R282,Frequenties[],3,FALSE)*VLOOKUP($A282,Locaties[],3,FALSE),0)</f>
        <v>0</v>
      </c>
      <c r="U282" s="149">
        <f>Ruimtestaat[[#This Row],[Uitvoeringen werkdagen]]*Ruimtestaat[[#This Row],[Oppervlak (netto)]]</f>
        <v>1120</v>
      </c>
      <c r="V282" s="179">
        <f>IF(T282&gt;0,Ruimtestaat[[#This Row],[Prest. (m2 /jaar) werkdagen]]/Ruimtestaat[[#This Row],[Norm (m2/uur) werkdagen]],0)</f>
        <v>0</v>
      </c>
      <c r="W282" s="180">
        <f>Ruimtestaat[[#This Row],[uren / jaar werkdagen]]*Tariefsopbouw!$E$35</f>
        <v>0</v>
      </c>
      <c r="X282" s="149"/>
      <c r="Y282" s="149">
        <f>IF(Ruimtestaat[[#This Row],[Frequentie weekend]]&gt;0,VALUE(LEFT(X282,1))*Q282,0)</f>
        <v>0</v>
      </c>
      <c r="Z282" s="148">
        <f>IF($Y282&gt;0,VLOOKUP($J282,Ruimtegroepen[],3,FALSE)*VLOOKUP($L282,Vloersoorten[],3,FALSE)*VLOOKUP($X282,Frequenties[],3,FALSE)*VLOOKUP(Ruimtestaat[[#This Row],[Code]],Locaties[],3,FALSE),0)</f>
        <v>0</v>
      </c>
      <c r="AA282" s="148">
        <f>Ruimtestaat[[#This Row],[Uitvoeringen weekend]]*Ruimtestaat[[#This Row],[Oppervlak (netto)]]</f>
        <v>0</v>
      </c>
      <c r="AB282" s="148">
        <f>IF(Z282&gt;0,Ruimtestaat[[#This Row],[Prest. (m2 /jaar) weekend]]/Ruimtestaat[[#This Row],[Norm (m2/uur) weekend]],0)</f>
        <v>0</v>
      </c>
      <c r="AC282" s="180">
        <f>Ruimtestaat[[#This Row],[uren / jaar weekend]]*Tariefsopbouw!$D$40</f>
        <v>0</v>
      </c>
      <c r="AD282" s="179">
        <f>Ruimtestaat[[#This Row],[Prest. (m2 /jaar) weekend]]+Ruimtestaat[[#This Row],[Prest. (m2 /jaar) werkdagen]]</f>
        <v>1120</v>
      </c>
      <c r="AE282" s="179">
        <f>Ruimtestaat[[#This Row],[uren / jaar weekend]]+Ruimtestaat[[#This Row],[uren / jaar werkdagen]]</f>
        <v>0</v>
      </c>
      <c r="AF282" s="174">
        <f>Ruimtestaat[[#This Row],[kosten / jaar weekend]]+Ruimtestaat[[#This Row],[kosten / jaar werkdagen]]</f>
        <v>0</v>
      </c>
      <c r="AG282" s="174"/>
      <c r="AH282" s="181" t="str">
        <f>IF(Ruimtestaat[[#This Row],[Frequentie werkdagen]]="","",_xlfn.CONCAT(Ruimtestaat[[#This Row],[Ruimte code]],"-",Ruimtestaat[[#This Row],[Frequentie werkdagen]]," ",Ruimtestaat[[#This Row],[Vloer code]]))</f>
        <v>5-5w S</v>
      </c>
      <c r="AI282" s="185" t="str">
        <f>_xlfn.IFNA(VLOOKUP($AH282,Programma!$F$3:$G$1101,2,0),"")</f>
        <v>_</v>
      </c>
      <c r="AJ282" s="185" t="str">
        <f>_xlfn.IFNA(VLOOKUP($AH282,Programma!$F$3:$H$1101,3,0),"")</f>
        <v>_</v>
      </c>
      <c r="AK282" s="185" t="str">
        <f>_xlfn.IFNA(VLOOKUP($AH282,Programma!$F$3:$I$1101,4,0),"")</f>
        <v>_</v>
      </c>
      <c r="AL282" s="185" t="str">
        <f>_xlfn.IFNA(VLOOKUP($AH282,Programma!$F$3:$J$1101,5,0),"")</f>
        <v>4w</v>
      </c>
      <c r="AM282" s="185" t="str">
        <f>_xlfn.IFNA(VLOOKUP($AH282,Programma!$F$3:$K$1101,6,0),"")</f>
        <v>1w</v>
      </c>
      <c r="AN282" s="185" t="str">
        <f>_xlfn.IFNA(VLOOKUP($AH282,Programma!$F$3:$L$1101,7,0),"")</f>
        <v>_</v>
      </c>
      <c r="AO282" s="185" t="str">
        <f>_xlfn.IFNA(VLOOKUP($AH282,Programma!$F$3:$M$1101,8,0),"")</f>
        <v>_</v>
      </c>
      <c r="AP282" s="185" t="str">
        <f>_xlfn.IFNA(VLOOKUP($AH282,Programma!$F$3:$N$1101,9,0),"")</f>
        <v>_</v>
      </c>
      <c r="AQ282" s="185" t="str">
        <f>_xlfn.IFNA(VLOOKUP($AH282,Programma!$F$3:$O$1101,10,0),"")</f>
        <v>_</v>
      </c>
      <c r="AR282" s="185" t="str">
        <f>_xlfn.IFNA(VLOOKUP($AH282,Programma!$F$3:$P$1101,11,0),"")</f>
        <v>_</v>
      </c>
      <c r="AS282" s="185" t="str">
        <f>_xlfn.IFNA(VLOOKUP($AH282,Programma!$F$3:$Q$1101,12,0),"")</f>
        <v>_</v>
      </c>
      <c r="AT282" s="185" t="str">
        <f>_xlfn.IFNA(VLOOKUP($AH282,Programma!$F$3:$R$1101,13,0),"")</f>
        <v>_</v>
      </c>
      <c r="AU282" s="185" t="str">
        <f>_xlfn.IFNA(VLOOKUP($AH282,Programma!$F$3:$S$1101,14,0),"")</f>
        <v>_</v>
      </c>
      <c r="AV282" s="185" t="str">
        <f>_xlfn.IFNA(VLOOKUP($AH282,Programma!$F$3:$T$1101,15,0),"")</f>
        <v>_</v>
      </c>
      <c r="AW282" s="185" t="str">
        <f>_xlfn.IFNA(VLOOKUP($AH282,Programma!$F$3:$U$1101,16,0),"")</f>
        <v>_</v>
      </c>
      <c r="AX282" s="185" t="str">
        <f>_xlfn.IFNA(VLOOKUP($AH282,Programma!$F$3:$V$1101,17,0),"")</f>
        <v>_</v>
      </c>
      <c r="AY282" s="185" t="str">
        <f>_xlfn.IFNA(VLOOKUP($AH282,Programma!$F$3:$W$1101,18,0),"")</f>
        <v>4w</v>
      </c>
      <c r="AZ282" s="185" t="str">
        <f>_xlfn.IFNA(VLOOKUP($AH282,Programma!$F$3:$X$1101,19,0),"")</f>
        <v>1w</v>
      </c>
      <c r="BA282" s="185" t="str">
        <f>_xlfn.IFNA(VLOOKUP($AH282,Programma!$F$3:$Y$1101,20,0),"")</f>
        <v>_</v>
      </c>
      <c r="BB282" s="182"/>
      <c r="BC282" s="181" t="str">
        <f>IF(Ruimtestaat[[#This Row],[Frequentie weekend]]="","",_xlfn.CONCAT(Ruimtestaat[[#This Row],[Ruimte code]],"-",Ruimtestaat[[#This Row],[Frequentie weekend]]," ",Ruimtestaat[[#This Row],[Vloer code]]))</f>
        <v/>
      </c>
      <c r="BD282" s="185" t="str">
        <f>_xlfn.IFNA(VLOOKUP($BC282,Programma!$F$3:$G$1101,2,0),"")</f>
        <v/>
      </c>
      <c r="BE282" s="185" t="str">
        <f>_xlfn.IFNA(VLOOKUP($BC282,Programma!$F$3:$H$1101,3,0),"")</f>
        <v/>
      </c>
      <c r="BF282" s="185" t="str">
        <f>_xlfn.IFNA(VLOOKUP($BC282,Programma!$F$3:$I$1101,4,0),"")</f>
        <v/>
      </c>
      <c r="BG282" s="185" t="str">
        <f>_xlfn.IFNA(VLOOKUP($BC282,Programma!$F$3:$J$1101,5,0),"")</f>
        <v/>
      </c>
      <c r="BH282" s="185" t="str">
        <f>_xlfn.IFNA(VLOOKUP($BC282,Programma!$F$3:$K$1101,6,0),"")</f>
        <v/>
      </c>
      <c r="BI282" s="185" t="str">
        <f>_xlfn.IFNA(VLOOKUP($BC282,Programma!$F$3:$L$1101,7,0),"")</f>
        <v/>
      </c>
      <c r="BJ282" s="185" t="str">
        <f>_xlfn.IFNA(VLOOKUP($BC282,Programma!$F$3:$M$1101,8,0),"")</f>
        <v/>
      </c>
      <c r="BK282" s="185" t="str">
        <f>_xlfn.IFNA(VLOOKUP($BC282,Programma!$F$3:$N$1101,9,0),"")</f>
        <v/>
      </c>
      <c r="BL282" s="185" t="str">
        <f>_xlfn.IFNA(VLOOKUP($BC282,Programma!$F$3:$O$1101,10,0),"")</f>
        <v/>
      </c>
      <c r="BM282" s="185" t="str">
        <f>_xlfn.IFNA(VLOOKUP($BC282,Programma!$F$3:$P$1101,11,0),"")</f>
        <v/>
      </c>
      <c r="BN282" s="185" t="str">
        <f>_xlfn.IFNA(VLOOKUP($BC282,Programma!$F$3:$Q$1101,12,0),"")</f>
        <v/>
      </c>
      <c r="BO282" s="185" t="str">
        <f>_xlfn.IFNA(VLOOKUP($BC282,Programma!$F$3:$R$1101,13,0),"")</f>
        <v/>
      </c>
      <c r="BP282" s="185" t="str">
        <f>_xlfn.IFNA(VLOOKUP($BC282,Programma!$F$3:$S$1101,14,0),"")</f>
        <v/>
      </c>
      <c r="BQ282" s="185" t="str">
        <f>_xlfn.IFNA(VLOOKUP($BC282,Programma!$F$3:$T$1101,15,0),"")</f>
        <v/>
      </c>
      <c r="BR282" s="185" t="str">
        <f>_xlfn.IFNA(VLOOKUP($BC282,Programma!$F$3:$U$1101,16,0),"")</f>
        <v/>
      </c>
      <c r="BS282" s="185" t="str">
        <f>_xlfn.IFNA(VLOOKUP($BC282,Programma!$F$3:$V$1101,17,0),"")</f>
        <v/>
      </c>
      <c r="BT282" s="185" t="str">
        <f>_xlfn.IFNA(VLOOKUP($BC282,Programma!$F$3:$W$1101,18,0),"")</f>
        <v/>
      </c>
      <c r="BU282" s="185" t="str">
        <f>_xlfn.IFNA(VLOOKUP($BC282,Programma!$F$3:$X$1101,19,0),"")</f>
        <v/>
      </c>
      <c r="BV282" s="185" t="str">
        <f>_xlfn.IFNA(VLOOKUP($BC282,Programma!$F$3:$Y$1101,20,0),"")</f>
        <v/>
      </c>
    </row>
    <row r="283" spans="1:74" s="78" customFormat="1" ht="15" customHeight="1">
      <c r="A283" s="99">
        <v>9</v>
      </c>
      <c r="B283" s="176" t="str">
        <f>VLOOKUP(Ruimtestaat[[#This Row],[Code]],Locaties[[Code]:[Locatie]],2,FALSE)</f>
        <v>ODBS Europa</v>
      </c>
      <c r="C283" s="176" t="str">
        <f>VLOOKUP(Ruimtestaat[[#This Row],[Code]],Locaties[[#All],[Code]:[Adres]],4,FALSE)</f>
        <v>Belgiëlaan 75</v>
      </c>
      <c r="D283" s="176" t="str">
        <f>VLOOKUP(Ruimtestaat[[#This Row],[Code]],Locaties[[#All],[Code]:[Postcode]],5,FALSE)</f>
        <v>7543 ZJ</v>
      </c>
      <c r="E283" s="176" t="str">
        <f>VLOOKUP(Ruimtestaat[[#This Row],[Code]],Locaties[#All],6,FALSE)</f>
        <v>Enschede</v>
      </c>
      <c r="F283" s="149"/>
      <c r="G283" s="99" t="s">
        <v>1646</v>
      </c>
      <c r="H283" s="99" t="s">
        <v>1662</v>
      </c>
      <c r="I283" s="183" t="s">
        <v>1651</v>
      </c>
      <c r="J283" s="99">
        <v>16</v>
      </c>
      <c r="K283" s="183" t="str">
        <f>VLOOKUP(Ruimtestaat[[#This Row],[Ruimte code]],Ruimtegroepen[[#All],[Code]:[Ruimte omschrijving]],2,FALSE)</f>
        <v>Leslokalen</v>
      </c>
      <c r="L283" s="149" t="s">
        <v>100</v>
      </c>
      <c r="M283" s="301" t="s">
        <v>1697</v>
      </c>
      <c r="N283" s="177">
        <v>51.9</v>
      </c>
      <c r="O283" s="177"/>
      <c r="P283" s="178" t="str">
        <f>VLOOKUP(Ruimtestaat[[#This Row],[Ruimte code]],Ruimtegroepen[],4,FALSE)</f>
        <v>Le</v>
      </c>
      <c r="Q283" s="149">
        <v>40</v>
      </c>
      <c r="R283" s="149" t="s">
        <v>2</v>
      </c>
      <c r="S283" s="149">
        <f>IF(Q283&gt;0,IF(RIGHT(Ruimtestaat[[#This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3" s="149">
        <f>IF(S283&gt;0,VLOOKUP($J283,Ruimtegroepen[],3,FALSE)*VLOOKUP($L283,Vloersoorten[],3,FALSE)*VLOOKUP($R283,Frequenties[],3,FALSE)*VLOOKUP($A283,Locaties[],3,FALSE),0)</f>
        <v>0</v>
      </c>
      <c r="U283" s="149">
        <f>Ruimtestaat[[#This Row],[Uitvoeringen werkdagen]]*Ruimtestaat[[#This Row],[Oppervlak (netto)]]</f>
        <v>10380</v>
      </c>
      <c r="V283" s="179">
        <f>IF(T283&gt;0,Ruimtestaat[[#This Row],[Prest. (m2 /jaar) werkdagen]]/Ruimtestaat[[#This Row],[Norm (m2/uur) werkdagen]],0)</f>
        <v>0</v>
      </c>
      <c r="W283" s="180">
        <f>Ruimtestaat[[#This Row],[uren / jaar werkdagen]]*Tariefsopbouw!$E$35</f>
        <v>0</v>
      </c>
      <c r="X283" s="149"/>
      <c r="Y283" s="149">
        <f>IF(Ruimtestaat[[#This Row],[Frequentie weekend]]&gt;0,VALUE(LEFT(X283,1))*Q283,0)</f>
        <v>0</v>
      </c>
      <c r="Z283" s="148">
        <f>IF($Y283&gt;0,VLOOKUP($J283,Ruimtegroepen[],3,FALSE)*VLOOKUP($L283,Vloersoorten[],3,FALSE)*VLOOKUP($X283,Frequenties[],3,FALSE)*VLOOKUP(Ruimtestaat[[#This Row],[Code]],Locaties[],3,FALSE),0)</f>
        <v>0</v>
      </c>
      <c r="AA283" s="148">
        <f>Ruimtestaat[[#This Row],[Uitvoeringen weekend]]*Ruimtestaat[[#This Row],[Oppervlak (netto)]]</f>
        <v>0</v>
      </c>
      <c r="AB283" s="148">
        <f>IF(Z283&gt;0,Ruimtestaat[[#This Row],[Prest. (m2 /jaar) weekend]]/Ruimtestaat[[#This Row],[Norm (m2/uur) weekend]],0)</f>
        <v>0</v>
      </c>
      <c r="AC283" s="180">
        <f>Ruimtestaat[[#This Row],[uren / jaar weekend]]*Tariefsopbouw!$D$40</f>
        <v>0</v>
      </c>
      <c r="AD283" s="179">
        <f>Ruimtestaat[[#This Row],[Prest. (m2 /jaar) weekend]]+Ruimtestaat[[#This Row],[Prest. (m2 /jaar) werkdagen]]</f>
        <v>10380</v>
      </c>
      <c r="AE283" s="179">
        <f>Ruimtestaat[[#This Row],[uren / jaar weekend]]+Ruimtestaat[[#This Row],[uren / jaar werkdagen]]</f>
        <v>0</v>
      </c>
      <c r="AF283" s="174">
        <f>Ruimtestaat[[#This Row],[kosten / jaar weekend]]+Ruimtestaat[[#This Row],[kosten / jaar werkdagen]]</f>
        <v>0</v>
      </c>
      <c r="AG283" s="174"/>
      <c r="AH283" s="181" t="str">
        <f>IF(Ruimtestaat[[#This Row],[Frequentie werkdagen]]="","",_xlfn.CONCAT(Ruimtestaat[[#This Row],[Ruimte code]],"-",Ruimtestaat[[#This Row],[Frequentie werkdagen]]," ",Ruimtestaat[[#This Row],[Vloer code]]))</f>
        <v>16-5w L</v>
      </c>
      <c r="AI283" s="185" t="str">
        <f>_xlfn.IFNA(VLOOKUP($AH283,Programma!$F$3:$G$1101,2,0),"")</f>
        <v>_</v>
      </c>
      <c r="AJ283" s="185" t="str">
        <f>_xlfn.IFNA(VLOOKUP($AH283,Programma!$F$3:$H$1101,3,0),"")</f>
        <v>_</v>
      </c>
      <c r="AK283" s="185" t="str">
        <f>_xlfn.IFNA(VLOOKUP($AH283,Programma!$F$3:$I$1101,4,0),"")</f>
        <v>4w</v>
      </c>
      <c r="AL283" s="185" t="str">
        <f>_xlfn.IFNA(VLOOKUP($AH283,Programma!$F$3:$J$1101,5,0),"")</f>
        <v>1w</v>
      </c>
      <c r="AM283" s="185" t="str">
        <f>_xlfn.IFNA(VLOOKUP($AH283,Programma!$F$3:$K$1101,6,0),"")</f>
        <v>_</v>
      </c>
      <c r="AN283" s="185" t="str">
        <f>_xlfn.IFNA(VLOOKUP($AH283,Programma!$F$3:$L$1101,7,0),"")</f>
        <v>_</v>
      </c>
      <c r="AO283" s="185" t="str">
        <f>_xlfn.IFNA(VLOOKUP($AH283,Programma!$F$3:$M$1101,8,0),"")</f>
        <v>_</v>
      </c>
      <c r="AP283" s="185" t="str">
        <f>_xlfn.IFNA(VLOOKUP($AH283,Programma!$F$3:$N$1101,9,0),"")</f>
        <v>_</v>
      </c>
      <c r="AQ283" s="185" t="str">
        <f>_xlfn.IFNA(VLOOKUP($AH283,Programma!$F$3:$O$1101,10,0),"")</f>
        <v>5w</v>
      </c>
      <c r="AR283" s="185" t="str">
        <f>_xlfn.IFNA(VLOOKUP($AH283,Programma!$F$3:$P$1101,11,0),"")</f>
        <v>5w</v>
      </c>
      <c r="AS283" s="185" t="str">
        <f>_xlfn.IFNA(VLOOKUP($AH283,Programma!$F$3:$Q$1101,12,0),"")</f>
        <v>1w</v>
      </c>
      <c r="AT283" s="185" t="str">
        <f>_xlfn.IFNA(VLOOKUP($AH283,Programma!$F$3:$R$1101,13,0),"")</f>
        <v>1w</v>
      </c>
      <c r="AU283" s="185" t="str">
        <f>_xlfn.IFNA(VLOOKUP($AH283,Programma!$F$3:$S$1101,14,0),"")</f>
        <v>1m</v>
      </c>
      <c r="AV283" s="185" t="str">
        <f>_xlfn.IFNA(VLOOKUP($AH283,Programma!$F$3:$T$1101,15,0),"")</f>
        <v>2j</v>
      </c>
      <c r="AW283" s="185" t="str">
        <f>_xlfn.IFNA(VLOOKUP($AH283,Programma!$F$3:$U$1101,16,0),"")</f>
        <v>1j</v>
      </c>
      <c r="AX283" s="185" t="str">
        <f>_xlfn.IFNA(VLOOKUP($AH283,Programma!$F$3:$V$1101,17,0),"")</f>
        <v>_</v>
      </c>
      <c r="AY283" s="185" t="str">
        <f>_xlfn.IFNA(VLOOKUP($AH283,Programma!$F$3:$W$1101,18,0),"")</f>
        <v>_</v>
      </c>
      <c r="AZ283" s="185" t="str">
        <f>_xlfn.IFNA(VLOOKUP($AH283,Programma!$F$3:$X$1101,19,0),"")</f>
        <v>_</v>
      </c>
      <c r="BA283" s="185" t="str">
        <f>_xlfn.IFNA(VLOOKUP($AH283,Programma!$F$3:$Y$1101,20,0),"")</f>
        <v>_</v>
      </c>
      <c r="BB283" s="182"/>
      <c r="BC283" s="181" t="str">
        <f>IF(Ruimtestaat[[#This Row],[Frequentie weekend]]="","",_xlfn.CONCAT(Ruimtestaat[[#This Row],[Ruimte code]],"-",Ruimtestaat[[#This Row],[Frequentie weekend]]," ",Ruimtestaat[[#This Row],[Vloer code]]))</f>
        <v/>
      </c>
      <c r="BD283" s="185" t="str">
        <f>_xlfn.IFNA(VLOOKUP($BC283,Programma!$F$3:$G$1101,2,0),"")</f>
        <v/>
      </c>
      <c r="BE283" s="185" t="str">
        <f>_xlfn.IFNA(VLOOKUP($BC283,Programma!$F$3:$H$1101,3,0),"")</f>
        <v/>
      </c>
      <c r="BF283" s="185" t="str">
        <f>_xlfn.IFNA(VLOOKUP($BC283,Programma!$F$3:$I$1101,4,0),"")</f>
        <v/>
      </c>
      <c r="BG283" s="185" t="str">
        <f>_xlfn.IFNA(VLOOKUP($BC283,Programma!$F$3:$J$1101,5,0),"")</f>
        <v/>
      </c>
      <c r="BH283" s="185" t="str">
        <f>_xlfn.IFNA(VLOOKUP($BC283,Programma!$F$3:$K$1101,6,0),"")</f>
        <v/>
      </c>
      <c r="BI283" s="185" t="str">
        <f>_xlfn.IFNA(VLOOKUP($BC283,Programma!$F$3:$L$1101,7,0),"")</f>
        <v/>
      </c>
      <c r="BJ283" s="185" t="str">
        <f>_xlfn.IFNA(VLOOKUP($BC283,Programma!$F$3:$M$1101,8,0),"")</f>
        <v/>
      </c>
      <c r="BK283" s="185" t="str">
        <f>_xlfn.IFNA(VLOOKUP($BC283,Programma!$F$3:$N$1101,9,0),"")</f>
        <v/>
      </c>
      <c r="BL283" s="185" t="str">
        <f>_xlfn.IFNA(VLOOKUP($BC283,Programma!$F$3:$O$1101,10,0),"")</f>
        <v/>
      </c>
      <c r="BM283" s="185" t="str">
        <f>_xlfn.IFNA(VLOOKUP($BC283,Programma!$F$3:$P$1101,11,0),"")</f>
        <v/>
      </c>
      <c r="BN283" s="185" t="str">
        <f>_xlfn.IFNA(VLOOKUP($BC283,Programma!$F$3:$Q$1101,12,0),"")</f>
        <v/>
      </c>
      <c r="BO283" s="185" t="str">
        <f>_xlfn.IFNA(VLOOKUP($BC283,Programma!$F$3:$R$1101,13,0),"")</f>
        <v/>
      </c>
      <c r="BP283" s="185" t="str">
        <f>_xlfn.IFNA(VLOOKUP($BC283,Programma!$F$3:$S$1101,14,0),"")</f>
        <v/>
      </c>
      <c r="BQ283" s="185" t="str">
        <f>_xlfn.IFNA(VLOOKUP($BC283,Programma!$F$3:$T$1101,15,0),"")</f>
        <v/>
      </c>
      <c r="BR283" s="185" t="str">
        <f>_xlfn.IFNA(VLOOKUP($BC283,Programma!$F$3:$U$1101,16,0),"")</f>
        <v/>
      </c>
      <c r="BS283" s="185" t="str">
        <f>_xlfn.IFNA(VLOOKUP($BC283,Programma!$F$3:$V$1101,17,0),"")</f>
        <v/>
      </c>
      <c r="BT283" s="185" t="str">
        <f>_xlfn.IFNA(VLOOKUP($BC283,Programma!$F$3:$W$1101,18,0),"")</f>
        <v/>
      </c>
      <c r="BU283" s="185" t="str">
        <f>_xlfn.IFNA(VLOOKUP($BC283,Programma!$F$3:$X$1101,19,0),"")</f>
        <v/>
      </c>
      <c r="BV283" s="185" t="str">
        <f>_xlfn.IFNA(VLOOKUP($BC283,Programma!$F$3:$Y$1101,20,0),"")</f>
        <v/>
      </c>
    </row>
    <row r="284" spans="1:74" s="78" customFormat="1" ht="15" customHeight="1">
      <c r="A284" s="99">
        <v>9</v>
      </c>
      <c r="B284" s="176" t="str">
        <f>VLOOKUP(Ruimtestaat[[#This Row],[Code]],Locaties[[Code]:[Locatie]],2,FALSE)</f>
        <v>ODBS Europa</v>
      </c>
      <c r="C284" s="176" t="str">
        <f>VLOOKUP(Ruimtestaat[[#This Row],[Code]],Locaties[[#All],[Code]:[Adres]],4,FALSE)</f>
        <v>Belgiëlaan 75</v>
      </c>
      <c r="D284" s="176" t="str">
        <f>VLOOKUP(Ruimtestaat[[#This Row],[Code]],Locaties[[#All],[Code]:[Postcode]],5,FALSE)</f>
        <v>7543 ZJ</v>
      </c>
      <c r="E284" s="176" t="str">
        <f>VLOOKUP(Ruimtestaat[[#This Row],[Code]],Locaties[#All],6,FALSE)</f>
        <v>Enschede</v>
      </c>
      <c r="F284" s="149"/>
      <c r="G284" s="99" t="s">
        <v>1646</v>
      </c>
      <c r="H284" s="99" t="s">
        <v>1663</v>
      </c>
      <c r="I284" s="183" t="s">
        <v>1655</v>
      </c>
      <c r="J284" s="99">
        <v>5</v>
      </c>
      <c r="K284" s="183" t="str">
        <f>VLOOKUP(Ruimtestaat[[#This Row],[Ruimte code]],Ruimtegroepen[[#All],[Code]:[Ruimte omschrijving]],2,FALSE)</f>
        <v>Sanitair</v>
      </c>
      <c r="L284" s="149" t="s">
        <v>101</v>
      </c>
      <c r="M284" s="301" t="s">
        <v>1682</v>
      </c>
      <c r="N284" s="177">
        <v>7.5</v>
      </c>
      <c r="O284" s="177"/>
      <c r="P284" s="178" t="str">
        <f>VLOOKUP(Ruimtestaat[[#This Row],[Ruimte code]],Ruimtegroepen[],4,FALSE)</f>
        <v>Sa</v>
      </c>
      <c r="Q284" s="149">
        <v>40</v>
      </c>
      <c r="R284" s="149" t="s">
        <v>2</v>
      </c>
      <c r="S284" s="149">
        <f>IF(Q284&gt;0,IF(RIGHT(Ruimtestaat[[#This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4" s="149">
        <f>IF(S284&gt;0,VLOOKUP($J284,Ruimtegroepen[],3,FALSE)*VLOOKUP($L284,Vloersoorten[],3,FALSE)*VLOOKUP($R284,Frequenties[],3,FALSE)*VLOOKUP($A284,Locaties[],3,FALSE),0)</f>
        <v>0</v>
      </c>
      <c r="U284" s="149">
        <f>Ruimtestaat[[#This Row],[Uitvoeringen werkdagen]]*Ruimtestaat[[#This Row],[Oppervlak (netto)]]</f>
        <v>1500</v>
      </c>
      <c r="V284" s="179">
        <f>IF(T284&gt;0,Ruimtestaat[[#This Row],[Prest. (m2 /jaar) werkdagen]]/Ruimtestaat[[#This Row],[Norm (m2/uur) werkdagen]],0)</f>
        <v>0</v>
      </c>
      <c r="W284" s="180">
        <f>Ruimtestaat[[#This Row],[uren / jaar werkdagen]]*Tariefsopbouw!$E$35</f>
        <v>0</v>
      </c>
      <c r="X284" s="149"/>
      <c r="Y284" s="149">
        <f>IF(Ruimtestaat[[#This Row],[Frequentie weekend]]&gt;0,VALUE(LEFT(X284,1))*Q284,0)</f>
        <v>0</v>
      </c>
      <c r="Z284" s="148">
        <f>IF($Y284&gt;0,VLOOKUP($J284,Ruimtegroepen[],3,FALSE)*VLOOKUP($L284,Vloersoorten[],3,FALSE)*VLOOKUP($X284,Frequenties[],3,FALSE)*VLOOKUP(Ruimtestaat[[#This Row],[Code]],Locaties[],3,FALSE),0)</f>
        <v>0</v>
      </c>
      <c r="AA284" s="148">
        <f>Ruimtestaat[[#This Row],[Uitvoeringen weekend]]*Ruimtestaat[[#This Row],[Oppervlak (netto)]]</f>
        <v>0</v>
      </c>
      <c r="AB284" s="148">
        <f>IF(Z284&gt;0,Ruimtestaat[[#This Row],[Prest. (m2 /jaar) weekend]]/Ruimtestaat[[#This Row],[Norm (m2/uur) weekend]],0)</f>
        <v>0</v>
      </c>
      <c r="AC284" s="180">
        <f>Ruimtestaat[[#This Row],[uren / jaar weekend]]*Tariefsopbouw!$D$40</f>
        <v>0</v>
      </c>
      <c r="AD284" s="179">
        <f>Ruimtestaat[[#This Row],[Prest. (m2 /jaar) weekend]]+Ruimtestaat[[#This Row],[Prest. (m2 /jaar) werkdagen]]</f>
        <v>1500</v>
      </c>
      <c r="AE284" s="179">
        <f>Ruimtestaat[[#This Row],[uren / jaar weekend]]+Ruimtestaat[[#This Row],[uren / jaar werkdagen]]</f>
        <v>0</v>
      </c>
      <c r="AF284" s="174">
        <f>Ruimtestaat[[#This Row],[kosten / jaar weekend]]+Ruimtestaat[[#This Row],[kosten / jaar werkdagen]]</f>
        <v>0</v>
      </c>
      <c r="AG284" s="174"/>
      <c r="AH284" s="181" t="str">
        <f>IF(Ruimtestaat[[#This Row],[Frequentie werkdagen]]="","",_xlfn.CONCAT(Ruimtestaat[[#This Row],[Ruimte code]],"-",Ruimtestaat[[#This Row],[Frequentie werkdagen]]," ",Ruimtestaat[[#This Row],[Vloer code]]))</f>
        <v>5-5w S</v>
      </c>
      <c r="AI284" s="185" t="str">
        <f>_xlfn.IFNA(VLOOKUP($AH284,Programma!$F$3:$G$1101,2,0),"")</f>
        <v>_</v>
      </c>
      <c r="AJ284" s="185" t="str">
        <f>_xlfn.IFNA(VLOOKUP($AH284,Programma!$F$3:$H$1101,3,0),"")</f>
        <v>_</v>
      </c>
      <c r="AK284" s="185" t="str">
        <f>_xlfn.IFNA(VLOOKUP($AH284,Programma!$F$3:$I$1101,4,0),"")</f>
        <v>_</v>
      </c>
      <c r="AL284" s="185" t="str">
        <f>_xlfn.IFNA(VLOOKUP($AH284,Programma!$F$3:$J$1101,5,0),"")</f>
        <v>4w</v>
      </c>
      <c r="AM284" s="185" t="str">
        <f>_xlfn.IFNA(VLOOKUP($AH284,Programma!$F$3:$K$1101,6,0),"")</f>
        <v>1w</v>
      </c>
      <c r="AN284" s="185" t="str">
        <f>_xlfn.IFNA(VLOOKUP($AH284,Programma!$F$3:$L$1101,7,0),"")</f>
        <v>_</v>
      </c>
      <c r="AO284" s="185" t="str">
        <f>_xlfn.IFNA(VLOOKUP($AH284,Programma!$F$3:$M$1101,8,0),"")</f>
        <v>_</v>
      </c>
      <c r="AP284" s="185" t="str">
        <f>_xlfn.IFNA(VLOOKUP($AH284,Programma!$F$3:$N$1101,9,0),"")</f>
        <v>_</v>
      </c>
      <c r="AQ284" s="185" t="str">
        <f>_xlfn.IFNA(VLOOKUP($AH284,Programma!$F$3:$O$1101,10,0),"")</f>
        <v>_</v>
      </c>
      <c r="AR284" s="185" t="str">
        <f>_xlfn.IFNA(VLOOKUP($AH284,Programma!$F$3:$P$1101,11,0),"")</f>
        <v>_</v>
      </c>
      <c r="AS284" s="185" t="str">
        <f>_xlfn.IFNA(VLOOKUP($AH284,Programma!$F$3:$Q$1101,12,0),"")</f>
        <v>_</v>
      </c>
      <c r="AT284" s="185" t="str">
        <f>_xlfn.IFNA(VLOOKUP($AH284,Programma!$F$3:$R$1101,13,0),"")</f>
        <v>_</v>
      </c>
      <c r="AU284" s="185" t="str">
        <f>_xlfn.IFNA(VLOOKUP($AH284,Programma!$F$3:$S$1101,14,0),"")</f>
        <v>_</v>
      </c>
      <c r="AV284" s="185" t="str">
        <f>_xlfn.IFNA(VLOOKUP($AH284,Programma!$F$3:$T$1101,15,0),"")</f>
        <v>_</v>
      </c>
      <c r="AW284" s="185" t="str">
        <f>_xlfn.IFNA(VLOOKUP($AH284,Programma!$F$3:$U$1101,16,0),"")</f>
        <v>_</v>
      </c>
      <c r="AX284" s="185" t="str">
        <f>_xlfn.IFNA(VLOOKUP($AH284,Programma!$F$3:$V$1101,17,0),"")</f>
        <v>_</v>
      </c>
      <c r="AY284" s="185" t="str">
        <f>_xlfn.IFNA(VLOOKUP($AH284,Programma!$F$3:$W$1101,18,0),"")</f>
        <v>4w</v>
      </c>
      <c r="AZ284" s="185" t="str">
        <f>_xlfn.IFNA(VLOOKUP($AH284,Programma!$F$3:$X$1101,19,0),"")</f>
        <v>1w</v>
      </c>
      <c r="BA284" s="185" t="str">
        <f>_xlfn.IFNA(VLOOKUP($AH284,Programma!$F$3:$Y$1101,20,0),"")</f>
        <v>_</v>
      </c>
      <c r="BB284" s="182"/>
      <c r="BC284" s="181" t="str">
        <f>IF(Ruimtestaat[[#This Row],[Frequentie weekend]]="","",_xlfn.CONCAT(Ruimtestaat[[#This Row],[Ruimte code]],"-",Ruimtestaat[[#This Row],[Frequentie weekend]]," ",Ruimtestaat[[#This Row],[Vloer code]]))</f>
        <v/>
      </c>
      <c r="BD284" s="185" t="str">
        <f>_xlfn.IFNA(VLOOKUP($BC284,Programma!$F$3:$G$1101,2,0),"")</f>
        <v/>
      </c>
      <c r="BE284" s="185" t="str">
        <f>_xlfn.IFNA(VLOOKUP($BC284,Programma!$F$3:$H$1101,3,0),"")</f>
        <v/>
      </c>
      <c r="BF284" s="185" t="str">
        <f>_xlfn.IFNA(VLOOKUP($BC284,Programma!$F$3:$I$1101,4,0),"")</f>
        <v/>
      </c>
      <c r="BG284" s="185" t="str">
        <f>_xlfn.IFNA(VLOOKUP($BC284,Programma!$F$3:$J$1101,5,0),"")</f>
        <v/>
      </c>
      <c r="BH284" s="185" t="str">
        <f>_xlfn.IFNA(VLOOKUP($BC284,Programma!$F$3:$K$1101,6,0),"")</f>
        <v/>
      </c>
      <c r="BI284" s="185" t="str">
        <f>_xlfn.IFNA(VLOOKUP($BC284,Programma!$F$3:$L$1101,7,0),"")</f>
        <v/>
      </c>
      <c r="BJ284" s="185" t="str">
        <f>_xlfn.IFNA(VLOOKUP($BC284,Programma!$F$3:$M$1101,8,0),"")</f>
        <v/>
      </c>
      <c r="BK284" s="185" t="str">
        <f>_xlfn.IFNA(VLOOKUP($BC284,Programma!$F$3:$N$1101,9,0),"")</f>
        <v/>
      </c>
      <c r="BL284" s="185" t="str">
        <f>_xlfn.IFNA(VLOOKUP($BC284,Programma!$F$3:$O$1101,10,0),"")</f>
        <v/>
      </c>
      <c r="BM284" s="185" t="str">
        <f>_xlfn.IFNA(VLOOKUP($BC284,Programma!$F$3:$P$1101,11,0),"")</f>
        <v/>
      </c>
      <c r="BN284" s="185" t="str">
        <f>_xlfn.IFNA(VLOOKUP($BC284,Programma!$F$3:$Q$1101,12,0),"")</f>
        <v/>
      </c>
      <c r="BO284" s="185" t="str">
        <f>_xlfn.IFNA(VLOOKUP($BC284,Programma!$F$3:$R$1101,13,0),"")</f>
        <v/>
      </c>
      <c r="BP284" s="185" t="str">
        <f>_xlfn.IFNA(VLOOKUP($BC284,Programma!$F$3:$S$1101,14,0),"")</f>
        <v/>
      </c>
      <c r="BQ284" s="185" t="str">
        <f>_xlfn.IFNA(VLOOKUP($BC284,Programma!$F$3:$T$1101,15,0),"")</f>
        <v/>
      </c>
      <c r="BR284" s="185" t="str">
        <f>_xlfn.IFNA(VLOOKUP($BC284,Programma!$F$3:$U$1101,16,0),"")</f>
        <v/>
      </c>
      <c r="BS284" s="185" t="str">
        <f>_xlfn.IFNA(VLOOKUP($BC284,Programma!$F$3:$V$1101,17,0),"")</f>
        <v/>
      </c>
      <c r="BT284" s="185" t="str">
        <f>_xlfn.IFNA(VLOOKUP($BC284,Programma!$F$3:$W$1101,18,0),"")</f>
        <v/>
      </c>
      <c r="BU284" s="185" t="str">
        <f>_xlfn.IFNA(VLOOKUP($BC284,Programma!$F$3:$X$1101,19,0),"")</f>
        <v/>
      </c>
      <c r="BV284" s="185" t="str">
        <f>_xlfn.IFNA(VLOOKUP($BC284,Programma!$F$3:$Y$1101,20,0),"")</f>
        <v/>
      </c>
    </row>
    <row r="285" spans="1:74" s="78" customFormat="1" ht="15" customHeight="1">
      <c r="A285" s="99">
        <v>9</v>
      </c>
      <c r="B285" s="176" t="str">
        <f>VLOOKUP(Ruimtestaat[[#This Row],[Code]],Locaties[[Code]:[Locatie]],2,FALSE)</f>
        <v>ODBS Europa</v>
      </c>
      <c r="C285" s="176" t="str">
        <f>VLOOKUP(Ruimtestaat[[#This Row],[Code]],Locaties[[#All],[Code]:[Adres]],4,FALSE)</f>
        <v>Belgiëlaan 75</v>
      </c>
      <c r="D285" s="176" t="str">
        <f>VLOOKUP(Ruimtestaat[[#This Row],[Code]],Locaties[[#All],[Code]:[Postcode]],5,FALSE)</f>
        <v>7543 ZJ</v>
      </c>
      <c r="E285" s="176" t="str">
        <f>VLOOKUP(Ruimtestaat[[#This Row],[Code]],Locaties[#All],6,FALSE)</f>
        <v>Enschede</v>
      </c>
      <c r="F285" s="149"/>
      <c r="G285" s="99" t="s">
        <v>1646</v>
      </c>
      <c r="H285" s="99" t="s">
        <v>1664</v>
      </c>
      <c r="I285" s="183" t="s">
        <v>1651</v>
      </c>
      <c r="J285" s="99">
        <v>16</v>
      </c>
      <c r="K285" s="183" t="str">
        <f>VLOOKUP(Ruimtestaat[[#This Row],[Ruimte code]],Ruimtegroepen[[#All],[Code]:[Ruimte omschrijving]],2,FALSE)</f>
        <v>Leslokalen</v>
      </c>
      <c r="L285" s="149" t="s">
        <v>100</v>
      </c>
      <c r="M285" s="301" t="s">
        <v>1697</v>
      </c>
      <c r="N285" s="177">
        <v>57</v>
      </c>
      <c r="O285" s="177"/>
      <c r="P285" s="178" t="str">
        <f>VLOOKUP(Ruimtestaat[[#This Row],[Ruimte code]],Ruimtegroepen[],4,FALSE)</f>
        <v>Le</v>
      </c>
      <c r="Q285" s="149">
        <v>40</v>
      </c>
      <c r="R285" s="149" t="s">
        <v>2</v>
      </c>
      <c r="S285" s="149">
        <f>IF(Q285&gt;0,IF(RIGHT(Ruimtestaat[[#This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5" s="149">
        <f>IF(S285&gt;0,VLOOKUP($J285,Ruimtegroepen[],3,FALSE)*VLOOKUP($L285,Vloersoorten[],3,FALSE)*VLOOKUP($R285,Frequenties[],3,FALSE)*VLOOKUP($A285,Locaties[],3,FALSE),0)</f>
        <v>0</v>
      </c>
      <c r="U285" s="149">
        <f>Ruimtestaat[[#This Row],[Uitvoeringen werkdagen]]*Ruimtestaat[[#This Row],[Oppervlak (netto)]]</f>
        <v>11400</v>
      </c>
      <c r="V285" s="179">
        <f>IF(T285&gt;0,Ruimtestaat[[#This Row],[Prest. (m2 /jaar) werkdagen]]/Ruimtestaat[[#This Row],[Norm (m2/uur) werkdagen]],0)</f>
        <v>0</v>
      </c>
      <c r="W285" s="180">
        <f>Ruimtestaat[[#This Row],[uren / jaar werkdagen]]*Tariefsopbouw!$E$35</f>
        <v>0</v>
      </c>
      <c r="X285" s="149"/>
      <c r="Y285" s="149">
        <f>IF(Ruimtestaat[[#This Row],[Frequentie weekend]]&gt;0,VALUE(LEFT(X285,1))*Q285,0)</f>
        <v>0</v>
      </c>
      <c r="Z285" s="148">
        <f>IF($Y285&gt;0,VLOOKUP($J285,Ruimtegroepen[],3,FALSE)*VLOOKUP($L285,Vloersoorten[],3,FALSE)*VLOOKUP($X285,Frequenties[],3,FALSE)*VLOOKUP(Ruimtestaat[[#This Row],[Code]],Locaties[],3,FALSE),0)</f>
        <v>0</v>
      </c>
      <c r="AA285" s="148">
        <f>Ruimtestaat[[#This Row],[Uitvoeringen weekend]]*Ruimtestaat[[#This Row],[Oppervlak (netto)]]</f>
        <v>0</v>
      </c>
      <c r="AB285" s="148">
        <f>IF(Z285&gt;0,Ruimtestaat[[#This Row],[Prest. (m2 /jaar) weekend]]/Ruimtestaat[[#This Row],[Norm (m2/uur) weekend]],0)</f>
        <v>0</v>
      </c>
      <c r="AC285" s="180">
        <f>Ruimtestaat[[#This Row],[uren / jaar weekend]]*Tariefsopbouw!$D$40</f>
        <v>0</v>
      </c>
      <c r="AD285" s="179">
        <f>Ruimtestaat[[#This Row],[Prest. (m2 /jaar) weekend]]+Ruimtestaat[[#This Row],[Prest. (m2 /jaar) werkdagen]]</f>
        <v>11400</v>
      </c>
      <c r="AE285" s="179">
        <f>Ruimtestaat[[#This Row],[uren / jaar weekend]]+Ruimtestaat[[#This Row],[uren / jaar werkdagen]]</f>
        <v>0</v>
      </c>
      <c r="AF285" s="174">
        <f>Ruimtestaat[[#This Row],[kosten / jaar weekend]]+Ruimtestaat[[#This Row],[kosten / jaar werkdagen]]</f>
        <v>0</v>
      </c>
      <c r="AG285" s="174"/>
      <c r="AH285" s="181" t="str">
        <f>IF(Ruimtestaat[[#This Row],[Frequentie werkdagen]]="","",_xlfn.CONCAT(Ruimtestaat[[#This Row],[Ruimte code]],"-",Ruimtestaat[[#This Row],[Frequentie werkdagen]]," ",Ruimtestaat[[#This Row],[Vloer code]]))</f>
        <v>16-5w L</v>
      </c>
      <c r="AI285" s="185" t="str">
        <f>_xlfn.IFNA(VLOOKUP($AH285,Programma!$F$3:$G$1101,2,0),"")</f>
        <v>_</v>
      </c>
      <c r="AJ285" s="185" t="str">
        <f>_xlfn.IFNA(VLOOKUP($AH285,Programma!$F$3:$H$1101,3,0),"")</f>
        <v>_</v>
      </c>
      <c r="AK285" s="185" t="str">
        <f>_xlfn.IFNA(VLOOKUP($AH285,Programma!$F$3:$I$1101,4,0),"")</f>
        <v>4w</v>
      </c>
      <c r="AL285" s="185" t="str">
        <f>_xlfn.IFNA(VLOOKUP($AH285,Programma!$F$3:$J$1101,5,0),"")</f>
        <v>1w</v>
      </c>
      <c r="AM285" s="185" t="str">
        <f>_xlfn.IFNA(VLOOKUP($AH285,Programma!$F$3:$K$1101,6,0),"")</f>
        <v>_</v>
      </c>
      <c r="AN285" s="185" t="str">
        <f>_xlfn.IFNA(VLOOKUP($AH285,Programma!$F$3:$L$1101,7,0),"")</f>
        <v>_</v>
      </c>
      <c r="AO285" s="185" t="str">
        <f>_xlfn.IFNA(VLOOKUP($AH285,Programma!$F$3:$M$1101,8,0),"")</f>
        <v>_</v>
      </c>
      <c r="AP285" s="185" t="str">
        <f>_xlfn.IFNA(VLOOKUP($AH285,Programma!$F$3:$N$1101,9,0),"")</f>
        <v>_</v>
      </c>
      <c r="AQ285" s="185" t="str">
        <f>_xlfn.IFNA(VLOOKUP($AH285,Programma!$F$3:$O$1101,10,0),"")</f>
        <v>5w</v>
      </c>
      <c r="AR285" s="185" t="str">
        <f>_xlfn.IFNA(VLOOKUP($AH285,Programma!$F$3:$P$1101,11,0),"")</f>
        <v>5w</v>
      </c>
      <c r="AS285" s="185" t="str">
        <f>_xlfn.IFNA(VLOOKUP($AH285,Programma!$F$3:$Q$1101,12,0),"")</f>
        <v>1w</v>
      </c>
      <c r="AT285" s="185" t="str">
        <f>_xlfn.IFNA(VLOOKUP($AH285,Programma!$F$3:$R$1101,13,0),"")</f>
        <v>1w</v>
      </c>
      <c r="AU285" s="185" t="str">
        <f>_xlfn.IFNA(VLOOKUP($AH285,Programma!$F$3:$S$1101,14,0),"")</f>
        <v>1m</v>
      </c>
      <c r="AV285" s="185" t="str">
        <f>_xlfn.IFNA(VLOOKUP($AH285,Programma!$F$3:$T$1101,15,0),"")</f>
        <v>2j</v>
      </c>
      <c r="AW285" s="185" t="str">
        <f>_xlfn.IFNA(VLOOKUP($AH285,Programma!$F$3:$U$1101,16,0),"")</f>
        <v>1j</v>
      </c>
      <c r="AX285" s="185" t="str">
        <f>_xlfn.IFNA(VLOOKUP($AH285,Programma!$F$3:$V$1101,17,0),"")</f>
        <v>_</v>
      </c>
      <c r="AY285" s="185" t="str">
        <f>_xlfn.IFNA(VLOOKUP($AH285,Programma!$F$3:$W$1101,18,0),"")</f>
        <v>_</v>
      </c>
      <c r="AZ285" s="185" t="str">
        <f>_xlfn.IFNA(VLOOKUP($AH285,Programma!$F$3:$X$1101,19,0),"")</f>
        <v>_</v>
      </c>
      <c r="BA285" s="185" t="str">
        <f>_xlfn.IFNA(VLOOKUP($AH285,Programma!$F$3:$Y$1101,20,0),"")</f>
        <v>_</v>
      </c>
      <c r="BB285" s="182"/>
      <c r="BC285" s="181" t="str">
        <f>IF(Ruimtestaat[[#This Row],[Frequentie weekend]]="","",_xlfn.CONCAT(Ruimtestaat[[#This Row],[Ruimte code]],"-",Ruimtestaat[[#This Row],[Frequentie weekend]]," ",Ruimtestaat[[#This Row],[Vloer code]]))</f>
        <v/>
      </c>
      <c r="BD285" s="185" t="str">
        <f>_xlfn.IFNA(VLOOKUP($BC285,Programma!$F$3:$G$1101,2,0),"")</f>
        <v/>
      </c>
      <c r="BE285" s="185" t="str">
        <f>_xlfn.IFNA(VLOOKUP($BC285,Programma!$F$3:$H$1101,3,0),"")</f>
        <v/>
      </c>
      <c r="BF285" s="185" t="str">
        <f>_xlfn.IFNA(VLOOKUP($BC285,Programma!$F$3:$I$1101,4,0),"")</f>
        <v/>
      </c>
      <c r="BG285" s="185" t="str">
        <f>_xlfn.IFNA(VLOOKUP($BC285,Programma!$F$3:$J$1101,5,0),"")</f>
        <v/>
      </c>
      <c r="BH285" s="185" t="str">
        <f>_xlfn.IFNA(VLOOKUP($BC285,Programma!$F$3:$K$1101,6,0),"")</f>
        <v/>
      </c>
      <c r="BI285" s="185" t="str">
        <f>_xlfn.IFNA(VLOOKUP($BC285,Programma!$F$3:$L$1101,7,0),"")</f>
        <v/>
      </c>
      <c r="BJ285" s="185" t="str">
        <f>_xlfn.IFNA(VLOOKUP($BC285,Programma!$F$3:$M$1101,8,0),"")</f>
        <v/>
      </c>
      <c r="BK285" s="185" t="str">
        <f>_xlfn.IFNA(VLOOKUP($BC285,Programma!$F$3:$N$1101,9,0),"")</f>
        <v/>
      </c>
      <c r="BL285" s="185" t="str">
        <f>_xlfn.IFNA(VLOOKUP($BC285,Programma!$F$3:$O$1101,10,0),"")</f>
        <v/>
      </c>
      <c r="BM285" s="185" t="str">
        <f>_xlfn.IFNA(VLOOKUP($BC285,Programma!$F$3:$P$1101,11,0),"")</f>
        <v/>
      </c>
      <c r="BN285" s="185" t="str">
        <f>_xlfn.IFNA(VLOOKUP($BC285,Programma!$F$3:$Q$1101,12,0),"")</f>
        <v/>
      </c>
      <c r="BO285" s="185" t="str">
        <f>_xlfn.IFNA(VLOOKUP($BC285,Programma!$F$3:$R$1101,13,0),"")</f>
        <v/>
      </c>
      <c r="BP285" s="185" t="str">
        <f>_xlfn.IFNA(VLOOKUP($BC285,Programma!$F$3:$S$1101,14,0),"")</f>
        <v/>
      </c>
      <c r="BQ285" s="185" t="str">
        <f>_xlfn.IFNA(VLOOKUP($BC285,Programma!$F$3:$T$1101,15,0),"")</f>
        <v/>
      </c>
      <c r="BR285" s="185" t="str">
        <f>_xlfn.IFNA(VLOOKUP($BC285,Programma!$F$3:$U$1101,16,0),"")</f>
        <v/>
      </c>
      <c r="BS285" s="185" t="str">
        <f>_xlfn.IFNA(VLOOKUP($BC285,Programma!$F$3:$V$1101,17,0),"")</f>
        <v/>
      </c>
      <c r="BT285" s="185" t="str">
        <f>_xlfn.IFNA(VLOOKUP($BC285,Programma!$F$3:$W$1101,18,0),"")</f>
        <v/>
      </c>
      <c r="BU285" s="185" t="str">
        <f>_xlfn.IFNA(VLOOKUP($BC285,Programma!$F$3:$X$1101,19,0),"")</f>
        <v/>
      </c>
      <c r="BV285" s="185" t="str">
        <f>_xlfn.IFNA(VLOOKUP($BC285,Programma!$F$3:$Y$1101,20,0),"")</f>
        <v/>
      </c>
    </row>
    <row r="286" spans="1:74" s="78" customFormat="1" ht="15" customHeight="1">
      <c r="A286" s="99">
        <v>9</v>
      </c>
      <c r="B286" s="176" t="str">
        <f>VLOOKUP(Ruimtestaat[[#This Row],[Code]],Locaties[[Code]:[Locatie]],2,FALSE)</f>
        <v>ODBS Europa</v>
      </c>
      <c r="C286" s="176" t="str">
        <f>VLOOKUP(Ruimtestaat[[#This Row],[Code]],Locaties[[#All],[Code]:[Adres]],4,FALSE)</f>
        <v>Belgiëlaan 75</v>
      </c>
      <c r="D286" s="176" t="str">
        <f>VLOOKUP(Ruimtestaat[[#This Row],[Code]],Locaties[[#All],[Code]:[Postcode]],5,FALSE)</f>
        <v>7543 ZJ</v>
      </c>
      <c r="E286" s="176" t="str">
        <f>VLOOKUP(Ruimtestaat[[#This Row],[Code]],Locaties[#All],6,FALSE)</f>
        <v>Enschede</v>
      </c>
      <c r="F286" s="149"/>
      <c r="G286" s="99" t="s">
        <v>1646</v>
      </c>
      <c r="H286" s="99" t="s">
        <v>1666</v>
      </c>
      <c r="I286" s="183" t="s">
        <v>1649</v>
      </c>
      <c r="J286" s="99">
        <v>2</v>
      </c>
      <c r="K286" s="183" t="str">
        <f>VLOOKUP(Ruimtestaat[[#This Row],[Ruimte code]],Ruimtegroepen[[#All],[Code]:[Ruimte omschrijving]],2,FALSE)</f>
        <v>Kantoren</v>
      </c>
      <c r="L286" s="149" t="s">
        <v>99</v>
      </c>
      <c r="M286" s="301" t="s">
        <v>36</v>
      </c>
      <c r="N286" s="177">
        <v>12</v>
      </c>
      <c r="O286" s="177"/>
      <c r="P286" s="178" t="str">
        <f>VLOOKUP(Ruimtestaat[[#This Row],[Ruimte code]],Ruimtegroepen[],4,FALSE)</f>
        <v>Bu</v>
      </c>
      <c r="Q286" s="149">
        <v>40</v>
      </c>
      <c r="R286" s="149" t="s">
        <v>18</v>
      </c>
      <c r="S286" s="149">
        <f>IF(Q286&gt;0,IF(RIGHT(Ruimtestaat[[#This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86" s="149">
        <f>IF(S286&gt;0,VLOOKUP($J286,Ruimtegroepen[],3,FALSE)*VLOOKUP($L286,Vloersoorten[],3,FALSE)*VLOOKUP($R286,Frequenties[],3,FALSE)*VLOOKUP($A286,Locaties[],3,FALSE),0)</f>
        <v>0</v>
      </c>
      <c r="U286" s="149">
        <f>Ruimtestaat[[#This Row],[Uitvoeringen werkdagen]]*Ruimtestaat[[#This Row],[Oppervlak (netto)]]</f>
        <v>1440</v>
      </c>
      <c r="V286" s="179">
        <f>IF(T286&gt;0,Ruimtestaat[[#This Row],[Prest. (m2 /jaar) werkdagen]]/Ruimtestaat[[#This Row],[Norm (m2/uur) werkdagen]],0)</f>
        <v>0</v>
      </c>
      <c r="W286" s="180">
        <f>Ruimtestaat[[#This Row],[uren / jaar werkdagen]]*Tariefsopbouw!$E$35</f>
        <v>0</v>
      </c>
      <c r="X286" s="149"/>
      <c r="Y286" s="149">
        <f>IF(Ruimtestaat[[#This Row],[Frequentie weekend]]&gt;0,VALUE(LEFT(X286,1))*Q286,0)</f>
        <v>0</v>
      </c>
      <c r="Z286" s="148">
        <f>IF($Y286&gt;0,VLOOKUP($J286,Ruimtegroepen[],3,FALSE)*VLOOKUP($L286,Vloersoorten[],3,FALSE)*VLOOKUP($X286,Frequenties[],3,FALSE)*VLOOKUP(Ruimtestaat[[#This Row],[Code]],Locaties[],3,FALSE),0)</f>
        <v>0</v>
      </c>
      <c r="AA286" s="148">
        <f>Ruimtestaat[[#This Row],[Uitvoeringen weekend]]*Ruimtestaat[[#This Row],[Oppervlak (netto)]]</f>
        <v>0</v>
      </c>
      <c r="AB286" s="148">
        <f>IF(Z286&gt;0,Ruimtestaat[[#This Row],[Prest. (m2 /jaar) weekend]]/Ruimtestaat[[#This Row],[Norm (m2/uur) weekend]],0)</f>
        <v>0</v>
      </c>
      <c r="AC286" s="180">
        <f>Ruimtestaat[[#This Row],[uren / jaar weekend]]*Tariefsopbouw!$D$40</f>
        <v>0</v>
      </c>
      <c r="AD286" s="179">
        <f>Ruimtestaat[[#This Row],[Prest. (m2 /jaar) weekend]]+Ruimtestaat[[#This Row],[Prest. (m2 /jaar) werkdagen]]</f>
        <v>1440</v>
      </c>
      <c r="AE286" s="179">
        <f>Ruimtestaat[[#This Row],[uren / jaar weekend]]+Ruimtestaat[[#This Row],[uren / jaar werkdagen]]</f>
        <v>0</v>
      </c>
      <c r="AF286" s="174">
        <f>Ruimtestaat[[#This Row],[kosten / jaar weekend]]+Ruimtestaat[[#This Row],[kosten / jaar werkdagen]]</f>
        <v>0</v>
      </c>
      <c r="AG286" s="174"/>
      <c r="AH286" s="181" t="str">
        <f>IF(Ruimtestaat[[#This Row],[Frequentie werkdagen]]="","",_xlfn.CONCAT(Ruimtestaat[[#This Row],[Ruimte code]],"-",Ruimtestaat[[#This Row],[Frequentie werkdagen]]," ",Ruimtestaat[[#This Row],[Vloer code]]))</f>
        <v>2-3w T</v>
      </c>
      <c r="AI286" s="185" t="str">
        <f>_xlfn.IFNA(VLOOKUP($AH286,Programma!$F$3:$G$1101,2,0),"")</f>
        <v>2w</v>
      </c>
      <c r="AJ286" s="185" t="str">
        <f>_xlfn.IFNA(VLOOKUP($AH286,Programma!$F$3:$H$1101,3,0),"")</f>
        <v>1w</v>
      </c>
      <c r="AK286" s="185" t="str">
        <f>_xlfn.IFNA(VLOOKUP($AH286,Programma!$F$3:$I$1101,4,0),"")</f>
        <v>_</v>
      </c>
      <c r="AL286" s="185" t="str">
        <f>_xlfn.IFNA(VLOOKUP($AH286,Programma!$F$3:$J$1101,5,0),"")</f>
        <v>_</v>
      </c>
      <c r="AM286" s="185" t="str">
        <f>_xlfn.IFNA(VLOOKUP($AH286,Programma!$F$3:$K$1101,6,0),"")</f>
        <v>_</v>
      </c>
      <c r="AN286" s="185" t="str">
        <f>_xlfn.IFNA(VLOOKUP($AH286,Programma!$F$3:$L$1101,7,0),"")</f>
        <v>_</v>
      </c>
      <c r="AO286" s="185" t="str">
        <f>_xlfn.IFNA(VLOOKUP($AH286,Programma!$F$3:$M$1101,8,0),"")</f>
        <v>_</v>
      </c>
      <c r="AP286" s="185" t="str">
        <f>_xlfn.IFNA(VLOOKUP($AH286,Programma!$F$3:$N$1101,9,0),"")</f>
        <v>_</v>
      </c>
      <c r="AQ286" s="185" t="str">
        <f>_xlfn.IFNA(VLOOKUP($AH286,Programma!$F$3:$O$1101,10,0),"")</f>
        <v>3w</v>
      </c>
      <c r="AR286" s="185" t="str">
        <f>_xlfn.IFNA(VLOOKUP($AH286,Programma!$F$3:$P$1101,11,0),"")</f>
        <v>3w</v>
      </c>
      <c r="AS286" s="185" t="str">
        <f>_xlfn.IFNA(VLOOKUP($AH286,Programma!$F$3:$Q$1101,12,0),"")</f>
        <v>1w</v>
      </c>
      <c r="AT286" s="185" t="str">
        <f>_xlfn.IFNA(VLOOKUP($AH286,Programma!$F$3:$R$1101,13,0),"")</f>
        <v>1w</v>
      </c>
      <c r="AU286" s="185" t="str">
        <f>_xlfn.IFNA(VLOOKUP($AH286,Programma!$F$3:$S$1101,14,0),"")</f>
        <v>1m</v>
      </c>
      <c r="AV286" s="185" t="str">
        <f>_xlfn.IFNA(VLOOKUP($AH286,Programma!$F$3:$T$1101,15,0),"")</f>
        <v>2j</v>
      </c>
      <c r="AW286" s="185" t="str">
        <f>_xlfn.IFNA(VLOOKUP($AH286,Programma!$F$3:$U$1101,16,0),"")</f>
        <v>1j</v>
      </c>
      <c r="AX286" s="185" t="str">
        <f>_xlfn.IFNA(VLOOKUP($AH286,Programma!$F$3:$V$1101,17,0),"")</f>
        <v>_</v>
      </c>
      <c r="AY286" s="185" t="str">
        <f>_xlfn.IFNA(VLOOKUP($AH286,Programma!$F$3:$W$1101,18,0),"")</f>
        <v>_</v>
      </c>
      <c r="AZ286" s="185" t="str">
        <f>_xlfn.IFNA(VLOOKUP($AH286,Programma!$F$3:$X$1101,19,0),"")</f>
        <v>_</v>
      </c>
      <c r="BA286" s="185" t="str">
        <f>_xlfn.IFNA(VLOOKUP($AH286,Programma!$F$3:$Y$1101,20,0),"")</f>
        <v>_</v>
      </c>
      <c r="BB286" s="182"/>
      <c r="BC286" s="181" t="str">
        <f>IF(Ruimtestaat[[#This Row],[Frequentie weekend]]="","",_xlfn.CONCAT(Ruimtestaat[[#This Row],[Ruimte code]],"-",Ruimtestaat[[#This Row],[Frequentie weekend]]," ",Ruimtestaat[[#This Row],[Vloer code]]))</f>
        <v/>
      </c>
      <c r="BD286" s="185" t="str">
        <f>_xlfn.IFNA(VLOOKUP($BC286,Programma!$F$3:$G$1101,2,0),"")</f>
        <v/>
      </c>
      <c r="BE286" s="185" t="str">
        <f>_xlfn.IFNA(VLOOKUP($BC286,Programma!$F$3:$H$1101,3,0),"")</f>
        <v/>
      </c>
      <c r="BF286" s="185" t="str">
        <f>_xlfn.IFNA(VLOOKUP($BC286,Programma!$F$3:$I$1101,4,0),"")</f>
        <v/>
      </c>
      <c r="BG286" s="185" t="str">
        <f>_xlfn.IFNA(VLOOKUP($BC286,Programma!$F$3:$J$1101,5,0),"")</f>
        <v/>
      </c>
      <c r="BH286" s="185" t="str">
        <f>_xlfn.IFNA(VLOOKUP($BC286,Programma!$F$3:$K$1101,6,0),"")</f>
        <v/>
      </c>
      <c r="BI286" s="185" t="str">
        <f>_xlfn.IFNA(VLOOKUP($BC286,Programma!$F$3:$L$1101,7,0),"")</f>
        <v/>
      </c>
      <c r="BJ286" s="185" t="str">
        <f>_xlfn.IFNA(VLOOKUP($BC286,Programma!$F$3:$M$1101,8,0),"")</f>
        <v/>
      </c>
      <c r="BK286" s="185" t="str">
        <f>_xlfn.IFNA(VLOOKUP($BC286,Programma!$F$3:$N$1101,9,0),"")</f>
        <v/>
      </c>
      <c r="BL286" s="185" t="str">
        <f>_xlfn.IFNA(VLOOKUP($BC286,Programma!$F$3:$O$1101,10,0),"")</f>
        <v/>
      </c>
      <c r="BM286" s="185" t="str">
        <f>_xlfn.IFNA(VLOOKUP($BC286,Programma!$F$3:$P$1101,11,0),"")</f>
        <v/>
      </c>
      <c r="BN286" s="185" t="str">
        <f>_xlfn.IFNA(VLOOKUP($BC286,Programma!$F$3:$Q$1101,12,0),"")</f>
        <v/>
      </c>
      <c r="BO286" s="185" t="str">
        <f>_xlfn.IFNA(VLOOKUP($BC286,Programma!$F$3:$R$1101,13,0),"")</f>
        <v/>
      </c>
      <c r="BP286" s="185" t="str">
        <f>_xlfn.IFNA(VLOOKUP($BC286,Programma!$F$3:$S$1101,14,0),"")</f>
        <v/>
      </c>
      <c r="BQ286" s="185" t="str">
        <f>_xlfn.IFNA(VLOOKUP($BC286,Programma!$F$3:$T$1101,15,0),"")</f>
        <v/>
      </c>
      <c r="BR286" s="185" t="str">
        <f>_xlfn.IFNA(VLOOKUP($BC286,Programma!$F$3:$U$1101,16,0),"")</f>
        <v/>
      </c>
      <c r="BS286" s="185" t="str">
        <f>_xlfn.IFNA(VLOOKUP($BC286,Programma!$F$3:$V$1101,17,0),"")</f>
        <v/>
      </c>
      <c r="BT286" s="185" t="str">
        <f>_xlfn.IFNA(VLOOKUP($BC286,Programma!$F$3:$W$1101,18,0),"")</f>
        <v/>
      </c>
      <c r="BU286" s="185" t="str">
        <f>_xlfn.IFNA(VLOOKUP($BC286,Programma!$F$3:$X$1101,19,0),"")</f>
        <v/>
      </c>
      <c r="BV286" s="185" t="str">
        <f>_xlfn.IFNA(VLOOKUP($BC286,Programma!$F$3:$Y$1101,20,0),"")</f>
        <v/>
      </c>
    </row>
    <row r="287" spans="1:74" s="78" customFormat="1" ht="15" customHeight="1">
      <c r="A287" s="99">
        <v>9</v>
      </c>
      <c r="B287" s="176" t="str">
        <f>VLOOKUP(Ruimtestaat[[#This Row],[Code]],Locaties[[Code]:[Locatie]],2,FALSE)</f>
        <v>ODBS Europa</v>
      </c>
      <c r="C287" s="176" t="str">
        <f>VLOOKUP(Ruimtestaat[[#This Row],[Code]],Locaties[[#All],[Code]:[Adres]],4,FALSE)</f>
        <v>Belgiëlaan 75</v>
      </c>
      <c r="D287" s="176" t="str">
        <f>VLOOKUP(Ruimtestaat[[#This Row],[Code]],Locaties[[#All],[Code]:[Postcode]],5,FALSE)</f>
        <v>7543 ZJ</v>
      </c>
      <c r="E287" s="176" t="str">
        <f>VLOOKUP(Ruimtestaat[[#This Row],[Code]],Locaties[#All],6,FALSE)</f>
        <v>Enschede</v>
      </c>
      <c r="F287" s="149"/>
      <c r="G287" s="99" t="s">
        <v>1646</v>
      </c>
      <c r="H287" s="99" t="s">
        <v>1668</v>
      </c>
      <c r="I287" s="183" t="s">
        <v>38</v>
      </c>
      <c r="J287" s="99">
        <v>7</v>
      </c>
      <c r="K287" s="183" t="str">
        <f>VLOOKUP(Ruimtestaat[[#This Row],[Ruimte code]],Ruimtegroepen[[#All],[Code]:[Ruimte omschrijving]],2,FALSE)</f>
        <v>Entree</v>
      </c>
      <c r="L287" s="149" t="s">
        <v>99</v>
      </c>
      <c r="M287" s="301" t="s">
        <v>36</v>
      </c>
      <c r="N287" s="177">
        <v>4.9000000000000004</v>
      </c>
      <c r="O287" s="177"/>
      <c r="P287" s="178" t="str">
        <f>VLOOKUP(Ruimtestaat[[#This Row],[Ruimte code]],Ruimtegroepen[],4,FALSE)</f>
        <v>Ve</v>
      </c>
      <c r="Q287" s="149">
        <v>40</v>
      </c>
      <c r="R287" s="149" t="s">
        <v>2</v>
      </c>
      <c r="S287" s="149">
        <f>IF(Q287&gt;0,IF(RIGHT(Ruimtestaat[[#This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7" s="149">
        <f>IF(S287&gt;0,VLOOKUP($J287,Ruimtegroepen[],3,FALSE)*VLOOKUP($L287,Vloersoorten[],3,FALSE)*VLOOKUP($R287,Frequenties[],3,FALSE)*VLOOKUP($A287,Locaties[],3,FALSE),0)</f>
        <v>0</v>
      </c>
      <c r="U287" s="149">
        <f>Ruimtestaat[[#This Row],[Uitvoeringen werkdagen]]*Ruimtestaat[[#This Row],[Oppervlak (netto)]]</f>
        <v>980.00000000000011</v>
      </c>
      <c r="V287" s="179">
        <f>IF(T287&gt;0,Ruimtestaat[[#This Row],[Prest. (m2 /jaar) werkdagen]]/Ruimtestaat[[#This Row],[Norm (m2/uur) werkdagen]],0)</f>
        <v>0</v>
      </c>
      <c r="W287" s="180">
        <f>Ruimtestaat[[#This Row],[uren / jaar werkdagen]]*Tariefsopbouw!$E$35</f>
        <v>0</v>
      </c>
      <c r="X287" s="149"/>
      <c r="Y287" s="149">
        <f>IF(Ruimtestaat[[#This Row],[Frequentie weekend]]&gt;0,VALUE(LEFT(X287,1))*Q287,0)</f>
        <v>0</v>
      </c>
      <c r="Z287" s="148">
        <f>IF($Y287&gt;0,VLOOKUP($J287,Ruimtegroepen[],3,FALSE)*VLOOKUP($L287,Vloersoorten[],3,FALSE)*VLOOKUP($X287,Frequenties[],3,FALSE)*VLOOKUP(Ruimtestaat[[#This Row],[Code]],Locaties[],3,FALSE),0)</f>
        <v>0</v>
      </c>
      <c r="AA287" s="148">
        <f>Ruimtestaat[[#This Row],[Uitvoeringen weekend]]*Ruimtestaat[[#This Row],[Oppervlak (netto)]]</f>
        <v>0</v>
      </c>
      <c r="AB287" s="148">
        <f>IF(Z287&gt;0,Ruimtestaat[[#This Row],[Prest. (m2 /jaar) weekend]]/Ruimtestaat[[#This Row],[Norm (m2/uur) weekend]],0)</f>
        <v>0</v>
      </c>
      <c r="AC287" s="180">
        <f>Ruimtestaat[[#This Row],[uren / jaar weekend]]*Tariefsopbouw!$D$40</f>
        <v>0</v>
      </c>
      <c r="AD287" s="179">
        <f>Ruimtestaat[[#This Row],[Prest. (m2 /jaar) weekend]]+Ruimtestaat[[#This Row],[Prest. (m2 /jaar) werkdagen]]</f>
        <v>980.00000000000011</v>
      </c>
      <c r="AE287" s="179">
        <f>Ruimtestaat[[#This Row],[uren / jaar weekend]]+Ruimtestaat[[#This Row],[uren / jaar werkdagen]]</f>
        <v>0</v>
      </c>
      <c r="AF287" s="174">
        <f>Ruimtestaat[[#This Row],[kosten / jaar weekend]]+Ruimtestaat[[#This Row],[kosten / jaar werkdagen]]</f>
        <v>0</v>
      </c>
      <c r="AG287" s="174"/>
      <c r="AH287" s="181" t="str">
        <f>IF(Ruimtestaat[[#This Row],[Frequentie werkdagen]]="","",_xlfn.CONCAT(Ruimtestaat[[#This Row],[Ruimte code]],"-",Ruimtestaat[[#This Row],[Frequentie werkdagen]]," ",Ruimtestaat[[#This Row],[Vloer code]]))</f>
        <v>7-5w T</v>
      </c>
      <c r="AI287" s="185" t="str">
        <f>_xlfn.IFNA(VLOOKUP($AH287,Programma!$F$3:$G$1101,2,0),"")</f>
        <v>_</v>
      </c>
      <c r="AJ287" s="185" t="str">
        <f>_xlfn.IFNA(VLOOKUP($AH287,Programma!$F$3:$H$1101,3,0),"")</f>
        <v>5w</v>
      </c>
      <c r="AK287" s="185" t="str">
        <f>_xlfn.IFNA(VLOOKUP($AH287,Programma!$F$3:$I$1101,4,0),"")</f>
        <v>_</v>
      </c>
      <c r="AL287" s="185" t="str">
        <f>_xlfn.IFNA(VLOOKUP($AH287,Programma!$F$3:$J$1101,5,0),"")</f>
        <v>_</v>
      </c>
      <c r="AM287" s="185" t="str">
        <f>_xlfn.IFNA(VLOOKUP($AH287,Programma!$F$3:$K$1101,6,0),"")</f>
        <v>_</v>
      </c>
      <c r="AN287" s="185" t="str">
        <f>_xlfn.IFNA(VLOOKUP($AH287,Programma!$F$3:$L$1101,7,0),"")</f>
        <v>_</v>
      </c>
      <c r="AO287" s="185" t="str">
        <f>_xlfn.IFNA(VLOOKUP($AH287,Programma!$F$3:$M$1101,8,0),"")</f>
        <v>_</v>
      </c>
      <c r="AP287" s="185" t="str">
        <f>_xlfn.IFNA(VLOOKUP($AH287,Programma!$F$3:$N$1101,9,0),"")</f>
        <v>_</v>
      </c>
      <c r="AQ287" s="185" t="str">
        <f>_xlfn.IFNA(VLOOKUP($AH287,Programma!$F$3:$O$1101,10,0),"")</f>
        <v>5w</v>
      </c>
      <c r="AR287" s="185" t="str">
        <f>_xlfn.IFNA(VLOOKUP($AH287,Programma!$F$3:$P$1101,11,0),"")</f>
        <v>5w</v>
      </c>
      <c r="AS287" s="185" t="str">
        <f>_xlfn.IFNA(VLOOKUP($AH287,Programma!$F$3:$Q$1101,12,0),"")</f>
        <v>1w</v>
      </c>
      <c r="AT287" s="185" t="str">
        <f>_xlfn.IFNA(VLOOKUP($AH287,Programma!$F$3:$R$1101,13,0),"")</f>
        <v>1w</v>
      </c>
      <c r="AU287" s="185" t="str">
        <f>_xlfn.IFNA(VLOOKUP($AH287,Programma!$F$3:$S$1101,14,0),"")</f>
        <v>1m</v>
      </c>
      <c r="AV287" s="185" t="str">
        <f>_xlfn.IFNA(VLOOKUP($AH287,Programma!$F$3:$T$1101,15,0),"")</f>
        <v>2j</v>
      </c>
      <c r="AW287" s="185" t="str">
        <f>_xlfn.IFNA(VLOOKUP($AH287,Programma!$F$3:$U$1101,16,0),"")</f>
        <v>1j</v>
      </c>
      <c r="AX287" s="185" t="str">
        <f>_xlfn.IFNA(VLOOKUP($AH287,Programma!$F$3:$V$1101,17,0),"")</f>
        <v>_</v>
      </c>
      <c r="AY287" s="185" t="str">
        <f>_xlfn.IFNA(VLOOKUP($AH287,Programma!$F$3:$W$1101,18,0),"")</f>
        <v>_</v>
      </c>
      <c r="AZ287" s="185" t="str">
        <f>_xlfn.IFNA(VLOOKUP($AH287,Programma!$F$3:$X$1101,19,0),"")</f>
        <v>_</v>
      </c>
      <c r="BA287" s="185" t="str">
        <f>_xlfn.IFNA(VLOOKUP($AH287,Programma!$F$3:$Y$1101,20,0),"")</f>
        <v>_</v>
      </c>
      <c r="BB287" s="182"/>
      <c r="BC287" s="181" t="str">
        <f>IF(Ruimtestaat[[#This Row],[Frequentie weekend]]="","",_xlfn.CONCAT(Ruimtestaat[[#This Row],[Ruimte code]],"-",Ruimtestaat[[#This Row],[Frequentie weekend]]," ",Ruimtestaat[[#This Row],[Vloer code]]))</f>
        <v/>
      </c>
      <c r="BD287" s="185" t="str">
        <f>_xlfn.IFNA(VLOOKUP($BC287,Programma!$F$3:$G$1101,2,0),"")</f>
        <v/>
      </c>
      <c r="BE287" s="185" t="str">
        <f>_xlfn.IFNA(VLOOKUP($BC287,Programma!$F$3:$H$1101,3,0),"")</f>
        <v/>
      </c>
      <c r="BF287" s="185" t="str">
        <f>_xlfn.IFNA(VLOOKUP($BC287,Programma!$F$3:$I$1101,4,0),"")</f>
        <v/>
      </c>
      <c r="BG287" s="185" t="str">
        <f>_xlfn.IFNA(VLOOKUP($BC287,Programma!$F$3:$J$1101,5,0),"")</f>
        <v/>
      </c>
      <c r="BH287" s="185" t="str">
        <f>_xlfn.IFNA(VLOOKUP($BC287,Programma!$F$3:$K$1101,6,0),"")</f>
        <v/>
      </c>
      <c r="BI287" s="185" t="str">
        <f>_xlfn.IFNA(VLOOKUP($BC287,Programma!$F$3:$L$1101,7,0),"")</f>
        <v/>
      </c>
      <c r="BJ287" s="185" t="str">
        <f>_xlfn.IFNA(VLOOKUP($BC287,Programma!$F$3:$M$1101,8,0),"")</f>
        <v/>
      </c>
      <c r="BK287" s="185" t="str">
        <f>_xlfn.IFNA(VLOOKUP($BC287,Programma!$F$3:$N$1101,9,0),"")</f>
        <v/>
      </c>
      <c r="BL287" s="185" t="str">
        <f>_xlfn.IFNA(VLOOKUP($BC287,Programma!$F$3:$O$1101,10,0),"")</f>
        <v/>
      </c>
      <c r="BM287" s="185" t="str">
        <f>_xlfn.IFNA(VLOOKUP($BC287,Programma!$F$3:$P$1101,11,0),"")</f>
        <v/>
      </c>
      <c r="BN287" s="185" t="str">
        <f>_xlfn.IFNA(VLOOKUP($BC287,Programma!$F$3:$Q$1101,12,0),"")</f>
        <v/>
      </c>
      <c r="BO287" s="185" t="str">
        <f>_xlfn.IFNA(VLOOKUP($BC287,Programma!$F$3:$R$1101,13,0),"")</f>
        <v/>
      </c>
      <c r="BP287" s="185" t="str">
        <f>_xlfn.IFNA(VLOOKUP($BC287,Programma!$F$3:$S$1101,14,0),"")</f>
        <v/>
      </c>
      <c r="BQ287" s="185" t="str">
        <f>_xlfn.IFNA(VLOOKUP($BC287,Programma!$F$3:$T$1101,15,0),"")</f>
        <v/>
      </c>
      <c r="BR287" s="185" t="str">
        <f>_xlfn.IFNA(VLOOKUP($BC287,Programma!$F$3:$U$1101,16,0),"")</f>
        <v/>
      </c>
      <c r="BS287" s="185" t="str">
        <f>_xlfn.IFNA(VLOOKUP($BC287,Programma!$F$3:$V$1101,17,0),"")</f>
        <v/>
      </c>
      <c r="BT287" s="185" t="str">
        <f>_xlfn.IFNA(VLOOKUP($BC287,Programma!$F$3:$W$1101,18,0),"")</f>
        <v/>
      </c>
      <c r="BU287" s="185" t="str">
        <f>_xlfn.IFNA(VLOOKUP($BC287,Programma!$F$3:$X$1101,19,0),"")</f>
        <v/>
      </c>
      <c r="BV287" s="185" t="str">
        <f>_xlfn.IFNA(VLOOKUP($BC287,Programma!$F$3:$Y$1101,20,0),"")</f>
        <v/>
      </c>
    </row>
    <row r="288" spans="1:74" s="78" customFormat="1" ht="15" customHeight="1">
      <c r="A288" s="99">
        <v>9</v>
      </c>
      <c r="B288" s="176" t="str">
        <f>VLOOKUP(Ruimtestaat[[#This Row],[Code]],Locaties[[Code]:[Locatie]],2,FALSE)</f>
        <v>ODBS Europa</v>
      </c>
      <c r="C288" s="176" t="str">
        <f>VLOOKUP(Ruimtestaat[[#This Row],[Code]],Locaties[[#All],[Code]:[Adres]],4,FALSE)</f>
        <v>Belgiëlaan 75</v>
      </c>
      <c r="D288" s="176" t="str">
        <f>VLOOKUP(Ruimtestaat[[#This Row],[Code]],Locaties[[#All],[Code]:[Postcode]],5,FALSE)</f>
        <v>7543 ZJ</v>
      </c>
      <c r="E288" s="176" t="str">
        <f>VLOOKUP(Ruimtestaat[[#This Row],[Code]],Locaties[#All],6,FALSE)</f>
        <v>Enschede</v>
      </c>
      <c r="F288" s="149"/>
      <c r="G288" s="99" t="s">
        <v>1646</v>
      </c>
      <c r="H288" s="99" t="s">
        <v>1669</v>
      </c>
      <c r="I288" s="183" t="s">
        <v>1651</v>
      </c>
      <c r="J288" s="99">
        <v>20</v>
      </c>
      <c r="K288" s="183" t="str">
        <f>VLOOKUP(Ruimtestaat[[#This Row],[Ruimte code]],Ruimtegroepen[[#All],[Code]:[Ruimte omschrijving]],2,FALSE)</f>
        <v>Niet in Onderhoud</v>
      </c>
      <c r="L288" s="149" t="s">
        <v>100</v>
      </c>
      <c r="M288" s="301" t="s">
        <v>1697</v>
      </c>
      <c r="N288" s="177"/>
      <c r="O288" s="177">
        <v>52.1</v>
      </c>
      <c r="P288" s="178">
        <f>VLOOKUP(Ruimtestaat[[#This Row],[Ruimte code]],Ruimtegroepen[],4,FALSE)</f>
        <v>0</v>
      </c>
      <c r="Q288" s="149"/>
      <c r="R288" s="149"/>
      <c r="S288" s="149">
        <f>IF(Q288&gt;0,IF(RIGHT(Ruimtestaat[[#This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88" s="149">
        <f>IF(S288&gt;0,VLOOKUP($J288,Ruimtegroepen[],3,FALSE)*VLOOKUP($L288,Vloersoorten[],3,FALSE)*VLOOKUP($R288,Frequenties[],3,FALSE)*VLOOKUP($A288,Locaties[],3,FALSE),0)</f>
        <v>0</v>
      </c>
      <c r="U288" s="149">
        <f>Ruimtestaat[[#This Row],[Uitvoeringen werkdagen]]*Ruimtestaat[[#This Row],[Oppervlak (netto)]]</f>
        <v>0</v>
      </c>
      <c r="V288" s="179">
        <f>IF(T288&gt;0,Ruimtestaat[[#This Row],[Prest. (m2 /jaar) werkdagen]]/Ruimtestaat[[#This Row],[Norm (m2/uur) werkdagen]],0)</f>
        <v>0</v>
      </c>
      <c r="W288" s="180">
        <f>Ruimtestaat[[#This Row],[uren / jaar werkdagen]]*Tariefsopbouw!$E$35</f>
        <v>0</v>
      </c>
      <c r="X288" s="149"/>
      <c r="Y288" s="149">
        <f>IF(Ruimtestaat[[#This Row],[Frequentie weekend]]&gt;0,VALUE(LEFT(X288,1))*Q288,0)</f>
        <v>0</v>
      </c>
      <c r="Z288" s="148">
        <f>IF($Y288&gt;0,VLOOKUP($J288,Ruimtegroepen[],3,FALSE)*VLOOKUP($L288,Vloersoorten[],3,FALSE)*VLOOKUP($X288,Frequenties[],3,FALSE)*VLOOKUP(Ruimtestaat[[#This Row],[Code]],Locaties[],3,FALSE),0)</f>
        <v>0</v>
      </c>
      <c r="AA288" s="148">
        <f>Ruimtestaat[[#This Row],[Uitvoeringen weekend]]*Ruimtestaat[[#This Row],[Oppervlak (netto)]]</f>
        <v>0</v>
      </c>
      <c r="AB288" s="148">
        <f>IF(Z288&gt;0,Ruimtestaat[[#This Row],[Prest. (m2 /jaar) weekend]]/Ruimtestaat[[#This Row],[Norm (m2/uur) weekend]],0)</f>
        <v>0</v>
      </c>
      <c r="AC288" s="180">
        <f>Ruimtestaat[[#This Row],[uren / jaar weekend]]*Tariefsopbouw!$D$40</f>
        <v>0</v>
      </c>
      <c r="AD288" s="179">
        <f>Ruimtestaat[[#This Row],[Prest. (m2 /jaar) weekend]]+Ruimtestaat[[#This Row],[Prest. (m2 /jaar) werkdagen]]</f>
        <v>0</v>
      </c>
      <c r="AE288" s="179">
        <f>Ruimtestaat[[#This Row],[uren / jaar weekend]]+Ruimtestaat[[#This Row],[uren / jaar werkdagen]]</f>
        <v>0</v>
      </c>
      <c r="AF288" s="174">
        <f>Ruimtestaat[[#This Row],[kosten / jaar weekend]]+Ruimtestaat[[#This Row],[kosten / jaar werkdagen]]</f>
        <v>0</v>
      </c>
      <c r="AG288" s="174"/>
      <c r="AH288" s="181" t="str">
        <f>IF(Ruimtestaat[[#This Row],[Frequentie werkdagen]]="","",_xlfn.CONCAT(Ruimtestaat[[#This Row],[Ruimte code]],"-",Ruimtestaat[[#This Row],[Frequentie werkdagen]]," ",Ruimtestaat[[#This Row],[Vloer code]]))</f>
        <v/>
      </c>
      <c r="AI288" s="185" t="str">
        <f>_xlfn.IFNA(VLOOKUP($AH288,Programma!$F$3:$G$1101,2,0),"")</f>
        <v/>
      </c>
      <c r="AJ288" s="185" t="str">
        <f>_xlfn.IFNA(VLOOKUP($AH288,Programma!$F$3:$H$1101,3,0),"")</f>
        <v/>
      </c>
      <c r="AK288" s="185" t="str">
        <f>_xlfn.IFNA(VLOOKUP($AH288,Programma!$F$3:$I$1101,4,0),"")</f>
        <v/>
      </c>
      <c r="AL288" s="185" t="str">
        <f>_xlfn.IFNA(VLOOKUP($AH288,Programma!$F$3:$J$1101,5,0),"")</f>
        <v/>
      </c>
      <c r="AM288" s="185" t="str">
        <f>_xlfn.IFNA(VLOOKUP($AH288,Programma!$F$3:$K$1101,6,0),"")</f>
        <v/>
      </c>
      <c r="AN288" s="185" t="str">
        <f>_xlfn.IFNA(VLOOKUP($AH288,Programma!$F$3:$L$1101,7,0),"")</f>
        <v/>
      </c>
      <c r="AO288" s="185" t="str">
        <f>_xlfn.IFNA(VLOOKUP($AH288,Programma!$F$3:$M$1101,8,0),"")</f>
        <v/>
      </c>
      <c r="AP288" s="185" t="str">
        <f>_xlfn.IFNA(VLOOKUP($AH288,Programma!$F$3:$N$1101,9,0),"")</f>
        <v/>
      </c>
      <c r="AQ288" s="185" t="str">
        <f>_xlfn.IFNA(VLOOKUP($AH288,Programma!$F$3:$O$1101,10,0),"")</f>
        <v/>
      </c>
      <c r="AR288" s="185" t="str">
        <f>_xlfn.IFNA(VLOOKUP($AH288,Programma!$F$3:$P$1101,11,0),"")</f>
        <v/>
      </c>
      <c r="AS288" s="185" t="str">
        <f>_xlfn.IFNA(VLOOKUP($AH288,Programma!$F$3:$Q$1101,12,0),"")</f>
        <v/>
      </c>
      <c r="AT288" s="185" t="str">
        <f>_xlfn.IFNA(VLOOKUP($AH288,Programma!$F$3:$R$1101,13,0),"")</f>
        <v/>
      </c>
      <c r="AU288" s="185" t="str">
        <f>_xlfn.IFNA(VLOOKUP($AH288,Programma!$F$3:$S$1101,14,0),"")</f>
        <v/>
      </c>
      <c r="AV288" s="185" t="str">
        <f>_xlfn.IFNA(VLOOKUP($AH288,Programma!$F$3:$T$1101,15,0),"")</f>
        <v/>
      </c>
      <c r="AW288" s="185" t="str">
        <f>_xlfn.IFNA(VLOOKUP($AH288,Programma!$F$3:$U$1101,16,0),"")</f>
        <v/>
      </c>
      <c r="AX288" s="185" t="str">
        <f>_xlfn.IFNA(VLOOKUP($AH288,Programma!$F$3:$V$1101,17,0),"")</f>
        <v/>
      </c>
      <c r="AY288" s="185" t="str">
        <f>_xlfn.IFNA(VLOOKUP($AH288,Programma!$F$3:$W$1101,18,0),"")</f>
        <v/>
      </c>
      <c r="AZ288" s="185" t="str">
        <f>_xlfn.IFNA(VLOOKUP($AH288,Programma!$F$3:$X$1101,19,0),"")</f>
        <v/>
      </c>
      <c r="BA288" s="185" t="str">
        <f>_xlfn.IFNA(VLOOKUP($AH288,Programma!$F$3:$Y$1101,20,0),"")</f>
        <v/>
      </c>
      <c r="BB288" s="182"/>
      <c r="BC288" s="181" t="str">
        <f>IF(Ruimtestaat[[#This Row],[Frequentie weekend]]="","",_xlfn.CONCAT(Ruimtestaat[[#This Row],[Ruimte code]],"-",Ruimtestaat[[#This Row],[Frequentie weekend]]," ",Ruimtestaat[[#This Row],[Vloer code]]))</f>
        <v/>
      </c>
      <c r="BD288" s="185" t="str">
        <f>_xlfn.IFNA(VLOOKUP($BC288,Programma!$F$3:$G$1101,2,0),"")</f>
        <v/>
      </c>
      <c r="BE288" s="185" t="str">
        <f>_xlfn.IFNA(VLOOKUP($BC288,Programma!$F$3:$H$1101,3,0),"")</f>
        <v/>
      </c>
      <c r="BF288" s="185" t="str">
        <f>_xlfn.IFNA(VLOOKUP($BC288,Programma!$F$3:$I$1101,4,0),"")</f>
        <v/>
      </c>
      <c r="BG288" s="185" t="str">
        <f>_xlfn.IFNA(VLOOKUP($BC288,Programma!$F$3:$J$1101,5,0),"")</f>
        <v/>
      </c>
      <c r="BH288" s="185" t="str">
        <f>_xlfn.IFNA(VLOOKUP($BC288,Programma!$F$3:$K$1101,6,0),"")</f>
        <v/>
      </c>
      <c r="BI288" s="185" t="str">
        <f>_xlfn.IFNA(VLOOKUP($BC288,Programma!$F$3:$L$1101,7,0),"")</f>
        <v/>
      </c>
      <c r="BJ288" s="185" t="str">
        <f>_xlfn.IFNA(VLOOKUP($BC288,Programma!$F$3:$M$1101,8,0),"")</f>
        <v/>
      </c>
      <c r="BK288" s="185" t="str">
        <f>_xlfn.IFNA(VLOOKUP($BC288,Programma!$F$3:$N$1101,9,0),"")</f>
        <v/>
      </c>
      <c r="BL288" s="185" t="str">
        <f>_xlfn.IFNA(VLOOKUP($BC288,Programma!$F$3:$O$1101,10,0),"")</f>
        <v/>
      </c>
      <c r="BM288" s="185" t="str">
        <f>_xlfn.IFNA(VLOOKUP($BC288,Programma!$F$3:$P$1101,11,0),"")</f>
        <v/>
      </c>
      <c r="BN288" s="185" t="str">
        <f>_xlfn.IFNA(VLOOKUP($BC288,Programma!$F$3:$Q$1101,12,0),"")</f>
        <v/>
      </c>
      <c r="BO288" s="185" t="str">
        <f>_xlfn.IFNA(VLOOKUP($BC288,Programma!$F$3:$R$1101,13,0),"")</f>
        <v/>
      </c>
      <c r="BP288" s="185" t="str">
        <f>_xlfn.IFNA(VLOOKUP($BC288,Programma!$F$3:$S$1101,14,0),"")</f>
        <v/>
      </c>
      <c r="BQ288" s="185" t="str">
        <f>_xlfn.IFNA(VLOOKUP($BC288,Programma!$F$3:$T$1101,15,0),"")</f>
        <v/>
      </c>
      <c r="BR288" s="185" t="str">
        <f>_xlfn.IFNA(VLOOKUP($BC288,Programma!$F$3:$U$1101,16,0),"")</f>
        <v/>
      </c>
      <c r="BS288" s="185" t="str">
        <f>_xlfn.IFNA(VLOOKUP($BC288,Programma!$F$3:$V$1101,17,0),"")</f>
        <v/>
      </c>
      <c r="BT288" s="185" t="str">
        <f>_xlfn.IFNA(VLOOKUP($BC288,Programma!$F$3:$W$1101,18,0),"")</f>
        <v/>
      </c>
      <c r="BU288" s="185" t="str">
        <f>_xlfn.IFNA(VLOOKUP($BC288,Programma!$F$3:$X$1101,19,0),"")</f>
        <v/>
      </c>
      <c r="BV288" s="185" t="str">
        <f>_xlfn.IFNA(VLOOKUP($BC288,Programma!$F$3:$Y$1101,20,0),"")</f>
        <v/>
      </c>
    </row>
    <row r="289" spans="1:74" s="78" customFormat="1" ht="15" customHeight="1">
      <c r="A289" s="99">
        <v>9</v>
      </c>
      <c r="B289" s="176" t="str">
        <f>VLOOKUP(Ruimtestaat[[#This Row],[Code]],Locaties[[Code]:[Locatie]],2,FALSE)</f>
        <v>ODBS Europa</v>
      </c>
      <c r="C289" s="176" t="str">
        <f>VLOOKUP(Ruimtestaat[[#This Row],[Code]],Locaties[[#All],[Code]:[Adres]],4,FALSE)</f>
        <v>Belgiëlaan 75</v>
      </c>
      <c r="D289" s="176" t="str">
        <f>VLOOKUP(Ruimtestaat[[#This Row],[Code]],Locaties[[#All],[Code]:[Postcode]],5,FALSE)</f>
        <v>7543 ZJ</v>
      </c>
      <c r="E289" s="176" t="str">
        <f>VLOOKUP(Ruimtestaat[[#This Row],[Code]],Locaties[#All],6,FALSE)</f>
        <v>Enschede</v>
      </c>
      <c r="F289" s="149"/>
      <c r="G289" s="99" t="s">
        <v>1646</v>
      </c>
      <c r="H289" s="99" t="s">
        <v>1670</v>
      </c>
      <c r="I289" s="183" t="s">
        <v>1690</v>
      </c>
      <c r="J289" s="99">
        <v>18</v>
      </c>
      <c r="K289" s="183" t="str">
        <f>VLOOKUP(Ruimtestaat[[#This Row],[Ruimte code]],Ruimtegroepen[[#All],[Code]:[Ruimte omschrijving]],2,FALSE)</f>
        <v>Gymzaal</v>
      </c>
      <c r="L289" s="149" t="s">
        <v>102</v>
      </c>
      <c r="M289" s="301" t="s">
        <v>1727</v>
      </c>
      <c r="N289" s="177">
        <v>91.6</v>
      </c>
      <c r="O289" s="177"/>
      <c r="P289" s="178" t="str">
        <f>VLOOKUP(Ruimtestaat[[#This Row],[Ruimte code]],Ruimtegroepen[],4,FALSE)</f>
        <v>Sp</v>
      </c>
      <c r="Q289" s="149">
        <v>40</v>
      </c>
      <c r="R289" s="149" t="s">
        <v>2</v>
      </c>
      <c r="S289" s="149">
        <f>IF(Q289&gt;0,IF(RIGHT(Ruimtestaat[[#This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9" s="149">
        <f>IF(S289&gt;0,VLOOKUP($J289,Ruimtegroepen[],3,FALSE)*VLOOKUP($L289,Vloersoorten[],3,FALSE)*VLOOKUP($R289,Frequenties[],3,FALSE)*VLOOKUP($A289,Locaties[],3,FALSE),0)</f>
        <v>0</v>
      </c>
      <c r="U289" s="149">
        <f>Ruimtestaat[[#This Row],[Uitvoeringen werkdagen]]*Ruimtestaat[[#This Row],[Oppervlak (netto)]]</f>
        <v>18320</v>
      </c>
      <c r="V289" s="179">
        <f>IF(T289&gt;0,Ruimtestaat[[#This Row],[Prest. (m2 /jaar) werkdagen]]/Ruimtestaat[[#This Row],[Norm (m2/uur) werkdagen]],0)</f>
        <v>0</v>
      </c>
      <c r="W289" s="180">
        <f>Ruimtestaat[[#This Row],[uren / jaar werkdagen]]*Tariefsopbouw!$E$35</f>
        <v>0</v>
      </c>
      <c r="X289" s="149"/>
      <c r="Y289" s="149">
        <f>IF(Ruimtestaat[[#This Row],[Frequentie weekend]]&gt;0,VALUE(LEFT(X289,1))*Q289,0)</f>
        <v>0</v>
      </c>
      <c r="Z289" s="148">
        <f>IF($Y289&gt;0,VLOOKUP($J289,Ruimtegroepen[],3,FALSE)*VLOOKUP($L289,Vloersoorten[],3,FALSE)*VLOOKUP($X289,Frequenties[],3,FALSE)*VLOOKUP(Ruimtestaat[[#This Row],[Code]],Locaties[],3,FALSE),0)</f>
        <v>0</v>
      </c>
      <c r="AA289" s="148">
        <f>Ruimtestaat[[#This Row],[Uitvoeringen weekend]]*Ruimtestaat[[#This Row],[Oppervlak (netto)]]</f>
        <v>0</v>
      </c>
      <c r="AB289" s="148">
        <f>IF(Z289&gt;0,Ruimtestaat[[#This Row],[Prest. (m2 /jaar) weekend]]/Ruimtestaat[[#This Row],[Norm (m2/uur) weekend]],0)</f>
        <v>0</v>
      </c>
      <c r="AC289" s="180">
        <f>Ruimtestaat[[#This Row],[uren / jaar weekend]]*Tariefsopbouw!$D$40</f>
        <v>0</v>
      </c>
      <c r="AD289" s="179">
        <f>Ruimtestaat[[#This Row],[Prest. (m2 /jaar) weekend]]+Ruimtestaat[[#This Row],[Prest. (m2 /jaar) werkdagen]]</f>
        <v>18320</v>
      </c>
      <c r="AE289" s="179">
        <f>Ruimtestaat[[#This Row],[uren / jaar weekend]]+Ruimtestaat[[#This Row],[uren / jaar werkdagen]]</f>
        <v>0</v>
      </c>
      <c r="AF289" s="174">
        <f>Ruimtestaat[[#This Row],[kosten / jaar weekend]]+Ruimtestaat[[#This Row],[kosten / jaar werkdagen]]</f>
        <v>0</v>
      </c>
      <c r="AG289" s="174"/>
      <c r="AH289" s="181" t="str">
        <f>IF(Ruimtestaat[[#This Row],[Frequentie werkdagen]]="","",_xlfn.CONCAT(Ruimtestaat[[#This Row],[Ruimte code]],"-",Ruimtestaat[[#This Row],[Frequentie werkdagen]]," ",Ruimtestaat[[#This Row],[Vloer code]]))</f>
        <v>18-5w P</v>
      </c>
      <c r="AI289" s="185" t="str">
        <f>_xlfn.IFNA(VLOOKUP($AH289,Programma!$F$3:$G$1101,2,0),"")</f>
        <v>_</v>
      </c>
      <c r="AJ289" s="185" t="str">
        <f>_xlfn.IFNA(VLOOKUP($AH289,Programma!$F$3:$H$1101,3,0),"")</f>
        <v>_</v>
      </c>
      <c r="AK289" s="185" t="str">
        <f>_xlfn.IFNA(VLOOKUP($AH289,Programma!$F$3:$I$1101,4,0),"")</f>
        <v>4w</v>
      </c>
      <c r="AL289" s="185" t="str">
        <f>_xlfn.IFNA(VLOOKUP($AH289,Programma!$F$3:$J$1101,5,0),"")</f>
        <v>1w</v>
      </c>
      <c r="AM289" s="185" t="str">
        <f>_xlfn.IFNA(VLOOKUP($AH289,Programma!$F$3:$K$1101,6,0),"")</f>
        <v>4j</v>
      </c>
      <c r="AN289" s="185" t="str">
        <f>_xlfn.IFNA(VLOOKUP($AH289,Programma!$F$3:$L$1101,7,0),"")</f>
        <v>_</v>
      </c>
      <c r="AO289" s="185" t="str">
        <f>_xlfn.IFNA(VLOOKUP($AH289,Programma!$F$3:$M$1101,8,0),"")</f>
        <v>_</v>
      </c>
      <c r="AP289" s="185" t="str">
        <f>_xlfn.IFNA(VLOOKUP($AH289,Programma!$F$3:$N$1101,9,0),"")</f>
        <v>_</v>
      </c>
      <c r="AQ289" s="185" t="str">
        <f>_xlfn.IFNA(VLOOKUP($AH289,Programma!$F$3:$O$1101,10,0),"")</f>
        <v>5w</v>
      </c>
      <c r="AR289" s="185" t="str">
        <f>_xlfn.IFNA(VLOOKUP($AH289,Programma!$F$3:$P$1101,11,0),"")</f>
        <v>5w</v>
      </c>
      <c r="AS289" s="185" t="str">
        <f>_xlfn.IFNA(VLOOKUP($AH289,Programma!$F$3:$Q$1101,12,0),"")</f>
        <v>5w</v>
      </c>
      <c r="AT289" s="185" t="str">
        <f>_xlfn.IFNA(VLOOKUP($AH289,Programma!$F$3:$R$1101,13,0),"")</f>
        <v>5w</v>
      </c>
      <c r="AU289" s="185" t="str">
        <f>_xlfn.IFNA(VLOOKUP($AH289,Programma!$F$3:$S$1101,14,0),"")</f>
        <v>1m</v>
      </c>
      <c r="AV289" s="185" t="str">
        <f>_xlfn.IFNA(VLOOKUP($AH289,Programma!$F$3:$T$1101,15,0),"")</f>
        <v>2j</v>
      </c>
      <c r="AW289" s="185" t="str">
        <f>_xlfn.IFNA(VLOOKUP($AH289,Programma!$F$3:$U$1101,16,0),"")</f>
        <v>1j</v>
      </c>
      <c r="AX289" s="185" t="str">
        <f>_xlfn.IFNA(VLOOKUP($AH289,Programma!$F$3:$V$1101,17,0),"")</f>
        <v>_</v>
      </c>
      <c r="AY289" s="185" t="str">
        <f>_xlfn.IFNA(VLOOKUP($AH289,Programma!$F$3:$W$1101,18,0),"")</f>
        <v>_</v>
      </c>
      <c r="AZ289" s="185" t="str">
        <f>_xlfn.IFNA(VLOOKUP($AH289,Programma!$F$3:$X$1101,19,0),"")</f>
        <v>_</v>
      </c>
      <c r="BA289" s="185" t="str">
        <f>_xlfn.IFNA(VLOOKUP($AH289,Programma!$F$3:$Y$1101,20,0),"")</f>
        <v>_</v>
      </c>
      <c r="BB289" s="182"/>
      <c r="BC289" s="181" t="str">
        <f>IF(Ruimtestaat[[#This Row],[Frequentie weekend]]="","",_xlfn.CONCAT(Ruimtestaat[[#This Row],[Ruimte code]],"-",Ruimtestaat[[#This Row],[Frequentie weekend]]," ",Ruimtestaat[[#This Row],[Vloer code]]))</f>
        <v/>
      </c>
      <c r="BD289" s="185" t="str">
        <f>_xlfn.IFNA(VLOOKUP($BC289,Programma!$F$3:$G$1101,2,0),"")</f>
        <v/>
      </c>
      <c r="BE289" s="185" t="str">
        <f>_xlfn.IFNA(VLOOKUP($BC289,Programma!$F$3:$H$1101,3,0),"")</f>
        <v/>
      </c>
      <c r="BF289" s="185" t="str">
        <f>_xlfn.IFNA(VLOOKUP($BC289,Programma!$F$3:$I$1101,4,0),"")</f>
        <v/>
      </c>
      <c r="BG289" s="185" t="str">
        <f>_xlfn.IFNA(VLOOKUP($BC289,Programma!$F$3:$J$1101,5,0),"")</f>
        <v/>
      </c>
      <c r="BH289" s="185" t="str">
        <f>_xlfn.IFNA(VLOOKUP($BC289,Programma!$F$3:$K$1101,6,0),"")</f>
        <v/>
      </c>
      <c r="BI289" s="185" t="str">
        <f>_xlfn.IFNA(VLOOKUP($BC289,Programma!$F$3:$L$1101,7,0),"")</f>
        <v/>
      </c>
      <c r="BJ289" s="185" t="str">
        <f>_xlfn.IFNA(VLOOKUP($BC289,Programma!$F$3:$M$1101,8,0),"")</f>
        <v/>
      </c>
      <c r="BK289" s="185" t="str">
        <f>_xlfn.IFNA(VLOOKUP($BC289,Programma!$F$3:$N$1101,9,0),"")</f>
        <v/>
      </c>
      <c r="BL289" s="185" t="str">
        <f>_xlfn.IFNA(VLOOKUP($BC289,Programma!$F$3:$O$1101,10,0),"")</f>
        <v/>
      </c>
      <c r="BM289" s="185" t="str">
        <f>_xlfn.IFNA(VLOOKUP($BC289,Programma!$F$3:$P$1101,11,0),"")</f>
        <v/>
      </c>
      <c r="BN289" s="185" t="str">
        <f>_xlfn.IFNA(VLOOKUP($BC289,Programma!$F$3:$Q$1101,12,0),"")</f>
        <v/>
      </c>
      <c r="BO289" s="185" t="str">
        <f>_xlfn.IFNA(VLOOKUP($BC289,Programma!$F$3:$R$1101,13,0),"")</f>
        <v/>
      </c>
      <c r="BP289" s="185" t="str">
        <f>_xlfn.IFNA(VLOOKUP($BC289,Programma!$F$3:$S$1101,14,0),"")</f>
        <v/>
      </c>
      <c r="BQ289" s="185" t="str">
        <f>_xlfn.IFNA(VLOOKUP($BC289,Programma!$F$3:$T$1101,15,0),"")</f>
        <v/>
      </c>
      <c r="BR289" s="185" t="str">
        <f>_xlfn.IFNA(VLOOKUP($BC289,Programma!$F$3:$U$1101,16,0),"")</f>
        <v/>
      </c>
      <c r="BS289" s="185" t="str">
        <f>_xlfn.IFNA(VLOOKUP($BC289,Programma!$F$3:$V$1101,17,0),"")</f>
        <v/>
      </c>
      <c r="BT289" s="185" t="str">
        <f>_xlfn.IFNA(VLOOKUP($BC289,Programma!$F$3:$W$1101,18,0),"")</f>
        <v/>
      </c>
      <c r="BU289" s="185" t="str">
        <f>_xlfn.IFNA(VLOOKUP($BC289,Programma!$F$3:$X$1101,19,0),"")</f>
        <v/>
      </c>
      <c r="BV289" s="185" t="str">
        <f>_xlfn.IFNA(VLOOKUP($BC289,Programma!$F$3:$Y$1101,20,0),"")</f>
        <v/>
      </c>
    </row>
    <row r="290" spans="1:74" s="78" customFormat="1" ht="15" customHeight="1">
      <c r="A290" s="99">
        <v>9</v>
      </c>
      <c r="B290" s="176" t="str">
        <f>VLOOKUP(Ruimtestaat[[#This Row],[Code]],Locaties[[Code]:[Locatie]],2,FALSE)</f>
        <v>ODBS Europa</v>
      </c>
      <c r="C290" s="176" t="str">
        <f>VLOOKUP(Ruimtestaat[[#This Row],[Code]],Locaties[[#All],[Code]:[Adres]],4,FALSE)</f>
        <v>Belgiëlaan 75</v>
      </c>
      <c r="D290" s="176" t="str">
        <f>VLOOKUP(Ruimtestaat[[#This Row],[Code]],Locaties[[#All],[Code]:[Postcode]],5,FALSE)</f>
        <v>7543 ZJ</v>
      </c>
      <c r="E290" s="176" t="str">
        <f>VLOOKUP(Ruimtestaat[[#This Row],[Code]],Locaties[#All],6,FALSE)</f>
        <v>Enschede</v>
      </c>
      <c r="F290" s="149"/>
      <c r="G290" s="99" t="s">
        <v>1646</v>
      </c>
      <c r="H290" s="99" t="s">
        <v>1671</v>
      </c>
      <c r="I290" s="183" t="s">
        <v>1655</v>
      </c>
      <c r="J290" s="99">
        <v>5</v>
      </c>
      <c r="K290" s="183" t="str">
        <f>VLOOKUP(Ruimtestaat[[#This Row],[Ruimte code]],Ruimtegroepen[[#All],[Code]:[Ruimte omschrijving]],2,FALSE)</f>
        <v>Sanitair</v>
      </c>
      <c r="L290" s="149" t="s">
        <v>101</v>
      </c>
      <c r="M290" s="301" t="s">
        <v>1682</v>
      </c>
      <c r="N290" s="177">
        <v>4.8</v>
      </c>
      <c r="O290" s="177"/>
      <c r="P290" s="178" t="str">
        <f>VLOOKUP(Ruimtestaat[[#This Row],[Ruimte code]],Ruimtegroepen[],4,FALSE)</f>
        <v>Sa</v>
      </c>
      <c r="Q290" s="149">
        <v>40</v>
      </c>
      <c r="R290" s="149" t="s">
        <v>2</v>
      </c>
      <c r="S290" s="149">
        <f>IF(Q290&gt;0,IF(RIGHT(Ruimtestaat[[#This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0" s="149">
        <f>IF(S290&gt;0,VLOOKUP($J290,Ruimtegroepen[],3,FALSE)*VLOOKUP($L290,Vloersoorten[],3,FALSE)*VLOOKUP($R290,Frequenties[],3,FALSE)*VLOOKUP($A290,Locaties[],3,FALSE),0)</f>
        <v>0</v>
      </c>
      <c r="U290" s="149">
        <f>Ruimtestaat[[#This Row],[Uitvoeringen werkdagen]]*Ruimtestaat[[#This Row],[Oppervlak (netto)]]</f>
        <v>960</v>
      </c>
      <c r="V290" s="179">
        <f>IF(T290&gt;0,Ruimtestaat[[#This Row],[Prest. (m2 /jaar) werkdagen]]/Ruimtestaat[[#This Row],[Norm (m2/uur) werkdagen]],0)</f>
        <v>0</v>
      </c>
      <c r="W290" s="180">
        <f>Ruimtestaat[[#This Row],[uren / jaar werkdagen]]*Tariefsopbouw!$E$35</f>
        <v>0</v>
      </c>
      <c r="X290" s="149"/>
      <c r="Y290" s="149">
        <f>IF(Ruimtestaat[[#This Row],[Frequentie weekend]]&gt;0,VALUE(LEFT(X290,1))*Q290,0)</f>
        <v>0</v>
      </c>
      <c r="Z290" s="148">
        <f>IF($Y290&gt;0,VLOOKUP($J290,Ruimtegroepen[],3,FALSE)*VLOOKUP($L290,Vloersoorten[],3,FALSE)*VLOOKUP($X290,Frequenties[],3,FALSE)*VLOOKUP(Ruimtestaat[[#This Row],[Code]],Locaties[],3,FALSE),0)</f>
        <v>0</v>
      </c>
      <c r="AA290" s="148">
        <f>Ruimtestaat[[#This Row],[Uitvoeringen weekend]]*Ruimtestaat[[#This Row],[Oppervlak (netto)]]</f>
        <v>0</v>
      </c>
      <c r="AB290" s="148">
        <f>IF(Z290&gt;0,Ruimtestaat[[#This Row],[Prest. (m2 /jaar) weekend]]/Ruimtestaat[[#This Row],[Norm (m2/uur) weekend]],0)</f>
        <v>0</v>
      </c>
      <c r="AC290" s="180">
        <f>Ruimtestaat[[#This Row],[uren / jaar weekend]]*Tariefsopbouw!$D$40</f>
        <v>0</v>
      </c>
      <c r="AD290" s="179">
        <f>Ruimtestaat[[#This Row],[Prest. (m2 /jaar) weekend]]+Ruimtestaat[[#This Row],[Prest. (m2 /jaar) werkdagen]]</f>
        <v>960</v>
      </c>
      <c r="AE290" s="179">
        <f>Ruimtestaat[[#This Row],[uren / jaar weekend]]+Ruimtestaat[[#This Row],[uren / jaar werkdagen]]</f>
        <v>0</v>
      </c>
      <c r="AF290" s="174">
        <f>Ruimtestaat[[#This Row],[kosten / jaar weekend]]+Ruimtestaat[[#This Row],[kosten / jaar werkdagen]]</f>
        <v>0</v>
      </c>
      <c r="AG290" s="174"/>
      <c r="AH290" s="181" t="str">
        <f>IF(Ruimtestaat[[#This Row],[Frequentie werkdagen]]="","",_xlfn.CONCAT(Ruimtestaat[[#This Row],[Ruimte code]],"-",Ruimtestaat[[#This Row],[Frequentie werkdagen]]," ",Ruimtestaat[[#This Row],[Vloer code]]))</f>
        <v>5-5w S</v>
      </c>
      <c r="AI290" s="185" t="str">
        <f>_xlfn.IFNA(VLOOKUP($AH290,Programma!$F$3:$G$1101,2,0),"")</f>
        <v>_</v>
      </c>
      <c r="AJ290" s="185" t="str">
        <f>_xlfn.IFNA(VLOOKUP($AH290,Programma!$F$3:$H$1101,3,0),"")</f>
        <v>_</v>
      </c>
      <c r="AK290" s="185" t="str">
        <f>_xlfn.IFNA(VLOOKUP($AH290,Programma!$F$3:$I$1101,4,0),"")</f>
        <v>_</v>
      </c>
      <c r="AL290" s="185" t="str">
        <f>_xlfn.IFNA(VLOOKUP($AH290,Programma!$F$3:$J$1101,5,0),"")</f>
        <v>4w</v>
      </c>
      <c r="AM290" s="185" t="str">
        <f>_xlfn.IFNA(VLOOKUP($AH290,Programma!$F$3:$K$1101,6,0),"")</f>
        <v>1w</v>
      </c>
      <c r="AN290" s="185" t="str">
        <f>_xlfn.IFNA(VLOOKUP($AH290,Programma!$F$3:$L$1101,7,0),"")</f>
        <v>_</v>
      </c>
      <c r="AO290" s="185" t="str">
        <f>_xlfn.IFNA(VLOOKUP($AH290,Programma!$F$3:$M$1101,8,0),"")</f>
        <v>_</v>
      </c>
      <c r="AP290" s="185" t="str">
        <f>_xlfn.IFNA(VLOOKUP($AH290,Programma!$F$3:$N$1101,9,0),"")</f>
        <v>_</v>
      </c>
      <c r="AQ290" s="185" t="str">
        <f>_xlfn.IFNA(VLOOKUP($AH290,Programma!$F$3:$O$1101,10,0),"")</f>
        <v>_</v>
      </c>
      <c r="AR290" s="185" t="str">
        <f>_xlfn.IFNA(VLOOKUP($AH290,Programma!$F$3:$P$1101,11,0),"")</f>
        <v>_</v>
      </c>
      <c r="AS290" s="185" t="str">
        <f>_xlfn.IFNA(VLOOKUP($AH290,Programma!$F$3:$Q$1101,12,0),"")</f>
        <v>_</v>
      </c>
      <c r="AT290" s="185" t="str">
        <f>_xlfn.IFNA(VLOOKUP($AH290,Programma!$F$3:$R$1101,13,0),"")</f>
        <v>_</v>
      </c>
      <c r="AU290" s="185" t="str">
        <f>_xlfn.IFNA(VLOOKUP($AH290,Programma!$F$3:$S$1101,14,0),"")</f>
        <v>_</v>
      </c>
      <c r="AV290" s="185" t="str">
        <f>_xlfn.IFNA(VLOOKUP($AH290,Programma!$F$3:$T$1101,15,0),"")</f>
        <v>_</v>
      </c>
      <c r="AW290" s="185" t="str">
        <f>_xlfn.IFNA(VLOOKUP($AH290,Programma!$F$3:$U$1101,16,0),"")</f>
        <v>_</v>
      </c>
      <c r="AX290" s="185" t="str">
        <f>_xlfn.IFNA(VLOOKUP($AH290,Programma!$F$3:$V$1101,17,0),"")</f>
        <v>_</v>
      </c>
      <c r="AY290" s="185" t="str">
        <f>_xlfn.IFNA(VLOOKUP($AH290,Programma!$F$3:$W$1101,18,0),"")</f>
        <v>4w</v>
      </c>
      <c r="AZ290" s="185" t="str">
        <f>_xlfn.IFNA(VLOOKUP($AH290,Programma!$F$3:$X$1101,19,0),"")</f>
        <v>1w</v>
      </c>
      <c r="BA290" s="185" t="str">
        <f>_xlfn.IFNA(VLOOKUP($AH290,Programma!$F$3:$Y$1101,20,0),"")</f>
        <v>_</v>
      </c>
      <c r="BB290" s="182"/>
      <c r="BC290" s="181" t="str">
        <f>IF(Ruimtestaat[[#This Row],[Frequentie weekend]]="","",_xlfn.CONCAT(Ruimtestaat[[#This Row],[Ruimte code]],"-",Ruimtestaat[[#This Row],[Frequentie weekend]]," ",Ruimtestaat[[#This Row],[Vloer code]]))</f>
        <v/>
      </c>
      <c r="BD290" s="185" t="str">
        <f>_xlfn.IFNA(VLOOKUP($BC290,Programma!$F$3:$G$1101,2,0),"")</f>
        <v/>
      </c>
      <c r="BE290" s="185" t="str">
        <f>_xlfn.IFNA(VLOOKUP($BC290,Programma!$F$3:$H$1101,3,0),"")</f>
        <v/>
      </c>
      <c r="BF290" s="185" t="str">
        <f>_xlfn.IFNA(VLOOKUP($BC290,Programma!$F$3:$I$1101,4,0),"")</f>
        <v/>
      </c>
      <c r="BG290" s="185" t="str">
        <f>_xlfn.IFNA(VLOOKUP($BC290,Programma!$F$3:$J$1101,5,0),"")</f>
        <v/>
      </c>
      <c r="BH290" s="185" t="str">
        <f>_xlfn.IFNA(VLOOKUP($BC290,Programma!$F$3:$K$1101,6,0),"")</f>
        <v/>
      </c>
      <c r="BI290" s="185" t="str">
        <f>_xlfn.IFNA(VLOOKUP($BC290,Programma!$F$3:$L$1101,7,0),"")</f>
        <v/>
      </c>
      <c r="BJ290" s="185" t="str">
        <f>_xlfn.IFNA(VLOOKUP($BC290,Programma!$F$3:$M$1101,8,0),"")</f>
        <v/>
      </c>
      <c r="BK290" s="185" t="str">
        <f>_xlfn.IFNA(VLOOKUP($BC290,Programma!$F$3:$N$1101,9,0),"")</f>
        <v/>
      </c>
      <c r="BL290" s="185" t="str">
        <f>_xlfn.IFNA(VLOOKUP($BC290,Programma!$F$3:$O$1101,10,0),"")</f>
        <v/>
      </c>
      <c r="BM290" s="185" t="str">
        <f>_xlfn.IFNA(VLOOKUP($BC290,Programma!$F$3:$P$1101,11,0),"")</f>
        <v/>
      </c>
      <c r="BN290" s="185" t="str">
        <f>_xlfn.IFNA(VLOOKUP($BC290,Programma!$F$3:$Q$1101,12,0),"")</f>
        <v/>
      </c>
      <c r="BO290" s="185" t="str">
        <f>_xlfn.IFNA(VLOOKUP($BC290,Programma!$F$3:$R$1101,13,0),"")</f>
        <v/>
      </c>
      <c r="BP290" s="185" t="str">
        <f>_xlfn.IFNA(VLOOKUP($BC290,Programma!$F$3:$S$1101,14,0),"")</f>
        <v/>
      </c>
      <c r="BQ290" s="185" t="str">
        <f>_xlfn.IFNA(VLOOKUP($BC290,Programma!$F$3:$T$1101,15,0),"")</f>
        <v/>
      </c>
      <c r="BR290" s="185" t="str">
        <f>_xlfn.IFNA(VLOOKUP($BC290,Programma!$F$3:$U$1101,16,0),"")</f>
        <v/>
      </c>
      <c r="BS290" s="185" t="str">
        <f>_xlfn.IFNA(VLOOKUP($BC290,Programma!$F$3:$V$1101,17,0),"")</f>
        <v/>
      </c>
      <c r="BT290" s="185" t="str">
        <f>_xlfn.IFNA(VLOOKUP($BC290,Programma!$F$3:$W$1101,18,0),"")</f>
        <v/>
      </c>
      <c r="BU290" s="185" t="str">
        <f>_xlfn.IFNA(VLOOKUP($BC290,Programma!$F$3:$X$1101,19,0),"")</f>
        <v/>
      </c>
      <c r="BV290" s="185" t="str">
        <f>_xlfn.IFNA(VLOOKUP($BC290,Programma!$F$3:$Y$1101,20,0),"")</f>
        <v/>
      </c>
    </row>
    <row r="291" spans="1:74" s="78" customFormat="1" ht="15" customHeight="1">
      <c r="A291" s="99">
        <v>9</v>
      </c>
      <c r="B291" s="176" t="str">
        <f>VLOOKUP(Ruimtestaat[[#This Row],[Code]],Locaties[[Code]:[Locatie]],2,FALSE)</f>
        <v>ODBS Europa</v>
      </c>
      <c r="C291" s="176" t="str">
        <f>VLOOKUP(Ruimtestaat[[#This Row],[Code]],Locaties[[#All],[Code]:[Adres]],4,FALSE)</f>
        <v>Belgiëlaan 75</v>
      </c>
      <c r="D291" s="176" t="str">
        <f>VLOOKUP(Ruimtestaat[[#This Row],[Code]],Locaties[[#All],[Code]:[Postcode]],5,FALSE)</f>
        <v>7543 ZJ</v>
      </c>
      <c r="E291" s="176" t="str">
        <f>VLOOKUP(Ruimtestaat[[#This Row],[Code]],Locaties[#All],6,FALSE)</f>
        <v>Enschede</v>
      </c>
      <c r="F291" s="149"/>
      <c r="G291" s="99" t="s">
        <v>1646</v>
      </c>
      <c r="H291" s="99" t="s">
        <v>1672</v>
      </c>
      <c r="I291" s="183" t="s">
        <v>1649</v>
      </c>
      <c r="J291" s="99">
        <v>2</v>
      </c>
      <c r="K291" s="183" t="str">
        <f>VLOOKUP(Ruimtestaat[[#This Row],[Ruimte code]],Ruimtegroepen[[#All],[Code]:[Ruimte omschrijving]],2,FALSE)</f>
        <v>Kantoren</v>
      </c>
      <c r="L291" s="149" t="s">
        <v>99</v>
      </c>
      <c r="M291" s="301" t="s">
        <v>36</v>
      </c>
      <c r="N291" s="177">
        <v>25.3</v>
      </c>
      <c r="O291" s="177"/>
      <c r="P291" s="178" t="str">
        <f>VLOOKUP(Ruimtestaat[[#This Row],[Ruimte code]],Ruimtegroepen[],4,FALSE)</f>
        <v>Bu</v>
      </c>
      <c r="Q291" s="149">
        <v>40</v>
      </c>
      <c r="R291" s="149" t="s">
        <v>18</v>
      </c>
      <c r="S291" s="149">
        <f>IF(Q291&gt;0,IF(RIGHT(Ruimtestaat[[#This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291" s="149">
        <f>IF(S291&gt;0,VLOOKUP($J291,Ruimtegroepen[],3,FALSE)*VLOOKUP($L291,Vloersoorten[],3,FALSE)*VLOOKUP($R291,Frequenties[],3,FALSE)*VLOOKUP($A291,Locaties[],3,FALSE),0)</f>
        <v>0</v>
      </c>
      <c r="U291" s="149">
        <f>Ruimtestaat[[#This Row],[Uitvoeringen werkdagen]]*Ruimtestaat[[#This Row],[Oppervlak (netto)]]</f>
        <v>3036</v>
      </c>
      <c r="V291" s="179">
        <f>IF(T291&gt;0,Ruimtestaat[[#This Row],[Prest. (m2 /jaar) werkdagen]]/Ruimtestaat[[#This Row],[Norm (m2/uur) werkdagen]],0)</f>
        <v>0</v>
      </c>
      <c r="W291" s="180">
        <f>Ruimtestaat[[#This Row],[uren / jaar werkdagen]]*Tariefsopbouw!$E$35</f>
        <v>0</v>
      </c>
      <c r="X291" s="149"/>
      <c r="Y291" s="149">
        <f>IF(Ruimtestaat[[#This Row],[Frequentie weekend]]&gt;0,VALUE(LEFT(X291,1))*Q291,0)</f>
        <v>0</v>
      </c>
      <c r="Z291" s="148">
        <f>IF($Y291&gt;0,VLOOKUP($J291,Ruimtegroepen[],3,FALSE)*VLOOKUP($L291,Vloersoorten[],3,FALSE)*VLOOKUP($X291,Frequenties[],3,FALSE)*VLOOKUP(Ruimtestaat[[#This Row],[Code]],Locaties[],3,FALSE),0)</f>
        <v>0</v>
      </c>
      <c r="AA291" s="148">
        <f>Ruimtestaat[[#This Row],[Uitvoeringen weekend]]*Ruimtestaat[[#This Row],[Oppervlak (netto)]]</f>
        <v>0</v>
      </c>
      <c r="AB291" s="148">
        <f>IF(Z291&gt;0,Ruimtestaat[[#This Row],[Prest. (m2 /jaar) weekend]]/Ruimtestaat[[#This Row],[Norm (m2/uur) weekend]],0)</f>
        <v>0</v>
      </c>
      <c r="AC291" s="180">
        <f>Ruimtestaat[[#This Row],[uren / jaar weekend]]*Tariefsopbouw!$D$40</f>
        <v>0</v>
      </c>
      <c r="AD291" s="179">
        <f>Ruimtestaat[[#This Row],[Prest. (m2 /jaar) weekend]]+Ruimtestaat[[#This Row],[Prest. (m2 /jaar) werkdagen]]</f>
        <v>3036</v>
      </c>
      <c r="AE291" s="179">
        <f>Ruimtestaat[[#This Row],[uren / jaar weekend]]+Ruimtestaat[[#This Row],[uren / jaar werkdagen]]</f>
        <v>0</v>
      </c>
      <c r="AF291" s="174">
        <f>Ruimtestaat[[#This Row],[kosten / jaar weekend]]+Ruimtestaat[[#This Row],[kosten / jaar werkdagen]]</f>
        <v>0</v>
      </c>
      <c r="AG291" s="174"/>
      <c r="AH291" s="181" t="str">
        <f>IF(Ruimtestaat[[#This Row],[Frequentie werkdagen]]="","",_xlfn.CONCAT(Ruimtestaat[[#This Row],[Ruimte code]],"-",Ruimtestaat[[#This Row],[Frequentie werkdagen]]," ",Ruimtestaat[[#This Row],[Vloer code]]))</f>
        <v>2-3w T</v>
      </c>
      <c r="AI291" s="185" t="str">
        <f>_xlfn.IFNA(VLOOKUP($AH291,Programma!$F$3:$G$1101,2,0),"")</f>
        <v>2w</v>
      </c>
      <c r="AJ291" s="185" t="str">
        <f>_xlfn.IFNA(VLOOKUP($AH291,Programma!$F$3:$H$1101,3,0),"")</f>
        <v>1w</v>
      </c>
      <c r="AK291" s="185" t="str">
        <f>_xlfn.IFNA(VLOOKUP($AH291,Programma!$F$3:$I$1101,4,0),"")</f>
        <v>_</v>
      </c>
      <c r="AL291" s="185" t="str">
        <f>_xlfn.IFNA(VLOOKUP($AH291,Programma!$F$3:$J$1101,5,0),"")</f>
        <v>_</v>
      </c>
      <c r="AM291" s="185" t="str">
        <f>_xlfn.IFNA(VLOOKUP($AH291,Programma!$F$3:$K$1101,6,0),"")</f>
        <v>_</v>
      </c>
      <c r="AN291" s="185" t="str">
        <f>_xlfn.IFNA(VLOOKUP($AH291,Programma!$F$3:$L$1101,7,0),"")</f>
        <v>_</v>
      </c>
      <c r="AO291" s="185" t="str">
        <f>_xlfn.IFNA(VLOOKUP($AH291,Programma!$F$3:$M$1101,8,0),"")</f>
        <v>_</v>
      </c>
      <c r="AP291" s="185" t="str">
        <f>_xlfn.IFNA(VLOOKUP($AH291,Programma!$F$3:$N$1101,9,0),"")</f>
        <v>_</v>
      </c>
      <c r="AQ291" s="185" t="str">
        <f>_xlfn.IFNA(VLOOKUP($AH291,Programma!$F$3:$O$1101,10,0),"")</f>
        <v>3w</v>
      </c>
      <c r="AR291" s="185" t="str">
        <f>_xlfn.IFNA(VLOOKUP($AH291,Programma!$F$3:$P$1101,11,0),"")</f>
        <v>3w</v>
      </c>
      <c r="AS291" s="185" t="str">
        <f>_xlfn.IFNA(VLOOKUP($AH291,Programma!$F$3:$Q$1101,12,0),"")</f>
        <v>1w</v>
      </c>
      <c r="AT291" s="185" t="str">
        <f>_xlfn.IFNA(VLOOKUP($AH291,Programma!$F$3:$R$1101,13,0),"")</f>
        <v>1w</v>
      </c>
      <c r="AU291" s="185" t="str">
        <f>_xlfn.IFNA(VLOOKUP($AH291,Programma!$F$3:$S$1101,14,0),"")</f>
        <v>1m</v>
      </c>
      <c r="AV291" s="185" t="str">
        <f>_xlfn.IFNA(VLOOKUP($AH291,Programma!$F$3:$T$1101,15,0),"")</f>
        <v>2j</v>
      </c>
      <c r="AW291" s="185" t="str">
        <f>_xlfn.IFNA(VLOOKUP($AH291,Programma!$F$3:$U$1101,16,0),"")</f>
        <v>1j</v>
      </c>
      <c r="AX291" s="185" t="str">
        <f>_xlfn.IFNA(VLOOKUP($AH291,Programma!$F$3:$V$1101,17,0),"")</f>
        <v>_</v>
      </c>
      <c r="AY291" s="185" t="str">
        <f>_xlfn.IFNA(VLOOKUP($AH291,Programma!$F$3:$W$1101,18,0),"")</f>
        <v>_</v>
      </c>
      <c r="AZ291" s="185" t="str">
        <f>_xlfn.IFNA(VLOOKUP($AH291,Programma!$F$3:$X$1101,19,0),"")</f>
        <v>_</v>
      </c>
      <c r="BA291" s="185" t="str">
        <f>_xlfn.IFNA(VLOOKUP($AH291,Programma!$F$3:$Y$1101,20,0),"")</f>
        <v>_</v>
      </c>
      <c r="BB291" s="182"/>
      <c r="BC291" s="181" t="str">
        <f>IF(Ruimtestaat[[#This Row],[Frequentie weekend]]="","",_xlfn.CONCAT(Ruimtestaat[[#This Row],[Ruimte code]],"-",Ruimtestaat[[#This Row],[Frequentie weekend]]," ",Ruimtestaat[[#This Row],[Vloer code]]))</f>
        <v/>
      </c>
      <c r="BD291" s="185" t="str">
        <f>_xlfn.IFNA(VLOOKUP($BC291,Programma!$F$3:$G$1101,2,0),"")</f>
        <v/>
      </c>
      <c r="BE291" s="185" t="str">
        <f>_xlfn.IFNA(VLOOKUP($BC291,Programma!$F$3:$H$1101,3,0),"")</f>
        <v/>
      </c>
      <c r="BF291" s="185" t="str">
        <f>_xlfn.IFNA(VLOOKUP($BC291,Programma!$F$3:$I$1101,4,0),"")</f>
        <v/>
      </c>
      <c r="BG291" s="185" t="str">
        <f>_xlfn.IFNA(VLOOKUP($BC291,Programma!$F$3:$J$1101,5,0),"")</f>
        <v/>
      </c>
      <c r="BH291" s="185" t="str">
        <f>_xlfn.IFNA(VLOOKUP($BC291,Programma!$F$3:$K$1101,6,0),"")</f>
        <v/>
      </c>
      <c r="BI291" s="185" t="str">
        <f>_xlfn.IFNA(VLOOKUP($BC291,Programma!$F$3:$L$1101,7,0),"")</f>
        <v/>
      </c>
      <c r="BJ291" s="185" t="str">
        <f>_xlfn.IFNA(VLOOKUP($BC291,Programma!$F$3:$M$1101,8,0),"")</f>
        <v/>
      </c>
      <c r="BK291" s="185" t="str">
        <f>_xlfn.IFNA(VLOOKUP($BC291,Programma!$F$3:$N$1101,9,0),"")</f>
        <v/>
      </c>
      <c r="BL291" s="185" t="str">
        <f>_xlfn.IFNA(VLOOKUP($BC291,Programma!$F$3:$O$1101,10,0),"")</f>
        <v/>
      </c>
      <c r="BM291" s="185" t="str">
        <f>_xlfn.IFNA(VLOOKUP($BC291,Programma!$F$3:$P$1101,11,0),"")</f>
        <v/>
      </c>
      <c r="BN291" s="185" t="str">
        <f>_xlfn.IFNA(VLOOKUP($BC291,Programma!$F$3:$Q$1101,12,0),"")</f>
        <v/>
      </c>
      <c r="BO291" s="185" t="str">
        <f>_xlfn.IFNA(VLOOKUP($BC291,Programma!$F$3:$R$1101,13,0),"")</f>
        <v/>
      </c>
      <c r="BP291" s="185" t="str">
        <f>_xlfn.IFNA(VLOOKUP($BC291,Programma!$F$3:$S$1101,14,0),"")</f>
        <v/>
      </c>
      <c r="BQ291" s="185" t="str">
        <f>_xlfn.IFNA(VLOOKUP($BC291,Programma!$F$3:$T$1101,15,0),"")</f>
        <v/>
      </c>
      <c r="BR291" s="185" t="str">
        <f>_xlfn.IFNA(VLOOKUP($BC291,Programma!$F$3:$U$1101,16,0),"")</f>
        <v/>
      </c>
      <c r="BS291" s="185" t="str">
        <f>_xlfn.IFNA(VLOOKUP($BC291,Programma!$F$3:$V$1101,17,0),"")</f>
        <v/>
      </c>
      <c r="BT291" s="185" t="str">
        <f>_xlfn.IFNA(VLOOKUP($BC291,Programma!$F$3:$W$1101,18,0),"")</f>
        <v/>
      </c>
      <c r="BU291" s="185" t="str">
        <f>_xlfn.IFNA(VLOOKUP($BC291,Programma!$F$3:$X$1101,19,0),"")</f>
        <v/>
      </c>
      <c r="BV291" s="185" t="str">
        <f>_xlfn.IFNA(VLOOKUP($BC291,Programma!$F$3:$Y$1101,20,0),"")</f>
        <v/>
      </c>
    </row>
    <row r="292" spans="1:74" s="78" customFormat="1" ht="15" customHeight="1">
      <c r="A292" s="99">
        <v>9</v>
      </c>
      <c r="B292" s="176" t="str">
        <f>VLOOKUP(Ruimtestaat[[#This Row],[Code]],Locaties[[Code]:[Locatie]],2,FALSE)</f>
        <v>ODBS Europa</v>
      </c>
      <c r="C292" s="176" t="str">
        <f>VLOOKUP(Ruimtestaat[[#This Row],[Code]],Locaties[[#All],[Code]:[Adres]],4,FALSE)</f>
        <v>Belgiëlaan 75</v>
      </c>
      <c r="D292" s="176" t="str">
        <f>VLOOKUP(Ruimtestaat[[#This Row],[Code]],Locaties[[#All],[Code]:[Postcode]],5,FALSE)</f>
        <v>7543 ZJ</v>
      </c>
      <c r="E292" s="176" t="str">
        <f>VLOOKUP(Ruimtestaat[[#This Row],[Code]],Locaties[#All],6,FALSE)</f>
        <v>Enschede</v>
      </c>
      <c r="F292" s="149"/>
      <c r="G292" s="99" t="s">
        <v>1646</v>
      </c>
      <c r="H292" s="99" t="s">
        <v>1673</v>
      </c>
      <c r="I292" s="183" t="s">
        <v>1651</v>
      </c>
      <c r="J292" s="99">
        <v>16</v>
      </c>
      <c r="K292" s="183" t="str">
        <f>VLOOKUP(Ruimtestaat[[#This Row],[Ruimte code]],Ruimtegroepen[[#All],[Code]:[Ruimte omschrijving]],2,FALSE)</f>
        <v>Leslokalen</v>
      </c>
      <c r="L292" s="149" t="s">
        <v>100</v>
      </c>
      <c r="M292" s="301" t="s">
        <v>1697</v>
      </c>
      <c r="N292" s="177">
        <v>54.7</v>
      </c>
      <c r="O292" s="177"/>
      <c r="P292" s="178" t="str">
        <f>VLOOKUP(Ruimtestaat[[#This Row],[Ruimte code]],Ruimtegroepen[],4,FALSE)</f>
        <v>Le</v>
      </c>
      <c r="Q292" s="149">
        <v>40</v>
      </c>
      <c r="R292" s="149" t="s">
        <v>2</v>
      </c>
      <c r="S292" s="149">
        <f>IF(Q292&gt;0,IF(RIGHT(Ruimtestaat[[#This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2" s="149">
        <f>IF(S292&gt;0,VLOOKUP($J292,Ruimtegroepen[],3,FALSE)*VLOOKUP($L292,Vloersoorten[],3,FALSE)*VLOOKUP($R292,Frequenties[],3,FALSE)*VLOOKUP($A292,Locaties[],3,FALSE),0)</f>
        <v>0</v>
      </c>
      <c r="U292" s="149">
        <f>Ruimtestaat[[#This Row],[Uitvoeringen werkdagen]]*Ruimtestaat[[#This Row],[Oppervlak (netto)]]</f>
        <v>10940</v>
      </c>
      <c r="V292" s="179">
        <f>IF(T292&gt;0,Ruimtestaat[[#This Row],[Prest. (m2 /jaar) werkdagen]]/Ruimtestaat[[#This Row],[Norm (m2/uur) werkdagen]],0)</f>
        <v>0</v>
      </c>
      <c r="W292" s="180">
        <f>Ruimtestaat[[#This Row],[uren / jaar werkdagen]]*Tariefsopbouw!$E$35</f>
        <v>0</v>
      </c>
      <c r="X292" s="149"/>
      <c r="Y292" s="149">
        <f>IF(Ruimtestaat[[#This Row],[Frequentie weekend]]&gt;0,VALUE(LEFT(X292,1))*Q292,0)</f>
        <v>0</v>
      </c>
      <c r="Z292" s="148">
        <f>IF($Y292&gt;0,VLOOKUP($J292,Ruimtegroepen[],3,FALSE)*VLOOKUP($L292,Vloersoorten[],3,FALSE)*VLOOKUP($X292,Frequenties[],3,FALSE)*VLOOKUP(Ruimtestaat[[#This Row],[Code]],Locaties[],3,FALSE),0)</f>
        <v>0</v>
      </c>
      <c r="AA292" s="148">
        <f>Ruimtestaat[[#This Row],[Uitvoeringen weekend]]*Ruimtestaat[[#This Row],[Oppervlak (netto)]]</f>
        <v>0</v>
      </c>
      <c r="AB292" s="148">
        <f>IF(Z292&gt;0,Ruimtestaat[[#This Row],[Prest. (m2 /jaar) weekend]]/Ruimtestaat[[#This Row],[Norm (m2/uur) weekend]],0)</f>
        <v>0</v>
      </c>
      <c r="AC292" s="180">
        <f>Ruimtestaat[[#This Row],[uren / jaar weekend]]*Tariefsopbouw!$D$40</f>
        <v>0</v>
      </c>
      <c r="AD292" s="179">
        <f>Ruimtestaat[[#This Row],[Prest. (m2 /jaar) weekend]]+Ruimtestaat[[#This Row],[Prest. (m2 /jaar) werkdagen]]</f>
        <v>10940</v>
      </c>
      <c r="AE292" s="179">
        <f>Ruimtestaat[[#This Row],[uren / jaar weekend]]+Ruimtestaat[[#This Row],[uren / jaar werkdagen]]</f>
        <v>0</v>
      </c>
      <c r="AF292" s="174">
        <f>Ruimtestaat[[#This Row],[kosten / jaar weekend]]+Ruimtestaat[[#This Row],[kosten / jaar werkdagen]]</f>
        <v>0</v>
      </c>
      <c r="AG292" s="174"/>
      <c r="AH292" s="181" t="str">
        <f>IF(Ruimtestaat[[#This Row],[Frequentie werkdagen]]="","",_xlfn.CONCAT(Ruimtestaat[[#This Row],[Ruimte code]],"-",Ruimtestaat[[#This Row],[Frequentie werkdagen]]," ",Ruimtestaat[[#This Row],[Vloer code]]))</f>
        <v>16-5w L</v>
      </c>
      <c r="AI292" s="185" t="str">
        <f>_xlfn.IFNA(VLOOKUP($AH292,Programma!$F$3:$G$1101,2,0),"")</f>
        <v>_</v>
      </c>
      <c r="AJ292" s="185" t="str">
        <f>_xlfn.IFNA(VLOOKUP($AH292,Programma!$F$3:$H$1101,3,0),"")</f>
        <v>_</v>
      </c>
      <c r="AK292" s="185" t="str">
        <f>_xlfn.IFNA(VLOOKUP($AH292,Programma!$F$3:$I$1101,4,0),"")</f>
        <v>4w</v>
      </c>
      <c r="AL292" s="185" t="str">
        <f>_xlfn.IFNA(VLOOKUP($AH292,Programma!$F$3:$J$1101,5,0),"")</f>
        <v>1w</v>
      </c>
      <c r="AM292" s="185" t="str">
        <f>_xlfn.IFNA(VLOOKUP($AH292,Programma!$F$3:$K$1101,6,0),"")</f>
        <v>_</v>
      </c>
      <c r="AN292" s="185" t="str">
        <f>_xlfn.IFNA(VLOOKUP($AH292,Programma!$F$3:$L$1101,7,0),"")</f>
        <v>_</v>
      </c>
      <c r="AO292" s="185" t="str">
        <f>_xlfn.IFNA(VLOOKUP($AH292,Programma!$F$3:$M$1101,8,0),"")</f>
        <v>_</v>
      </c>
      <c r="AP292" s="185" t="str">
        <f>_xlfn.IFNA(VLOOKUP($AH292,Programma!$F$3:$N$1101,9,0),"")</f>
        <v>_</v>
      </c>
      <c r="AQ292" s="185" t="str">
        <f>_xlfn.IFNA(VLOOKUP($AH292,Programma!$F$3:$O$1101,10,0),"")</f>
        <v>5w</v>
      </c>
      <c r="AR292" s="185" t="str">
        <f>_xlfn.IFNA(VLOOKUP($AH292,Programma!$F$3:$P$1101,11,0),"")</f>
        <v>5w</v>
      </c>
      <c r="AS292" s="185" t="str">
        <f>_xlfn.IFNA(VLOOKUP($AH292,Programma!$F$3:$Q$1101,12,0),"")</f>
        <v>1w</v>
      </c>
      <c r="AT292" s="185" t="str">
        <f>_xlfn.IFNA(VLOOKUP($AH292,Programma!$F$3:$R$1101,13,0),"")</f>
        <v>1w</v>
      </c>
      <c r="AU292" s="185" t="str">
        <f>_xlfn.IFNA(VLOOKUP($AH292,Programma!$F$3:$S$1101,14,0),"")</f>
        <v>1m</v>
      </c>
      <c r="AV292" s="185" t="str">
        <f>_xlfn.IFNA(VLOOKUP($AH292,Programma!$F$3:$T$1101,15,0),"")</f>
        <v>2j</v>
      </c>
      <c r="AW292" s="185" t="str">
        <f>_xlfn.IFNA(VLOOKUP($AH292,Programma!$F$3:$U$1101,16,0),"")</f>
        <v>1j</v>
      </c>
      <c r="AX292" s="185" t="str">
        <f>_xlfn.IFNA(VLOOKUP($AH292,Programma!$F$3:$V$1101,17,0),"")</f>
        <v>_</v>
      </c>
      <c r="AY292" s="185" t="str">
        <f>_xlfn.IFNA(VLOOKUP($AH292,Programma!$F$3:$W$1101,18,0),"")</f>
        <v>_</v>
      </c>
      <c r="AZ292" s="185" t="str">
        <f>_xlfn.IFNA(VLOOKUP($AH292,Programma!$F$3:$X$1101,19,0),"")</f>
        <v>_</v>
      </c>
      <c r="BA292" s="185" t="str">
        <f>_xlfn.IFNA(VLOOKUP($AH292,Programma!$F$3:$Y$1101,20,0),"")</f>
        <v>_</v>
      </c>
      <c r="BB292" s="182"/>
      <c r="BC292" s="181" t="str">
        <f>IF(Ruimtestaat[[#This Row],[Frequentie weekend]]="","",_xlfn.CONCAT(Ruimtestaat[[#This Row],[Ruimte code]],"-",Ruimtestaat[[#This Row],[Frequentie weekend]]," ",Ruimtestaat[[#This Row],[Vloer code]]))</f>
        <v/>
      </c>
      <c r="BD292" s="185" t="str">
        <f>_xlfn.IFNA(VLOOKUP($BC292,Programma!$F$3:$G$1101,2,0),"")</f>
        <v/>
      </c>
      <c r="BE292" s="185" t="str">
        <f>_xlfn.IFNA(VLOOKUP($BC292,Programma!$F$3:$H$1101,3,0),"")</f>
        <v/>
      </c>
      <c r="BF292" s="185" t="str">
        <f>_xlfn.IFNA(VLOOKUP($BC292,Programma!$F$3:$I$1101,4,0),"")</f>
        <v/>
      </c>
      <c r="BG292" s="185" t="str">
        <f>_xlfn.IFNA(VLOOKUP($BC292,Programma!$F$3:$J$1101,5,0),"")</f>
        <v/>
      </c>
      <c r="BH292" s="185" t="str">
        <f>_xlfn.IFNA(VLOOKUP($BC292,Programma!$F$3:$K$1101,6,0),"")</f>
        <v/>
      </c>
      <c r="BI292" s="185" t="str">
        <f>_xlfn.IFNA(VLOOKUP($BC292,Programma!$F$3:$L$1101,7,0),"")</f>
        <v/>
      </c>
      <c r="BJ292" s="185" t="str">
        <f>_xlfn.IFNA(VLOOKUP($BC292,Programma!$F$3:$M$1101,8,0),"")</f>
        <v/>
      </c>
      <c r="BK292" s="185" t="str">
        <f>_xlfn.IFNA(VLOOKUP($BC292,Programma!$F$3:$N$1101,9,0),"")</f>
        <v/>
      </c>
      <c r="BL292" s="185" t="str">
        <f>_xlfn.IFNA(VLOOKUP($BC292,Programma!$F$3:$O$1101,10,0),"")</f>
        <v/>
      </c>
      <c r="BM292" s="185" t="str">
        <f>_xlfn.IFNA(VLOOKUP($BC292,Programma!$F$3:$P$1101,11,0),"")</f>
        <v/>
      </c>
      <c r="BN292" s="185" t="str">
        <f>_xlfn.IFNA(VLOOKUP($BC292,Programma!$F$3:$Q$1101,12,0),"")</f>
        <v/>
      </c>
      <c r="BO292" s="185" t="str">
        <f>_xlfn.IFNA(VLOOKUP($BC292,Programma!$F$3:$R$1101,13,0),"")</f>
        <v/>
      </c>
      <c r="BP292" s="185" t="str">
        <f>_xlfn.IFNA(VLOOKUP($BC292,Programma!$F$3:$S$1101,14,0),"")</f>
        <v/>
      </c>
      <c r="BQ292" s="185" t="str">
        <f>_xlfn.IFNA(VLOOKUP($BC292,Programma!$F$3:$T$1101,15,0),"")</f>
        <v/>
      </c>
      <c r="BR292" s="185" t="str">
        <f>_xlfn.IFNA(VLOOKUP($BC292,Programma!$F$3:$U$1101,16,0),"")</f>
        <v/>
      </c>
      <c r="BS292" s="185" t="str">
        <f>_xlfn.IFNA(VLOOKUP($BC292,Programma!$F$3:$V$1101,17,0),"")</f>
        <v/>
      </c>
      <c r="BT292" s="185" t="str">
        <f>_xlfn.IFNA(VLOOKUP($BC292,Programma!$F$3:$W$1101,18,0),"")</f>
        <v/>
      </c>
      <c r="BU292" s="185" t="str">
        <f>_xlfn.IFNA(VLOOKUP($BC292,Programma!$F$3:$X$1101,19,0),"")</f>
        <v/>
      </c>
      <c r="BV292" s="185" t="str">
        <f>_xlfn.IFNA(VLOOKUP($BC292,Programma!$F$3:$Y$1101,20,0),"")</f>
        <v/>
      </c>
    </row>
    <row r="293" spans="1:74" s="78" customFormat="1" ht="15" customHeight="1">
      <c r="A293" s="99">
        <v>9</v>
      </c>
      <c r="B293" s="176" t="str">
        <f>VLOOKUP(Ruimtestaat[[#This Row],[Code]],Locaties[[Code]:[Locatie]],2,FALSE)</f>
        <v>ODBS Europa</v>
      </c>
      <c r="C293" s="176" t="str">
        <f>VLOOKUP(Ruimtestaat[[#This Row],[Code]],Locaties[[#All],[Code]:[Adres]],4,FALSE)</f>
        <v>Belgiëlaan 75</v>
      </c>
      <c r="D293" s="176" t="str">
        <f>VLOOKUP(Ruimtestaat[[#This Row],[Code]],Locaties[[#All],[Code]:[Postcode]],5,FALSE)</f>
        <v>7543 ZJ</v>
      </c>
      <c r="E293" s="176" t="str">
        <f>VLOOKUP(Ruimtestaat[[#This Row],[Code]],Locaties[#All],6,FALSE)</f>
        <v>Enschede</v>
      </c>
      <c r="F293" s="149"/>
      <c r="G293" s="99" t="s">
        <v>1646</v>
      </c>
      <c r="H293" s="99" t="s">
        <v>1674</v>
      </c>
      <c r="I293" s="183" t="s">
        <v>1651</v>
      </c>
      <c r="J293" s="99">
        <v>16</v>
      </c>
      <c r="K293" s="183" t="str">
        <f>VLOOKUP(Ruimtestaat[[#This Row],[Ruimte code]],Ruimtegroepen[[#All],[Code]:[Ruimte omschrijving]],2,FALSE)</f>
        <v>Leslokalen</v>
      </c>
      <c r="L293" s="149" t="s">
        <v>100</v>
      </c>
      <c r="M293" s="301" t="s">
        <v>1697</v>
      </c>
      <c r="N293" s="177">
        <v>53.8</v>
      </c>
      <c r="O293" s="177"/>
      <c r="P293" s="178" t="str">
        <f>VLOOKUP(Ruimtestaat[[#This Row],[Ruimte code]],Ruimtegroepen[],4,FALSE)</f>
        <v>Le</v>
      </c>
      <c r="Q293" s="149">
        <v>40</v>
      </c>
      <c r="R293" s="149" t="s">
        <v>2</v>
      </c>
      <c r="S293" s="149">
        <f>IF(Q293&gt;0,IF(RIGHT(Ruimtestaat[[#This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3" s="149">
        <f>IF(S293&gt;0,VLOOKUP($J293,Ruimtegroepen[],3,FALSE)*VLOOKUP($L293,Vloersoorten[],3,FALSE)*VLOOKUP($R293,Frequenties[],3,FALSE)*VLOOKUP($A293,Locaties[],3,FALSE),0)</f>
        <v>0</v>
      </c>
      <c r="U293" s="149">
        <f>Ruimtestaat[[#This Row],[Uitvoeringen werkdagen]]*Ruimtestaat[[#This Row],[Oppervlak (netto)]]</f>
        <v>10760</v>
      </c>
      <c r="V293" s="179">
        <f>IF(T293&gt;0,Ruimtestaat[[#This Row],[Prest. (m2 /jaar) werkdagen]]/Ruimtestaat[[#This Row],[Norm (m2/uur) werkdagen]],0)</f>
        <v>0</v>
      </c>
      <c r="W293" s="180">
        <f>Ruimtestaat[[#This Row],[uren / jaar werkdagen]]*Tariefsopbouw!$E$35</f>
        <v>0</v>
      </c>
      <c r="X293" s="149"/>
      <c r="Y293" s="149">
        <f>IF(Ruimtestaat[[#This Row],[Frequentie weekend]]&gt;0,VALUE(LEFT(X293,1))*Q293,0)</f>
        <v>0</v>
      </c>
      <c r="Z293" s="148">
        <f>IF($Y293&gt;0,VLOOKUP($J293,Ruimtegroepen[],3,FALSE)*VLOOKUP($L293,Vloersoorten[],3,FALSE)*VLOOKUP($X293,Frequenties[],3,FALSE)*VLOOKUP(Ruimtestaat[[#This Row],[Code]],Locaties[],3,FALSE),0)</f>
        <v>0</v>
      </c>
      <c r="AA293" s="148">
        <f>Ruimtestaat[[#This Row],[Uitvoeringen weekend]]*Ruimtestaat[[#This Row],[Oppervlak (netto)]]</f>
        <v>0</v>
      </c>
      <c r="AB293" s="148">
        <f>IF(Z293&gt;0,Ruimtestaat[[#This Row],[Prest. (m2 /jaar) weekend]]/Ruimtestaat[[#This Row],[Norm (m2/uur) weekend]],0)</f>
        <v>0</v>
      </c>
      <c r="AC293" s="180">
        <f>Ruimtestaat[[#This Row],[uren / jaar weekend]]*Tariefsopbouw!$D$40</f>
        <v>0</v>
      </c>
      <c r="AD293" s="179">
        <f>Ruimtestaat[[#This Row],[Prest. (m2 /jaar) weekend]]+Ruimtestaat[[#This Row],[Prest. (m2 /jaar) werkdagen]]</f>
        <v>10760</v>
      </c>
      <c r="AE293" s="179">
        <f>Ruimtestaat[[#This Row],[uren / jaar weekend]]+Ruimtestaat[[#This Row],[uren / jaar werkdagen]]</f>
        <v>0</v>
      </c>
      <c r="AF293" s="174">
        <f>Ruimtestaat[[#This Row],[kosten / jaar weekend]]+Ruimtestaat[[#This Row],[kosten / jaar werkdagen]]</f>
        <v>0</v>
      </c>
      <c r="AG293" s="174"/>
      <c r="AH293" s="181" t="str">
        <f>IF(Ruimtestaat[[#This Row],[Frequentie werkdagen]]="","",_xlfn.CONCAT(Ruimtestaat[[#This Row],[Ruimte code]],"-",Ruimtestaat[[#This Row],[Frequentie werkdagen]]," ",Ruimtestaat[[#This Row],[Vloer code]]))</f>
        <v>16-5w L</v>
      </c>
      <c r="AI293" s="185" t="str">
        <f>_xlfn.IFNA(VLOOKUP($AH293,Programma!$F$3:$G$1101,2,0),"")</f>
        <v>_</v>
      </c>
      <c r="AJ293" s="185" t="str">
        <f>_xlfn.IFNA(VLOOKUP($AH293,Programma!$F$3:$H$1101,3,0),"")</f>
        <v>_</v>
      </c>
      <c r="AK293" s="185" t="str">
        <f>_xlfn.IFNA(VLOOKUP($AH293,Programma!$F$3:$I$1101,4,0),"")</f>
        <v>4w</v>
      </c>
      <c r="AL293" s="185" t="str">
        <f>_xlfn.IFNA(VLOOKUP($AH293,Programma!$F$3:$J$1101,5,0),"")</f>
        <v>1w</v>
      </c>
      <c r="AM293" s="185" t="str">
        <f>_xlfn.IFNA(VLOOKUP($AH293,Programma!$F$3:$K$1101,6,0),"")</f>
        <v>_</v>
      </c>
      <c r="AN293" s="185" t="str">
        <f>_xlfn.IFNA(VLOOKUP($AH293,Programma!$F$3:$L$1101,7,0),"")</f>
        <v>_</v>
      </c>
      <c r="AO293" s="185" t="str">
        <f>_xlfn.IFNA(VLOOKUP($AH293,Programma!$F$3:$M$1101,8,0),"")</f>
        <v>_</v>
      </c>
      <c r="AP293" s="185" t="str">
        <f>_xlfn.IFNA(VLOOKUP($AH293,Programma!$F$3:$N$1101,9,0),"")</f>
        <v>_</v>
      </c>
      <c r="AQ293" s="185" t="str">
        <f>_xlfn.IFNA(VLOOKUP($AH293,Programma!$F$3:$O$1101,10,0),"")</f>
        <v>5w</v>
      </c>
      <c r="AR293" s="185" t="str">
        <f>_xlfn.IFNA(VLOOKUP($AH293,Programma!$F$3:$P$1101,11,0),"")</f>
        <v>5w</v>
      </c>
      <c r="AS293" s="185" t="str">
        <f>_xlfn.IFNA(VLOOKUP($AH293,Programma!$F$3:$Q$1101,12,0),"")</f>
        <v>1w</v>
      </c>
      <c r="AT293" s="185" t="str">
        <f>_xlfn.IFNA(VLOOKUP($AH293,Programma!$F$3:$R$1101,13,0),"")</f>
        <v>1w</v>
      </c>
      <c r="AU293" s="185" t="str">
        <f>_xlfn.IFNA(VLOOKUP($AH293,Programma!$F$3:$S$1101,14,0),"")</f>
        <v>1m</v>
      </c>
      <c r="AV293" s="185" t="str">
        <f>_xlfn.IFNA(VLOOKUP($AH293,Programma!$F$3:$T$1101,15,0),"")</f>
        <v>2j</v>
      </c>
      <c r="AW293" s="185" t="str">
        <f>_xlfn.IFNA(VLOOKUP($AH293,Programma!$F$3:$U$1101,16,0),"")</f>
        <v>1j</v>
      </c>
      <c r="AX293" s="185" t="str">
        <f>_xlfn.IFNA(VLOOKUP($AH293,Programma!$F$3:$V$1101,17,0),"")</f>
        <v>_</v>
      </c>
      <c r="AY293" s="185" t="str">
        <f>_xlfn.IFNA(VLOOKUP($AH293,Programma!$F$3:$W$1101,18,0),"")</f>
        <v>_</v>
      </c>
      <c r="AZ293" s="185" t="str">
        <f>_xlfn.IFNA(VLOOKUP($AH293,Programma!$F$3:$X$1101,19,0),"")</f>
        <v>_</v>
      </c>
      <c r="BA293" s="185" t="str">
        <f>_xlfn.IFNA(VLOOKUP($AH293,Programma!$F$3:$Y$1101,20,0),"")</f>
        <v>_</v>
      </c>
      <c r="BB293" s="182"/>
      <c r="BC293" s="181" t="str">
        <f>IF(Ruimtestaat[[#This Row],[Frequentie weekend]]="","",_xlfn.CONCAT(Ruimtestaat[[#This Row],[Ruimte code]],"-",Ruimtestaat[[#This Row],[Frequentie weekend]]," ",Ruimtestaat[[#This Row],[Vloer code]]))</f>
        <v/>
      </c>
      <c r="BD293" s="185" t="str">
        <f>_xlfn.IFNA(VLOOKUP($BC293,Programma!$F$3:$G$1101,2,0),"")</f>
        <v/>
      </c>
      <c r="BE293" s="185" t="str">
        <f>_xlfn.IFNA(VLOOKUP($BC293,Programma!$F$3:$H$1101,3,0),"")</f>
        <v/>
      </c>
      <c r="BF293" s="185" t="str">
        <f>_xlfn.IFNA(VLOOKUP($BC293,Programma!$F$3:$I$1101,4,0),"")</f>
        <v/>
      </c>
      <c r="BG293" s="185" t="str">
        <f>_xlfn.IFNA(VLOOKUP($BC293,Programma!$F$3:$J$1101,5,0),"")</f>
        <v/>
      </c>
      <c r="BH293" s="185" t="str">
        <f>_xlfn.IFNA(VLOOKUP($BC293,Programma!$F$3:$K$1101,6,0),"")</f>
        <v/>
      </c>
      <c r="BI293" s="185" t="str">
        <f>_xlfn.IFNA(VLOOKUP($BC293,Programma!$F$3:$L$1101,7,0),"")</f>
        <v/>
      </c>
      <c r="BJ293" s="185" t="str">
        <f>_xlfn.IFNA(VLOOKUP($BC293,Programma!$F$3:$M$1101,8,0),"")</f>
        <v/>
      </c>
      <c r="BK293" s="185" t="str">
        <f>_xlfn.IFNA(VLOOKUP($BC293,Programma!$F$3:$N$1101,9,0),"")</f>
        <v/>
      </c>
      <c r="BL293" s="185" t="str">
        <f>_xlfn.IFNA(VLOOKUP($BC293,Programma!$F$3:$O$1101,10,0),"")</f>
        <v/>
      </c>
      <c r="BM293" s="185" t="str">
        <f>_xlfn.IFNA(VLOOKUP($BC293,Programma!$F$3:$P$1101,11,0),"")</f>
        <v/>
      </c>
      <c r="BN293" s="185" t="str">
        <f>_xlfn.IFNA(VLOOKUP($BC293,Programma!$F$3:$Q$1101,12,0),"")</f>
        <v/>
      </c>
      <c r="BO293" s="185" t="str">
        <f>_xlfn.IFNA(VLOOKUP($BC293,Programma!$F$3:$R$1101,13,0),"")</f>
        <v/>
      </c>
      <c r="BP293" s="185" t="str">
        <f>_xlfn.IFNA(VLOOKUP($BC293,Programma!$F$3:$S$1101,14,0),"")</f>
        <v/>
      </c>
      <c r="BQ293" s="185" t="str">
        <f>_xlfn.IFNA(VLOOKUP($BC293,Programma!$F$3:$T$1101,15,0),"")</f>
        <v/>
      </c>
      <c r="BR293" s="185" t="str">
        <f>_xlfn.IFNA(VLOOKUP($BC293,Programma!$F$3:$U$1101,16,0),"")</f>
        <v/>
      </c>
      <c r="BS293" s="185" t="str">
        <f>_xlfn.IFNA(VLOOKUP($BC293,Programma!$F$3:$V$1101,17,0),"")</f>
        <v/>
      </c>
      <c r="BT293" s="185" t="str">
        <f>_xlfn.IFNA(VLOOKUP($BC293,Programma!$F$3:$W$1101,18,0),"")</f>
        <v/>
      </c>
      <c r="BU293" s="185" t="str">
        <f>_xlfn.IFNA(VLOOKUP($BC293,Programma!$F$3:$X$1101,19,0),"")</f>
        <v/>
      </c>
      <c r="BV293" s="185" t="str">
        <f>_xlfn.IFNA(VLOOKUP($BC293,Programma!$F$3:$Y$1101,20,0),"")</f>
        <v/>
      </c>
    </row>
    <row r="294" spans="1:74" s="78" customFormat="1" ht="15" customHeight="1">
      <c r="A294" s="99">
        <v>9</v>
      </c>
      <c r="B294" s="176" t="str">
        <f>VLOOKUP(Ruimtestaat[[#This Row],[Code]],Locaties[[Code]:[Locatie]],2,FALSE)</f>
        <v>ODBS Europa</v>
      </c>
      <c r="C294" s="176" t="str">
        <f>VLOOKUP(Ruimtestaat[[#This Row],[Code]],Locaties[[#All],[Code]:[Adres]],4,FALSE)</f>
        <v>Belgiëlaan 75</v>
      </c>
      <c r="D294" s="176" t="str">
        <f>VLOOKUP(Ruimtestaat[[#This Row],[Code]],Locaties[[#All],[Code]:[Postcode]],5,FALSE)</f>
        <v>7543 ZJ</v>
      </c>
      <c r="E294" s="176" t="str">
        <f>VLOOKUP(Ruimtestaat[[#This Row],[Code]],Locaties[#All],6,FALSE)</f>
        <v>Enschede</v>
      </c>
      <c r="F294" s="149"/>
      <c r="G294" s="99" t="s">
        <v>1646</v>
      </c>
      <c r="H294" s="99" t="s">
        <v>1675</v>
      </c>
      <c r="I294" s="183" t="s">
        <v>1655</v>
      </c>
      <c r="J294" s="99">
        <v>5</v>
      </c>
      <c r="K294" s="183" t="str">
        <f>VLOOKUP(Ruimtestaat[[#This Row],[Ruimte code]],Ruimtegroepen[[#All],[Code]:[Ruimte omschrijving]],2,FALSE)</f>
        <v>Sanitair</v>
      </c>
      <c r="L294" s="149" t="s">
        <v>101</v>
      </c>
      <c r="M294" s="301" t="s">
        <v>1682</v>
      </c>
      <c r="N294" s="177">
        <v>9.8000000000000007</v>
      </c>
      <c r="O294" s="177"/>
      <c r="P294" s="178" t="str">
        <f>VLOOKUP(Ruimtestaat[[#This Row],[Ruimte code]],Ruimtegroepen[],4,FALSE)</f>
        <v>Sa</v>
      </c>
      <c r="Q294" s="149">
        <v>40</v>
      </c>
      <c r="R294" s="149" t="s">
        <v>2</v>
      </c>
      <c r="S294" s="149">
        <f>IF(Q294&gt;0,IF(RIGHT(Ruimtestaat[[#This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4" s="149">
        <f>IF(S294&gt;0,VLOOKUP($J294,Ruimtegroepen[],3,FALSE)*VLOOKUP($L294,Vloersoorten[],3,FALSE)*VLOOKUP($R294,Frequenties[],3,FALSE)*VLOOKUP($A294,Locaties[],3,FALSE),0)</f>
        <v>0</v>
      </c>
      <c r="U294" s="149">
        <f>Ruimtestaat[[#This Row],[Uitvoeringen werkdagen]]*Ruimtestaat[[#This Row],[Oppervlak (netto)]]</f>
        <v>1960.0000000000002</v>
      </c>
      <c r="V294" s="179">
        <f>IF(T294&gt;0,Ruimtestaat[[#This Row],[Prest. (m2 /jaar) werkdagen]]/Ruimtestaat[[#This Row],[Norm (m2/uur) werkdagen]],0)</f>
        <v>0</v>
      </c>
      <c r="W294" s="180">
        <f>Ruimtestaat[[#This Row],[uren / jaar werkdagen]]*Tariefsopbouw!$E$35</f>
        <v>0</v>
      </c>
      <c r="X294" s="149"/>
      <c r="Y294" s="149">
        <f>IF(Ruimtestaat[[#This Row],[Frequentie weekend]]&gt;0,VALUE(LEFT(X294,1))*Q294,0)</f>
        <v>0</v>
      </c>
      <c r="Z294" s="148">
        <f>IF($Y294&gt;0,VLOOKUP($J294,Ruimtegroepen[],3,FALSE)*VLOOKUP($L294,Vloersoorten[],3,FALSE)*VLOOKUP($X294,Frequenties[],3,FALSE)*VLOOKUP(Ruimtestaat[[#This Row],[Code]],Locaties[],3,FALSE),0)</f>
        <v>0</v>
      </c>
      <c r="AA294" s="148">
        <f>Ruimtestaat[[#This Row],[Uitvoeringen weekend]]*Ruimtestaat[[#This Row],[Oppervlak (netto)]]</f>
        <v>0</v>
      </c>
      <c r="AB294" s="148">
        <f>IF(Z294&gt;0,Ruimtestaat[[#This Row],[Prest. (m2 /jaar) weekend]]/Ruimtestaat[[#This Row],[Norm (m2/uur) weekend]],0)</f>
        <v>0</v>
      </c>
      <c r="AC294" s="180">
        <f>Ruimtestaat[[#This Row],[uren / jaar weekend]]*Tariefsopbouw!$D$40</f>
        <v>0</v>
      </c>
      <c r="AD294" s="179">
        <f>Ruimtestaat[[#This Row],[Prest. (m2 /jaar) weekend]]+Ruimtestaat[[#This Row],[Prest. (m2 /jaar) werkdagen]]</f>
        <v>1960.0000000000002</v>
      </c>
      <c r="AE294" s="179">
        <f>Ruimtestaat[[#This Row],[uren / jaar weekend]]+Ruimtestaat[[#This Row],[uren / jaar werkdagen]]</f>
        <v>0</v>
      </c>
      <c r="AF294" s="174">
        <f>Ruimtestaat[[#This Row],[kosten / jaar weekend]]+Ruimtestaat[[#This Row],[kosten / jaar werkdagen]]</f>
        <v>0</v>
      </c>
      <c r="AG294" s="174"/>
      <c r="AH294" s="181" t="str">
        <f>IF(Ruimtestaat[[#This Row],[Frequentie werkdagen]]="","",_xlfn.CONCAT(Ruimtestaat[[#This Row],[Ruimte code]],"-",Ruimtestaat[[#This Row],[Frequentie werkdagen]]," ",Ruimtestaat[[#This Row],[Vloer code]]))</f>
        <v>5-5w S</v>
      </c>
      <c r="AI294" s="185" t="str">
        <f>_xlfn.IFNA(VLOOKUP($AH294,Programma!$F$3:$G$1101,2,0),"")</f>
        <v>_</v>
      </c>
      <c r="AJ294" s="185" t="str">
        <f>_xlfn.IFNA(VLOOKUP($AH294,Programma!$F$3:$H$1101,3,0),"")</f>
        <v>_</v>
      </c>
      <c r="AK294" s="185" t="str">
        <f>_xlfn.IFNA(VLOOKUP($AH294,Programma!$F$3:$I$1101,4,0),"")</f>
        <v>_</v>
      </c>
      <c r="AL294" s="185" t="str">
        <f>_xlfn.IFNA(VLOOKUP($AH294,Programma!$F$3:$J$1101,5,0),"")</f>
        <v>4w</v>
      </c>
      <c r="AM294" s="185" t="str">
        <f>_xlfn.IFNA(VLOOKUP($AH294,Programma!$F$3:$K$1101,6,0),"")</f>
        <v>1w</v>
      </c>
      <c r="AN294" s="185" t="str">
        <f>_xlfn.IFNA(VLOOKUP($AH294,Programma!$F$3:$L$1101,7,0),"")</f>
        <v>_</v>
      </c>
      <c r="AO294" s="185" t="str">
        <f>_xlfn.IFNA(VLOOKUP($AH294,Programma!$F$3:$M$1101,8,0),"")</f>
        <v>_</v>
      </c>
      <c r="AP294" s="185" t="str">
        <f>_xlfn.IFNA(VLOOKUP($AH294,Programma!$F$3:$N$1101,9,0),"")</f>
        <v>_</v>
      </c>
      <c r="AQ294" s="185" t="str">
        <f>_xlfn.IFNA(VLOOKUP($AH294,Programma!$F$3:$O$1101,10,0),"")</f>
        <v>_</v>
      </c>
      <c r="AR294" s="185" t="str">
        <f>_xlfn.IFNA(VLOOKUP($AH294,Programma!$F$3:$P$1101,11,0),"")</f>
        <v>_</v>
      </c>
      <c r="AS294" s="185" t="str">
        <f>_xlfn.IFNA(VLOOKUP($AH294,Programma!$F$3:$Q$1101,12,0),"")</f>
        <v>_</v>
      </c>
      <c r="AT294" s="185" t="str">
        <f>_xlfn.IFNA(VLOOKUP($AH294,Programma!$F$3:$R$1101,13,0),"")</f>
        <v>_</v>
      </c>
      <c r="AU294" s="185" t="str">
        <f>_xlfn.IFNA(VLOOKUP($AH294,Programma!$F$3:$S$1101,14,0),"")</f>
        <v>_</v>
      </c>
      <c r="AV294" s="185" t="str">
        <f>_xlfn.IFNA(VLOOKUP($AH294,Programma!$F$3:$T$1101,15,0),"")</f>
        <v>_</v>
      </c>
      <c r="AW294" s="185" t="str">
        <f>_xlfn.IFNA(VLOOKUP($AH294,Programma!$F$3:$U$1101,16,0),"")</f>
        <v>_</v>
      </c>
      <c r="AX294" s="185" t="str">
        <f>_xlfn.IFNA(VLOOKUP($AH294,Programma!$F$3:$V$1101,17,0),"")</f>
        <v>_</v>
      </c>
      <c r="AY294" s="185" t="str">
        <f>_xlfn.IFNA(VLOOKUP($AH294,Programma!$F$3:$W$1101,18,0),"")</f>
        <v>4w</v>
      </c>
      <c r="AZ294" s="185" t="str">
        <f>_xlfn.IFNA(VLOOKUP($AH294,Programma!$F$3:$X$1101,19,0),"")</f>
        <v>1w</v>
      </c>
      <c r="BA294" s="185" t="str">
        <f>_xlfn.IFNA(VLOOKUP($AH294,Programma!$F$3:$Y$1101,20,0),"")</f>
        <v>_</v>
      </c>
      <c r="BB294" s="182"/>
      <c r="BC294" s="181" t="str">
        <f>IF(Ruimtestaat[[#This Row],[Frequentie weekend]]="","",_xlfn.CONCAT(Ruimtestaat[[#This Row],[Ruimte code]],"-",Ruimtestaat[[#This Row],[Frequentie weekend]]," ",Ruimtestaat[[#This Row],[Vloer code]]))</f>
        <v/>
      </c>
      <c r="BD294" s="185" t="str">
        <f>_xlfn.IFNA(VLOOKUP($BC294,Programma!$F$3:$G$1101,2,0),"")</f>
        <v/>
      </c>
      <c r="BE294" s="185" t="str">
        <f>_xlfn.IFNA(VLOOKUP($BC294,Programma!$F$3:$H$1101,3,0),"")</f>
        <v/>
      </c>
      <c r="BF294" s="185" t="str">
        <f>_xlfn.IFNA(VLOOKUP($BC294,Programma!$F$3:$I$1101,4,0),"")</f>
        <v/>
      </c>
      <c r="BG294" s="185" t="str">
        <f>_xlfn.IFNA(VLOOKUP($BC294,Programma!$F$3:$J$1101,5,0),"")</f>
        <v/>
      </c>
      <c r="BH294" s="185" t="str">
        <f>_xlfn.IFNA(VLOOKUP($BC294,Programma!$F$3:$K$1101,6,0),"")</f>
        <v/>
      </c>
      <c r="BI294" s="185" t="str">
        <f>_xlfn.IFNA(VLOOKUP($BC294,Programma!$F$3:$L$1101,7,0),"")</f>
        <v/>
      </c>
      <c r="BJ294" s="185" t="str">
        <f>_xlfn.IFNA(VLOOKUP($BC294,Programma!$F$3:$M$1101,8,0),"")</f>
        <v/>
      </c>
      <c r="BK294" s="185" t="str">
        <f>_xlfn.IFNA(VLOOKUP($BC294,Programma!$F$3:$N$1101,9,0),"")</f>
        <v/>
      </c>
      <c r="BL294" s="185" t="str">
        <f>_xlfn.IFNA(VLOOKUP($BC294,Programma!$F$3:$O$1101,10,0),"")</f>
        <v/>
      </c>
      <c r="BM294" s="185" t="str">
        <f>_xlfn.IFNA(VLOOKUP($BC294,Programma!$F$3:$P$1101,11,0),"")</f>
        <v/>
      </c>
      <c r="BN294" s="185" t="str">
        <f>_xlfn.IFNA(VLOOKUP($BC294,Programma!$F$3:$Q$1101,12,0),"")</f>
        <v/>
      </c>
      <c r="BO294" s="185" t="str">
        <f>_xlfn.IFNA(VLOOKUP($BC294,Programma!$F$3:$R$1101,13,0),"")</f>
        <v/>
      </c>
      <c r="BP294" s="185" t="str">
        <f>_xlfn.IFNA(VLOOKUP($BC294,Programma!$F$3:$S$1101,14,0),"")</f>
        <v/>
      </c>
      <c r="BQ294" s="185" t="str">
        <f>_xlfn.IFNA(VLOOKUP($BC294,Programma!$F$3:$T$1101,15,0),"")</f>
        <v/>
      </c>
      <c r="BR294" s="185" t="str">
        <f>_xlfn.IFNA(VLOOKUP($BC294,Programma!$F$3:$U$1101,16,0),"")</f>
        <v/>
      </c>
      <c r="BS294" s="185" t="str">
        <f>_xlfn.IFNA(VLOOKUP($BC294,Programma!$F$3:$V$1101,17,0),"")</f>
        <v/>
      </c>
      <c r="BT294" s="185" t="str">
        <f>_xlfn.IFNA(VLOOKUP($BC294,Programma!$F$3:$W$1101,18,0),"")</f>
        <v/>
      </c>
      <c r="BU294" s="185" t="str">
        <f>_xlfn.IFNA(VLOOKUP($BC294,Programma!$F$3:$X$1101,19,0),"")</f>
        <v/>
      </c>
      <c r="BV294" s="185" t="str">
        <f>_xlfn.IFNA(VLOOKUP($BC294,Programma!$F$3:$Y$1101,20,0),"")</f>
        <v/>
      </c>
    </row>
    <row r="295" spans="1:74" s="78" customFormat="1" ht="15" customHeight="1">
      <c r="A295" s="99">
        <v>9</v>
      </c>
      <c r="B295" s="176" t="str">
        <f>VLOOKUP(Ruimtestaat[[#This Row],[Code]],Locaties[[Code]:[Locatie]],2,FALSE)</f>
        <v>ODBS Europa</v>
      </c>
      <c r="C295" s="176" t="str">
        <f>VLOOKUP(Ruimtestaat[[#This Row],[Code]],Locaties[[#All],[Code]:[Adres]],4,FALSE)</f>
        <v>Belgiëlaan 75</v>
      </c>
      <c r="D295" s="176" t="str">
        <f>VLOOKUP(Ruimtestaat[[#This Row],[Code]],Locaties[[#All],[Code]:[Postcode]],5,FALSE)</f>
        <v>7543 ZJ</v>
      </c>
      <c r="E295" s="176" t="str">
        <f>VLOOKUP(Ruimtestaat[[#This Row],[Code]],Locaties[#All],6,FALSE)</f>
        <v>Enschede</v>
      </c>
      <c r="F295" s="149"/>
      <c r="G295" s="99" t="s">
        <v>1646</v>
      </c>
      <c r="H295" s="99" t="s">
        <v>1676</v>
      </c>
      <c r="I295" s="183" t="s">
        <v>1681</v>
      </c>
      <c r="J295" s="99">
        <v>6</v>
      </c>
      <c r="K295" s="183" t="str">
        <f>VLOOKUP(Ruimtestaat[[#This Row],[Ruimte code]],Ruimtegroepen[[#All],[Code]:[Ruimte omschrijving]],2,FALSE)</f>
        <v>Gangen/hallen</v>
      </c>
      <c r="L295" s="149" t="s">
        <v>100</v>
      </c>
      <c r="M295" s="301" t="s">
        <v>1697</v>
      </c>
      <c r="N295" s="177">
        <v>337</v>
      </c>
      <c r="O295" s="177"/>
      <c r="P295" s="178" t="str">
        <f>VLOOKUP(Ruimtestaat[[#This Row],[Ruimte code]],Ruimtegroepen[],4,FALSE)</f>
        <v>Ve</v>
      </c>
      <c r="Q295" s="149">
        <v>40</v>
      </c>
      <c r="R295" s="149" t="s">
        <v>2</v>
      </c>
      <c r="S295" s="149">
        <f>IF(Q295&gt;0,IF(RIGHT(Ruimtestaat[[#This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5" s="149">
        <f>IF(S295&gt;0,VLOOKUP($J295,Ruimtegroepen[],3,FALSE)*VLOOKUP($L295,Vloersoorten[],3,FALSE)*VLOOKUP($R295,Frequenties[],3,FALSE)*VLOOKUP($A295,Locaties[],3,FALSE),0)</f>
        <v>0</v>
      </c>
      <c r="U295" s="149">
        <f>Ruimtestaat[[#This Row],[Uitvoeringen werkdagen]]*Ruimtestaat[[#This Row],[Oppervlak (netto)]]</f>
        <v>67400</v>
      </c>
      <c r="V295" s="179">
        <f>IF(T295&gt;0,Ruimtestaat[[#This Row],[Prest. (m2 /jaar) werkdagen]]/Ruimtestaat[[#This Row],[Norm (m2/uur) werkdagen]],0)</f>
        <v>0</v>
      </c>
      <c r="W295" s="180">
        <f>Ruimtestaat[[#This Row],[uren / jaar werkdagen]]*Tariefsopbouw!$E$35</f>
        <v>0</v>
      </c>
      <c r="X295" s="149"/>
      <c r="Y295" s="149">
        <f>IF(Ruimtestaat[[#This Row],[Frequentie weekend]]&gt;0,VALUE(LEFT(X295,1))*Q295,0)</f>
        <v>0</v>
      </c>
      <c r="Z295" s="148">
        <f>IF($Y295&gt;0,VLOOKUP($J295,Ruimtegroepen[],3,FALSE)*VLOOKUP($L295,Vloersoorten[],3,FALSE)*VLOOKUP($X295,Frequenties[],3,FALSE)*VLOOKUP(Ruimtestaat[[#This Row],[Code]],Locaties[],3,FALSE),0)</f>
        <v>0</v>
      </c>
      <c r="AA295" s="148">
        <f>Ruimtestaat[[#This Row],[Uitvoeringen weekend]]*Ruimtestaat[[#This Row],[Oppervlak (netto)]]</f>
        <v>0</v>
      </c>
      <c r="AB295" s="148">
        <f>IF(Z295&gt;0,Ruimtestaat[[#This Row],[Prest. (m2 /jaar) weekend]]/Ruimtestaat[[#This Row],[Norm (m2/uur) weekend]],0)</f>
        <v>0</v>
      </c>
      <c r="AC295" s="180">
        <f>Ruimtestaat[[#This Row],[uren / jaar weekend]]*Tariefsopbouw!$D$40</f>
        <v>0</v>
      </c>
      <c r="AD295" s="179">
        <f>Ruimtestaat[[#This Row],[Prest. (m2 /jaar) weekend]]+Ruimtestaat[[#This Row],[Prest. (m2 /jaar) werkdagen]]</f>
        <v>67400</v>
      </c>
      <c r="AE295" s="179">
        <f>Ruimtestaat[[#This Row],[uren / jaar weekend]]+Ruimtestaat[[#This Row],[uren / jaar werkdagen]]</f>
        <v>0</v>
      </c>
      <c r="AF295" s="174">
        <f>Ruimtestaat[[#This Row],[kosten / jaar weekend]]+Ruimtestaat[[#This Row],[kosten / jaar werkdagen]]</f>
        <v>0</v>
      </c>
      <c r="AG295" s="174"/>
      <c r="AH295" s="181" t="str">
        <f>IF(Ruimtestaat[[#This Row],[Frequentie werkdagen]]="","",_xlfn.CONCAT(Ruimtestaat[[#This Row],[Ruimte code]],"-",Ruimtestaat[[#This Row],[Frequentie werkdagen]]," ",Ruimtestaat[[#This Row],[Vloer code]]))</f>
        <v>6-5w L</v>
      </c>
      <c r="AI295" s="185" t="str">
        <f>_xlfn.IFNA(VLOOKUP($AH295,Programma!$F$3:$G$1101,2,0),"")</f>
        <v>_</v>
      </c>
      <c r="AJ295" s="185" t="str">
        <f>_xlfn.IFNA(VLOOKUP($AH295,Programma!$F$3:$H$1101,3,0),"")</f>
        <v>_</v>
      </c>
      <c r="AK295" s="185" t="str">
        <f>_xlfn.IFNA(VLOOKUP($AH295,Programma!$F$3:$I$1101,4,0),"")</f>
        <v>_</v>
      </c>
      <c r="AL295" s="185" t="str">
        <f>_xlfn.IFNA(VLOOKUP($AH295,Programma!$F$3:$J$1101,5,0),"")</f>
        <v>5w</v>
      </c>
      <c r="AM295" s="185" t="str">
        <f>_xlfn.IFNA(VLOOKUP($AH295,Programma!$F$3:$K$1101,6,0),"")</f>
        <v>_</v>
      </c>
      <c r="AN295" s="185" t="str">
        <f>_xlfn.IFNA(VLOOKUP($AH295,Programma!$F$3:$L$1101,7,0),"")</f>
        <v>_</v>
      </c>
      <c r="AO295" s="185" t="str">
        <f>_xlfn.IFNA(VLOOKUP($AH295,Programma!$F$3:$M$1101,8,0),"")</f>
        <v>_</v>
      </c>
      <c r="AP295" s="185" t="str">
        <f>_xlfn.IFNA(VLOOKUP($AH295,Programma!$F$3:$N$1101,9,0),"")</f>
        <v>_</v>
      </c>
      <c r="AQ295" s="185" t="str">
        <f>_xlfn.IFNA(VLOOKUP($AH295,Programma!$F$3:$O$1101,10,0),"")</f>
        <v>5w</v>
      </c>
      <c r="AR295" s="185" t="str">
        <f>_xlfn.IFNA(VLOOKUP($AH295,Programma!$F$3:$P$1101,11,0),"")</f>
        <v>5w</v>
      </c>
      <c r="AS295" s="185" t="str">
        <f>_xlfn.IFNA(VLOOKUP($AH295,Programma!$F$3:$Q$1101,12,0),"")</f>
        <v>1w</v>
      </c>
      <c r="AT295" s="185" t="str">
        <f>_xlfn.IFNA(VLOOKUP($AH295,Programma!$F$3:$R$1101,13,0),"")</f>
        <v>1w</v>
      </c>
      <c r="AU295" s="185" t="str">
        <f>_xlfn.IFNA(VLOOKUP($AH295,Programma!$F$3:$S$1101,14,0),"")</f>
        <v>1m</v>
      </c>
      <c r="AV295" s="185" t="str">
        <f>_xlfn.IFNA(VLOOKUP($AH295,Programma!$F$3:$T$1101,15,0),"")</f>
        <v>2j</v>
      </c>
      <c r="AW295" s="185" t="str">
        <f>_xlfn.IFNA(VLOOKUP($AH295,Programma!$F$3:$U$1101,16,0),"")</f>
        <v>1j</v>
      </c>
      <c r="AX295" s="185" t="str">
        <f>_xlfn.IFNA(VLOOKUP($AH295,Programma!$F$3:$V$1101,17,0),"")</f>
        <v>_</v>
      </c>
      <c r="AY295" s="185" t="str">
        <f>_xlfn.IFNA(VLOOKUP($AH295,Programma!$F$3:$W$1101,18,0),"")</f>
        <v>_</v>
      </c>
      <c r="AZ295" s="185" t="str">
        <f>_xlfn.IFNA(VLOOKUP($AH295,Programma!$F$3:$X$1101,19,0),"")</f>
        <v>_</v>
      </c>
      <c r="BA295" s="185" t="str">
        <f>_xlfn.IFNA(VLOOKUP($AH295,Programma!$F$3:$Y$1101,20,0),"")</f>
        <v>_</v>
      </c>
      <c r="BB295" s="182"/>
      <c r="BC295" s="181" t="str">
        <f>IF(Ruimtestaat[[#This Row],[Frequentie weekend]]="","",_xlfn.CONCAT(Ruimtestaat[[#This Row],[Ruimte code]],"-",Ruimtestaat[[#This Row],[Frequentie weekend]]," ",Ruimtestaat[[#This Row],[Vloer code]]))</f>
        <v/>
      </c>
      <c r="BD295" s="185" t="str">
        <f>_xlfn.IFNA(VLOOKUP($BC295,Programma!$F$3:$G$1101,2,0),"")</f>
        <v/>
      </c>
      <c r="BE295" s="185" t="str">
        <f>_xlfn.IFNA(VLOOKUP($BC295,Programma!$F$3:$H$1101,3,0),"")</f>
        <v/>
      </c>
      <c r="BF295" s="185" t="str">
        <f>_xlfn.IFNA(VLOOKUP($BC295,Programma!$F$3:$I$1101,4,0),"")</f>
        <v/>
      </c>
      <c r="BG295" s="185" t="str">
        <f>_xlfn.IFNA(VLOOKUP($BC295,Programma!$F$3:$J$1101,5,0),"")</f>
        <v/>
      </c>
      <c r="BH295" s="185" t="str">
        <f>_xlfn.IFNA(VLOOKUP($BC295,Programma!$F$3:$K$1101,6,0),"")</f>
        <v/>
      </c>
      <c r="BI295" s="185" t="str">
        <f>_xlfn.IFNA(VLOOKUP($BC295,Programma!$F$3:$L$1101,7,0),"")</f>
        <v/>
      </c>
      <c r="BJ295" s="185" t="str">
        <f>_xlfn.IFNA(VLOOKUP($BC295,Programma!$F$3:$M$1101,8,0),"")</f>
        <v/>
      </c>
      <c r="BK295" s="185" t="str">
        <f>_xlfn.IFNA(VLOOKUP($BC295,Programma!$F$3:$N$1101,9,0),"")</f>
        <v/>
      </c>
      <c r="BL295" s="185" t="str">
        <f>_xlfn.IFNA(VLOOKUP($BC295,Programma!$F$3:$O$1101,10,0),"")</f>
        <v/>
      </c>
      <c r="BM295" s="185" t="str">
        <f>_xlfn.IFNA(VLOOKUP($BC295,Programma!$F$3:$P$1101,11,0),"")</f>
        <v/>
      </c>
      <c r="BN295" s="185" t="str">
        <f>_xlfn.IFNA(VLOOKUP($BC295,Programma!$F$3:$Q$1101,12,0),"")</f>
        <v/>
      </c>
      <c r="BO295" s="185" t="str">
        <f>_xlfn.IFNA(VLOOKUP($BC295,Programma!$F$3:$R$1101,13,0),"")</f>
        <v/>
      </c>
      <c r="BP295" s="185" t="str">
        <f>_xlfn.IFNA(VLOOKUP($BC295,Programma!$F$3:$S$1101,14,0),"")</f>
        <v/>
      </c>
      <c r="BQ295" s="185" t="str">
        <f>_xlfn.IFNA(VLOOKUP($BC295,Programma!$F$3:$T$1101,15,0),"")</f>
        <v/>
      </c>
      <c r="BR295" s="185" t="str">
        <f>_xlfn.IFNA(VLOOKUP($BC295,Programma!$F$3:$U$1101,16,0),"")</f>
        <v/>
      </c>
      <c r="BS295" s="185" t="str">
        <f>_xlfn.IFNA(VLOOKUP($BC295,Programma!$F$3:$V$1101,17,0),"")</f>
        <v/>
      </c>
      <c r="BT295" s="185" t="str">
        <f>_xlfn.IFNA(VLOOKUP($BC295,Programma!$F$3:$W$1101,18,0),"")</f>
        <v/>
      </c>
      <c r="BU295" s="185" t="str">
        <f>_xlfn.IFNA(VLOOKUP($BC295,Programma!$F$3:$X$1101,19,0),"")</f>
        <v/>
      </c>
      <c r="BV295" s="185" t="str">
        <f>_xlfn.IFNA(VLOOKUP($BC295,Programma!$F$3:$Y$1101,20,0),"")</f>
        <v/>
      </c>
    </row>
    <row r="296" spans="1:74" s="78" customFormat="1" ht="15" customHeight="1">
      <c r="A296" s="99">
        <v>10</v>
      </c>
      <c r="B296" s="176" t="str">
        <f>VLOOKUP(Ruimtestaat[[#This Row],[Code]],Locaties[[Code]:[Locatie]],2,FALSE)</f>
        <v>OJBS Het Palet</v>
      </c>
      <c r="C296" s="176" t="str">
        <f>VLOOKUP(Ruimtestaat[[#This Row],[Code]],Locaties[[#All],[Code]:[Adres]],4,FALSE)</f>
        <v>Ger. Terborghstraat 9</v>
      </c>
      <c r="D296" s="176" t="str">
        <f>VLOOKUP(Ruimtestaat[[#This Row],[Code]],Locaties[[#All],[Code]:[Postcode]],5,FALSE)</f>
        <v>7545 BV</v>
      </c>
      <c r="E296" s="176" t="str">
        <f>VLOOKUP(Ruimtestaat[[#This Row],[Code]],Locaties[#All],6,FALSE)</f>
        <v>Enschede</v>
      </c>
      <c r="F296" s="149"/>
      <c r="G296" s="149" t="s">
        <v>1646</v>
      </c>
      <c r="H296" s="99" t="s">
        <v>1647</v>
      </c>
      <c r="I296" s="183" t="s">
        <v>38</v>
      </c>
      <c r="J296" s="99">
        <v>7</v>
      </c>
      <c r="K296" s="183" t="str">
        <f>VLOOKUP(Ruimtestaat[[#This Row],[Ruimte code]],Ruimtegroepen[[#All],[Code]:[Ruimte omschrijving]],2,FALSE)</f>
        <v>Entree</v>
      </c>
      <c r="L296" s="149" t="s">
        <v>99</v>
      </c>
      <c r="M296" s="301" t="s">
        <v>1700</v>
      </c>
      <c r="N296" s="177">
        <v>8.1</v>
      </c>
      <c r="O296" s="177"/>
      <c r="P296" s="178" t="str">
        <f>VLOOKUP(Ruimtestaat[[#This Row],[Ruimte code]],Ruimtegroepen[],4,FALSE)</f>
        <v>Ve</v>
      </c>
      <c r="Q296" s="149">
        <v>40</v>
      </c>
      <c r="R296" s="149" t="s">
        <v>2</v>
      </c>
      <c r="S296" s="149">
        <f>IF(Q296&gt;0,IF(RIGHT(Ruimtestaat[[#This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6" s="149">
        <f>IF(S296&gt;0,VLOOKUP($J296,Ruimtegroepen[],3,FALSE)*VLOOKUP($L296,Vloersoorten[],3,FALSE)*VLOOKUP($R296,Frequenties[],3,FALSE)*VLOOKUP($A296,Locaties[],3,FALSE),0)</f>
        <v>0</v>
      </c>
      <c r="U296" s="149">
        <f>Ruimtestaat[[#This Row],[Uitvoeringen werkdagen]]*Ruimtestaat[[#This Row],[Oppervlak (netto)]]</f>
        <v>1620</v>
      </c>
      <c r="V296" s="179">
        <f>IF(T296&gt;0,Ruimtestaat[[#This Row],[Prest. (m2 /jaar) werkdagen]]/Ruimtestaat[[#This Row],[Norm (m2/uur) werkdagen]],0)</f>
        <v>0</v>
      </c>
      <c r="W296" s="180">
        <f>Ruimtestaat[[#This Row],[uren / jaar werkdagen]]*Tariefsopbouw!$E$35</f>
        <v>0</v>
      </c>
      <c r="X296" s="149"/>
      <c r="Y296" s="149">
        <f>IF(Ruimtestaat[[#This Row],[Frequentie weekend]]&gt;0,VALUE(LEFT(X296,1))*Q296,0)</f>
        <v>0</v>
      </c>
      <c r="Z296" s="148">
        <f>IF($Y296&gt;0,VLOOKUP($J296,Ruimtegroepen[],3,FALSE)*VLOOKUP($L296,Vloersoorten[],3,FALSE)*VLOOKUP($X296,Frequenties[],3,FALSE)*VLOOKUP(Ruimtestaat[[#This Row],[Code]],Locaties[],3,FALSE),0)</f>
        <v>0</v>
      </c>
      <c r="AA296" s="148">
        <f>Ruimtestaat[[#This Row],[Uitvoeringen weekend]]*Ruimtestaat[[#This Row],[Oppervlak (netto)]]</f>
        <v>0</v>
      </c>
      <c r="AB296" s="148">
        <f>IF(Z296&gt;0,Ruimtestaat[[#This Row],[Prest. (m2 /jaar) weekend]]/Ruimtestaat[[#This Row],[Norm (m2/uur) weekend]],0)</f>
        <v>0</v>
      </c>
      <c r="AC296" s="180">
        <f>Ruimtestaat[[#This Row],[uren / jaar weekend]]*Tariefsopbouw!$D$40</f>
        <v>0</v>
      </c>
      <c r="AD296" s="179">
        <f>Ruimtestaat[[#This Row],[Prest. (m2 /jaar) weekend]]+Ruimtestaat[[#This Row],[Prest. (m2 /jaar) werkdagen]]</f>
        <v>1620</v>
      </c>
      <c r="AE296" s="179">
        <f>Ruimtestaat[[#This Row],[uren / jaar weekend]]+Ruimtestaat[[#This Row],[uren / jaar werkdagen]]</f>
        <v>0</v>
      </c>
      <c r="AF296" s="174">
        <f>Ruimtestaat[[#This Row],[kosten / jaar weekend]]+Ruimtestaat[[#This Row],[kosten / jaar werkdagen]]</f>
        <v>0</v>
      </c>
      <c r="AG296" s="174"/>
      <c r="AH296" s="181" t="str">
        <f>IF(Ruimtestaat[[#This Row],[Frequentie werkdagen]]="","",_xlfn.CONCAT(Ruimtestaat[[#This Row],[Ruimte code]],"-",Ruimtestaat[[#This Row],[Frequentie werkdagen]]," ",Ruimtestaat[[#This Row],[Vloer code]]))</f>
        <v>7-5w T</v>
      </c>
      <c r="AI296" s="185" t="str">
        <f>_xlfn.IFNA(VLOOKUP($AH296,Programma!$F$3:$G$1101,2,0),"")</f>
        <v>_</v>
      </c>
      <c r="AJ296" s="185" t="str">
        <f>_xlfn.IFNA(VLOOKUP($AH296,Programma!$F$3:$H$1101,3,0),"")</f>
        <v>5w</v>
      </c>
      <c r="AK296" s="185" t="str">
        <f>_xlfn.IFNA(VLOOKUP($AH296,Programma!$F$3:$I$1101,4,0),"")</f>
        <v>_</v>
      </c>
      <c r="AL296" s="185" t="str">
        <f>_xlfn.IFNA(VLOOKUP($AH296,Programma!$F$3:$J$1101,5,0),"")</f>
        <v>_</v>
      </c>
      <c r="AM296" s="185" t="str">
        <f>_xlfn.IFNA(VLOOKUP($AH296,Programma!$F$3:$K$1101,6,0),"")</f>
        <v>_</v>
      </c>
      <c r="AN296" s="185" t="str">
        <f>_xlfn.IFNA(VLOOKUP($AH296,Programma!$F$3:$L$1101,7,0),"")</f>
        <v>_</v>
      </c>
      <c r="AO296" s="185" t="str">
        <f>_xlfn.IFNA(VLOOKUP($AH296,Programma!$F$3:$M$1101,8,0),"")</f>
        <v>_</v>
      </c>
      <c r="AP296" s="185" t="str">
        <f>_xlfn.IFNA(VLOOKUP($AH296,Programma!$F$3:$N$1101,9,0),"")</f>
        <v>_</v>
      </c>
      <c r="AQ296" s="185" t="str">
        <f>_xlfn.IFNA(VLOOKUP($AH296,Programma!$F$3:$O$1101,10,0),"")</f>
        <v>5w</v>
      </c>
      <c r="AR296" s="185" t="str">
        <f>_xlfn.IFNA(VLOOKUP($AH296,Programma!$F$3:$P$1101,11,0),"")</f>
        <v>5w</v>
      </c>
      <c r="AS296" s="185" t="str">
        <f>_xlfn.IFNA(VLOOKUP($AH296,Programma!$F$3:$Q$1101,12,0),"")</f>
        <v>1w</v>
      </c>
      <c r="AT296" s="185" t="str">
        <f>_xlfn.IFNA(VLOOKUP($AH296,Programma!$F$3:$R$1101,13,0),"")</f>
        <v>1w</v>
      </c>
      <c r="AU296" s="185" t="str">
        <f>_xlfn.IFNA(VLOOKUP($AH296,Programma!$F$3:$S$1101,14,0),"")</f>
        <v>1m</v>
      </c>
      <c r="AV296" s="185" t="str">
        <f>_xlfn.IFNA(VLOOKUP($AH296,Programma!$F$3:$T$1101,15,0),"")</f>
        <v>2j</v>
      </c>
      <c r="AW296" s="185" t="str">
        <f>_xlfn.IFNA(VLOOKUP($AH296,Programma!$F$3:$U$1101,16,0),"")</f>
        <v>1j</v>
      </c>
      <c r="AX296" s="185" t="str">
        <f>_xlfn.IFNA(VLOOKUP($AH296,Programma!$F$3:$V$1101,17,0),"")</f>
        <v>_</v>
      </c>
      <c r="AY296" s="185" t="str">
        <f>_xlfn.IFNA(VLOOKUP($AH296,Programma!$F$3:$W$1101,18,0),"")</f>
        <v>_</v>
      </c>
      <c r="AZ296" s="185" t="str">
        <f>_xlfn.IFNA(VLOOKUP($AH296,Programma!$F$3:$X$1101,19,0),"")</f>
        <v>_</v>
      </c>
      <c r="BA296" s="185" t="str">
        <f>_xlfn.IFNA(VLOOKUP($AH296,Programma!$F$3:$Y$1101,20,0),"")</f>
        <v>_</v>
      </c>
      <c r="BB296" s="182"/>
      <c r="BC296" s="181" t="str">
        <f>IF(Ruimtestaat[[#This Row],[Frequentie weekend]]="","",_xlfn.CONCAT(Ruimtestaat[[#This Row],[Ruimte code]],"-",Ruimtestaat[[#This Row],[Frequentie weekend]]," ",Ruimtestaat[[#This Row],[Vloer code]]))</f>
        <v/>
      </c>
      <c r="BD296" s="185" t="str">
        <f>_xlfn.IFNA(VLOOKUP($BC296,Programma!$F$3:$G$1101,2,0),"")</f>
        <v/>
      </c>
      <c r="BE296" s="185" t="str">
        <f>_xlfn.IFNA(VLOOKUP($BC296,Programma!$F$3:$H$1101,3,0),"")</f>
        <v/>
      </c>
      <c r="BF296" s="185" t="str">
        <f>_xlfn.IFNA(VLOOKUP($BC296,Programma!$F$3:$I$1101,4,0),"")</f>
        <v/>
      </c>
      <c r="BG296" s="185" t="str">
        <f>_xlfn.IFNA(VLOOKUP($BC296,Programma!$F$3:$J$1101,5,0),"")</f>
        <v/>
      </c>
      <c r="BH296" s="185" t="str">
        <f>_xlfn.IFNA(VLOOKUP($BC296,Programma!$F$3:$K$1101,6,0),"")</f>
        <v/>
      </c>
      <c r="BI296" s="185" t="str">
        <f>_xlfn.IFNA(VLOOKUP($BC296,Programma!$F$3:$L$1101,7,0),"")</f>
        <v/>
      </c>
      <c r="BJ296" s="185" t="str">
        <f>_xlfn.IFNA(VLOOKUP($BC296,Programma!$F$3:$M$1101,8,0),"")</f>
        <v/>
      </c>
      <c r="BK296" s="185" t="str">
        <f>_xlfn.IFNA(VLOOKUP($BC296,Programma!$F$3:$N$1101,9,0),"")</f>
        <v/>
      </c>
      <c r="BL296" s="185" t="str">
        <f>_xlfn.IFNA(VLOOKUP($BC296,Programma!$F$3:$O$1101,10,0),"")</f>
        <v/>
      </c>
      <c r="BM296" s="185" t="str">
        <f>_xlfn.IFNA(VLOOKUP($BC296,Programma!$F$3:$P$1101,11,0),"")</f>
        <v/>
      </c>
      <c r="BN296" s="185" t="str">
        <f>_xlfn.IFNA(VLOOKUP($BC296,Programma!$F$3:$Q$1101,12,0),"")</f>
        <v/>
      </c>
      <c r="BO296" s="185" t="str">
        <f>_xlfn.IFNA(VLOOKUP($BC296,Programma!$F$3:$R$1101,13,0),"")</f>
        <v/>
      </c>
      <c r="BP296" s="185" t="str">
        <f>_xlfn.IFNA(VLOOKUP($BC296,Programma!$F$3:$S$1101,14,0),"")</f>
        <v/>
      </c>
      <c r="BQ296" s="185" t="str">
        <f>_xlfn.IFNA(VLOOKUP($BC296,Programma!$F$3:$T$1101,15,0),"")</f>
        <v/>
      </c>
      <c r="BR296" s="185" t="str">
        <f>_xlfn.IFNA(VLOOKUP($BC296,Programma!$F$3:$U$1101,16,0),"")</f>
        <v/>
      </c>
      <c r="BS296" s="185" t="str">
        <f>_xlfn.IFNA(VLOOKUP($BC296,Programma!$F$3:$V$1101,17,0),"")</f>
        <v/>
      </c>
      <c r="BT296" s="185" t="str">
        <f>_xlfn.IFNA(VLOOKUP($BC296,Programma!$F$3:$W$1101,18,0),"")</f>
        <v/>
      </c>
      <c r="BU296" s="185" t="str">
        <f>_xlfn.IFNA(VLOOKUP($BC296,Programma!$F$3:$X$1101,19,0),"")</f>
        <v/>
      </c>
      <c r="BV296" s="185" t="str">
        <f>_xlfn.IFNA(VLOOKUP($BC296,Programma!$F$3:$Y$1101,20,0),"")</f>
        <v/>
      </c>
    </row>
    <row r="297" spans="1:74" s="78" customFormat="1" ht="15" customHeight="1">
      <c r="A297" s="99">
        <v>10</v>
      </c>
      <c r="B297" s="176" t="str">
        <f>VLOOKUP(Ruimtestaat[[#This Row],[Code]],Locaties[[Code]:[Locatie]],2,FALSE)</f>
        <v>OJBS Het Palet</v>
      </c>
      <c r="C297" s="176" t="str">
        <f>VLOOKUP(Ruimtestaat[[#This Row],[Code]],Locaties[[#All],[Code]:[Adres]],4,FALSE)</f>
        <v>Ger. Terborghstraat 9</v>
      </c>
      <c r="D297" s="176" t="str">
        <f>VLOOKUP(Ruimtestaat[[#This Row],[Code]],Locaties[[#All],[Code]:[Postcode]],5,FALSE)</f>
        <v>7545 BV</v>
      </c>
      <c r="E297" s="176" t="str">
        <f>VLOOKUP(Ruimtestaat[[#This Row],[Code]],Locaties[#All],6,FALSE)</f>
        <v>Enschede</v>
      </c>
      <c r="F297" s="149"/>
      <c r="G297" s="149" t="s">
        <v>1646</v>
      </c>
      <c r="H297" s="99" t="s">
        <v>1648</v>
      </c>
      <c r="I297" s="183" t="s">
        <v>1759</v>
      </c>
      <c r="J297" s="99">
        <v>10</v>
      </c>
      <c r="K297" s="183" t="str">
        <f>VLOOKUP(Ruimtestaat[[#This Row],[Ruimte code]],Ruimtegroepen[[#All],[Code]:[Ruimte omschrijving]],2,FALSE)</f>
        <v>Trappenhuizen/lift</v>
      </c>
      <c r="L297" s="149" t="s">
        <v>102</v>
      </c>
      <c r="M297" s="301" t="s">
        <v>120</v>
      </c>
      <c r="N297" s="177">
        <v>1.8</v>
      </c>
      <c r="O297" s="177"/>
      <c r="P297" s="178" t="str">
        <f>VLOOKUP(Ruimtestaat[[#This Row],[Ruimte code]],Ruimtegroepen[],4,FALSE)</f>
        <v>Ve</v>
      </c>
      <c r="Q297" s="149">
        <v>40</v>
      </c>
      <c r="R297" s="149" t="s">
        <v>2</v>
      </c>
      <c r="S297" s="149">
        <f>IF(Q297&gt;0,IF(RIGHT(Ruimtestaat[[#This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7" s="149">
        <f>IF(S297&gt;0,VLOOKUP($J297,Ruimtegroepen[],3,FALSE)*VLOOKUP($L297,Vloersoorten[],3,FALSE)*VLOOKUP($R297,Frequenties[],3,FALSE)*VLOOKUP($A297,Locaties[],3,FALSE),0)</f>
        <v>0</v>
      </c>
      <c r="U297" s="149">
        <f>Ruimtestaat[[#This Row],[Uitvoeringen werkdagen]]*Ruimtestaat[[#This Row],[Oppervlak (netto)]]</f>
        <v>360</v>
      </c>
      <c r="V297" s="179">
        <f>IF(T297&gt;0,Ruimtestaat[[#This Row],[Prest. (m2 /jaar) werkdagen]]/Ruimtestaat[[#This Row],[Norm (m2/uur) werkdagen]],0)</f>
        <v>0</v>
      </c>
      <c r="W297" s="180">
        <f>Ruimtestaat[[#This Row],[uren / jaar werkdagen]]*Tariefsopbouw!$E$35</f>
        <v>0</v>
      </c>
      <c r="X297" s="149"/>
      <c r="Y297" s="149">
        <f>IF(Ruimtestaat[[#This Row],[Frequentie weekend]]&gt;0,VALUE(LEFT(X297,1))*Q297,0)</f>
        <v>0</v>
      </c>
      <c r="Z297" s="148">
        <f>IF($Y297&gt;0,VLOOKUP($J297,Ruimtegroepen[],3,FALSE)*VLOOKUP($L297,Vloersoorten[],3,FALSE)*VLOOKUP($X297,Frequenties[],3,FALSE)*VLOOKUP(Ruimtestaat[[#This Row],[Code]],Locaties[],3,FALSE),0)</f>
        <v>0</v>
      </c>
      <c r="AA297" s="148">
        <f>Ruimtestaat[[#This Row],[Uitvoeringen weekend]]*Ruimtestaat[[#This Row],[Oppervlak (netto)]]</f>
        <v>0</v>
      </c>
      <c r="AB297" s="148">
        <f>IF(Z297&gt;0,Ruimtestaat[[#This Row],[Prest. (m2 /jaar) weekend]]/Ruimtestaat[[#This Row],[Norm (m2/uur) weekend]],0)</f>
        <v>0</v>
      </c>
      <c r="AC297" s="180">
        <f>Ruimtestaat[[#This Row],[uren / jaar weekend]]*Tariefsopbouw!$D$40</f>
        <v>0</v>
      </c>
      <c r="AD297" s="179">
        <f>Ruimtestaat[[#This Row],[Prest. (m2 /jaar) weekend]]+Ruimtestaat[[#This Row],[Prest. (m2 /jaar) werkdagen]]</f>
        <v>360</v>
      </c>
      <c r="AE297" s="179">
        <f>Ruimtestaat[[#This Row],[uren / jaar weekend]]+Ruimtestaat[[#This Row],[uren / jaar werkdagen]]</f>
        <v>0</v>
      </c>
      <c r="AF297" s="174">
        <f>Ruimtestaat[[#This Row],[kosten / jaar weekend]]+Ruimtestaat[[#This Row],[kosten / jaar werkdagen]]</f>
        <v>0</v>
      </c>
      <c r="AG297" s="174"/>
      <c r="AH297" s="181" t="str">
        <f>IF(Ruimtestaat[[#This Row],[Frequentie werkdagen]]="","",_xlfn.CONCAT(Ruimtestaat[[#This Row],[Ruimte code]],"-",Ruimtestaat[[#This Row],[Frequentie werkdagen]]," ",Ruimtestaat[[#This Row],[Vloer code]]))</f>
        <v>10-5w P</v>
      </c>
      <c r="AI297" s="185" t="str">
        <f>_xlfn.IFNA(VLOOKUP($AH297,Programma!$F$3:$G$1101,2,0),"")</f>
        <v>_</v>
      </c>
      <c r="AJ297" s="185" t="str">
        <f>_xlfn.IFNA(VLOOKUP($AH297,Programma!$F$3:$H$1101,3,0),"")</f>
        <v>_</v>
      </c>
      <c r="AK297" s="185" t="str">
        <f>_xlfn.IFNA(VLOOKUP($AH297,Programma!$F$3:$I$1101,4,0),"")</f>
        <v>5w</v>
      </c>
      <c r="AL297" s="185" t="str">
        <f>_xlfn.IFNA(VLOOKUP($AH297,Programma!$F$3:$J$1101,5,0),"")</f>
        <v>_</v>
      </c>
      <c r="AM297" s="185" t="str">
        <f>_xlfn.IFNA(VLOOKUP($AH297,Programma!$F$3:$K$1101,6,0),"")</f>
        <v>4j</v>
      </c>
      <c r="AN297" s="185" t="str">
        <f>_xlfn.IFNA(VLOOKUP($AH297,Programma!$F$3:$L$1101,7,0),"")</f>
        <v>_</v>
      </c>
      <c r="AO297" s="185" t="str">
        <f>_xlfn.IFNA(VLOOKUP($AH297,Programma!$F$3:$M$1101,8,0),"")</f>
        <v>_</v>
      </c>
      <c r="AP297" s="185" t="str">
        <f>_xlfn.IFNA(VLOOKUP($AH297,Programma!$F$3:$N$1101,9,0),"")</f>
        <v>_</v>
      </c>
      <c r="AQ297" s="185" t="str">
        <f>_xlfn.IFNA(VLOOKUP($AH297,Programma!$F$3:$O$1101,10,0),"")</f>
        <v>5w</v>
      </c>
      <c r="AR297" s="185" t="str">
        <f>_xlfn.IFNA(VLOOKUP($AH297,Programma!$F$3:$P$1101,11,0),"")</f>
        <v>5w</v>
      </c>
      <c r="AS297" s="185" t="str">
        <f>_xlfn.IFNA(VLOOKUP($AH297,Programma!$F$3:$Q$1101,12,0),"")</f>
        <v>1w</v>
      </c>
      <c r="AT297" s="185" t="str">
        <f>_xlfn.IFNA(VLOOKUP($AH297,Programma!$F$3:$R$1101,13,0),"")</f>
        <v>1w</v>
      </c>
      <c r="AU297" s="185" t="str">
        <f>_xlfn.IFNA(VLOOKUP($AH297,Programma!$F$3:$S$1101,14,0),"")</f>
        <v>1m</v>
      </c>
      <c r="AV297" s="185" t="str">
        <f>_xlfn.IFNA(VLOOKUP($AH297,Programma!$F$3:$T$1101,15,0),"")</f>
        <v>2j</v>
      </c>
      <c r="AW297" s="185" t="str">
        <f>_xlfn.IFNA(VLOOKUP($AH297,Programma!$F$3:$U$1101,16,0),"")</f>
        <v>1j</v>
      </c>
      <c r="AX297" s="185" t="str">
        <f>_xlfn.IFNA(VLOOKUP($AH297,Programma!$F$3:$V$1101,17,0),"")</f>
        <v>_</v>
      </c>
      <c r="AY297" s="185" t="str">
        <f>_xlfn.IFNA(VLOOKUP($AH297,Programma!$F$3:$W$1101,18,0),"")</f>
        <v>_</v>
      </c>
      <c r="AZ297" s="185" t="str">
        <f>_xlfn.IFNA(VLOOKUP($AH297,Programma!$F$3:$X$1101,19,0),"")</f>
        <v>_</v>
      </c>
      <c r="BA297" s="185" t="str">
        <f>_xlfn.IFNA(VLOOKUP($AH297,Programma!$F$3:$Y$1101,20,0),"")</f>
        <v>_</v>
      </c>
      <c r="BB297" s="182"/>
      <c r="BC297" s="181" t="str">
        <f>IF(Ruimtestaat[[#This Row],[Frequentie weekend]]="","",_xlfn.CONCAT(Ruimtestaat[[#This Row],[Ruimte code]],"-",Ruimtestaat[[#This Row],[Frequentie weekend]]," ",Ruimtestaat[[#This Row],[Vloer code]]))</f>
        <v/>
      </c>
      <c r="BD297" s="185" t="str">
        <f>_xlfn.IFNA(VLOOKUP($BC297,Programma!$F$3:$G$1101,2,0),"")</f>
        <v/>
      </c>
      <c r="BE297" s="185" t="str">
        <f>_xlfn.IFNA(VLOOKUP($BC297,Programma!$F$3:$H$1101,3,0),"")</f>
        <v/>
      </c>
      <c r="BF297" s="185" t="str">
        <f>_xlfn.IFNA(VLOOKUP($BC297,Programma!$F$3:$I$1101,4,0),"")</f>
        <v/>
      </c>
      <c r="BG297" s="185" t="str">
        <f>_xlfn.IFNA(VLOOKUP($BC297,Programma!$F$3:$J$1101,5,0),"")</f>
        <v/>
      </c>
      <c r="BH297" s="185" t="str">
        <f>_xlfn.IFNA(VLOOKUP($BC297,Programma!$F$3:$K$1101,6,0),"")</f>
        <v/>
      </c>
      <c r="BI297" s="185" t="str">
        <f>_xlfn.IFNA(VLOOKUP($BC297,Programma!$F$3:$L$1101,7,0),"")</f>
        <v/>
      </c>
      <c r="BJ297" s="185" t="str">
        <f>_xlfn.IFNA(VLOOKUP($BC297,Programma!$F$3:$M$1101,8,0),"")</f>
        <v/>
      </c>
      <c r="BK297" s="185" t="str">
        <f>_xlfn.IFNA(VLOOKUP($BC297,Programma!$F$3:$N$1101,9,0),"")</f>
        <v/>
      </c>
      <c r="BL297" s="185" t="str">
        <f>_xlfn.IFNA(VLOOKUP($BC297,Programma!$F$3:$O$1101,10,0),"")</f>
        <v/>
      </c>
      <c r="BM297" s="185" t="str">
        <f>_xlfn.IFNA(VLOOKUP($BC297,Programma!$F$3:$P$1101,11,0),"")</f>
        <v/>
      </c>
      <c r="BN297" s="185" t="str">
        <f>_xlfn.IFNA(VLOOKUP($BC297,Programma!$F$3:$Q$1101,12,0),"")</f>
        <v/>
      </c>
      <c r="BO297" s="185" t="str">
        <f>_xlfn.IFNA(VLOOKUP($BC297,Programma!$F$3:$R$1101,13,0),"")</f>
        <v/>
      </c>
      <c r="BP297" s="185" t="str">
        <f>_xlfn.IFNA(VLOOKUP($BC297,Programma!$F$3:$S$1101,14,0),"")</f>
        <v/>
      </c>
      <c r="BQ297" s="185" t="str">
        <f>_xlfn.IFNA(VLOOKUP($BC297,Programma!$F$3:$T$1101,15,0),"")</f>
        <v/>
      </c>
      <c r="BR297" s="185" t="str">
        <f>_xlfn.IFNA(VLOOKUP($BC297,Programma!$F$3:$U$1101,16,0),"")</f>
        <v/>
      </c>
      <c r="BS297" s="185" t="str">
        <f>_xlfn.IFNA(VLOOKUP($BC297,Programma!$F$3:$V$1101,17,0),"")</f>
        <v/>
      </c>
      <c r="BT297" s="185" t="str">
        <f>_xlfn.IFNA(VLOOKUP($BC297,Programma!$F$3:$W$1101,18,0),"")</f>
        <v/>
      </c>
      <c r="BU297" s="185" t="str">
        <f>_xlfn.IFNA(VLOOKUP($BC297,Programma!$F$3:$X$1101,19,0),"")</f>
        <v/>
      </c>
      <c r="BV297" s="185" t="str">
        <f>_xlfn.IFNA(VLOOKUP($BC297,Programma!$F$3:$Y$1101,20,0),"")</f>
        <v/>
      </c>
    </row>
    <row r="298" spans="1:74" s="78" customFormat="1" ht="15" customHeight="1">
      <c r="A298" s="99">
        <v>10</v>
      </c>
      <c r="B298" s="176" t="str">
        <f>VLOOKUP(Ruimtestaat[[#This Row],[Code]],Locaties[[Code]:[Locatie]],2,FALSE)</f>
        <v>OJBS Het Palet</v>
      </c>
      <c r="C298" s="176" t="str">
        <f>VLOOKUP(Ruimtestaat[[#This Row],[Code]],Locaties[[#All],[Code]:[Adres]],4,FALSE)</f>
        <v>Ger. Terborghstraat 9</v>
      </c>
      <c r="D298" s="176" t="str">
        <f>VLOOKUP(Ruimtestaat[[#This Row],[Code]],Locaties[[#All],[Code]:[Postcode]],5,FALSE)</f>
        <v>7545 BV</v>
      </c>
      <c r="E298" s="176" t="str">
        <f>VLOOKUP(Ruimtestaat[[#This Row],[Code]],Locaties[#All],6,FALSE)</f>
        <v>Enschede</v>
      </c>
      <c r="F298" s="149"/>
      <c r="G298" s="149" t="s">
        <v>1646</v>
      </c>
      <c r="H298" s="99" t="s">
        <v>1650</v>
      </c>
      <c r="I298" s="183" t="s">
        <v>1651</v>
      </c>
      <c r="J298" s="99">
        <v>16</v>
      </c>
      <c r="K298" s="183" t="str">
        <f>VLOOKUP(Ruimtestaat[[#This Row],[Ruimte code]],Ruimtegroepen[[#All],[Code]:[Ruimte omschrijving]],2,FALSE)</f>
        <v>Leslokalen</v>
      </c>
      <c r="L298" s="149" t="s">
        <v>102</v>
      </c>
      <c r="M298" s="301" t="s">
        <v>120</v>
      </c>
      <c r="N298" s="177">
        <v>53.1</v>
      </c>
      <c r="O298" s="177"/>
      <c r="P298" s="178" t="str">
        <f>VLOOKUP(Ruimtestaat[[#This Row],[Ruimte code]],Ruimtegroepen[],4,FALSE)</f>
        <v>Le</v>
      </c>
      <c r="Q298" s="149">
        <v>40</v>
      </c>
      <c r="R298" s="149" t="s">
        <v>2</v>
      </c>
      <c r="S298" s="149">
        <f>IF(Q298&gt;0,IF(RIGHT(Ruimtestaat[[#This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8" s="149">
        <f>IF(S298&gt;0,VLOOKUP($J298,Ruimtegroepen[],3,FALSE)*VLOOKUP($L298,Vloersoorten[],3,FALSE)*VLOOKUP($R298,Frequenties[],3,FALSE)*VLOOKUP($A298,Locaties[],3,FALSE),0)</f>
        <v>0</v>
      </c>
      <c r="U298" s="149">
        <f>Ruimtestaat[[#This Row],[Uitvoeringen werkdagen]]*Ruimtestaat[[#This Row],[Oppervlak (netto)]]</f>
        <v>10620</v>
      </c>
      <c r="V298" s="179">
        <f>IF(T298&gt;0,Ruimtestaat[[#This Row],[Prest. (m2 /jaar) werkdagen]]/Ruimtestaat[[#This Row],[Norm (m2/uur) werkdagen]],0)</f>
        <v>0</v>
      </c>
      <c r="W298" s="180">
        <f>Ruimtestaat[[#This Row],[uren / jaar werkdagen]]*Tariefsopbouw!$E$35</f>
        <v>0</v>
      </c>
      <c r="X298" s="149"/>
      <c r="Y298" s="149">
        <f>IF(Ruimtestaat[[#This Row],[Frequentie weekend]]&gt;0,VALUE(LEFT(X298,1))*Q298,0)</f>
        <v>0</v>
      </c>
      <c r="Z298" s="148">
        <f>IF($Y298&gt;0,VLOOKUP($J298,Ruimtegroepen[],3,FALSE)*VLOOKUP($L298,Vloersoorten[],3,FALSE)*VLOOKUP($X298,Frequenties[],3,FALSE)*VLOOKUP(Ruimtestaat[[#This Row],[Code]],Locaties[],3,FALSE),0)</f>
        <v>0</v>
      </c>
      <c r="AA298" s="148">
        <f>Ruimtestaat[[#This Row],[Uitvoeringen weekend]]*Ruimtestaat[[#This Row],[Oppervlak (netto)]]</f>
        <v>0</v>
      </c>
      <c r="AB298" s="148">
        <f>IF(Z298&gt;0,Ruimtestaat[[#This Row],[Prest. (m2 /jaar) weekend]]/Ruimtestaat[[#This Row],[Norm (m2/uur) weekend]],0)</f>
        <v>0</v>
      </c>
      <c r="AC298" s="180">
        <f>Ruimtestaat[[#This Row],[uren / jaar weekend]]*Tariefsopbouw!$D$40</f>
        <v>0</v>
      </c>
      <c r="AD298" s="179">
        <f>Ruimtestaat[[#This Row],[Prest. (m2 /jaar) weekend]]+Ruimtestaat[[#This Row],[Prest. (m2 /jaar) werkdagen]]</f>
        <v>10620</v>
      </c>
      <c r="AE298" s="179">
        <f>Ruimtestaat[[#This Row],[uren / jaar weekend]]+Ruimtestaat[[#This Row],[uren / jaar werkdagen]]</f>
        <v>0</v>
      </c>
      <c r="AF298" s="174">
        <f>Ruimtestaat[[#This Row],[kosten / jaar weekend]]+Ruimtestaat[[#This Row],[kosten / jaar werkdagen]]</f>
        <v>0</v>
      </c>
      <c r="AG298" s="174"/>
      <c r="AH298" s="181" t="str">
        <f>IF(Ruimtestaat[[#This Row],[Frequentie werkdagen]]="","",_xlfn.CONCAT(Ruimtestaat[[#This Row],[Ruimte code]],"-",Ruimtestaat[[#This Row],[Frequentie werkdagen]]," ",Ruimtestaat[[#This Row],[Vloer code]]))</f>
        <v>16-5w P</v>
      </c>
      <c r="AI298" s="185" t="str">
        <f>_xlfn.IFNA(VLOOKUP($AH298,Programma!$F$3:$G$1101,2,0),"")</f>
        <v>_</v>
      </c>
      <c r="AJ298" s="185" t="str">
        <f>_xlfn.IFNA(VLOOKUP($AH298,Programma!$F$3:$H$1101,3,0),"")</f>
        <v>_</v>
      </c>
      <c r="AK298" s="185" t="str">
        <f>_xlfn.IFNA(VLOOKUP($AH298,Programma!$F$3:$I$1101,4,0),"")</f>
        <v>4w</v>
      </c>
      <c r="AL298" s="185" t="str">
        <f>_xlfn.IFNA(VLOOKUP($AH298,Programma!$F$3:$J$1101,5,0),"")</f>
        <v>1w</v>
      </c>
      <c r="AM298" s="185" t="str">
        <f>_xlfn.IFNA(VLOOKUP($AH298,Programma!$F$3:$K$1101,6,0),"")</f>
        <v>1m</v>
      </c>
      <c r="AN298" s="185" t="str">
        <f>_xlfn.IFNA(VLOOKUP($AH298,Programma!$F$3:$L$1101,7,0),"")</f>
        <v>_</v>
      </c>
      <c r="AO298" s="185" t="str">
        <f>_xlfn.IFNA(VLOOKUP($AH298,Programma!$F$3:$M$1101,8,0),"")</f>
        <v>_</v>
      </c>
      <c r="AP298" s="185" t="str">
        <f>_xlfn.IFNA(VLOOKUP($AH298,Programma!$F$3:$N$1101,9,0),"")</f>
        <v>_</v>
      </c>
      <c r="AQ298" s="185" t="str">
        <f>_xlfn.IFNA(VLOOKUP($AH298,Programma!$F$3:$O$1101,10,0),"")</f>
        <v>5w</v>
      </c>
      <c r="AR298" s="185" t="str">
        <f>_xlfn.IFNA(VLOOKUP($AH298,Programma!$F$3:$P$1101,11,0),"")</f>
        <v>5w</v>
      </c>
      <c r="AS298" s="185" t="str">
        <f>_xlfn.IFNA(VLOOKUP($AH298,Programma!$F$3:$Q$1101,12,0),"")</f>
        <v>1w</v>
      </c>
      <c r="AT298" s="185" t="str">
        <f>_xlfn.IFNA(VLOOKUP($AH298,Programma!$F$3:$R$1101,13,0),"")</f>
        <v>1w</v>
      </c>
      <c r="AU298" s="185" t="str">
        <f>_xlfn.IFNA(VLOOKUP($AH298,Programma!$F$3:$S$1101,14,0),"")</f>
        <v>1m</v>
      </c>
      <c r="AV298" s="185" t="str">
        <f>_xlfn.IFNA(VLOOKUP($AH298,Programma!$F$3:$T$1101,15,0),"")</f>
        <v>2j</v>
      </c>
      <c r="AW298" s="185" t="str">
        <f>_xlfn.IFNA(VLOOKUP($AH298,Programma!$F$3:$U$1101,16,0),"")</f>
        <v>1j</v>
      </c>
      <c r="AX298" s="185" t="str">
        <f>_xlfn.IFNA(VLOOKUP($AH298,Programma!$F$3:$V$1101,17,0),"")</f>
        <v>_</v>
      </c>
      <c r="AY298" s="185" t="str">
        <f>_xlfn.IFNA(VLOOKUP($AH298,Programma!$F$3:$W$1101,18,0),"")</f>
        <v>_</v>
      </c>
      <c r="AZ298" s="185" t="str">
        <f>_xlfn.IFNA(VLOOKUP($AH298,Programma!$F$3:$X$1101,19,0),"")</f>
        <v>_</v>
      </c>
      <c r="BA298" s="185" t="str">
        <f>_xlfn.IFNA(VLOOKUP($AH298,Programma!$F$3:$Y$1101,20,0),"")</f>
        <v>_</v>
      </c>
      <c r="BB298" s="182"/>
      <c r="BC298" s="181" t="str">
        <f>IF(Ruimtestaat[[#This Row],[Frequentie weekend]]="","",_xlfn.CONCAT(Ruimtestaat[[#This Row],[Ruimte code]],"-",Ruimtestaat[[#This Row],[Frequentie weekend]]," ",Ruimtestaat[[#This Row],[Vloer code]]))</f>
        <v/>
      </c>
      <c r="BD298" s="185" t="str">
        <f>_xlfn.IFNA(VLOOKUP($BC298,Programma!$F$3:$G$1101,2,0),"")</f>
        <v/>
      </c>
      <c r="BE298" s="185" t="str">
        <f>_xlfn.IFNA(VLOOKUP($BC298,Programma!$F$3:$H$1101,3,0),"")</f>
        <v/>
      </c>
      <c r="BF298" s="185" t="str">
        <f>_xlfn.IFNA(VLOOKUP($BC298,Programma!$F$3:$I$1101,4,0),"")</f>
        <v/>
      </c>
      <c r="BG298" s="185" t="str">
        <f>_xlfn.IFNA(VLOOKUP($BC298,Programma!$F$3:$J$1101,5,0),"")</f>
        <v/>
      </c>
      <c r="BH298" s="185" t="str">
        <f>_xlfn.IFNA(VLOOKUP($BC298,Programma!$F$3:$K$1101,6,0),"")</f>
        <v/>
      </c>
      <c r="BI298" s="185" t="str">
        <f>_xlfn.IFNA(VLOOKUP($BC298,Programma!$F$3:$L$1101,7,0),"")</f>
        <v/>
      </c>
      <c r="BJ298" s="185" t="str">
        <f>_xlfn.IFNA(VLOOKUP($BC298,Programma!$F$3:$M$1101,8,0),"")</f>
        <v/>
      </c>
      <c r="BK298" s="185" t="str">
        <f>_xlfn.IFNA(VLOOKUP($BC298,Programma!$F$3:$N$1101,9,0),"")</f>
        <v/>
      </c>
      <c r="BL298" s="185" t="str">
        <f>_xlfn.IFNA(VLOOKUP($BC298,Programma!$F$3:$O$1101,10,0),"")</f>
        <v/>
      </c>
      <c r="BM298" s="185" t="str">
        <f>_xlfn.IFNA(VLOOKUP($BC298,Programma!$F$3:$P$1101,11,0),"")</f>
        <v/>
      </c>
      <c r="BN298" s="185" t="str">
        <f>_xlfn.IFNA(VLOOKUP($BC298,Programma!$F$3:$Q$1101,12,0),"")</f>
        <v/>
      </c>
      <c r="BO298" s="185" t="str">
        <f>_xlfn.IFNA(VLOOKUP($BC298,Programma!$F$3:$R$1101,13,0),"")</f>
        <v/>
      </c>
      <c r="BP298" s="185" t="str">
        <f>_xlfn.IFNA(VLOOKUP($BC298,Programma!$F$3:$S$1101,14,0),"")</f>
        <v/>
      </c>
      <c r="BQ298" s="185" t="str">
        <f>_xlfn.IFNA(VLOOKUP($BC298,Programma!$F$3:$T$1101,15,0),"")</f>
        <v/>
      </c>
      <c r="BR298" s="185" t="str">
        <f>_xlfn.IFNA(VLOOKUP($BC298,Programma!$F$3:$U$1101,16,0),"")</f>
        <v/>
      </c>
      <c r="BS298" s="185" t="str">
        <f>_xlfn.IFNA(VLOOKUP($BC298,Programma!$F$3:$V$1101,17,0),"")</f>
        <v/>
      </c>
      <c r="BT298" s="185" t="str">
        <f>_xlfn.IFNA(VLOOKUP($BC298,Programma!$F$3:$W$1101,18,0),"")</f>
        <v/>
      </c>
      <c r="BU298" s="185" t="str">
        <f>_xlfn.IFNA(VLOOKUP($BC298,Programma!$F$3:$X$1101,19,0),"")</f>
        <v/>
      </c>
      <c r="BV298" s="185" t="str">
        <f>_xlfn.IFNA(VLOOKUP($BC298,Programma!$F$3:$Y$1101,20,0),"")</f>
        <v/>
      </c>
    </row>
    <row r="299" spans="1:74" s="78" customFormat="1" ht="15" customHeight="1">
      <c r="A299" s="99">
        <v>10</v>
      </c>
      <c r="B299" s="176" t="str">
        <f>VLOOKUP(Ruimtestaat[[#This Row],[Code]],Locaties[[Code]:[Locatie]],2,FALSE)</f>
        <v>OJBS Het Palet</v>
      </c>
      <c r="C299" s="176" t="str">
        <f>VLOOKUP(Ruimtestaat[[#This Row],[Code]],Locaties[[#All],[Code]:[Adres]],4,FALSE)</f>
        <v>Ger. Terborghstraat 9</v>
      </c>
      <c r="D299" s="176" t="str">
        <f>VLOOKUP(Ruimtestaat[[#This Row],[Code]],Locaties[[#All],[Code]:[Postcode]],5,FALSE)</f>
        <v>7545 BV</v>
      </c>
      <c r="E299" s="176" t="str">
        <f>VLOOKUP(Ruimtestaat[[#This Row],[Code]],Locaties[#All],6,FALSE)</f>
        <v>Enschede</v>
      </c>
      <c r="F299" s="149"/>
      <c r="G299" s="149" t="s">
        <v>1646</v>
      </c>
      <c r="H299" s="99" t="s">
        <v>1652</v>
      </c>
      <c r="I299" s="183" t="s">
        <v>1651</v>
      </c>
      <c r="J299" s="99">
        <v>16</v>
      </c>
      <c r="K299" s="183" t="str">
        <f>VLOOKUP(Ruimtestaat[[#This Row],[Ruimte code]],Ruimtegroepen[[#All],[Code]:[Ruimte omschrijving]],2,FALSE)</f>
        <v>Leslokalen</v>
      </c>
      <c r="L299" s="149" t="s">
        <v>102</v>
      </c>
      <c r="M299" s="301" t="s">
        <v>120</v>
      </c>
      <c r="N299" s="177">
        <v>73.2</v>
      </c>
      <c r="O299" s="177"/>
      <c r="P299" s="178" t="str">
        <f>VLOOKUP(Ruimtestaat[[#This Row],[Ruimte code]],Ruimtegroepen[],4,FALSE)</f>
        <v>Le</v>
      </c>
      <c r="Q299" s="149">
        <v>40</v>
      </c>
      <c r="R299" s="149" t="s">
        <v>2</v>
      </c>
      <c r="S299" s="149">
        <f>IF(Q299&gt;0,IF(RIGHT(Ruimtestaat[[#This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9" s="149">
        <f>IF(S299&gt;0,VLOOKUP($J299,Ruimtegroepen[],3,FALSE)*VLOOKUP($L299,Vloersoorten[],3,FALSE)*VLOOKUP($R299,Frequenties[],3,FALSE)*VLOOKUP($A299,Locaties[],3,FALSE),0)</f>
        <v>0</v>
      </c>
      <c r="U299" s="149">
        <f>Ruimtestaat[[#This Row],[Uitvoeringen werkdagen]]*Ruimtestaat[[#This Row],[Oppervlak (netto)]]</f>
        <v>14640</v>
      </c>
      <c r="V299" s="179">
        <f>IF(T299&gt;0,Ruimtestaat[[#This Row],[Prest. (m2 /jaar) werkdagen]]/Ruimtestaat[[#This Row],[Norm (m2/uur) werkdagen]],0)</f>
        <v>0</v>
      </c>
      <c r="W299" s="180">
        <f>Ruimtestaat[[#This Row],[uren / jaar werkdagen]]*Tariefsopbouw!$E$35</f>
        <v>0</v>
      </c>
      <c r="X299" s="149"/>
      <c r="Y299" s="149">
        <f>IF(Ruimtestaat[[#This Row],[Frequentie weekend]]&gt;0,VALUE(LEFT(X299,1))*Q299,0)</f>
        <v>0</v>
      </c>
      <c r="Z299" s="148">
        <f>IF($Y299&gt;0,VLOOKUP($J299,Ruimtegroepen[],3,FALSE)*VLOOKUP($L299,Vloersoorten[],3,FALSE)*VLOOKUP($X299,Frequenties[],3,FALSE)*VLOOKUP(Ruimtestaat[[#This Row],[Code]],Locaties[],3,FALSE),0)</f>
        <v>0</v>
      </c>
      <c r="AA299" s="148">
        <f>Ruimtestaat[[#This Row],[Uitvoeringen weekend]]*Ruimtestaat[[#This Row],[Oppervlak (netto)]]</f>
        <v>0</v>
      </c>
      <c r="AB299" s="148">
        <f>IF(Z299&gt;0,Ruimtestaat[[#This Row],[Prest. (m2 /jaar) weekend]]/Ruimtestaat[[#This Row],[Norm (m2/uur) weekend]],0)</f>
        <v>0</v>
      </c>
      <c r="AC299" s="180">
        <f>Ruimtestaat[[#This Row],[uren / jaar weekend]]*Tariefsopbouw!$D$40</f>
        <v>0</v>
      </c>
      <c r="AD299" s="179">
        <f>Ruimtestaat[[#This Row],[Prest. (m2 /jaar) weekend]]+Ruimtestaat[[#This Row],[Prest. (m2 /jaar) werkdagen]]</f>
        <v>14640</v>
      </c>
      <c r="AE299" s="179">
        <f>Ruimtestaat[[#This Row],[uren / jaar weekend]]+Ruimtestaat[[#This Row],[uren / jaar werkdagen]]</f>
        <v>0</v>
      </c>
      <c r="AF299" s="174">
        <f>Ruimtestaat[[#This Row],[kosten / jaar weekend]]+Ruimtestaat[[#This Row],[kosten / jaar werkdagen]]</f>
        <v>0</v>
      </c>
      <c r="AG299" s="174"/>
      <c r="AH299" s="181" t="str">
        <f>IF(Ruimtestaat[[#This Row],[Frequentie werkdagen]]="","",_xlfn.CONCAT(Ruimtestaat[[#This Row],[Ruimte code]],"-",Ruimtestaat[[#This Row],[Frequentie werkdagen]]," ",Ruimtestaat[[#This Row],[Vloer code]]))</f>
        <v>16-5w P</v>
      </c>
      <c r="AI299" s="185" t="str">
        <f>_xlfn.IFNA(VLOOKUP($AH299,Programma!$F$3:$G$1101,2,0),"")</f>
        <v>_</v>
      </c>
      <c r="AJ299" s="185" t="str">
        <f>_xlfn.IFNA(VLOOKUP($AH299,Programma!$F$3:$H$1101,3,0),"")</f>
        <v>_</v>
      </c>
      <c r="AK299" s="185" t="str">
        <f>_xlfn.IFNA(VLOOKUP($AH299,Programma!$F$3:$I$1101,4,0),"")</f>
        <v>4w</v>
      </c>
      <c r="AL299" s="185" t="str">
        <f>_xlfn.IFNA(VLOOKUP($AH299,Programma!$F$3:$J$1101,5,0),"")</f>
        <v>1w</v>
      </c>
      <c r="AM299" s="185" t="str">
        <f>_xlfn.IFNA(VLOOKUP($AH299,Programma!$F$3:$K$1101,6,0),"")</f>
        <v>1m</v>
      </c>
      <c r="AN299" s="185" t="str">
        <f>_xlfn.IFNA(VLOOKUP($AH299,Programma!$F$3:$L$1101,7,0),"")</f>
        <v>_</v>
      </c>
      <c r="AO299" s="185" t="str">
        <f>_xlfn.IFNA(VLOOKUP($AH299,Programma!$F$3:$M$1101,8,0),"")</f>
        <v>_</v>
      </c>
      <c r="AP299" s="185" t="str">
        <f>_xlfn.IFNA(VLOOKUP($AH299,Programma!$F$3:$N$1101,9,0),"")</f>
        <v>_</v>
      </c>
      <c r="AQ299" s="185" t="str">
        <f>_xlfn.IFNA(VLOOKUP($AH299,Programma!$F$3:$O$1101,10,0),"")</f>
        <v>5w</v>
      </c>
      <c r="AR299" s="185" t="str">
        <f>_xlfn.IFNA(VLOOKUP($AH299,Programma!$F$3:$P$1101,11,0),"")</f>
        <v>5w</v>
      </c>
      <c r="AS299" s="185" t="str">
        <f>_xlfn.IFNA(VLOOKUP($AH299,Programma!$F$3:$Q$1101,12,0),"")</f>
        <v>1w</v>
      </c>
      <c r="AT299" s="185" t="str">
        <f>_xlfn.IFNA(VLOOKUP($AH299,Programma!$F$3:$R$1101,13,0),"")</f>
        <v>1w</v>
      </c>
      <c r="AU299" s="185" t="str">
        <f>_xlfn.IFNA(VLOOKUP($AH299,Programma!$F$3:$S$1101,14,0),"")</f>
        <v>1m</v>
      </c>
      <c r="AV299" s="185" t="str">
        <f>_xlfn.IFNA(VLOOKUP($AH299,Programma!$F$3:$T$1101,15,0),"")</f>
        <v>2j</v>
      </c>
      <c r="AW299" s="185" t="str">
        <f>_xlfn.IFNA(VLOOKUP($AH299,Programma!$F$3:$U$1101,16,0),"")</f>
        <v>1j</v>
      </c>
      <c r="AX299" s="185" t="str">
        <f>_xlfn.IFNA(VLOOKUP($AH299,Programma!$F$3:$V$1101,17,0),"")</f>
        <v>_</v>
      </c>
      <c r="AY299" s="185" t="str">
        <f>_xlfn.IFNA(VLOOKUP($AH299,Programma!$F$3:$W$1101,18,0),"")</f>
        <v>_</v>
      </c>
      <c r="AZ299" s="185" t="str">
        <f>_xlfn.IFNA(VLOOKUP($AH299,Programma!$F$3:$X$1101,19,0),"")</f>
        <v>_</v>
      </c>
      <c r="BA299" s="185" t="str">
        <f>_xlfn.IFNA(VLOOKUP($AH299,Programma!$F$3:$Y$1101,20,0),"")</f>
        <v>_</v>
      </c>
      <c r="BB299" s="182"/>
      <c r="BC299" s="181" t="str">
        <f>IF(Ruimtestaat[[#This Row],[Frequentie weekend]]="","",_xlfn.CONCAT(Ruimtestaat[[#This Row],[Ruimte code]],"-",Ruimtestaat[[#This Row],[Frequentie weekend]]," ",Ruimtestaat[[#This Row],[Vloer code]]))</f>
        <v/>
      </c>
      <c r="BD299" s="185" t="str">
        <f>_xlfn.IFNA(VLOOKUP($BC299,Programma!$F$3:$G$1101,2,0),"")</f>
        <v/>
      </c>
      <c r="BE299" s="185" t="str">
        <f>_xlfn.IFNA(VLOOKUP($BC299,Programma!$F$3:$H$1101,3,0),"")</f>
        <v/>
      </c>
      <c r="BF299" s="185" t="str">
        <f>_xlfn.IFNA(VLOOKUP($BC299,Programma!$F$3:$I$1101,4,0),"")</f>
        <v/>
      </c>
      <c r="BG299" s="185" t="str">
        <f>_xlfn.IFNA(VLOOKUP($BC299,Programma!$F$3:$J$1101,5,0),"")</f>
        <v/>
      </c>
      <c r="BH299" s="185" t="str">
        <f>_xlfn.IFNA(VLOOKUP($BC299,Programma!$F$3:$K$1101,6,0),"")</f>
        <v/>
      </c>
      <c r="BI299" s="185" t="str">
        <f>_xlfn.IFNA(VLOOKUP($BC299,Programma!$F$3:$L$1101,7,0),"")</f>
        <v/>
      </c>
      <c r="BJ299" s="185" t="str">
        <f>_xlfn.IFNA(VLOOKUP($BC299,Programma!$F$3:$M$1101,8,0),"")</f>
        <v/>
      </c>
      <c r="BK299" s="185" t="str">
        <f>_xlfn.IFNA(VLOOKUP($BC299,Programma!$F$3:$N$1101,9,0),"")</f>
        <v/>
      </c>
      <c r="BL299" s="185" t="str">
        <f>_xlfn.IFNA(VLOOKUP($BC299,Programma!$F$3:$O$1101,10,0),"")</f>
        <v/>
      </c>
      <c r="BM299" s="185" t="str">
        <f>_xlfn.IFNA(VLOOKUP($BC299,Programma!$F$3:$P$1101,11,0),"")</f>
        <v/>
      </c>
      <c r="BN299" s="185" t="str">
        <f>_xlfn.IFNA(VLOOKUP($BC299,Programma!$F$3:$Q$1101,12,0),"")</f>
        <v/>
      </c>
      <c r="BO299" s="185" t="str">
        <f>_xlfn.IFNA(VLOOKUP($BC299,Programma!$F$3:$R$1101,13,0),"")</f>
        <v/>
      </c>
      <c r="BP299" s="185" t="str">
        <f>_xlfn.IFNA(VLOOKUP($BC299,Programma!$F$3:$S$1101,14,0),"")</f>
        <v/>
      </c>
      <c r="BQ299" s="185" t="str">
        <f>_xlfn.IFNA(VLOOKUP($BC299,Programma!$F$3:$T$1101,15,0),"")</f>
        <v/>
      </c>
      <c r="BR299" s="185" t="str">
        <f>_xlfn.IFNA(VLOOKUP($BC299,Programma!$F$3:$U$1101,16,0),"")</f>
        <v/>
      </c>
      <c r="BS299" s="185" t="str">
        <f>_xlfn.IFNA(VLOOKUP($BC299,Programma!$F$3:$V$1101,17,0),"")</f>
        <v/>
      </c>
      <c r="BT299" s="185" t="str">
        <f>_xlfn.IFNA(VLOOKUP($BC299,Programma!$F$3:$W$1101,18,0),"")</f>
        <v/>
      </c>
      <c r="BU299" s="185" t="str">
        <f>_xlfn.IFNA(VLOOKUP($BC299,Programma!$F$3:$X$1101,19,0),"")</f>
        <v/>
      </c>
      <c r="BV299" s="185" t="str">
        <f>_xlfn.IFNA(VLOOKUP($BC299,Programma!$F$3:$Y$1101,20,0),"")</f>
        <v/>
      </c>
    </row>
    <row r="300" spans="1:74" s="78" customFormat="1" ht="15" customHeight="1">
      <c r="A300" s="99">
        <v>10</v>
      </c>
      <c r="B300" s="176" t="str">
        <f>VLOOKUP(Ruimtestaat[[#This Row],[Code]],Locaties[[Code]:[Locatie]],2,FALSE)</f>
        <v>OJBS Het Palet</v>
      </c>
      <c r="C300" s="176" t="str">
        <f>VLOOKUP(Ruimtestaat[[#This Row],[Code]],Locaties[[#All],[Code]:[Adres]],4,FALSE)</f>
        <v>Ger. Terborghstraat 9</v>
      </c>
      <c r="D300" s="176" t="str">
        <f>VLOOKUP(Ruimtestaat[[#This Row],[Code]],Locaties[[#All],[Code]:[Postcode]],5,FALSE)</f>
        <v>7545 BV</v>
      </c>
      <c r="E300" s="176" t="str">
        <f>VLOOKUP(Ruimtestaat[[#This Row],[Code]],Locaties[#All],6,FALSE)</f>
        <v>Enschede</v>
      </c>
      <c r="F300" s="149"/>
      <c r="G300" s="149" t="s">
        <v>1646</v>
      </c>
      <c r="H300" s="99" t="s">
        <v>1653</v>
      </c>
      <c r="I300" s="183" t="s">
        <v>1690</v>
      </c>
      <c r="J300" s="99">
        <v>18</v>
      </c>
      <c r="K300" s="183" t="str">
        <f>VLOOKUP(Ruimtestaat[[#This Row],[Ruimte code]],Ruimtegroepen[[#All],[Code]:[Ruimte omschrijving]],2,FALSE)</f>
        <v>Gymzaal</v>
      </c>
      <c r="L300" s="149" t="s">
        <v>102</v>
      </c>
      <c r="M300" s="301" t="s">
        <v>120</v>
      </c>
      <c r="N300" s="177">
        <v>85.3</v>
      </c>
      <c r="O300" s="177"/>
      <c r="P300" s="178" t="str">
        <f>VLOOKUP(Ruimtestaat[[#This Row],[Ruimte code]],Ruimtegroepen[],4,FALSE)</f>
        <v>Sp</v>
      </c>
      <c r="Q300" s="149">
        <v>40</v>
      </c>
      <c r="R300" s="149" t="s">
        <v>2</v>
      </c>
      <c r="S300" s="149">
        <f>IF(Q300&gt;0,IF(RIGHT(Ruimtestaat[[#This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0" s="149">
        <f>IF(S300&gt;0,VLOOKUP($J300,Ruimtegroepen[],3,FALSE)*VLOOKUP($L300,Vloersoorten[],3,FALSE)*VLOOKUP($R300,Frequenties[],3,FALSE)*VLOOKUP($A300,Locaties[],3,FALSE),0)</f>
        <v>0</v>
      </c>
      <c r="U300" s="149">
        <f>Ruimtestaat[[#This Row],[Uitvoeringen werkdagen]]*Ruimtestaat[[#This Row],[Oppervlak (netto)]]</f>
        <v>17060</v>
      </c>
      <c r="V300" s="179">
        <f>IF(T300&gt;0,Ruimtestaat[[#This Row],[Prest. (m2 /jaar) werkdagen]]/Ruimtestaat[[#This Row],[Norm (m2/uur) werkdagen]],0)</f>
        <v>0</v>
      </c>
      <c r="W300" s="180">
        <f>Ruimtestaat[[#This Row],[uren / jaar werkdagen]]*Tariefsopbouw!$E$35</f>
        <v>0</v>
      </c>
      <c r="X300" s="149"/>
      <c r="Y300" s="149">
        <f>IF(Ruimtestaat[[#This Row],[Frequentie weekend]]&gt;0,VALUE(LEFT(X300,1))*Q300,0)</f>
        <v>0</v>
      </c>
      <c r="Z300" s="148">
        <f>IF($Y300&gt;0,VLOOKUP($J300,Ruimtegroepen[],3,FALSE)*VLOOKUP($L300,Vloersoorten[],3,FALSE)*VLOOKUP($X300,Frequenties[],3,FALSE)*VLOOKUP(Ruimtestaat[[#This Row],[Code]],Locaties[],3,FALSE),0)</f>
        <v>0</v>
      </c>
      <c r="AA300" s="148">
        <f>Ruimtestaat[[#This Row],[Uitvoeringen weekend]]*Ruimtestaat[[#This Row],[Oppervlak (netto)]]</f>
        <v>0</v>
      </c>
      <c r="AB300" s="148">
        <f>IF(Z300&gt;0,Ruimtestaat[[#This Row],[Prest. (m2 /jaar) weekend]]/Ruimtestaat[[#This Row],[Norm (m2/uur) weekend]],0)</f>
        <v>0</v>
      </c>
      <c r="AC300" s="180">
        <f>Ruimtestaat[[#This Row],[uren / jaar weekend]]*Tariefsopbouw!$D$40</f>
        <v>0</v>
      </c>
      <c r="AD300" s="179">
        <f>Ruimtestaat[[#This Row],[Prest. (m2 /jaar) weekend]]+Ruimtestaat[[#This Row],[Prest. (m2 /jaar) werkdagen]]</f>
        <v>17060</v>
      </c>
      <c r="AE300" s="179">
        <f>Ruimtestaat[[#This Row],[uren / jaar weekend]]+Ruimtestaat[[#This Row],[uren / jaar werkdagen]]</f>
        <v>0</v>
      </c>
      <c r="AF300" s="174">
        <f>Ruimtestaat[[#This Row],[kosten / jaar weekend]]+Ruimtestaat[[#This Row],[kosten / jaar werkdagen]]</f>
        <v>0</v>
      </c>
      <c r="AG300" s="174"/>
      <c r="AH300" s="181" t="str">
        <f>IF(Ruimtestaat[[#This Row],[Frequentie werkdagen]]="","",_xlfn.CONCAT(Ruimtestaat[[#This Row],[Ruimte code]],"-",Ruimtestaat[[#This Row],[Frequentie werkdagen]]," ",Ruimtestaat[[#This Row],[Vloer code]]))</f>
        <v>18-5w P</v>
      </c>
      <c r="AI300" s="185" t="str">
        <f>_xlfn.IFNA(VLOOKUP($AH300,Programma!$F$3:$G$1101,2,0),"")</f>
        <v>_</v>
      </c>
      <c r="AJ300" s="185" t="str">
        <f>_xlfn.IFNA(VLOOKUP($AH300,Programma!$F$3:$H$1101,3,0),"")</f>
        <v>_</v>
      </c>
      <c r="AK300" s="185" t="str">
        <f>_xlfn.IFNA(VLOOKUP($AH300,Programma!$F$3:$I$1101,4,0),"")</f>
        <v>4w</v>
      </c>
      <c r="AL300" s="185" t="str">
        <f>_xlfn.IFNA(VLOOKUP($AH300,Programma!$F$3:$J$1101,5,0),"")</f>
        <v>1w</v>
      </c>
      <c r="AM300" s="185" t="str">
        <f>_xlfn.IFNA(VLOOKUP($AH300,Programma!$F$3:$K$1101,6,0),"")</f>
        <v>4j</v>
      </c>
      <c r="AN300" s="185" t="str">
        <f>_xlfn.IFNA(VLOOKUP($AH300,Programma!$F$3:$L$1101,7,0),"")</f>
        <v>_</v>
      </c>
      <c r="AO300" s="185" t="str">
        <f>_xlfn.IFNA(VLOOKUP($AH300,Programma!$F$3:$M$1101,8,0),"")</f>
        <v>_</v>
      </c>
      <c r="AP300" s="185" t="str">
        <f>_xlfn.IFNA(VLOOKUP($AH300,Programma!$F$3:$N$1101,9,0),"")</f>
        <v>_</v>
      </c>
      <c r="AQ300" s="185" t="str">
        <f>_xlfn.IFNA(VLOOKUP($AH300,Programma!$F$3:$O$1101,10,0),"")</f>
        <v>5w</v>
      </c>
      <c r="AR300" s="185" t="str">
        <f>_xlfn.IFNA(VLOOKUP($AH300,Programma!$F$3:$P$1101,11,0),"")</f>
        <v>5w</v>
      </c>
      <c r="AS300" s="185" t="str">
        <f>_xlfn.IFNA(VLOOKUP($AH300,Programma!$F$3:$Q$1101,12,0),"")</f>
        <v>5w</v>
      </c>
      <c r="AT300" s="185" t="str">
        <f>_xlfn.IFNA(VLOOKUP($AH300,Programma!$F$3:$R$1101,13,0),"")</f>
        <v>5w</v>
      </c>
      <c r="AU300" s="185" t="str">
        <f>_xlfn.IFNA(VLOOKUP($AH300,Programma!$F$3:$S$1101,14,0),"")</f>
        <v>1m</v>
      </c>
      <c r="AV300" s="185" t="str">
        <f>_xlfn.IFNA(VLOOKUP($AH300,Programma!$F$3:$T$1101,15,0),"")</f>
        <v>2j</v>
      </c>
      <c r="AW300" s="185" t="str">
        <f>_xlfn.IFNA(VLOOKUP($AH300,Programma!$F$3:$U$1101,16,0),"")</f>
        <v>1j</v>
      </c>
      <c r="AX300" s="185" t="str">
        <f>_xlfn.IFNA(VLOOKUP($AH300,Programma!$F$3:$V$1101,17,0),"")</f>
        <v>_</v>
      </c>
      <c r="AY300" s="185" t="str">
        <f>_xlfn.IFNA(VLOOKUP($AH300,Programma!$F$3:$W$1101,18,0),"")</f>
        <v>_</v>
      </c>
      <c r="AZ300" s="185" t="str">
        <f>_xlfn.IFNA(VLOOKUP($AH300,Programma!$F$3:$X$1101,19,0),"")</f>
        <v>_</v>
      </c>
      <c r="BA300" s="185" t="str">
        <f>_xlfn.IFNA(VLOOKUP($AH300,Programma!$F$3:$Y$1101,20,0),"")</f>
        <v>_</v>
      </c>
      <c r="BB300" s="182"/>
      <c r="BC300" s="181" t="str">
        <f>IF(Ruimtestaat[[#This Row],[Frequentie weekend]]="","",_xlfn.CONCAT(Ruimtestaat[[#This Row],[Ruimte code]],"-",Ruimtestaat[[#This Row],[Frequentie weekend]]," ",Ruimtestaat[[#This Row],[Vloer code]]))</f>
        <v/>
      </c>
      <c r="BD300" s="185" t="str">
        <f>_xlfn.IFNA(VLOOKUP($BC300,Programma!$F$3:$G$1101,2,0),"")</f>
        <v/>
      </c>
      <c r="BE300" s="185" t="str">
        <f>_xlfn.IFNA(VLOOKUP($BC300,Programma!$F$3:$H$1101,3,0),"")</f>
        <v/>
      </c>
      <c r="BF300" s="185" t="str">
        <f>_xlfn.IFNA(VLOOKUP($BC300,Programma!$F$3:$I$1101,4,0),"")</f>
        <v/>
      </c>
      <c r="BG300" s="185" t="str">
        <f>_xlfn.IFNA(VLOOKUP($BC300,Programma!$F$3:$J$1101,5,0),"")</f>
        <v/>
      </c>
      <c r="BH300" s="185" t="str">
        <f>_xlfn.IFNA(VLOOKUP($BC300,Programma!$F$3:$K$1101,6,0),"")</f>
        <v/>
      </c>
      <c r="BI300" s="185" t="str">
        <f>_xlfn.IFNA(VLOOKUP($BC300,Programma!$F$3:$L$1101,7,0),"")</f>
        <v/>
      </c>
      <c r="BJ300" s="185" t="str">
        <f>_xlfn.IFNA(VLOOKUP($BC300,Programma!$F$3:$M$1101,8,0),"")</f>
        <v/>
      </c>
      <c r="BK300" s="185" t="str">
        <f>_xlfn.IFNA(VLOOKUP($BC300,Programma!$F$3:$N$1101,9,0),"")</f>
        <v/>
      </c>
      <c r="BL300" s="185" t="str">
        <f>_xlfn.IFNA(VLOOKUP($BC300,Programma!$F$3:$O$1101,10,0),"")</f>
        <v/>
      </c>
      <c r="BM300" s="185" t="str">
        <f>_xlfn.IFNA(VLOOKUP($BC300,Programma!$F$3:$P$1101,11,0),"")</f>
        <v/>
      </c>
      <c r="BN300" s="185" t="str">
        <f>_xlfn.IFNA(VLOOKUP($BC300,Programma!$F$3:$Q$1101,12,0),"")</f>
        <v/>
      </c>
      <c r="BO300" s="185" t="str">
        <f>_xlfn.IFNA(VLOOKUP($BC300,Programma!$F$3:$R$1101,13,0),"")</f>
        <v/>
      </c>
      <c r="BP300" s="185" t="str">
        <f>_xlfn.IFNA(VLOOKUP($BC300,Programma!$F$3:$S$1101,14,0),"")</f>
        <v/>
      </c>
      <c r="BQ300" s="185" t="str">
        <f>_xlfn.IFNA(VLOOKUP($BC300,Programma!$F$3:$T$1101,15,0),"")</f>
        <v/>
      </c>
      <c r="BR300" s="185" t="str">
        <f>_xlfn.IFNA(VLOOKUP($BC300,Programma!$F$3:$U$1101,16,0),"")</f>
        <v/>
      </c>
      <c r="BS300" s="185" t="str">
        <f>_xlfn.IFNA(VLOOKUP($BC300,Programma!$F$3:$V$1101,17,0),"")</f>
        <v/>
      </c>
      <c r="BT300" s="185" t="str">
        <f>_xlfn.IFNA(VLOOKUP($BC300,Programma!$F$3:$W$1101,18,0),"")</f>
        <v/>
      </c>
      <c r="BU300" s="185" t="str">
        <f>_xlfn.IFNA(VLOOKUP($BC300,Programma!$F$3:$X$1101,19,0),"")</f>
        <v/>
      </c>
      <c r="BV300" s="185" t="str">
        <f>_xlfn.IFNA(VLOOKUP($BC300,Programma!$F$3:$Y$1101,20,0),"")</f>
        <v/>
      </c>
    </row>
    <row r="301" spans="1:74" s="78" customFormat="1" ht="15" customHeight="1">
      <c r="A301" s="99">
        <v>10</v>
      </c>
      <c r="B301" s="176" t="str">
        <f>VLOOKUP(Ruimtestaat[[#This Row],[Code]],Locaties[[Code]:[Locatie]],2,FALSE)</f>
        <v>OJBS Het Palet</v>
      </c>
      <c r="C301" s="176" t="str">
        <f>VLOOKUP(Ruimtestaat[[#This Row],[Code]],Locaties[[#All],[Code]:[Adres]],4,FALSE)</f>
        <v>Ger. Terborghstraat 9</v>
      </c>
      <c r="D301" s="176" t="str">
        <f>VLOOKUP(Ruimtestaat[[#This Row],[Code]],Locaties[[#All],[Code]:[Postcode]],5,FALSE)</f>
        <v>7545 BV</v>
      </c>
      <c r="E301" s="176" t="str">
        <f>VLOOKUP(Ruimtestaat[[#This Row],[Code]],Locaties[#All],6,FALSE)</f>
        <v>Enschede</v>
      </c>
      <c r="F301" s="149"/>
      <c r="G301" s="149" t="s">
        <v>1646</v>
      </c>
      <c r="H301" s="99" t="s">
        <v>1654</v>
      </c>
      <c r="I301" s="183" t="s">
        <v>1651</v>
      </c>
      <c r="J301" s="149">
        <v>16</v>
      </c>
      <c r="K301" s="183" t="str">
        <f>VLOOKUP(Ruimtestaat[[#This Row],[Ruimte code]],Ruimtegroepen[[#All],[Code]:[Ruimte omschrijving]],2,FALSE)</f>
        <v>Leslokalen</v>
      </c>
      <c r="L301" s="149" t="s">
        <v>102</v>
      </c>
      <c r="M301" s="301" t="s">
        <v>120</v>
      </c>
      <c r="N301" s="177">
        <v>71.3</v>
      </c>
      <c r="O301" s="177"/>
      <c r="P301" s="178" t="str">
        <f>VLOOKUP(Ruimtestaat[[#This Row],[Ruimte code]],Ruimtegroepen[],4,FALSE)</f>
        <v>Le</v>
      </c>
      <c r="Q301" s="149">
        <v>40</v>
      </c>
      <c r="R301" s="149" t="s">
        <v>2</v>
      </c>
      <c r="S301" s="149">
        <f>IF(Q301&gt;0,IF(RIGHT(Ruimtestaat[[#This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1" s="149">
        <f>IF(S301&gt;0,VLOOKUP($J301,Ruimtegroepen[],3,FALSE)*VLOOKUP($L301,Vloersoorten[],3,FALSE)*VLOOKUP($R301,Frequenties[],3,FALSE)*VLOOKUP($A301,Locaties[],3,FALSE),0)</f>
        <v>0</v>
      </c>
      <c r="U301" s="149">
        <f>Ruimtestaat[[#This Row],[Uitvoeringen werkdagen]]*Ruimtestaat[[#This Row],[Oppervlak (netto)]]</f>
        <v>14260</v>
      </c>
      <c r="V301" s="179">
        <f>IF(T301&gt;0,Ruimtestaat[[#This Row],[Prest. (m2 /jaar) werkdagen]]/Ruimtestaat[[#This Row],[Norm (m2/uur) werkdagen]],0)</f>
        <v>0</v>
      </c>
      <c r="W301" s="180">
        <f>Ruimtestaat[[#This Row],[uren / jaar werkdagen]]*Tariefsopbouw!$E$35</f>
        <v>0</v>
      </c>
      <c r="X301" s="149"/>
      <c r="Y301" s="149">
        <f>IF(Ruimtestaat[[#This Row],[Frequentie weekend]]&gt;0,VALUE(LEFT(X301,1))*Q301,0)</f>
        <v>0</v>
      </c>
      <c r="Z301" s="148">
        <f>IF($Y301&gt;0,VLOOKUP($J301,Ruimtegroepen[],3,FALSE)*VLOOKUP($L301,Vloersoorten[],3,FALSE)*VLOOKUP($X301,Frequenties[],3,FALSE)*VLOOKUP(Ruimtestaat[[#This Row],[Code]],Locaties[],3,FALSE),0)</f>
        <v>0</v>
      </c>
      <c r="AA301" s="148">
        <f>Ruimtestaat[[#This Row],[Uitvoeringen weekend]]*Ruimtestaat[[#This Row],[Oppervlak (netto)]]</f>
        <v>0</v>
      </c>
      <c r="AB301" s="148">
        <f>IF(Z301&gt;0,Ruimtestaat[[#This Row],[Prest. (m2 /jaar) weekend]]/Ruimtestaat[[#This Row],[Norm (m2/uur) weekend]],0)</f>
        <v>0</v>
      </c>
      <c r="AC301" s="180">
        <f>Ruimtestaat[[#This Row],[uren / jaar weekend]]*Tariefsopbouw!$D$40</f>
        <v>0</v>
      </c>
      <c r="AD301" s="179">
        <f>Ruimtestaat[[#This Row],[Prest. (m2 /jaar) weekend]]+Ruimtestaat[[#This Row],[Prest. (m2 /jaar) werkdagen]]</f>
        <v>14260</v>
      </c>
      <c r="AE301" s="179">
        <f>Ruimtestaat[[#This Row],[uren / jaar weekend]]+Ruimtestaat[[#This Row],[uren / jaar werkdagen]]</f>
        <v>0</v>
      </c>
      <c r="AF301" s="174">
        <f>Ruimtestaat[[#This Row],[kosten / jaar weekend]]+Ruimtestaat[[#This Row],[kosten / jaar werkdagen]]</f>
        <v>0</v>
      </c>
      <c r="AG301" s="174"/>
      <c r="AH301" s="181" t="str">
        <f>IF(Ruimtestaat[[#This Row],[Frequentie werkdagen]]="","",_xlfn.CONCAT(Ruimtestaat[[#This Row],[Ruimte code]],"-",Ruimtestaat[[#This Row],[Frequentie werkdagen]]," ",Ruimtestaat[[#This Row],[Vloer code]]))</f>
        <v>16-5w P</v>
      </c>
      <c r="AI301" s="185" t="str">
        <f>_xlfn.IFNA(VLOOKUP($AH301,Programma!$F$3:$G$1101,2,0),"")</f>
        <v>_</v>
      </c>
      <c r="AJ301" s="185" t="str">
        <f>_xlfn.IFNA(VLOOKUP($AH301,Programma!$F$3:$H$1101,3,0),"")</f>
        <v>_</v>
      </c>
      <c r="AK301" s="185" t="str">
        <f>_xlfn.IFNA(VLOOKUP($AH301,Programma!$F$3:$I$1101,4,0),"")</f>
        <v>4w</v>
      </c>
      <c r="AL301" s="185" t="str">
        <f>_xlfn.IFNA(VLOOKUP($AH301,Programma!$F$3:$J$1101,5,0),"")</f>
        <v>1w</v>
      </c>
      <c r="AM301" s="185" t="str">
        <f>_xlfn.IFNA(VLOOKUP($AH301,Programma!$F$3:$K$1101,6,0),"")</f>
        <v>1m</v>
      </c>
      <c r="AN301" s="185" t="str">
        <f>_xlfn.IFNA(VLOOKUP($AH301,Programma!$F$3:$L$1101,7,0),"")</f>
        <v>_</v>
      </c>
      <c r="AO301" s="185" t="str">
        <f>_xlfn.IFNA(VLOOKUP($AH301,Programma!$F$3:$M$1101,8,0),"")</f>
        <v>_</v>
      </c>
      <c r="AP301" s="185" t="str">
        <f>_xlfn.IFNA(VLOOKUP($AH301,Programma!$F$3:$N$1101,9,0),"")</f>
        <v>_</v>
      </c>
      <c r="AQ301" s="185" t="str">
        <f>_xlfn.IFNA(VLOOKUP($AH301,Programma!$F$3:$O$1101,10,0),"")</f>
        <v>5w</v>
      </c>
      <c r="AR301" s="185" t="str">
        <f>_xlfn.IFNA(VLOOKUP($AH301,Programma!$F$3:$P$1101,11,0),"")</f>
        <v>5w</v>
      </c>
      <c r="AS301" s="185" t="str">
        <f>_xlfn.IFNA(VLOOKUP($AH301,Programma!$F$3:$Q$1101,12,0),"")</f>
        <v>1w</v>
      </c>
      <c r="AT301" s="185" t="str">
        <f>_xlfn.IFNA(VLOOKUP($AH301,Programma!$F$3:$R$1101,13,0),"")</f>
        <v>1w</v>
      </c>
      <c r="AU301" s="185" t="str">
        <f>_xlfn.IFNA(VLOOKUP($AH301,Programma!$F$3:$S$1101,14,0),"")</f>
        <v>1m</v>
      </c>
      <c r="AV301" s="185" t="str">
        <f>_xlfn.IFNA(VLOOKUP($AH301,Programma!$F$3:$T$1101,15,0),"")</f>
        <v>2j</v>
      </c>
      <c r="AW301" s="185" t="str">
        <f>_xlfn.IFNA(VLOOKUP($AH301,Programma!$F$3:$U$1101,16,0),"")</f>
        <v>1j</v>
      </c>
      <c r="AX301" s="185" t="str">
        <f>_xlfn.IFNA(VLOOKUP($AH301,Programma!$F$3:$V$1101,17,0),"")</f>
        <v>_</v>
      </c>
      <c r="AY301" s="185" t="str">
        <f>_xlfn.IFNA(VLOOKUP($AH301,Programma!$F$3:$W$1101,18,0),"")</f>
        <v>_</v>
      </c>
      <c r="AZ301" s="185" t="str">
        <f>_xlfn.IFNA(VLOOKUP($AH301,Programma!$F$3:$X$1101,19,0),"")</f>
        <v>_</v>
      </c>
      <c r="BA301" s="185" t="str">
        <f>_xlfn.IFNA(VLOOKUP($AH301,Programma!$F$3:$Y$1101,20,0),"")</f>
        <v>_</v>
      </c>
      <c r="BB301" s="182"/>
      <c r="BC301" s="181" t="str">
        <f>IF(Ruimtestaat[[#This Row],[Frequentie weekend]]="","",_xlfn.CONCAT(Ruimtestaat[[#This Row],[Ruimte code]],"-",Ruimtestaat[[#This Row],[Frequentie weekend]]," ",Ruimtestaat[[#This Row],[Vloer code]]))</f>
        <v/>
      </c>
      <c r="BD301" s="185" t="str">
        <f>_xlfn.IFNA(VLOOKUP($BC301,Programma!$F$3:$G$1101,2,0),"")</f>
        <v/>
      </c>
      <c r="BE301" s="185" t="str">
        <f>_xlfn.IFNA(VLOOKUP($BC301,Programma!$F$3:$H$1101,3,0),"")</f>
        <v/>
      </c>
      <c r="BF301" s="185" t="str">
        <f>_xlfn.IFNA(VLOOKUP($BC301,Programma!$F$3:$I$1101,4,0),"")</f>
        <v/>
      </c>
      <c r="BG301" s="185" t="str">
        <f>_xlfn.IFNA(VLOOKUP($BC301,Programma!$F$3:$J$1101,5,0),"")</f>
        <v/>
      </c>
      <c r="BH301" s="185" t="str">
        <f>_xlfn.IFNA(VLOOKUP($BC301,Programma!$F$3:$K$1101,6,0),"")</f>
        <v/>
      </c>
      <c r="BI301" s="185" t="str">
        <f>_xlfn.IFNA(VLOOKUP($BC301,Programma!$F$3:$L$1101,7,0),"")</f>
        <v/>
      </c>
      <c r="BJ301" s="185" t="str">
        <f>_xlfn.IFNA(VLOOKUP($BC301,Programma!$F$3:$M$1101,8,0),"")</f>
        <v/>
      </c>
      <c r="BK301" s="185" t="str">
        <f>_xlfn.IFNA(VLOOKUP($BC301,Programma!$F$3:$N$1101,9,0),"")</f>
        <v/>
      </c>
      <c r="BL301" s="185" t="str">
        <f>_xlfn.IFNA(VLOOKUP($BC301,Programma!$F$3:$O$1101,10,0),"")</f>
        <v/>
      </c>
      <c r="BM301" s="185" t="str">
        <f>_xlfn.IFNA(VLOOKUP($BC301,Programma!$F$3:$P$1101,11,0),"")</f>
        <v/>
      </c>
      <c r="BN301" s="185" t="str">
        <f>_xlfn.IFNA(VLOOKUP($BC301,Programma!$F$3:$Q$1101,12,0),"")</f>
        <v/>
      </c>
      <c r="BO301" s="185" t="str">
        <f>_xlfn.IFNA(VLOOKUP($BC301,Programma!$F$3:$R$1101,13,0),"")</f>
        <v/>
      </c>
      <c r="BP301" s="185" t="str">
        <f>_xlfn.IFNA(VLOOKUP($BC301,Programma!$F$3:$S$1101,14,0),"")</f>
        <v/>
      </c>
      <c r="BQ301" s="185" t="str">
        <f>_xlfn.IFNA(VLOOKUP($BC301,Programma!$F$3:$T$1101,15,0),"")</f>
        <v/>
      </c>
      <c r="BR301" s="185" t="str">
        <f>_xlfn.IFNA(VLOOKUP($BC301,Programma!$F$3:$U$1101,16,0),"")</f>
        <v/>
      </c>
      <c r="BS301" s="185" t="str">
        <f>_xlfn.IFNA(VLOOKUP($BC301,Programma!$F$3:$V$1101,17,0),"")</f>
        <v/>
      </c>
      <c r="BT301" s="185" t="str">
        <f>_xlfn.IFNA(VLOOKUP($BC301,Programma!$F$3:$W$1101,18,0),"")</f>
        <v/>
      </c>
      <c r="BU301" s="185" t="str">
        <f>_xlfn.IFNA(VLOOKUP($BC301,Programma!$F$3:$X$1101,19,0),"")</f>
        <v/>
      </c>
      <c r="BV301" s="185" t="str">
        <f>_xlfn.IFNA(VLOOKUP($BC301,Programma!$F$3:$Y$1101,20,0),"")</f>
        <v/>
      </c>
    </row>
    <row r="302" spans="1:74" s="78" customFormat="1" ht="15" customHeight="1">
      <c r="A302" s="99">
        <v>10</v>
      </c>
      <c r="B302" s="176" t="str">
        <f>VLOOKUP(Ruimtestaat[[#This Row],[Code]],Locaties[[Code]:[Locatie]],2,FALSE)</f>
        <v>OJBS Het Palet</v>
      </c>
      <c r="C302" s="176" t="str">
        <f>VLOOKUP(Ruimtestaat[[#This Row],[Code]],Locaties[[#All],[Code]:[Adres]],4,FALSE)</f>
        <v>Ger. Terborghstraat 9</v>
      </c>
      <c r="D302" s="176" t="str">
        <f>VLOOKUP(Ruimtestaat[[#This Row],[Code]],Locaties[[#All],[Code]:[Postcode]],5,FALSE)</f>
        <v>7545 BV</v>
      </c>
      <c r="E302" s="176" t="str">
        <f>VLOOKUP(Ruimtestaat[[#This Row],[Code]],Locaties[#All],6,FALSE)</f>
        <v>Enschede</v>
      </c>
      <c r="F302" s="149"/>
      <c r="G302" s="149" t="s">
        <v>1646</v>
      </c>
      <c r="H302" s="99" t="s">
        <v>1656</v>
      </c>
      <c r="I302" s="183" t="s">
        <v>1649</v>
      </c>
      <c r="J302" s="99">
        <v>2</v>
      </c>
      <c r="K302" s="183" t="str">
        <f>VLOOKUP(Ruimtestaat[[#This Row],[Ruimte code]],Ruimtegroepen[[#All],[Code]:[Ruimte omschrijving]],2,FALSE)</f>
        <v>Kantoren</v>
      </c>
      <c r="L302" s="149" t="s">
        <v>102</v>
      </c>
      <c r="M302" s="301" t="s">
        <v>120</v>
      </c>
      <c r="N302" s="177">
        <v>26.4</v>
      </c>
      <c r="O302" s="177"/>
      <c r="P302" s="178" t="str">
        <f>VLOOKUP(Ruimtestaat[[#This Row],[Ruimte code]],Ruimtegroepen[],4,FALSE)</f>
        <v>Bu</v>
      </c>
      <c r="Q302" s="149">
        <v>40</v>
      </c>
      <c r="R302" s="149" t="s">
        <v>18</v>
      </c>
      <c r="S302" s="149">
        <f>IF(Q302&gt;0,IF(RIGHT(Ruimtestaat[[#This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02" s="149">
        <f>IF(S302&gt;0,VLOOKUP($J302,Ruimtegroepen[],3,FALSE)*VLOOKUP($L302,Vloersoorten[],3,FALSE)*VLOOKUP($R302,Frequenties[],3,FALSE)*VLOOKUP($A302,Locaties[],3,FALSE),0)</f>
        <v>0</v>
      </c>
      <c r="U302" s="149">
        <f>Ruimtestaat[[#This Row],[Uitvoeringen werkdagen]]*Ruimtestaat[[#This Row],[Oppervlak (netto)]]</f>
        <v>3168</v>
      </c>
      <c r="V302" s="179">
        <f>IF(T302&gt;0,Ruimtestaat[[#This Row],[Prest. (m2 /jaar) werkdagen]]/Ruimtestaat[[#This Row],[Norm (m2/uur) werkdagen]],0)</f>
        <v>0</v>
      </c>
      <c r="W302" s="180">
        <f>Ruimtestaat[[#This Row],[uren / jaar werkdagen]]*Tariefsopbouw!$E$35</f>
        <v>0</v>
      </c>
      <c r="X302" s="149"/>
      <c r="Y302" s="149">
        <f>IF(Ruimtestaat[[#This Row],[Frequentie weekend]]&gt;0,VALUE(LEFT(X302,1))*Q302,0)</f>
        <v>0</v>
      </c>
      <c r="Z302" s="148">
        <f>IF($Y302&gt;0,VLOOKUP($J302,Ruimtegroepen[],3,FALSE)*VLOOKUP($L302,Vloersoorten[],3,FALSE)*VLOOKUP($X302,Frequenties[],3,FALSE)*VLOOKUP(Ruimtestaat[[#This Row],[Code]],Locaties[],3,FALSE),0)</f>
        <v>0</v>
      </c>
      <c r="AA302" s="148">
        <f>Ruimtestaat[[#This Row],[Uitvoeringen weekend]]*Ruimtestaat[[#This Row],[Oppervlak (netto)]]</f>
        <v>0</v>
      </c>
      <c r="AB302" s="148">
        <f>IF(Z302&gt;0,Ruimtestaat[[#This Row],[Prest. (m2 /jaar) weekend]]/Ruimtestaat[[#This Row],[Norm (m2/uur) weekend]],0)</f>
        <v>0</v>
      </c>
      <c r="AC302" s="180">
        <f>Ruimtestaat[[#This Row],[uren / jaar weekend]]*Tariefsopbouw!$D$40</f>
        <v>0</v>
      </c>
      <c r="AD302" s="179">
        <f>Ruimtestaat[[#This Row],[Prest. (m2 /jaar) weekend]]+Ruimtestaat[[#This Row],[Prest. (m2 /jaar) werkdagen]]</f>
        <v>3168</v>
      </c>
      <c r="AE302" s="179">
        <f>Ruimtestaat[[#This Row],[uren / jaar weekend]]+Ruimtestaat[[#This Row],[uren / jaar werkdagen]]</f>
        <v>0</v>
      </c>
      <c r="AF302" s="174">
        <f>Ruimtestaat[[#This Row],[kosten / jaar weekend]]+Ruimtestaat[[#This Row],[kosten / jaar werkdagen]]</f>
        <v>0</v>
      </c>
      <c r="AG302" s="174"/>
      <c r="AH302" s="181" t="str">
        <f>IF(Ruimtestaat[[#This Row],[Frequentie werkdagen]]="","",_xlfn.CONCAT(Ruimtestaat[[#This Row],[Ruimte code]],"-",Ruimtestaat[[#This Row],[Frequentie werkdagen]]," ",Ruimtestaat[[#This Row],[Vloer code]]))</f>
        <v>2-3w P</v>
      </c>
      <c r="AI302" s="185" t="str">
        <f>_xlfn.IFNA(VLOOKUP($AH302,Programma!$F$3:$G$1101,2,0),"")</f>
        <v>_</v>
      </c>
      <c r="AJ302" s="185" t="str">
        <f>_xlfn.IFNA(VLOOKUP($AH302,Programma!$F$3:$H$1101,3,0),"")</f>
        <v>_</v>
      </c>
      <c r="AK302" s="185" t="str">
        <f>_xlfn.IFNA(VLOOKUP($AH302,Programma!$F$3:$I$1101,4,0),"")</f>
        <v>2w</v>
      </c>
      <c r="AL302" s="185" t="str">
        <f>_xlfn.IFNA(VLOOKUP($AH302,Programma!$F$3:$J$1101,5,0),"")</f>
        <v>1w</v>
      </c>
      <c r="AM302" s="185" t="str">
        <f>_xlfn.IFNA(VLOOKUP($AH302,Programma!$F$3:$K$1101,6,0),"")</f>
        <v>1j</v>
      </c>
      <c r="AN302" s="185" t="str">
        <f>_xlfn.IFNA(VLOOKUP($AH302,Programma!$F$3:$L$1101,7,0),"")</f>
        <v>_</v>
      </c>
      <c r="AO302" s="185" t="str">
        <f>_xlfn.IFNA(VLOOKUP($AH302,Programma!$F$3:$M$1101,8,0),"")</f>
        <v>_</v>
      </c>
      <c r="AP302" s="185" t="str">
        <f>_xlfn.IFNA(VLOOKUP($AH302,Programma!$F$3:$N$1101,9,0),"")</f>
        <v>_</v>
      </c>
      <c r="AQ302" s="185" t="str">
        <f>_xlfn.IFNA(VLOOKUP($AH302,Programma!$F$3:$O$1101,10,0),"")</f>
        <v>3w</v>
      </c>
      <c r="AR302" s="185" t="str">
        <f>_xlfn.IFNA(VLOOKUP($AH302,Programma!$F$3:$P$1101,11,0),"")</f>
        <v>3w</v>
      </c>
      <c r="AS302" s="185" t="str">
        <f>_xlfn.IFNA(VLOOKUP($AH302,Programma!$F$3:$Q$1101,12,0),"")</f>
        <v>1w</v>
      </c>
      <c r="AT302" s="185" t="str">
        <f>_xlfn.IFNA(VLOOKUP($AH302,Programma!$F$3:$R$1101,13,0),"")</f>
        <v>1w</v>
      </c>
      <c r="AU302" s="185" t="str">
        <f>_xlfn.IFNA(VLOOKUP($AH302,Programma!$F$3:$S$1101,14,0),"")</f>
        <v>1m</v>
      </c>
      <c r="AV302" s="185" t="str">
        <f>_xlfn.IFNA(VLOOKUP($AH302,Programma!$F$3:$T$1101,15,0),"")</f>
        <v>2j</v>
      </c>
      <c r="AW302" s="185" t="str">
        <f>_xlfn.IFNA(VLOOKUP($AH302,Programma!$F$3:$U$1101,16,0),"")</f>
        <v>1j</v>
      </c>
      <c r="AX302" s="185" t="str">
        <f>_xlfn.IFNA(VLOOKUP($AH302,Programma!$F$3:$V$1101,17,0),"")</f>
        <v>_</v>
      </c>
      <c r="AY302" s="185" t="str">
        <f>_xlfn.IFNA(VLOOKUP($AH302,Programma!$F$3:$W$1101,18,0),"")</f>
        <v>_</v>
      </c>
      <c r="AZ302" s="185" t="str">
        <f>_xlfn.IFNA(VLOOKUP($AH302,Programma!$F$3:$X$1101,19,0),"")</f>
        <v>_</v>
      </c>
      <c r="BA302" s="185" t="str">
        <f>_xlfn.IFNA(VLOOKUP($AH302,Programma!$F$3:$Y$1101,20,0),"")</f>
        <v>_</v>
      </c>
      <c r="BB302" s="182"/>
      <c r="BC302" s="181" t="str">
        <f>IF(Ruimtestaat[[#This Row],[Frequentie weekend]]="","",_xlfn.CONCAT(Ruimtestaat[[#This Row],[Ruimte code]],"-",Ruimtestaat[[#This Row],[Frequentie weekend]]," ",Ruimtestaat[[#This Row],[Vloer code]]))</f>
        <v/>
      </c>
      <c r="BD302" s="185" t="str">
        <f>_xlfn.IFNA(VLOOKUP($BC302,Programma!$F$3:$G$1101,2,0),"")</f>
        <v/>
      </c>
      <c r="BE302" s="185" t="str">
        <f>_xlfn.IFNA(VLOOKUP($BC302,Programma!$F$3:$H$1101,3,0),"")</f>
        <v/>
      </c>
      <c r="BF302" s="185" t="str">
        <f>_xlfn.IFNA(VLOOKUP($BC302,Programma!$F$3:$I$1101,4,0),"")</f>
        <v/>
      </c>
      <c r="BG302" s="185" t="str">
        <f>_xlfn.IFNA(VLOOKUP($BC302,Programma!$F$3:$J$1101,5,0),"")</f>
        <v/>
      </c>
      <c r="BH302" s="185" t="str">
        <f>_xlfn.IFNA(VLOOKUP($BC302,Programma!$F$3:$K$1101,6,0),"")</f>
        <v/>
      </c>
      <c r="BI302" s="185" t="str">
        <f>_xlfn.IFNA(VLOOKUP($BC302,Programma!$F$3:$L$1101,7,0),"")</f>
        <v/>
      </c>
      <c r="BJ302" s="185" t="str">
        <f>_xlfn.IFNA(VLOOKUP($BC302,Programma!$F$3:$M$1101,8,0),"")</f>
        <v/>
      </c>
      <c r="BK302" s="185" t="str">
        <f>_xlfn.IFNA(VLOOKUP($BC302,Programma!$F$3:$N$1101,9,0),"")</f>
        <v/>
      </c>
      <c r="BL302" s="185" t="str">
        <f>_xlfn.IFNA(VLOOKUP($BC302,Programma!$F$3:$O$1101,10,0),"")</f>
        <v/>
      </c>
      <c r="BM302" s="185" t="str">
        <f>_xlfn.IFNA(VLOOKUP($BC302,Programma!$F$3:$P$1101,11,0),"")</f>
        <v/>
      </c>
      <c r="BN302" s="185" t="str">
        <f>_xlfn.IFNA(VLOOKUP($BC302,Programma!$F$3:$Q$1101,12,0),"")</f>
        <v/>
      </c>
      <c r="BO302" s="185" t="str">
        <f>_xlfn.IFNA(VLOOKUP($BC302,Programma!$F$3:$R$1101,13,0),"")</f>
        <v/>
      </c>
      <c r="BP302" s="185" t="str">
        <f>_xlfn.IFNA(VLOOKUP($BC302,Programma!$F$3:$S$1101,14,0),"")</f>
        <v/>
      </c>
      <c r="BQ302" s="185" t="str">
        <f>_xlfn.IFNA(VLOOKUP($BC302,Programma!$F$3:$T$1101,15,0),"")</f>
        <v/>
      </c>
      <c r="BR302" s="185" t="str">
        <f>_xlfn.IFNA(VLOOKUP($BC302,Programma!$F$3:$U$1101,16,0),"")</f>
        <v/>
      </c>
      <c r="BS302" s="185" t="str">
        <f>_xlfn.IFNA(VLOOKUP($BC302,Programma!$F$3:$V$1101,17,0),"")</f>
        <v/>
      </c>
      <c r="BT302" s="185" t="str">
        <f>_xlfn.IFNA(VLOOKUP($BC302,Programma!$F$3:$W$1101,18,0),"")</f>
        <v/>
      </c>
      <c r="BU302" s="185" t="str">
        <f>_xlfn.IFNA(VLOOKUP($BC302,Programma!$F$3:$X$1101,19,0),"")</f>
        <v/>
      </c>
      <c r="BV302" s="185" t="str">
        <f>_xlfn.IFNA(VLOOKUP($BC302,Programma!$F$3:$Y$1101,20,0),"")</f>
        <v/>
      </c>
    </row>
    <row r="303" spans="1:74" s="78" customFormat="1" ht="15" customHeight="1">
      <c r="A303" s="99">
        <v>10</v>
      </c>
      <c r="B303" s="176" t="str">
        <f>VLOOKUP(Ruimtestaat[[#This Row],[Code]],Locaties[[Code]:[Locatie]],2,FALSE)</f>
        <v>OJBS Het Palet</v>
      </c>
      <c r="C303" s="176" t="str">
        <f>VLOOKUP(Ruimtestaat[[#This Row],[Code]],Locaties[[#All],[Code]:[Adres]],4,FALSE)</f>
        <v>Ger. Terborghstraat 9</v>
      </c>
      <c r="D303" s="176" t="str">
        <f>VLOOKUP(Ruimtestaat[[#This Row],[Code]],Locaties[[#All],[Code]:[Postcode]],5,FALSE)</f>
        <v>7545 BV</v>
      </c>
      <c r="E303" s="176" t="str">
        <f>VLOOKUP(Ruimtestaat[[#This Row],[Code]],Locaties[#All],6,FALSE)</f>
        <v>Enschede</v>
      </c>
      <c r="F303" s="149"/>
      <c r="G303" s="149" t="s">
        <v>1646</v>
      </c>
      <c r="H303" s="99" t="s">
        <v>1657</v>
      </c>
      <c r="I303" s="183" t="s">
        <v>1649</v>
      </c>
      <c r="J303" s="99">
        <v>2</v>
      </c>
      <c r="K303" s="183" t="str">
        <f>VLOOKUP(Ruimtestaat[[#This Row],[Ruimte code]],Ruimtegroepen[[#All],[Code]:[Ruimte omschrijving]],2,FALSE)</f>
        <v>Kantoren</v>
      </c>
      <c r="L303" s="149" t="s">
        <v>102</v>
      </c>
      <c r="M303" s="301" t="s">
        <v>120</v>
      </c>
      <c r="N303" s="177">
        <v>16.7</v>
      </c>
      <c r="O303" s="177"/>
      <c r="P303" s="178" t="str">
        <f>VLOOKUP(Ruimtestaat[[#This Row],[Ruimte code]],Ruimtegroepen[],4,FALSE)</f>
        <v>Bu</v>
      </c>
      <c r="Q303" s="149">
        <v>40</v>
      </c>
      <c r="R303" s="149" t="s">
        <v>18</v>
      </c>
      <c r="S303" s="149">
        <f>IF(Q303&gt;0,IF(RIGHT(Ruimtestaat[[#This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03" s="149">
        <f>IF(S303&gt;0,VLOOKUP($J303,Ruimtegroepen[],3,FALSE)*VLOOKUP($L303,Vloersoorten[],3,FALSE)*VLOOKUP($R303,Frequenties[],3,FALSE)*VLOOKUP($A303,Locaties[],3,FALSE),0)</f>
        <v>0</v>
      </c>
      <c r="U303" s="149">
        <f>Ruimtestaat[[#This Row],[Uitvoeringen werkdagen]]*Ruimtestaat[[#This Row],[Oppervlak (netto)]]</f>
        <v>2004</v>
      </c>
      <c r="V303" s="179">
        <f>IF(T303&gt;0,Ruimtestaat[[#This Row],[Prest. (m2 /jaar) werkdagen]]/Ruimtestaat[[#This Row],[Norm (m2/uur) werkdagen]],0)</f>
        <v>0</v>
      </c>
      <c r="W303" s="180">
        <f>Ruimtestaat[[#This Row],[uren / jaar werkdagen]]*Tariefsopbouw!$E$35</f>
        <v>0</v>
      </c>
      <c r="X303" s="149"/>
      <c r="Y303" s="149">
        <f>IF(Ruimtestaat[[#This Row],[Frequentie weekend]]&gt;0,VALUE(LEFT(X303,1))*Q303,0)</f>
        <v>0</v>
      </c>
      <c r="Z303" s="148">
        <f>IF($Y303&gt;0,VLOOKUP($J303,Ruimtegroepen[],3,FALSE)*VLOOKUP($L303,Vloersoorten[],3,FALSE)*VLOOKUP($X303,Frequenties[],3,FALSE)*VLOOKUP(Ruimtestaat[[#This Row],[Code]],Locaties[],3,FALSE),0)</f>
        <v>0</v>
      </c>
      <c r="AA303" s="148">
        <f>Ruimtestaat[[#This Row],[Uitvoeringen weekend]]*Ruimtestaat[[#This Row],[Oppervlak (netto)]]</f>
        <v>0</v>
      </c>
      <c r="AB303" s="148">
        <f>IF(Z303&gt;0,Ruimtestaat[[#This Row],[Prest. (m2 /jaar) weekend]]/Ruimtestaat[[#This Row],[Norm (m2/uur) weekend]],0)</f>
        <v>0</v>
      </c>
      <c r="AC303" s="180">
        <f>Ruimtestaat[[#This Row],[uren / jaar weekend]]*Tariefsopbouw!$D$40</f>
        <v>0</v>
      </c>
      <c r="AD303" s="179">
        <f>Ruimtestaat[[#This Row],[Prest. (m2 /jaar) weekend]]+Ruimtestaat[[#This Row],[Prest. (m2 /jaar) werkdagen]]</f>
        <v>2004</v>
      </c>
      <c r="AE303" s="179">
        <f>Ruimtestaat[[#This Row],[uren / jaar weekend]]+Ruimtestaat[[#This Row],[uren / jaar werkdagen]]</f>
        <v>0</v>
      </c>
      <c r="AF303" s="174">
        <f>Ruimtestaat[[#This Row],[kosten / jaar weekend]]+Ruimtestaat[[#This Row],[kosten / jaar werkdagen]]</f>
        <v>0</v>
      </c>
      <c r="AG303" s="174"/>
      <c r="AH303" s="181" t="str">
        <f>IF(Ruimtestaat[[#This Row],[Frequentie werkdagen]]="","",_xlfn.CONCAT(Ruimtestaat[[#This Row],[Ruimte code]],"-",Ruimtestaat[[#This Row],[Frequentie werkdagen]]," ",Ruimtestaat[[#This Row],[Vloer code]]))</f>
        <v>2-3w P</v>
      </c>
      <c r="AI303" s="185" t="str">
        <f>_xlfn.IFNA(VLOOKUP($AH303,Programma!$F$3:$G$1101,2,0),"")</f>
        <v>_</v>
      </c>
      <c r="AJ303" s="185" t="str">
        <f>_xlfn.IFNA(VLOOKUP($AH303,Programma!$F$3:$H$1101,3,0),"")</f>
        <v>_</v>
      </c>
      <c r="AK303" s="185" t="str">
        <f>_xlfn.IFNA(VLOOKUP($AH303,Programma!$F$3:$I$1101,4,0),"")</f>
        <v>2w</v>
      </c>
      <c r="AL303" s="185" t="str">
        <f>_xlfn.IFNA(VLOOKUP($AH303,Programma!$F$3:$J$1101,5,0),"")</f>
        <v>1w</v>
      </c>
      <c r="AM303" s="185" t="str">
        <f>_xlfn.IFNA(VLOOKUP($AH303,Programma!$F$3:$K$1101,6,0),"")</f>
        <v>1j</v>
      </c>
      <c r="AN303" s="185" t="str">
        <f>_xlfn.IFNA(VLOOKUP($AH303,Programma!$F$3:$L$1101,7,0),"")</f>
        <v>_</v>
      </c>
      <c r="AO303" s="185" t="str">
        <f>_xlfn.IFNA(VLOOKUP($AH303,Programma!$F$3:$M$1101,8,0),"")</f>
        <v>_</v>
      </c>
      <c r="AP303" s="185" t="str">
        <f>_xlfn.IFNA(VLOOKUP($AH303,Programma!$F$3:$N$1101,9,0),"")</f>
        <v>_</v>
      </c>
      <c r="AQ303" s="185" t="str">
        <f>_xlfn.IFNA(VLOOKUP($AH303,Programma!$F$3:$O$1101,10,0),"")</f>
        <v>3w</v>
      </c>
      <c r="AR303" s="185" t="str">
        <f>_xlfn.IFNA(VLOOKUP($AH303,Programma!$F$3:$P$1101,11,0),"")</f>
        <v>3w</v>
      </c>
      <c r="AS303" s="185" t="str">
        <f>_xlfn.IFNA(VLOOKUP($AH303,Programma!$F$3:$Q$1101,12,0),"")</f>
        <v>1w</v>
      </c>
      <c r="AT303" s="185" t="str">
        <f>_xlfn.IFNA(VLOOKUP($AH303,Programma!$F$3:$R$1101,13,0),"")</f>
        <v>1w</v>
      </c>
      <c r="AU303" s="185" t="str">
        <f>_xlfn.IFNA(VLOOKUP($AH303,Programma!$F$3:$S$1101,14,0),"")</f>
        <v>1m</v>
      </c>
      <c r="AV303" s="185" t="str">
        <f>_xlfn.IFNA(VLOOKUP($AH303,Programma!$F$3:$T$1101,15,0),"")</f>
        <v>2j</v>
      </c>
      <c r="AW303" s="185" t="str">
        <f>_xlfn.IFNA(VLOOKUP($AH303,Programma!$F$3:$U$1101,16,0),"")</f>
        <v>1j</v>
      </c>
      <c r="AX303" s="185" t="str">
        <f>_xlfn.IFNA(VLOOKUP($AH303,Programma!$F$3:$V$1101,17,0),"")</f>
        <v>_</v>
      </c>
      <c r="AY303" s="185" t="str">
        <f>_xlfn.IFNA(VLOOKUP($AH303,Programma!$F$3:$W$1101,18,0),"")</f>
        <v>_</v>
      </c>
      <c r="AZ303" s="185" t="str">
        <f>_xlfn.IFNA(VLOOKUP($AH303,Programma!$F$3:$X$1101,19,0),"")</f>
        <v>_</v>
      </c>
      <c r="BA303" s="185" t="str">
        <f>_xlfn.IFNA(VLOOKUP($AH303,Programma!$F$3:$Y$1101,20,0),"")</f>
        <v>_</v>
      </c>
      <c r="BB303" s="182"/>
      <c r="BC303" s="181" t="str">
        <f>IF(Ruimtestaat[[#This Row],[Frequentie weekend]]="","",_xlfn.CONCAT(Ruimtestaat[[#This Row],[Ruimte code]],"-",Ruimtestaat[[#This Row],[Frequentie weekend]]," ",Ruimtestaat[[#This Row],[Vloer code]]))</f>
        <v/>
      </c>
      <c r="BD303" s="185" t="str">
        <f>_xlfn.IFNA(VLOOKUP($BC303,Programma!$F$3:$G$1101,2,0),"")</f>
        <v/>
      </c>
      <c r="BE303" s="185" t="str">
        <f>_xlfn.IFNA(VLOOKUP($BC303,Programma!$F$3:$H$1101,3,0),"")</f>
        <v/>
      </c>
      <c r="BF303" s="185" t="str">
        <f>_xlfn.IFNA(VLOOKUP($BC303,Programma!$F$3:$I$1101,4,0),"")</f>
        <v/>
      </c>
      <c r="BG303" s="185" t="str">
        <f>_xlfn.IFNA(VLOOKUP($BC303,Programma!$F$3:$J$1101,5,0),"")</f>
        <v/>
      </c>
      <c r="BH303" s="185" t="str">
        <f>_xlfn.IFNA(VLOOKUP($BC303,Programma!$F$3:$K$1101,6,0),"")</f>
        <v/>
      </c>
      <c r="BI303" s="185" t="str">
        <f>_xlfn.IFNA(VLOOKUP($BC303,Programma!$F$3:$L$1101,7,0),"")</f>
        <v/>
      </c>
      <c r="BJ303" s="185" t="str">
        <f>_xlfn.IFNA(VLOOKUP($BC303,Programma!$F$3:$M$1101,8,0),"")</f>
        <v/>
      </c>
      <c r="BK303" s="185" t="str">
        <f>_xlfn.IFNA(VLOOKUP($BC303,Programma!$F$3:$N$1101,9,0),"")</f>
        <v/>
      </c>
      <c r="BL303" s="185" t="str">
        <f>_xlfn.IFNA(VLOOKUP($BC303,Programma!$F$3:$O$1101,10,0),"")</f>
        <v/>
      </c>
      <c r="BM303" s="185" t="str">
        <f>_xlfn.IFNA(VLOOKUP($BC303,Programma!$F$3:$P$1101,11,0),"")</f>
        <v/>
      </c>
      <c r="BN303" s="185" t="str">
        <f>_xlfn.IFNA(VLOOKUP($BC303,Programma!$F$3:$Q$1101,12,0),"")</f>
        <v/>
      </c>
      <c r="BO303" s="185" t="str">
        <f>_xlfn.IFNA(VLOOKUP($BC303,Programma!$F$3:$R$1101,13,0),"")</f>
        <v/>
      </c>
      <c r="BP303" s="185" t="str">
        <f>_xlfn.IFNA(VLOOKUP($BC303,Programma!$F$3:$S$1101,14,0),"")</f>
        <v/>
      </c>
      <c r="BQ303" s="185" t="str">
        <f>_xlfn.IFNA(VLOOKUP($BC303,Programma!$F$3:$T$1101,15,0),"")</f>
        <v/>
      </c>
      <c r="BR303" s="185" t="str">
        <f>_xlfn.IFNA(VLOOKUP($BC303,Programma!$F$3:$U$1101,16,0),"")</f>
        <v/>
      </c>
      <c r="BS303" s="185" t="str">
        <f>_xlfn.IFNA(VLOOKUP($BC303,Programma!$F$3:$V$1101,17,0),"")</f>
        <v/>
      </c>
      <c r="BT303" s="185" t="str">
        <f>_xlfn.IFNA(VLOOKUP($BC303,Programma!$F$3:$W$1101,18,0),"")</f>
        <v/>
      </c>
      <c r="BU303" s="185" t="str">
        <f>_xlfn.IFNA(VLOOKUP($BC303,Programma!$F$3:$X$1101,19,0),"")</f>
        <v/>
      </c>
      <c r="BV303" s="185" t="str">
        <f>_xlfn.IFNA(VLOOKUP($BC303,Programma!$F$3:$Y$1101,20,0),"")</f>
        <v/>
      </c>
    </row>
    <row r="304" spans="1:74" s="78" customFormat="1" ht="15" customHeight="1">
      <c r="A304" s="99">
        <v>10</v>
      </c>
      <c r="B304" s="176" t="str">
        <f>VLOOKUP(Ruimtestaat[[#This Row],[Code]],Locaties[[Code]:[Locatie]],2,FALSE)</f>
        <v>OJBS Het Palet</v>
      </c>
      <c r="C304" s="176" t="str">
        <f>VLOOKUP(Ruimtestaat[[#This Row],[Code]],Locaties[[#All],[Code]:[Adres]],4,FALSE)</f>
        <v>Ger. Terborghstraat 9</v>
      </c>
      <c r="D304" s="176" t="str">
        <f>VLOOKUP(Ruimtestaat[[#This Row],[Code]],Locaties[[#All],[Code]:[Postcode]],5,FALSE)</f>
        <v>7545 BV</v>
      </c>
      <c r="E304" s="176" t="str">
        <f>VLOOKUP(Ruimtestaat[[#This Row],[Code]],Locaties[#All],6,FALSE)</f>
        <v>Enschede</v>
      </c>
      <c r="F304" s="149"/>
      <c r="G304" s="149" t="s">
        <v>1646</v>
      </c>
      <c r="H304" s="99" t="s">
        <v>1660</v>
      </c>
      <c r="I304" s="183" t="s">
        <v>1651</v>
      </c>
      <c r="J304" s="99">
        <v>16</v>
      </c>
      <c r="K304" s="183" t="str">
        <f>VLOOKUP(Ruimtestaat[[#This Row],[Ruimte code]],Ruimtegroepen[[#All],[Code]:[Ruimte omschrijving]],2,FALSE)</f>
        <v>Leslokalen</v>
      </c>
      <c r="L304" s="149" t="s">
        <v>102</v>
      </c>
      <c r="M304" s="301" t="s">
        <v>120</v>
      </c>
      <c r="N304" s="177">
        <v>73.599999999999994</v>
      </c>
      <c r="O304" s="177"/>
      <c r="P304" s="178" t="str">
        <f>VLOOKUP(Ruimtestaat[[#This Row],[Ruimte code]],Ruimtegroepen[],4,FALSE)</f>
        <v>Le</v>
      </c>
      <c r="Q304" s="149">
        <v>40</v>
      </c>
      <c r="R304" s="149" t="s">
        <v>2</v>
      </c>
      <c r="S304" s="149">
        <f>IF(Q304&gt;0,IF(RIGHT(Ruimtestaat[[#This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4" s="149">
        <f>IF(S304&gt;0,VLOOKUP($J304,Ruimtegroepen[],3,FALSE)*VLOOKUP($L304,Vloersoorten[],3,FALSE)*VLOOKUP($R304,Frequenties[],3,FALSE)*VLOOKUP($A304,Locaties[],3,FALSE),0)</f>
        <v>0</v>
      </c>
      <c r="U304" s="149">
        <f>Ruimtestaat[[#This Row],[Uitvoeringen werkdagen]]*Ruimtestaat[[#This Row],[Oppervlak (netto)]]</f>
        <v>14719.999999999998</v>
      </c>
      <c r="V304" s="179">
        <f>IF(T304&gt;0,Ruimtestaat[[#This Row],[Prest. (m2 /jaar) werkdagen]]/Ruimtestaat[[#This Row],[Norm (m2/uur) werkdagen]],0)</f>
        <v>0</v>
      </c>
      <c r="W304" s="180">
        <f>Ruimtestaat[[#This Row],[uren / jaar werkdagen]]*Tariefsopbouw!$E$35</f>
        <v>0</v>
      </c>
      <c r="X304" s="149"/>
      <c r="Y304" s="149">
        <f>IF(Ruimtestaat[[#This Row],[Frequentie weekend]]&gt;0,VALUE(LEFT(X304,1))*Q304,0)</f>
        <v>0</v>
      </c>
      <c r="Z304" s="148">
        <f>IF($Y304&gt;0,VLOOKUP($J304,Ruimtegroepen[],3,FALSE)*VLOOKUP($L304,Vloersoorten[],3,FALSE)*VLOOKUP($X304,Frequenties[],3,FALSE)*VLOOKUP(Ruimtestaat[[#This Row],[Code]],Locaties[],3,FALSE),0)</f>
        <v>0</v>
      </c>
      <c r="AA304" s="148">
        <f>Ruimtestaat[[#This Row],[Uitvoeringen weekend]]*Ruimtestaat[[#This Row],[Oppervlak (netto)]]</f>
        <v>0</v>
      </c>
      <c r="AB304" s="148">
        <f>IF(Z304&gt;0,Ruimtestaat[[#This Row],[Prest. (m2 /jaar) weekend]]/Ruimtestaat[[#This Row],[Norm (m2/uur) weekend]],0)</f>
        <v>0</v>
      </c>
      <c r="AC304" s="180">
        <f>Ruimtestaat[[#This Row],[uren / jaar weekend]]*Tariefsopbouw!$D$40</f>
        <v>0</v>
      </c>
      <c r="AD304" s="179">
        <f>Ruimtestaat[[#This Row],[Prest. (m2 /jaar) weekend]]+Ruimtestaat[[#This Row],[Prest. (m2 /jaar) werkdagen]]</f>
        <v>14719.999999999998</v>
      </c>
      <c r="AE304" s="179">
        <f>Ruimtestaat[[#This Row],[uren / jaar weekend]]+Ruimtestaat[[#This Row],[uren / jaar werkdagen]]</f>
        <v>0</v>
      </c>
      <c r="AF304" s="174">
        <f>Ruimtestaat[[#This Row],[kosten / jaar weekend]]+Ruimtestaat[[#This Row],[kosten / jaar werkdagen]]</f>
        <v>0</v>
      </c>
      <c r="AG304" s="174"/>
      <c r="AH304" s="181" t="str">
        <f>IF(Ruimtestaat[[#This Row],[Frequentie werkdagen]]="","",_xlfn.CONCAT(Ruimtestaat[[#This Row],[Ruimte code]],"-",Ruimtestaat[[#This Row],[Frequentie werkdagen]]," ",Ruimtestaat[[#This Row],[Vloer code]]))</f>
        <v>16-5w P</v>
      </c>
      <c r="AI304" s="185" t="str">
        <f>_xlfn.IFNA(VLOOKUP($AH304,Programma!$F$3:$G$1101,2,0),"")</f>
        <v>_</v>
      </c>
      <c r="AJ304" s="185" t="str">
        <f>_xlfn.IFNA(VLOOKUP($AH304,Programma!$F$3:$H$1101,3,0),"")</f>
        <v>_</v>
      </c>
      <c r="AK304" s="185" t="str">
        <f>_xlfn.IFNA(VLOOKUP($AH304,Programma!$F$3:$I$1101,4,0),"")</f>
        <v>4w</v>
      </c>
      <c r="AL304" s="185" t="str">
        <f>_xlfn.IFNA(VLOOKUP($AH304,Programma!$F$3:$J$1101,5,0),"")</f>
        <v>1w</v>
      </c>
      <c r="AM304" s="185" t="str">
        <f>_xlfn.IFNA(VLOOKUP($AH304,Programma!$F$3:$K$1101,6,0),"")</f>
        <v>1m</v>
      </c>
      <c r="AN304" s="185" t="str">
        <f>_xlfn.IFNA(VLOOKUP($AH304,Programma!$F$3:$L$1101,7,0),"")</f>
        <v>_</v>
      </c>
      <c r="AO304" s="185" t="str">
        <f>_xlfn.IFNA(VLOOKUP($AH304,Programma!$F$3:$M$1101,8,0),"")</f>
        <v>_</v>
      </c>
      <c r="AP304" s="185" t="str">
        <f>_xlfn.IFNA(VLOOKUP($AH304,Programma!$F$3:$N$1101,9,0),"")</f>
        <v>_</v>
      </c>
      <c r="AQ304" s="185" t="str">
        <f>_xlfn.IFNA(VLOOKUP($AH304,Programma!$F$3:$O$1101,10,0),"")</f>
        <v>5w</v>
      </c>
      <c r="AR304" s="185" t="str">
        <f>_xlfn.IFNA(VLOOKUP($AH304,Programma!$F$3:$P$1101,11,0),"")</f>
        <v>5w</v>
      </c>
      <c r="AS304" s="185" t="str">
        <f>_xlfn.IFNA(VLOOKUP($AH304,Programma!$F$3:$Q$1101,12,0),"")</f>
        <v>1w</v>
      </c>
      <c r="AT304" s="185" t="str">
        <f>_xlfn.IFNA(VLOOKUP($AH304,Programma!$F$3:$R$1101,13,0),"")</f>
        <v>1w</v>
      </c>
      <c r="AU304" s="185" t="str">
        <f>_xlfn.IFNA(VLOOKUP($AH304,Programma!$F$3:$S$1101,14,0),"")</f>
        <v>1m</v>
      </c>
      <c r="AV304" s="185" t="str">
        <f>_xlfn.IFNA(VLOOKUP($AH304,Programma!$F$3:$T$1101,15,0),"")</f>
        <v>2j</v>
      </c>
      <c r="AW304" s="185" t="str">
        <f>_xlfn.IFNA(VLOOKUP($AH304,Programma!$F$3:$U$1101,16,0),"")</f>
        <v>1j</v>
      </c>
      <c r="AX304" s="185" t="str">
        <f>_xlfn.IFNA(VLOOKUP($AH304,Programma!$F$3:$V$1101,17,0),"")</f>
        <v>_</v>
      </c>
      <c r="AY304" s="185" t="str">
        <f>_xlfn.IFNA(VLOOKUP($AH304,Programma!$F$3:$W$1101,18,0),"")</f>
        <v>_</v>
      </c>
      <c r="AZ304" s="185" t="str">
        <f>_xlfn.IFNA(VLOOKUP($AH304,Programma!$F$3:$X$1101,19,0),"")</f>
        <v>_</v>
      </c>
      <c r="BA304" s="185" t="str">
        <f>_xlfn.IFNA(VLOOKUP($AH304,Programma!$F$3:$Y$1101,20,0),"")</f>
        <v>_</v>
      </c>
      <c r="BB304" s="182"/>
      <c r="BC304" s="181" t="str">
        <f>IF(Ruimtestaat[[#This Row],[Frequentie weekend]]="","",_xlfn.CONCAT(Ruimtestaat[[#This Row],[Ruimte code]],"-",Ruimtestaat[[#This Row],[Frequentie weekend]]," ",Ruimtestaat[[#This Row],[Vloer code]]))</f>
        <v/>
      </c>
      <c r="BD304" s="185" t="str">
        <f>_xlfn.IFNA(VLOOKUP($BC304,Programma!$F$3:$G$1101,2,0),"")</f>
        <v/>
      </c>
      <c r="BE304" s="185" t="str">
        <f>_xlfn.IFNA(VLOOKUP($BC304,Programma!$F$3:$H$1101,3,0),"")</f>
        <v/>
      </c>
      <c r="BF304" s="185" t="str">
        <f>_xlfn.IFNA(VLOOKUP($BC304,Programma!$F$3:$I$1101,4,0),"")</f>
        <v/>
      </c>
      <c r="BG304" s="185" t="str">
        <f>_xlfn.IFNA(VLOOKUP($BC304,Programma!$F$3:$J$1101,5,0),"")</f>
        <v/>
      </c>
      <c r="BH304" s="185" t="str">
        <f>_xlfn.IFNA(VLOOKUP($BC304,Programma!$F$3:$K$1101,6,0),"")</f>
        <v/>
      </c>
      <c r="BI304" s="185" t="str">
        <f>_xlfn.IFNA(VLOOKUP($BC304,Programma!$F$3:$L$1101,7,0),"")</f>
        <v/>
      </c>
      <c r="BJ304" s="185" t="str">
        <f>_xlfn.IFNA(VLOOKUP($BC304,Programma!$F$3:$M$1101,8,0),"")</f>
        <v/>
      </c>
      <c r="BK304" s="185" t="str">
        <f>_xlfn.IFNA(VLOOKUP($BC304,Programma!$F$3:$N$1101,9,0),"")</f>
        <v/>
      </c>
      <c r="BL304" s="185" t="str">
        <f>_xlfn.IFNA(VLOOKUP($BC304,Programma!$F$3:$O$1101,10,0),"")</f>
        <v/>
      </c>
      <c r="BM304" s="185" t="str">
        <f>_xlfn.IFNA(VLOOKUP($BC304,Programma!$F$3:$P$1101,11,0),"")</f>
        <v/>
      </c>
      <c r="BN304" s="185" t="str">
        <f>_xlfn.IFNA(VLOOKUP($BC304,Programma!$F$3:$Q$1101,12,0),"")</f>
        <v/>
      </c>
      <c r="BO304" s="185" t="str">
        <f>_xlfn.IFNA(VLOOKUP($BC304,Programma!$F$3:$R$1101,13,0),"")</f>
        <v/>
      </c>
      <c r="BP304" s="185" t="str">
        <f>_xlfn.IFNA(VLOOKUP($BC304,Programma!$F$3:$S$1101,14,0),"")</f>
        <v/>
      </c>
      <c r="BQ304" s="185" t="str">
        <f>_xlfn.IFNA(VLOOKUP($BC304,Programma!$F$3:$T$1101,15,0),"")</f>
        <v/>
      </c>
      <c r="BR304" s="185" t="str">
        <f>_xlfn.IFNA(VLOOKUP($BC304,Programma!$F$3:$U$1101,16,0),"")</f>
        <v/>
      </c>
      <c r="BS304" s="185" t="str">
        <f>_xlfn.IFNA(VLOOKUP($BC304,Programma!$F$3:$V$1101,17,0),"")</f>
        <v/>
      </c>
      <c r="BT304" s="185" t="str">
        <f>_xlfn.IFNA(VLOOKUP($BC304,Programma!$F$3:$W$1101,18,0),"")</f>
        <v/>
      </c>
      <c r="BU304" s="185" t="str">
        <f>_xlfn.IFNA(VLOOKUP($BC304,Programma!$F$3:$X$1101,19,0),"")</f>
        <v/>
      </c>
      <c r="BV304" s="185" t="str">
        <f>_xlfn.IFNA(VLOOKUP($BC304,Programma!$F$3:$Y$1101,20,0),"")</f>
        <v/>
      </c>
    </row>
    <row r="305" spans="1:74" s="78" customFormat="1" ht="15" customHeight="1">
      <c r="A305" s="99">
        <v>10</v>
      </c>
      <c r="B305" s="176" t="str">
        <f>VLOOKUP(Ruimtestaat[[#This Row],[Code]],Locaties[[Code]:[Locatie]],2,FALSE)</f>
        <v>OJBS Het Palet</v>
      </c>
      <c r="C305" s="176" t="str">
        <f>VLOOKUP(Ruimtestaat[[#This Row],[Code]],Locaties[[#All],[Code]:[Adres]],4,FALSE)</f>
        <v>Ger. Terborghstraat 9</v>
      </c>
      <c r="D305" s="176" t="str">
        <f>VLOOKUP(Ruimtestaat[[#This Row],[Code]],Locaties[[#All],[Code]:[Postcode]],5,FALSE)</f>
        <v>7545 BV</v>
      </c>
      <c r="E305" s="176" t="str">
        <f>VLOOKUP(Ruimtestaat[[#This Row],[Code]],Locaties[#All],6,FALSE)</f>
        <v>Enschede</v>
      </c>
      <c r="F305" s="149"/>
      <c r="G305" s="149" t="s">
        <v>1646</v>
      </c>
      <c r="H305" s="99" t="s">
        <v>1661</v>
      </c>
      <c r="I305" s="183" t="s">
        <v>1655</v>
      </c>
      <c r="J305" s="99">
        <v>5</v>
      </c>
      <c r="K305" s="183" t="str">
        <f>VLOOKUP(Ruimtestaat[[#This Row],[Ruimte code]],Ruimtegroepen[[#All],[Code]:[Ruimte omschrijving]],2,FALSE)</f>
        <v>Sanitair</v>
      </c>
      <c r="L305" s="149" t="s">
        <v>101</v>
      </c>
      <c r="M305" s="301" t="s">
        <v>1682</v>
      </c>
      <c r="N305" s="177">
        <v>4.5</v>
      </c>
      <c r="O305" s="177"/>
      <c r="P305" s="178" t="str">
        <f>VLOOKUP(Ruimtestaat[[#This Row],[Ruimte code]],Ruimtegroepen[],4,FALSE)</f>
        <v>Sa</v>
      </c>
      <c r="Q305" s="149">
        <v>40</v>
      </c>
      <c r="R305" s="149" t="s">
        <v>2</v>
      </c>
      <c r="S305" s="149">
        <f>IF(Q305&gt;0,IF(RIGHT(Ruimtestaat[[#This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5" s="149">
        <f>IF(S305&gt;0,VLOOKUP($J305,Ruimtegroepen[],3,FALSE)*VLOOKUP($L305,Vloersoorten[],3,FALSE)*VLOOKUP($R305,Frequenties[],3,FALSE)*VLOOKUP($A305,Locaties[],3,FALSE),0)</f>
        <v>0</v>
      </c>
      <c r="U305" s="149">
        <f>Ruimtestaat[[#This Row],[Uitvoeringen werkdagen]]*Ruimtestaat[[#This Row],[Oppervlak (netto)]]</f>
        <v>900</v>
      </c>
      <c r="V305" s="179">
        <f>IF(T305&gt;0,Ruimtestaat[[#This Row],[Prest. (m2 /jaar) werkdagen]]/Ruimtestaat[[#This Row],[Norm (m2/uur) werkdagen]],0)</f>
        <v>0</v>
      </c>
      <c r="W305" s="180">
        <f>Ruimtestaat[[#This Row],[uren / jaar werkdagen]]*Tariefsopbouw!$E$35</f>
        <v>0</v>
      </c>
      <c r="X305" s="149"/>
      <c r="Y305" s="149">
        <f>IF(Ruimtestaat[[#This Row],[Frequentie weekend]]&gt;0,VALUE(LEFT(X305,1))*Q305,0)</f>
        <v>0</v>
      </c>
      <c r="Z305" s="148">
        <f>IF($Y305&gt;0,VLOOKUP($J305,Ruimtegroepen[],3,FALSE)*VLOOKUP($L305,Vloersoorten[],3,FALSE)*VLOOKUP($X305,Frequenties[],3,FALSE)*VLOOKUP(Ruimtestaat[[#This Row],[Code]],Locaties[],3,FALSE),0)</f>
        <v>0</v>
      </c>
      <c r="AA305" s="148">
        <f>Ruimtestaat[[#This Row],[Uitvoeringen weekend]]*Ruimtestaat[[#This Row],[Oppervlak (netto)]]</f>
        <v>0</v>
      </c>
      <c r="AB305" s="148">
        <f>IF(Z305&gt;0,Ruimtestaat[[#This Row],[Prest. (m2 /jaar) weekend]]/Ruimtestaat[[#This Row],[Norm (m2/uur) weekend]],0)</f>
        <v>0</v>
      </c>
      <c r="AC305" s="180">
        <f>Ruimtestaat[[#This Row],[uren / jaar weekend]]*Tariefsopbouw!$D$40</f>
        <v>0</v>
      </c>
      <c r="AD305" s="179">
        <f>Ruimtestaat[[#This Row],[Prest. (m2 /jaar) weekend]]+Ruimtestaat[[#This Row],[Prest. (m2 /jaar) werkdagen]]</f>
        <v>900</v>
      </c>
      <c r="AE305" s="179">
        <f>Ruimtestaat[[#This Row],[uren / jaar weekend]]+Ruimtestaat[[#This Row],[uren / jaar werkdagen]]</f>
        <v>0</v>
      </c>
      <c r="AF305" s="174">
        <f>Ruimtestaat[[#This Row],[kosten / jaar weekend]]+Ruimtestaat[[#This Row],[kosten / jaar werkdagen]]</f>
        <v>0</v>
      </c>
      <c r="AG305" s="174"/>
      <c r="AH305" s="181" t="str">
        <f>IF(Ruimtestaat[[#This Row],[Frequentie werkdagen]]="","",_xlfn.CONCAT(Ruimtestaat[[#This Row],[Ruimte code]],"-",Ruimtestaat[[#This Row],[Frequentie werkdagen]]," ",Ruimtestaat[[#This Row],[Vloer code]]))</f>
        <v>5-5w S</v>
      </c>
      <c r="AI305" s="185" t="str">
        <f>_xlfn.IFNA(VLOOKUP($AH305,Programma!$F$3:$G$1101,2,0),"")</f>
        <v>_</v>
      </c>
      <c r="AJ305" s="185" t="str">
        <f>_xlfn.IFNA(VLOOKUP($AH305,Programma!$F$3:$H$1101,3,0),"")</f>
        <v>_</v>
      </c>
      <c r="AK305" s="185" t="str">
        <f>_xlfn.IFNA(VLOOKUP($AH305,Programma!$F$3:$I$1101,4,0),"")</f>
        <v>_</v>
      </c>
      <c r="AL305" s="185" t="str">
        <f>_xlfn.IFNA(VLOOKUP($AH305,Programma!$F$3:$J$1101,5,0),"")</f>
        <v>4w</v>
      </c>
      <c r="AM305" s="185" t="str">
        <f>_xlfn.IFNA(VLOOKUP($AH305,Programma!$F$3:$K$1101,6,0),"")</f>
        <v>1w</v>
      </c>
      <c r="AN305" s="185" t="str">
        <f>_xlfn.IFNA(VLOOKUP($AH305,Programma!$F$3:$L$1101,7,0),"")</f>
        <v>_</v>
      </c>
      <c r="AO305" s="185" t="str">
        <f>_xlfn.IFNA(VLOOKUP($AH305,Programma!$F$3:$M$1101,8,0),"")</f>
        <v>_</v>
      </c>
      <c r="AP305" s="185" t="str">
        <f>_xlfn.IFNA(VLOOKUP($AH305,Programma!$F$3:$N$1101,9,0),"")</f>
        <v>_</v>
      </c>
      <c r="AQ305" s="185" t="str">
        <f>_xlfn.IFNA(VLOOKUP($AH305,Programma!$F$3:$O$1101,10,0),"")</f>
        <v>_</v>
      </c>
      <c r="AR305" s="185" t="str">
        <f>_xlfn.IFNA(VLOOKUP($AH305,Programma!$F$3:$P$1101,11,0),"")</f>
        <v>_</v>
      </c>
      <c r="AS305" s="185" t="str">
        <f>_xlfn.IFNA(VLOOKUP($AH305,Programma!$F$3:$Q$1101,12,0),"")</f>
        <v>_</v>
      </c>
      <c r="AT305" s="185" t="str">
        <f>_xlfn.IFNA(VLOOKUP($AH305,Programma!$F$3:$R$1101,13,0),"")</f>
        <v>_</v>
      </c>
      <c r="AU305" s="185" t="str">
        <f>_xlfn.IFNA(VLOOKUP($AH305,Programma!$F$3:$S$1101,14,0),"")</f>
        <v>_</v>
      </c>
      <c r="AV305" s="185" t="str">
        <f>_xlfn.IFNA(VLOOKUP($AH305,Programma!$F$3:$T$1101,15,0),"")</f>
        <v>_</v>
      </c>
      <c r="AW305" s="185" t="str">
        <f>_xlfn.IFNA(VLOOKUP($AH305,Programma!$F$3:$U$1101,16,0),"")</f>
        <v>_</v>
      </c>
      <c r="AX305" s="185" t="str">
        <f>_xlfn.IFNA(VLOOKUP($AH305,Programma!$F$3:$V$1101,17,0),"")</f>
        <v>_</v>
      </c>
      <c r="AY305" s="185" t="str">
        <f>_xlfn.IFNA(VLOOKUP($AH305,Programma!$F$3:$W$1101,18,0),"")</f>
        <v>4w</v>
      </c>
      <c r="AZ305" s="185" t="str">
        <f>_xlfn.IFNA(VLOOKUP($AH305,Programma!$F$3:$X$1101,19,0),"")</f>
        <v>1w</v>
      </c>
      <c r="BA305" s="185" t="str">
        <f>_xlfn.IFNA(VLOOKUP($AH305,Programma!$F$3:$Y$1101,20,0),"")</f>
        <v>_</v>
      </c>
      <c r="BB305" s="182"/>
      <c r="BC305" s="181" t="str">
        <f>IF(Ruimtestaat[[#This Row],[Frequentie weekend]]="","",_xlfn.CONCAT(Ruimtestaat[[#This Row],[Ruimte code]],"-",Ruimtestaat[[#This Row],[Frequentie weekend]]," ",Ruimtestaat[[#This Row],[Vloer code]]))</f>
        <v/>
      </c>
      <c r="BD305" s="185" t="str">
        <f>_xlfn.IFNA(VLOOKUP($BC305,Programma!$F$3:$G$1101,2,0),"")</f>
        <v/>
      </c>
      <c r="BE305" s="185" t="str">
        <f>_xlfn.IFNA(VLOOKUP($BC305,Programma!$F$3:$H$1101,3,0),"")</f>
        <v/>
      </c>
      <c r="BF305" s="185" t="str">
        <f>_xlfn.IFNA(VLOOKUP($BC305,Programma!$F$3:$I$1101,4,0),"")</f>
        <v/>
      </c>
      <c r="BG305" s="185" t="str">
        <f>_xlfn.IFNA(VLOOKUP($BC305,Programma!$F$3:$J$1101,5,0),"")</f>
        <v/>
      </c>
      <c r="BH305" s="185" t="str">
        <f>_xlfn.IFNA(VLOOKUP($BC305,Programma!$F$3:$K$1101,6,0),"")</f>
        <v/>
      </c>
      <c r="BI305" s="185" t="str">
        <f>_xlfn.IFNA(VLOOKUP($BC305,Programma!$F$3:$L$1101,7,0),"")</f>
        <v/>
      </c>
      <c r="BJ305" s="185" t="str">
        <f>_xlfn.IFNA(VLOOKUP($BC305,Programma!$F$3:$M$1101,8,0),"")</f>
        <v/>
      </c>
      <c r="BK305" s="185" t="str">
        <f>_xlfn.IFNA(VLOOKUP($BC305,Programma!$F$3:$N$1101,9,0),"")</f>
        <v/>
      </c>
      <c r="BL305" s="185" t="str">
        <f>_xlfn.IFNA(VLOOKUP($BC305,Programma!$F$3:$O$1101,10,0),"")</f>
        <v/>
      </c>
      <c r="BM305" s="185" t="str">
        <f>_xlfn.IFNA(VLOOKUP($BC305,Programma!$F$3:$P$1101,11,0),"")</f>
        <v/>
      </c>
      <c r="BN305" s="185" t="str">
        <f>_xlfn.IFNA(VLOOKUP($BC305,Programma!$F$3:$Q$1101,12,0),"")</f>
        <v/>
      </c>
      <c r="BO305" s="185" t="str">
        <f>_xlfn.IFNA(VLOOKUP($BC305,Programma!$F$3:$R$1101,13,0),"")</f>
        <v/>
      </c>
      <c r="BP305" s="185" t="str">
        <f>_xlfn.IFNA(VLOOKUP($BC305,Programma!$F$3:$S$1101,14,0),"")</f>
        <v/>
      </c>
      <c r="BQ305" s="185" t="str">
        <f>_xlfn.IFNA(VLOOKUP($BC305,Programma!$F$3:$T$1101,15,0),"")</f>
        <v/>
      </c>
      <c r="BR305" s="185" t="str">
        <f>_xlfn.IFNA(VLOOKUP($BC305,Programma!$F$3:$U$1101,16,0),"")</f>
        <v/>
      </c>
      <c r="BS305" s="185" t="str">
        <f>_xlfn.IFNA(VLOOKUP($BC305,Programma!$F$3:$V$1101,17,0),"")</f>
        <v/>
      </c>
      <c r="BT305" s="185" t="str">
        <f>_xlfn.IFNA(VLOOKUP($BC305,Programma!$F$3:$W$1101,18,0),"")</f>
        <v/>
      </c>
      <c r="BU305" s="185" t="str">
        <f>_xlfn.IFNA(VLOOKUP($BC305,Programma!$F$3:$X$1101,19,0),"")</f>
        <v/>
      </c>
      <c r="BV305" s="185" t="str">
        <f>_xlfn.IFNA(VLOOKUP($BC305,Programma!$F$3:$Y$1101,20,0),"")</f>
        <v/>
      </c>
    </row>
    <row r="306" spans="1:74" s="78" customFormat="1" ht="15" customHeight="1">
      <c r="A306" s="99">
        <v>10</v>
      </c>
      <c r="B306" s="176" t="str">
        <f>VLOOKUP(Ruimtestaat[[#This Row],[Code]],Locaties[[Code]:[Locatie]],2,FALSE)</f>
        <v>OJBS Het Palet</v>
      </c>
      <c r="C306" s="176" t="str">
        <f>VLOOKUP(Ruimtestaat[[#This Row],[Code]],Locaties[[#All],[Code]:[Adres]],4,FALSE)</f>
        <v>Ger. Terborghstraat 9</v>
      </c>
      <c r="D306" s="176" t="str">
        <f>VLOOKUP(Ruimtestaat[[#This Row],[Code]],Locaties[[#All],[Code]:[Postcode]],5,FALSE)</f>
        <v>7545 BV</v>
      </c>
      <c r="E306" s="176" t="str">
        <f>VLOOKUP(Ruimtestaat[[#This Row],[Code]],Locaties[#All],6,FALSE)</f>
        <v>Enschede</v>
      </c>
      <c r="F306" s="149"/>
      <c r="G306" s="149" t="s">
        <v>1646</v>
      </c>
      <c r="H306" s="99" t="s">
        <v>1662</v>
      </c>
      <c r="I306" s="183" t="s">
        <v>38</v>
      </c>
      <c r="J306" s="99">
        <v>7</v>
      </c>
      <c r="K306" s="183" t="str">
        <f>VLOOKUP(Ruimtestaat[[#This Row],[Ruimte code]],Ruimtegroepen[[#All],[Code]:[Ruimte omschrijving]],2,FALSE)</f>
        <v>Entree</v>
      </c>
      <c r="L306" s="149" t="s">
        <v>99</v>
      </c>
      <c r="M306" s="301" t="s">
        <v>1700</v>
      </c>
      <c r="N306" s="177">
        <v>5</v>
      </c>
      <c r="O306" s="177"/>
      <c r="P306" s="178" t="str">
        <f>VLOOKUP(Ruimtestaat[[#This Row],[Ruimte code]],Ruimtegroepen[],4,FALSE)</f>
        <v>Ve</v>
      </c>
      <c r="Q306" s="149">
        <v>40</v>
      </c>
      <c r="R306" s="149" t="s">
        <v>2</v>
      </c>
      <c r="S306" s="149">
        <f>IF(Q306&gt;0,IF(RIGHT(Ruimtestaat[[#This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6" s="149">
        <f>IF(S306&gt;0,VLOOKUP($J306,Ruimtegroepen[],3,FALSE)*VLOOKUP($L306,Vloersoorten[],3,FALSE)*VLOOKUP($R306,Frequenties[],3,FALSE)*VLOOKUP($A306,Locaties[],3,FALSE),0)</f>
        <v>0</v>
      </c>
      <c r="U306" s="149">
        <f>Ruimtestaat[[#This Row],[Uitvoeringen werkdagen]]*Ruimtestaat[[#This Row],[Oppervlak (netto)]]</f>
        <v>1000</v>
      </c>
      <c r="V306" s="179">
        <f>IF(T306&gt;0,Ruimtestaat[[#This Row],[Prest. (m2 /jaar) werkdagen]]/Ruimtestaat[[#This Row],[Norm (m2/uur) werkdagen]],0)</f>
        <v>0</v>
      </c>
      <c r="W306" s="180">
        <f>Ruimtestaat[[#This Row],[uren / jaar werkdagen]]*Tariefsopbouw!$E$35</f>
        <v>0</v>
      </c>
      <c r="X306" s="149"/>
      <c r="Y306" s="149">
        <f>IF(Ruimtestaat[[#This Row],[Frequentie weekend]]&gt;0,VALUE(LEFT(X306,1))*Q306,0)</f>
        <v>0</v>
      </c>
      <c r="Z306" s="148">
        <f>IF($Y306&gt;0,VLOOKUP($J306,Ruimtegroepen[],3,FALSE)*VLOOKUP($L306,Vloersoorten[],3,FALSE)*VLOOKUP($X306,Frequenties[],3,FALSE)*VLOOKUP(Ruimtestaat[[#This Row],[Code]],Locaties[],3,FALSE),0)</f>
        <v>0</v>
      </c>
      <c r="AA306" s="148">
        <f>Ruimtestaat[[#This Row],[Uitvoeringen weekend]]*Ruimtestaat[[#This Row],[Oppervlak (netto)]]</f>
        <v>0</v>
      </c>
      <c r="AB306" s="148">
        <f>IF(Z306&gt;0,Ruimtestaat[[#This Row],[Prest. (m2 /jaar) weekend]]/Ruimtestaat[[#This Row],[Norm (m2/uur) weekend]],0)</f>
        <v>0</v>
      </c>
      <c r="AC306" s="180">
        <f>Ruimtestaat[[#This Row],[uren / jaar weekend]]*Tariefsopbouw!$D$40</f>
        <v>0</v>
      </c>
      <c r="AD306" s="179">
        <f>Ruimtestaat[[#This Row],[Prest. (m2 /jaar) weekend]]+Ruimtestaat[[#This Row],[Prest. (m2 /jaar) werkdagen]]</f>
        <v>1000</v>
      </c>
      <c r="AE306" s="179">
        <f>Ruimtestaat[[#This Row],[uren / jaar weekend]]+Ruimtestaat[[#This Row],[uren / jaar werkdagen]]</f>
        <v>0</v>
      </c>
      <c r="AF306" s="174">
        <f>Ruimtestaat[[#This Row],[kosten / jaar weekend]]+Ruimtestaat[[#This Row],[kosten / jaar werkdagen]]</f>
        <v>0</v>
      </c>
      <c r="AG306" s="174"/>
      <c r="AH306" s="181" t="str">
        <f>IF(Ruimtestaat[[#This Row],[Frequentie werkdagen]]="","",_xlfn.CONCAT(Ruimtestaat[[#This Row],[Ruimte code]],"-",Ruimtestaat[[#This Row],[Frequentie werkdagen]]," ",Ruimtestaat[[#This Row],[Vloer code]]))</f>
        <v>7-5w T</v>
      </c>
      <c r="AI306" s="185" t="str">
        <f>_xlfn.IFNA(VLOOKUP($AH306,Programma!$F$3:$G$1101,2,0),"")</f>
        <v>_</v>
      </c>
      <c r="AJ306" s="185" t="str">
        <f>_xlfn.IFNA(VLOOKUP($AH306,Programma!$F$3:$H$1101,3,0),"")</f>
        <v>5w</v>
      </c>
      <c r="AK306" s="185" t="str">
        <f>_xlfn.IFNA(VLOOKUP($AH306,Programma!$F$3:$I$1101,4,0),"")</f>
        <v>_</v>
      </c>
      <c r="AL306" s="185" t="str">
        <f>_xlfn.IFNA(VLOOKUP($AH306,Programma!$F$3:$J$1101,5,0),"")</f>
        <v>_</v>
      </c>
      <c r="AM306" s="185" t="str">
        <f>_xlfn.IFNA(VLOOKUP($AH306,Programma!$F$3:$K$1101,6,0),"")</f>
        <v>_</v>
      </c>
      <c r="AN306" s="185" t="str">
        <f>_xlfn.IFNA(VLOOKUP($AH306,Programma!$F$3:$L$1101,7,0),"")</f>
        <v>_</v>
      </c>
      <c r="AO306" s="185" t="str">
        <f>_xlfn.IFNA(VLOOKUP($AH306,Programma!$F$3:$M$1101,8,0),"")</f>
        <v>_</v>
      </c>
      <c r="AP306" s="185" t="str">
        <f>_xlfn.IFNA(VLOOKUP($AH306,Programma!$F$3:$N$1101,9,0),"")</f>
        <v>_</v>
      </c>
      <c r="AQ306" s="185" t="str">
        <f>_xlfn.IFNA(VLOOKUP($AH306,Programma!$F$3:$O$1101,10,0),"")</f>
        <v>5w</v>
      </c>
      <c r="AR306" s="185" t="str">
        <f>_xlfn.IFNA(VLOOKUP($AH306,Programma!$F$3:$P$1101,11,0),"")</f>
        <v>5w</v>
      </c>
      <c r="AS306" s="185" t="str">
        <f>_xlfn.IFNA(VLOOKUP($AH306,Programma!$F$3:$Q$1101,12,0),"")</f>
        <v>1w</v>
      </c>
      <c r="AT306" s="185" t="str">
        <f>_xlfn.IFNA(VLOOKUP($AH306,Programma!$F$3:$R$1101,13,0),"")</f>
        <v>1w</v>
      </c>
      <c r="AU306" s="185" t="str">
        <f>_xlfn.IFNA(VLOOKUP($AH306,Programma!$F$3:$S$1101,14,0),"")</f>
        <v>1m</v>
      </c>
      <c r="AV306" s="185" t="str">
        <f>_xlfn.IFNA(VLOOKUP($AH306,Programma!$F$3:$T$1101,15,0),"")</f>
        <v>2j</v>
      </c>
      <c r="AW306" s="185" t="str">
        <f>_xlfn.IFNA(VLOOKUP($AH306,Programma!$F$3:$U$1101,16,0),"")</f>
        <v>1j</v>
      </c>
      <c r="AX306" s="185" t="str">
        <f>_xlfn.IFNA(VLOOKUP($AH306,Programma!$F$3:$V$1101,17,0),"")</f>
        <v>_</v>
      </c>
      <c r="AY306" s="185" t="str">
        <f>_xlfn.IFNA(VLOOKUP($AH306,Programma!$F$3:$W$1101,18,0),"")</f>
        <v>_</v>
      </c>
      <c r="AZ306" s="185" t="str">
        <f>_xlfn.IFNA(VLOOKUP($AH306,Programma!$F$3:$X$1101,19,0),"")</f>
        <v>_</v>
      </c>
      <c r="BA306" s="185" t="str">
        <f>_xlfn.IFNA(VLOOKUP($AH306,Programma!$F$3:$Y$1101,20,0),"")</f>
        <v>_</v>
      </c>
      <c r="BB306" s="182"/>
      <c r="BC306" s="181" t="str">
        <f>IF(Ruimtestaat[[#This Row],[Frequentie weekend]]="","",_xlfn.CONCAT(Ruimtestaat[[#This Row],[Ruimte code]],"-",Ruimtestaat[[#This Row],[Frequentie weekend]]," ",Ruimtestaat[[#This Row],[Vloer code]]))</f>
        <v/>
      </c>
      <c r="BD306" s="185" t="str">
        <f>_xlfn.IFNA(VLOOKUP($BC306,Programma!$F$3:$G$1101,2,0),"")</f>
        <v/>
      </c>
      <c r="BE306" s="185" t="str">
        <f>_xlfn.IFNA(VLOOKUP($BC306,Programma!$F$3:$H$1101,3,0),"")</f>
        <v/>
      </c>
      <c r="BF306" s="185" t="str">
        <f>_xlfn.IFNA(VLOOKUP($BC306,Programma!$F$3:$I$1101,4,0),"")</f>
        <v/>
      </c>
      <c r="BG306" s="185" t="str">
        <f>_xlfn.IFNA(VLOOKUP($BC306,Programma!$F$3:$J$1101,5,0),"")</f>
        <v/>
      </c>
      <c r="BH306" s="185" t="str">
        <f>_xlfn.IFNA(VLOOKUP($BC306,Programma!$F$3:$K$1101,6,0),"")</f>
        <v/>
      </c>
      <c r="BI306" s="185" t="str">
        <f>_xlfn.IFNA(VLOOKUP($BC306,Programma!$F$3:$L$1101,7,0),"")</f>
        <v/>
      </c>
      <c r="BJ306" s="185" t="str">
        <f>_xlfn.IFNA(VLOOKUP($BC306,Programma!$F$3:$M$1101,8,0),"")</f>
        <v/>
      </c>
      <c r="BK306" s="185" t="str">
        <f>_xlfn.IFNA(VLOOKUP($BC306,Programma!$F$3:$N$1101,9,0),"")</f>
        <v/>
      </c>
      <c r="BL306" s="185" t="str">
        <f>_xlfn.IFNA(VLOOKUP($BC306,Programma!$F$3:$O$1101,10,0),"")</f>
        <v/>
      </c>
      <c r="BM306" s="185" t="str">
        <f>_xlfn.IFNA(VLOOKUP($BC306,Programma!$F$3:$P$1101,11,0),"")</f>
        <v/>
      </c>
      <c r="BN306" s="185" t="str">
        <f>_xlfn.IFNA(VLOOKUP($BC306,Programma!$F$3:$Q$1101,12,0),"")</f>
        <v/>
      </c>
      <c r="BO306" s="185" t="str">
        <f>_xlfn.IFNA(VLOOKUP($BC306,Programma!$F$3:$R$1101,13,0),"")</f>
        <v/>
      </c>
      <c r="BP306" s="185" t="str">
        <f>_xlfn.IFNA(VLOOKUP($BC306,Programma!$F$3:$S$1101,14,0),"")</f>
        <v/>
      </c>
      <c r="BQ306" s="185" t="str">
        <f>_xlfn.IFNA(VLOOKUP($BC306,Programma!$F$3:$T$1101,15,0),"")</f>
        <v/>
      </c>
      <c r="BR306" s="185" t="str">
        <f>_xlfn.IFNA(VLOOKUP($BC306,Programma!$F$3:$U$1101,16,0),"")</f>
        <v/>
      </c>
      <c r="BS306" s="185" t="str">
        <f>_xlfn.IFNA(VLOOKUP($BC306,Programma!$F$3:$V$1101,17,0),"")</f>
        <v/>
      </c>
      <c r="BT306" s="185" t="str">
        <f>_xlfn.IFNA(VLOOKUP($BC306,Programma!$F$3:$W$1101,18,0),"")</f>
        <v/>
      </c>
      <c r="BU306" s="185" t="str">
        <f>_xlfn.IFNA(VLOOKUP($BC306,Programma!$F$3:$X$1101,19,0),"")</f>
        <v/>
      </c>
      <c r="BV306" s="185" t="str">
        <f>_xlfn.IFNA(VLOOKUP($BC306,Programma!$F$3:$Y$1101,20,0),"")</f>
        <v/>
      </c>
    </row>
    <row r="307" spans="1:74" s="78" customFormat="1" ht="15" customHeight="1">
      <c r="A307" s="99">
        <v>10</v>
      </c>
      <c r="B307" s="176" t="str">
        <f>VLOOKUP(Ruimtestaat[[#This Row],[Code]],Locaties[[Code]:[Locatie]],2,FALSE)</f>
        <v>OJBS Het Palet</v>
      </c>
      <c r="C307" s="176" t="str">
        <f>VLOOKUP(Ruimtestaat[[#This Row],[Code]],Locaties[[#All],[Code]:[Adres]],4,FALSE)</f>
        <v>Ger. Terborghstraat 9</v>
      </c>
      <c r="D307" s="176" t="str">
        <f>VLOOKUP(Ruimtestaat[[#This Row],[Code]],Locaties[[#All],[Code]:[Postcode]],5,FALSE)</f>
        <v>7545 BV</v>
      </c>
      <c r="E307" s="176" t="str">
        <f>VLOOKUP(Ruimtestaat[[#This Row],[Code]],Locaties[#All],6,FALSE)</f>
        <v>Enschede</v>
      </c>
      <c r="F307" s="149"/>
      <c r="G307" s="149" t="s">
        <v>1646</v>
      </c>
      <c r="H307" s="99" t="s">
        <v>1663</v>
      </c>
      <c r="I307" s="183" t="s">
        <v>1655</v>
      </c>
      <c r="J307" s="99">
        <v>5</v>
      </c>
      <c r="K307" s="183" t="str">
        <f>VLOOKUP(Ruimtestaat[[#This Row],[Ruimte code]],Ruimtegroepen[[#All],[Code]:[Ruimte omschrijving]],2,FALSE)</f>
        <v>Sanitair</v>
      </c>
      <c r="L307" s="149" t="s">
        <v>101</v>
      </c>
      <c r="M307" s="301" t="s">
        <v>1682</v>
      </c>
      <c r="N307" s="177">
        <v>1.1000000000000001</v>
      </c>
      <c r="O307" s="177"/>
      <c r="P307" s="178" t="str">
        <f>VLOOKUP(Ruimtestaat[[#This Row],[Ruimte code]],Ruimtegroepen[],4,FALSE)</f>
        <v>Sa</v>
      </c>
      <c r="Q307" s="149">
        <v>40</v>
      </c>
      <c r="R307" s="149" t="s">
        <v>2</v>
      </c>
      <c r="S307" s="149">
        <f>IF(Q307&gt;0,IF(RIGHT(Ruimtestaat[[#This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7" s="149">
        <f>IF(S307&gt;0,VLOOKUP($J307,Ruimtegroepen[],3,FALSE)*VLOOKUP($L307,Vloersoorten[],3,FALSE)*VLOOKUP($R307,Frequenties[],3,FALSE)*VLOOKUP($A307,Locaties[],3,FALSE),0)</f>
        <v>0</v>
      </c>
      <c r="U307" s="149">
        <f>Ruimtestaat[[#This Row],[Uitvoeringen werkdagen]]*Ruimtestaat[[#This Row],[Oppervlak (netto)]]</f>
        <v>220.00000000000003</v>
      </c>
      <c r="V307" s="179">
        <f>IF(T307&gt;0,Ruimtestaat[[#This Row],[Prest. (m2 /jaar) werkdagen]]/Ruimtestaat[[#This Row],[Norm (m2/uur) werkdagen]],0)</f>
        <v>0</v>
      </c>
      <c r="W307" s="180">
        <f>Ruimtestaat[[#This Row],[uren / jaar werkdagen]]*Tariefsopbouw!$E$35</f>
        <v>0</v>
      </c>
      <c r="X307" s="149"/>
      <c r="Y307" s="149">
        <f>IF(Ruimtestaat[[#This Row],[Frequentie weekend]]&gt;0,VALUE(LEFT(X307,1))*Q307,0)</f>
        <v>0</v>
      </c>
      <c r="Z307" s="148">
        <f>IF($Y307&gt;0,VLOOKUP($J307,Ruimtegroepen[],3,FALSE)*VLOOKUP($L307,Vloersoorten[],3,FALSE)*VLOOKUP($X307,Frequenties[],3,FALSE)*VLOOKUP(Ruimtestaat[[#This Row],[Code]],Locaties[],3,FALSE),0)</f>
        <v>0</v>
      </c>
      <c r="AA307" s="148">
        <f>Ruimtestaat[[#This Row],[Uitvoeringen weekend]]*Ruimtestaat[[#This Row],[Oppervlak (netto)]]</f>
        <v>0</v>
      </c>
      <c r="AB307" s="148">
        <f>IF(Z307&gt;0,Ruimtestaat[[#This Row],[Prest. (m2 /jaar) weekend]]/Ruimtestaat[[#This Row],[Norm (m2/uur) weekend]],0)</f>
        <v>0</v>
      </c>
      <c r="AC307" s="180">
        <f>Ruimtestaat[[#This Row],[uren / jaar weekend]]*Tariefsopbouw!$D$40</f>
        <v>0</v>
      </c>
      <c r="AD307" s="179">
        <f>Ruimtestaat[[#This Row],[Prest. (m2 /jaar) weekend]]+Ruimtestaat[[#This Row],[Prest. (m2 /jaar) werkdagen]]</f>
        <v>220.00000000000003</v>
      </c>
      <c r="AE307" s="179">
        <f>Ruimtestaat[[#This Row],[uren / jaar weekend]]+Ruimtestaat[[#This Row],[uren / jaar werkdagen]]</f>
        <v>0</v>
      </c>
      <c r="AF307" s="174">
        <f>Ruimtestaat[[#This Row],[kosten / jaar weekend]]+Ruimtestaat[[#This Row],[kosten / jaar werkdagen]]</f>
        <v>0</v>
      </c>
      <c r="AG307" s="174"/>
      <c r="AH307" s="181" t="str">
        <f>IF(Ruimtestaat[[#This Row],[Frequentie werkdagen]]="","",_xlfn.CONCAT(Ruimtestaat[[#This Row],[Ruimte code]],"-",Ruimtestaat[[#This Row],[Frequentie werkdagen]]," ",Ruimtestaat[[#This Row],[Vloer code]]))</f>
        <v>5-5w S</v>
      </c>
      <c r="AI307" s="185" t="str">
        <f>_xlfn.IFNA(VLOOKUP($AH307,Programma!$F$3:$G$1101,2,0),"")</f>
        <v>_</v>
      </c>
      <c r="AJ307" s="185" t="str">
        <f>_xlfn.IFNA(VLOOKUP($AH307,Programma!$F$3:$H$1101,3,0),"")</f>
        <v>_</v>
      </c>
      <c r="AK307" s="185" t="str">
        <f>_xlfn.IFNA(VLOOKUP($AH307,Programma!$F$3:$I$1101,4,0),"")</f>
        <v>_</v>
      </c>
      <c r="AL307" s="185" t="str">
        <f>_xlfn.IFNA(VLOOKUP($AH307,Programma!$F$3:$J$1101,5,0),"")</f>
        <v>4w</v>
      </c>
      <c r="AM307" s="185" t="str">
        <f>_xlfn.IFNA(VLOOKUP($AH307,Programma!$F$3:$K$1101,6,0),"")</f>
        <v>1w</v>
      </c>
      <c r="AN307" s="185" t="str">
        <f>_xlfn.IFNA(VLOOKUP($AH307,Programma!$F$3:$L$1101,7,0),"")</f>
        <v>_</v>
      </c>
      <c r="AO307" s="185" t="str">
        <f>_xlfn.IFNA(VLOOKUP($AH307,Programma!$F$3:$M$1101,8,0),"")</f>
        <v>_</v>
      </c>
      <c r="AP307" s="185" t="str">
        <f>_xlfn.IFNA(VLOOKUP($AH307,Programma!$F$3:$N$1101,9,0),"")</f>
        <v>_</v>
      </c>
      <c r="AQ307" s="185" t="str">
        <f>_xlfn.IFNA(VLOOKUP($AH307,Programma!$F$3:$O$1101,10,0),"")</f>
        <v>_</v>
      </c>
      <c r="AR307" s="185" t="str">
        <f>_xlfn.IFNA(VLOOKUP($AH307,Programma!$F$3:$P$1101,11,0),"")</f>
        <v>_</v>
      </c>
      <c r="AS307" s="185" t="str">
        <f>_xlfn.IFNA(VLOOKUP($AH307,Programma!$F$3:$Q$1101,12,0),"")</f>
        <v>_</v>
      </c>
      <c r="AT307" s="185" t="str">
        <f>_xlfn.IFNA(VLOOKUP($AH307,Programma!$F$3:$R$1101,13,0),"")</f>
        <v>_</v>
      </c>
      <c r="AU307" s="185" t="str">
        <f>_xlfn.IFNA(VLOOKUP($AH307,Programma!$F$3:$S$1101,14,0),"")</f>
        <v>_</v>
      </c>
      <c r="AV307" s="185" t="str">
        <f>_xlfn.IFNA(VLOOKUP($AH307,Programma!$F$3:$T$1101,15,0),"")</f>
        <v>_</v>
      </c>
      <c r="AW307" s="185" t="str">
        <f>_xlfn.IFNA(VLOOKUP($AH307,Programma!$F$3:$U$1101,16,0),"")</f>
        <v>_</v>
      </c>
      <c r="AX307" s="185" t="str">
        <f>_xlfn.IFNA(VLOOKUP($AH307,Programma!$F$3:$V$1101,17,0),"")</f>
        <v>_</v>
      </c>
      <c r="AY307" s="185" t="str">
        <f>_xlfn.IFNA(VLOOKUP($AH307,Programma!$F$3:$W$1101,18,0),"")</f>
        <v>4w</v>
      </c>
      <c r="AZ307" s="185" t="str">
        <f>_xlfn.IFNA(VLOOKUP($AH307,Programma!$F$3:$X$1101,19,0),"")</f>
        <v>1w</v>
      </c>
      <c r="BA307" s="185" t="str">
        <f>_xlfn.IFNA(VLOOKUP($AH307,Programma!$F$3:$Y$1101,20,0),"")</f>
        <v>_</v>
      </c>
      <c r="BB307" s="182"/>
      <c r="BC307" s="181" t="str">
        <f>IF(Ruimtestaat[[#This Row],[Frequentie weekend]]="","",_xlfn.CONCAT(Ruimtestaat[[#This Row],[Ruimte code]],"-",Ruimtestaat[[#This Row],[Frequentie weekend]]," ",Ruimtestaat[[#This Row],[Vloer code]]))</f>
        <v/>
      </c>
      <c r="BD307" s="185" t="str">
        <f>_xlfn.IFNA(VLOOKUP($BC307,Programma!$F$3:$G$1101,2,0),"")</f>
        <v/>
      </c>
      <c r="BE307" s="185" t="str">
        <f>_xlfn.IFNA(VLOOKUP($BC307,Programma!$F$3:$H$1101,3,0),"")</f>
        <v/>
      </c>
      <c r="BF307" s="185" t="str">
        <f>_xlfn.IFNA(VLOOKUP($BC307,Programma!$F$3:$I$1101,4,0),"")</f>
        <v/>
      </c>
      <c r="BG307" s="185" t="str">
        <f>_xlfn.IFNA(VLOOKUP($BC307,Programma!$F$3:$J$1101,5,0),"")</f>
        <v/>
      </c>
      <c r="BH307" s="185" t="str">
        <f>_xlfn.IFNA(VLOOKUP($BC307,Programma!$F$3:$K$1101,6,0),"")</f>
        <v/>
      </c>
      <c r="BI307" s="185" t="str">
        <f>_xlfn.IFNA(VLOOKUP($BC307,Programma!$F$3:$L$1101,7,0),"")</f>
        <v/>
      </c>
      <c r="BJ307" s="185" t="str">
        <f>_xlfn.IFNA(VLOOKUP($BC307,Programma!$F$3:$M$1101,8,0),"")</f>
        <v/>
      </c>
      <c r="BK307" s="185" t="str">
        <f>_xlfn.IFNA(VLOOKUP($BC307,Programma!$F$3:$N$1101,9,0),"")</f>
        <v/>
      </c>
      <c r="BL307" s="185" t="str">
        <f>_xlfn.IFNA(VLOOKUP($BC307,Programma!$F$3:$O$1101,10,0),"")</f>
        <v/>
      </c>
      <c r="BM307" s="185" t="str">
        <f>_xlfn.IFNA(VLOOKUP($BC307,Programma!$F$3:$P$1101,11,0),"")</f>
        <v/>
      </c>
      <c r="BN307" s="185" t="str">
        <f>_xlfn.IFNA(VLOOKUP($BC307,Programma!$F$3:$Q$1101,12,0),"")</f>
        <v/>
      </c>
      <c r="BO307" s="185" t="str">
        <f>_xlfn.IFNA(VLOOKUP($BC307,Programma!$F$3:$R$1101,13,0),"")</f>
        <v/>
      </c>
      <c r="BP307" s="185" t="str">
        <f>_xlfn.IFNA(VLOOKUP($BC307,Programma!$F$3:$S$1101,14,0),"")</f>
        <v/>
      </c>
      <c r="BQ307" s="185" t="str">
        <f>_xlfn.IFNA(VLOOKUP($BC307,Programma!$F$3:$T$1101,15,0),"")</f>
        <v/>
      </c>
      <c r="BR307" s="185" t="str">
        <f>_xlfn.IFNA(VLOOKUP($BC307,Programma!$F$3:$U$1101,16,0),"")</f>
        <v/>
      </c>
      <c r="BS307" s="185" t="str">
        <f>_xlfn.IFNA(VLOOKUP($BC307,Programma!$F$3:$V$1101,17,0),"")</f>
        <v/>
      </c>
      <c r="BT307" s="185" t="str">
        <f>_xlfn.IFNA(VLOOKUP($BC307,Programma!$F$3:$W$1101,18,0),"")</f>
        <v/>
      </c>
      <c r="BU307" s="185" t="str">
        <f>_xlfn.IFNA(VLOOKUP($BC307,Programma!$F$3:$X$1101,19,0),"")</f>
        <v/>
      </c>
      <c r="BV307" s="185" t="str">
        <f>_xlfn.IFNA(VLOOKUP($BC307,Programma!$F$3:$Y$1101,20,0),"")</f>
        <v/>
      </c>
    </row>
    <row r="308" spans="1:74" s="78" customFormat="1" ht="15" customHeight="1">
      <c r="A308" s="99">
        <v>10</v>
      </c>
      <c r="B308" s="176" t="str">
        <f>VLOOKUP(Ruimtestaat[[#This Row],[Code]],Locaties[[Code]:[Locatie]],2,FALSE)</f>
        <v>OJBS Het Palet</v>
      </c>
      <c r="C308" s="176" t="str">
        <f>VLOOKUP(Ruimtestaat[[#This Row],[Code]],Locaties[[#All],[Code]:[Adres]],4,FALSE)</f>
        <v>Ger. Terborghstraat 9</v>
      </c>
      <c r="D308" s="176" t="str">
        <f>VLOOKUP(Ruimtestaat[[#This Row],[Code]],Locaties[[#All],[Code]:[Postcode]],5,FALSE)</f>
        <v>7545 BV</v>
      </c>
      <c r="E308" s="176" t="str">
        <f>VLOOKUP(Ruimtestaat[[#This Row],[Code]],Locaties[#All],6,FALSE)</f>
        <v>Enschede</v>
      </c>
      <c r="F308" s="149"/>
      <c r="G308" s="149" t="s">
        <v>1646</v>
      </c>
      <c r="H308" s="99" t="s">
        <v>1664</v>
      </c>
      <c r="I308" s="183" t="s">
        <v>1651</v>
      </c>
      <c r="J308" s="99">
        <v>16</v>
      </c>
      <c r="K308" s="183" t="str">
        <f>VLOOKUP(Ruimtestaat[[#This Row],[Ruimte code]],Ruimtegroepen[[#All],[Code]:[Ruimte omschrijving]],2,FALSE)</f>
        <v>Leslokalen</v>
      </c>
      <c r="L308" s="149" t="s">
        <v>102</v>
      </c>
      <c r="M308" s="301" t="s">
        <v>120</v>
      </c>
      <c r="N308" s="177">
        <v>106.2</v>
      </c>
      <c r="O308" s="177"/>
      <c r="P308" s="178" t="str">
        <f>VLOOKUP(Ruimtestaat[[#This Row],[Ruimte code]],Ruimtegroepen[],4,FALSE)</f>
        <v>Le</v>
      </c>
      <c r="Q308" s="149">
        <v>40</v>
      </c>
      <c r="R308" s="149" t="s">
        <v>2</v>
      </c>
      <c r="S308" s="149">
        <f>IF(Q308&gt;0,IF(RIGHT(Ruimtestaat[[#This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8" s="149">
        <f>IF(S308&gt;0,VLOOKUP($J308,Ruimtegroepen[],3,FALSE)*VLOOKUP($L308,Vloersoorten[],3,FALSE)*VLOOKUP($R308,Frequenties[],3,FALSE)*VLOOKUP($A308,Locaties[],3,FALSE),0)</f>
        <v>0</v>
      </c>
      <c r="U308" s="149">
        <f>Ruimtestaat[[#This Row],[Uitvoeringen werkdagen]]*Ruimtestaat[[#This Row],[Oppervlak (netto)]]</f>
        <v>21240</v>
      </c>
      <c r="V308" s="179">
        <f>IF(T308&gt;0,Ruimtestaat[[#This Row],[Prest. (m2 /jaar) werkdagen]]/Ruimtestaat[[#This Row],[Norm (m2/uur) werkdagen]],0)</f>
        <v>0</v>
      </c>
      <c r="W308" s="180">
        <f>Ruimtestaat[[#This Row],[uren / jaar werkdagen]]*Tariefsopbouw!$E$35</f>
        <v>0</v>
      </c>
      <c r="X308" s="149"/>
      <c r="Y308" s="149">
        <f>IF(Ruimtestaat[[#This Row],[Frequentie weekend]]&gt;0,VALUE(LEFT(X308,1))*Q308,0)</f>
        <v>0</v>
      </c>
      <c r="Z308" s="148">
        <f>IF($Y308&gt;0,VLOOKUP($J308,Ruimtegroepen[],3,FALSE)*VLOOKUP($L308,Vloersoorten[],3,FALSE)*VLOOKUP($X308,Frequenties[],3,FALSE)*VLOOKUP(Ruimtestaat[[#This Row],[Code]],Locaties[],3,FALSE),0)</f>
        <v>0</v>
      </c>
      <c r="AA308" s="148">
        <f>Ruimtestaat[[#This Row],[Uitvoeringen weekend]]*Ruimtestaat[[#This Row],[Oppervlak (netto)]]</f>
        <v>0</v>
      </c>
      <c r="AB308" s="148">
        <f>IF(Z308&gt;0,Ruimtestaat[[#This Row],[Prest. (m2 /jaar) weekend]]/Ruimtestaat[[#This Row],[Norm (m2/uur) weekend]],0)</f>
        <v>0</v>
      </c>
      <c r="AC308" s="180">
        <f>Ruimtestaat[[#This Row],[uren / jaar weekend]]*Tariefsopbouw!$D$40</f>
        <v>0</v>
      </c>
      <c r="AD308" s="179">
        <f>Ruimtestaat[[#This Row],[Prest. (m2 /jaar) weekend]]+Ruimtestaat[[#This Row],[Prest. (m2 /jaar) werkdagen]]</f>
        <v>21240</v>
      </c>
      <c r="AE308" s="179">
        <f>Ruimtestaat[[#This Row],[uren / jaar weekend]]+Ruimtestaat[[#This Row],[uren / jaar werkdagen]]</f>
        <v>0</v>
      </c>
      <c r="AF308" s="174">
        <f>Ruimtestaat[[#This Row],[kosten / jaar weekend]]+Ruimtestaat[[#This Row],[kosten / jaar werkdagen]]</f>
        <v>0</v>
      </c>
      <c r="AG308" s="174"/>
      <c r="AH308" s="181" t="str">
        <f>IF(Ruimtestaat[[#This Row],[Frequentie werkdagen]]="","",_xlfn.CONCAT(Ruimtestaat[[#This Row],[Ruimte code]],"-",Ruimtestaat[[#This Row],[Frequentie werkdagen]]," ",Ruimtestaat[[#This Row],[Vloer code]]))</f>
        <v>16-5w P</v>
      </c>
      <c r="AI308" s="185" t="str">
        <f>_xlfn.IFNA(VLOOKUP($AH308,Programma!$F$3:$G$1101,2,0),"")</f>
        <v>_</v>
      </c>
      <c r="AJ308" s="185" t="str">
        <f>_xlfn.IFNA(VLOOKUP($AH308,Programma!$F$3:$H$1101,3,0),"")</f>
        <v>_</v>
      </c>
      <c r="AK308" s="185" t="str">
        <f>_xlfn.IFNA(VLOOKUP($AH308,Programma!$F$3:$I$1101,4,0),"")</f>
        <v>4w</v>
      </c>
      <c r="AL308" s="185" t="str">
        <f>_xlfn.IFNA(VLOOKUP($AH308,Programma!$F$3:$J$1101,5,0),"")</f>
        <v>1w</v>
      </c>
      <c r="AM308" s="185" t="str">
        <f>_xlfn.IFNA(VLOOKUP($AH308,Programma!$F$3:$K$1101,6,0),"")</f>
        <v>1m</v>
      </c>
      <c r="AN308" s="185" t="str">
        <f>_xlfn.IFNA(VLOOKUP($AH308,Programma!$F$3:$L$1101,7,0),"")</f>
        <v>_</v>
      </c>
      <c r="AO308" s="185" t="str">
        <f>_xlfn.IFNA(VLOOKUP($AH308,Programma!$F$3:$M$1101,8,0),"")</f>
        <v>_</v>
      </c>
      <c r="AP308" s="185" t="str">
        <f>_xlfn.IFNA(VLOOKUP($AH308,Programma!$F$3:$N$1101,9,0),"")</f>
        <v>_</v>
      </c>
      <c r="AQ308" s="185" t="str">
        <f>_xlfn.IFNA(VLOOKUP($AH308,Programma!$F$3:$O$1101,10,0),"")</f>
        <v>5w</v>
      </c>
      <c r="AR308" s="185" t="str">
        <f>_xlfn.IFNA(VLOOKUP($AH308,Programma!$F$3:$P$1101,11,0),"")</f>
        <v>5w</v>
      </c>
      <c r="AS308" s="185" t="str">
        <f>_xlfn.IFNA(VLOOKUP($AH308,Programma!$F$3:$Q$1101,12,0),"")</f>
        <v>1w</v>
      </c>
      <c r="AT308" s="185" t="str">
        <f>_xlfn.IFNA(VLOOKUP($AH308,Programma!$F$3:$R$1101,13,0),"")</f>
        <v>1w</v>
      </c>
      <c r="AU308" s="185" t="str">
        <f>_xlfn.IFNA(VLOOKUP($AH308,Programma!$F$3:$S$1101,14,0),"")</f>
        <v>1m</v>
      </c>
      <c r="AV308" s="185" t="str">
        <f>_xlfn.IFNA(VLOOKUP($AH308,Programma!$F$3:$T$1101,15,0),"")</f>
        <v>2j</v>
      </c>
      <c r="AW308" s="185" t="str">
        <f>_xlfn.IFNA(VLOOKUP($AH308,Programma!$F$3:$U$1101,16,0),"")</f>
        <v>1j</v>
      </c>
      <c r="AX308" s="185" t="str">
        <f>_xlfn.IFNA(VLOOKUP($AH308,Programma!$F$3:$V$1101,17,0),"")</f>
        <v>_</v>
      </c>
      <c r="AY308" s="185" t="str">
        <f>_xlfn.IFNA(VLOOKUP($AH308,Programma!$F$3:$W$1101,18,0),"")</f>
        <v>_</v>
      </c>
      <c r="AZ308" s="185" t="str">
        <f>_xlfn.IFNA(VLOOKUP($AH308,Programma!$F$3:$X$1101,19,0),"")</f>
        <v>_</v>
      </c>
      <c r="BA308" s="185" t="str">
        <f>_xlfn.IFNA(VLOOKUP($AH308,Programma!$F$3:$Y$1101,20,0),"")</f>
        <v>_</v>
      </c>
      <c r="BB308" s="182"/>
      <c r="BC308" s="181" t="str">
        <f>IF(Ruimtestaat[[#This Row],[Frequentie weekend]]="","",_xlfn.CONCAT(Ruimtestaat[[#This Row],[Ruimte code]],"-",Ruimtestaat[[#This Row],[Frequentie weekend]]," ",Ruimtestaat[[#This Row],[Vloer code]]))</f>
        <v/>
      </c>
      <c r="BD308" s="185" t="str">
        <f>_xlfn.IFNA(VLOOKUP($BC308,Programma!$F$3:$G$1101,2,0),"")</f>
        <v/>
      </c>
      <c r="BE308" s="185" t="str">
        <f>_xlfn.IFNA(VLOOKUP($BC308,Programma!$F$3:$H$1101,3,0),"")</f>
        <v/>
      </c>
      <c r="BF308" s="185" t="str">
        <f>_xlfn.IFNA(VLOOKUP($BC308,Programma!$F$3:$I$1101,4,0),"")</f>
        <v/>
      </c>
      <c r="BG308" s="185" t="str">
        <f>_xlfn.IFNA(VLOOKUP($BC308,Programma!$F$3:$J$1101,5,0),"")</f>
        <v/>
      </c>
      <c r="BH308" s="185" t="str">
        <f>_xlfn.IFNA(VLOOKUP($BC308,Programma!$F$3:$K$1101,6,0),"")</f>
        <v/>
      </c>
      <c r="BI308" s="185" t="str">
        <f>_xlfn.IFNA(VLOOKUP($BC308,Programma!$F$3:$L$1101,7,0),"")</f>
        <v/>
      </c>
      <c r="BJ308" s="185" t="str">
        <f>_xlfn.IFNA(VLOOKUP($BC308,Programma!$F$3:$M$1101,8,0),"")</f>
        <v/>
      </c>
      <c r="BK308" s="185" t="str">
        <f>_xlfn.IFNA(VLOOKUP($BC308,Programma!$F$3:$N$1101,9,0),"")</f>
        <v/>
      </c>
      <c r="BL308" s="185" t="str">
        <f>_xlfn.IFNA(VLOOKUP($BC308,Programma!$F$3:$O$1101,10,0),"")</f>
        <v/>
      </c>
      <c r="BM308" s="185" t="str">
        <f>_xlfn.IFNA(VLOOKUP($BC308,Programma!$F$3:$P$1101,11,0),"")</f>
        <v/>
      </c>
      <c r="BN308" s="185" t="str">
        <f>_xlfn.IFNA(VLOOKUP($BC308,Programma!$F$3:$Q$1101,12,0),"")</f>
        <v/>
      </c>
      <c r="BO308" s="185" t="str">
        <f>_xlfn.IFNA(VLOOKUP($BC308,Programma!$F$3:$R$1101,13,0),"")</f>
        <v/>
      </c>
      <c r="BP308" s="185" t="str">
        <f>_xlfn.IFNA(VLOOKUP($BC308,Programma!$F$3:$S$1101,14,0),"")</f>
        <v/>
      </c>
      <c r="BQ308" s="185" t="str">
        <f>_xlfn.IFNA(VLOOKUP($BC308,Programma!$F$3:$T$1101,15,0),"")</f>
        <v/>
      </c>
      <c r="BR308" s="185" t="str">
        <f>_xlfn.IFNA(VLOOKUP($BC308,Programma!$F$3:$U$1101,16,0),"")</f>
        <v/>
      </c>
      <c r="BS308" s="185" t="str">
        <f>_xlfn.IFNA(VLOOKUP($BC308,Programma!$F$3:$V$1101,17,0),"")</f>
        <v/>
      </c>
      <c r="BT308" s="185" t="str">
        <f>_xlfn.IFNA(VLOOKUP($BC308,Programma!$F$3:$W$1101,18,0),"")</f>
        <v/>
      </c>
      <c r="BU308" s="185" t="str">
        <f>_xlfn.IFNA(VLOOKUP($BC308,Programma!$F$3:$X$1101,19,0),"")</f>
        <v/>
      </c>
      <c r="BV308" s="185" t="str">
        <f>_xlfn.IFNA(VLOOKUP($BC308,Programma!$F$3:$Y$1101,20,0),"")</f>
        <v/>
      </c>
    </row>
    <row r="309" spans="1:74" s="78" customFormat="1" ht="15" customHeight="1">
      <c r="A309" s="99">
        <v>10</v>
      </c>
      <c r="B309" s="176" t="str">
        <f>VLOOKUP(Ruimtestaat[[#This Row],[Code]],Locaties[[Code]:[Locatie]],2,FALSE)</f>
        <v>OJBS Het Palet</v>
      </c>
      <c r="C309" s="176" t="str">
        <f>VLOOKUP(Ruimtestaat[[#This Row],[Code]],Locaties[[#All],[Code]:[Adres]],4,FALSE)</f>
        <v>Ger. Terborghstraat 9</v>
      </c>
      <c r="D309" s="176" t="str">
        <f>VLOOKUP(Ruimtestaat[[#This Row],[Code]],Locaties[[#All],[Code]:[Postcode]],5,FALSE)</f>
        <v>7545 BV</v>
      </c>
      <c r="E309" s="176" t="str">
        <f>VLOOKUP(Ruimtestaat[[#This Row],[Code]],Locaties[#All],6,FALSE)</f>
        <v>Enschede</v>
      </c>
      <c r="F309" s="149"/>
      <c r="G309" s="149" t="s">
        <v>1646</v>
      </c>
      <c r="H309" s="99" t="s">
        <v>1731</v>
      </c>
      <c r="I309" s="183" t="s">
        <v>1655</v>
      </c>
      <c r="J309" s="99">
        <v>5</v>
      </c>
      <c r="K309" s="183" t="str">
        <f>VLOOKUP(Ruimtestaat[[#This Row],[Ruimte code]],Ruimtegroepen[[#All],[Code]:[Ruimte omschrijving]],2,FALSE)</f>
        <v>Sanitair</v>
      </c>
      <c r="L309" s="149" t="s">
        <v>101</v>
      </c>
      <c r="M309" s="301" t="s">
        <v>1682</v>
      </c>
      <c r="N309" s="177">
        <v>8.5</v>
      </c>
      <c r="O309" s="177"/>
      <c r="P309" s="178" t="str">
        <f>VLOOKUP(Ruimtestaat[[#This Row],[Ruimte code]],Ruimtegroepen[],4,FALSE)</f>
        <v>Sa</v>
      </c>
      <c r="Q309" s="149">
        <v>40</v>
      </c>
      <c r="R309" s="149" t="s">
        <v>2</v>
      </c>
      <c r="S309" s="149">
        <f>IF(Q309&gt;0,IF(RIGHT(Ruimtestaat[[#This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09" s="149">
        <f>IF(S309&gt;0,VLOOKUP($J309,Ruimtegroepen[],3,FALSE)*VLOOKUP($L309,Vloersoorten[],3,FALSE)*VLOOKUP($R309,Frequenties[],3,FALSE)*VLOOKUP($A309,Locaties[],3,FALSE),0)</f>
        <v>0</v>
      </c>
      <c r="U309" s="149">
        <f>Ruimtestaat[[#This Row],[Uitvoeringen werkdagen]]*Ruimtestaat[[#This Row],[Oppervlak (netto)]]</f>
        <v>1700</v>
      </c>
      <c r="V309" s="179">
        <f>IF(T309&gt;0,Ruimtestaat[[#This Row],[Prest. (m2 /jaar) werkdagen]]/Ruimtestaat[[#This Row],[Norm (m2/uur) werkdagen]],0)</f>
        <v>0</v>
      </c>
      <c r="W309" s="180">
        <f>Ruimtestaat[[#This Row],[uren / jaar werkdagen]]*Tariefsopbouw!$E$35</f>
        <v>0</v>
      </c>
      <c r="X309" s="149"/>
      <c r="Y309" s="149">
        <f>IF(Ruimtestaat[[#This Row],[Frequentie weekend]]&gt;0,VALUE(LEFT(X309,1))*Q309,0)</f>
        <v>0</v>
      </c>
      <c r="Z309" s="148">
        <f>IF($Y309&gt;0,VLOOKUP($J309,Ruimtegroepen[],3,FALSE)*VLOOKUP($L309,Vloersoorten[],3,FALSE)*VLOOKUP($X309,Frequenties[],3,FALSE)*VLOOKUP(Ruimtestaat[[#This Row],[Code]],Locaties[],3,FALSE),0)</f>
        <v>0</v>
      </c>
      <c r="AA309" s="148">
        <f>Ruimtestaat[[#This Row],[Uitvoeringen weekend]]*Ruimtestaat[[#This Row],[Oppervlak (netto)]]</f>
        <v>0</v>
      </c>
      <c r="AB309" s="148">
        <f>IF(Z309&gt;0,Ruimtestaat[[#This Row],[Prest. (m2 /jaar) weekend]]/Ruimtestaat[[#This Row],[Norm (m2/uur) weekend]],0)</f>
        <v>0</v>
      </c>
      <c r="AC309" s="180">
        <f>Ruimtestaat[[#This Row],[uren / jaar weekend]]*Tariefsopbouw!$D$40</f>
        <v>0</v>
      </c>
      <c r="AD309" s="179">
        <f>Ruimtestaat[[#This Row],[Prest. (m2 /jaar) weekend]]+Ruimtestaat[[#This Row],[Prest. (m2 /jaar) werkdagen]]</f>
        <v>1700</v>
      </c>
      <c r="AE309" s="179">
        <f>Ruimtestaat[[#This Row],[uren / jaar weekend]]+Ruimtestaat[[#This Row],[uren / jaar werkdagen]]</f>
        <v>0</v>
      </c>
      <c r="AF309" s="174">
        <f>Ruimtestaat[[#This Row],[kosten / jaar weekend]]+Ruimtestaat[[#This Row],[kosten / jaar werkdagen]]</f>
        <v>0</v>
      </c>
      <c r="AG309" s="174"/>
      <c r="AH309" s="181" t="str">
        <f>IF(Ruimtestaat[[#This Row],[Frequentie werkdagen]]="","",_xlfn.CONCAT(Ruimtestaat[[#This Row],[Ruimte code]],"-",Ruimtestaat[[#This Row],[Frequentie werkdagen]]," ",Ruimtestaat[[#This Row],[Vloer code]]))</f>
        <v>5-5w S</v>
      </c>
      <c r="AI309" s="185" t="str">
        <f>_xlfn.IFNA(VLOOKUP($AH309,Programma!$F$3:$G$1101,2,0),"")</f>
        <v>_</v>
      </c>
      <c r="AJ309" s="185" t="str">
        <f>_xlfn.IFNA(VLOOKUP($AH309,Programma!$F$3:$H$1101,3,0),"")</f>
        <v>_</v>
      </c>
      <c r="AK309" s="185" t="str">
        <f>_xlfn.IFNA(VLOOKUP($AH309,Programma!$F$3:$I$1101,4,0),"")</f>
        <v>_</v>
      </c>
      <c r="AL309" s="185" t="str">
        <f>_xlfn.IFNA(VLOOKUP($AH309,Programma!$F$3:$J$1101,5,0),"")</f>
        <v>4w</v>
      </c>
      <c r="AM309" s="185" t="str">
        <f>_xlfn.IFNA(VLOOKUP($AH309,Programma!$F$3:$K$1101,6,0),"")</f>
        <v>1w</v>
      </c>
      <c r="AN309" s="185" t="str">
        <f>_xlfn.IFNA(VLOOKUP($AH309,Programma!$F$3:$L$1101,7,0),"")</f>
        <v>_</v>
      </c>
      <c r="AO309" s="185" t="str">
        <f>_xlfn.IFNA(VLOOKUP($AH309,Programma!$F$3:$M$1101,8,0),"")</f>
        <v>_</v>
      </c>
      <c r="AP309" s="185" t="str">
        <f>_xlfn.IFNA(VLOOKUP($AH309,Programma!$F$3:$N$1101,9,0),"")</f>
        <v>_</v>
      </c>
      <c r="AQ309" s="185" t="str">
        <f>_xlfn.IFNA(VLOOKUP($AH309,Programma!$F$3:$O$1101,10,0),"")</f>
        <v>_</v>
      </c>
      <c r="AR309" s="185" t="str">
        <f>_xlfn.IFNA(VLOOKUP($AH309,Programma!$F$3:$P$1101,11,0),"")</f>
        <v>_</v>
      </c>
      <c r="AS309" s="185" t="str">
        <f>_xlfn.IFNA(VLOOKUP($AH309,Programma!$F$3:$Q$1101,12,0),"")</f>
        <v>_</v>
      </c>
      <c r="AT309" s="185" t="str">
        <f>_xlfn.IFNA(VLOOKUP($AH309,Programma!$F$3:$R$1101,13,0),"")</f>
        <v>_</v>
      </c>
      <c r="AU309" s="185" t="str">
        <f>_xlfn.IFNA(VLOOKUP($AH309,Programma!$F$3:$S$1101,14,0),"")</f>
        <v>_</v>
      </c>
      <c r="AV309" s="185" t="str">
        <f>_xlfn.IFNA(VLOOKUP($AH309,Programma!$F$3:$T$1101,15,0),"")</f>
        <v>_</v>
      </c>
      <c r="AW309" s="185" t="str">
        <f>_xlfn.IFNA(VLOOKUP($AH309,Programma!$F$3:$U$1101,16,0),"")</f>
        <v>_</v>
      </c>
      <c r="AX309" s="185" t="str">
        <f>_xlfn.IFNA(VLOOKUP($AH309,Programma!$F$3:$V$1101,17,0),"")</f>
        <v>_</v>
      </c>
      <c r="AY309" s="185" t="str">
        <f>_xlfn.IFNA(VLOOKUP($AH309,Programma!$F$3:$W$1101,18,0),"")</f>
        <v>4w</v>
      </c>
      <c r="AZ309" s="185" t="str">
        <f>_xlfn.IFNA(VLOOKUP($AH309,Programma!$F$3:$X$1101,19,0),"")</f>
        <v>1w</v>
      </c>
      <c r="BA309" s="185" t="str">
        <f>_xlfn.IFNA(VLOOKUP($AH309,Programma!$F$3:$Y$1101,20,0),"")</f>
        <v>_</v>
      </c>
      <c r="BB309" s="182"/>
      <c r="BC309" s="181" t="str">
        <f>IF(Ruimtestaat[[#This Row],[Frequentie weekend]]="","",_xlfn.CONCAT(Ruimtestaat[[#This Row],[Ruimte code]],"-",Ruimtestaat[[#This Row],[Frequentie weekend]]," ",Ruimtestaat[[#This Row],[Vloer code]]))</f>
        <v/>
      </c>
      <c r="BD309" s="185" t="str">
        <f>_xlfn.IFNA(VLOOKUP($BC309,Programma!$F$3:$G$1101,2,0),"")</f>
        <v/>
      </c>
      <c r="BE309" s="185" t="str">
        <f>_xlfn.IFNA(VLOOKUP($BC309,Programma!$F$3:$H$1101,3,0),"")</f>
        <v/>
      </c>
      <c r="BF309" s="185" t="str">
        <f>_xlfn.IFNA(VLOOKUP($BC309,Programma!$F$3:$I$1101,4,0),"")</f>
        <v/>
      </c>
      <c r="BG309" s="185" t="str">
        <f>_xlfn.IFNA(VLOOKUP($BC309,Programma!$F$3:$J$1101,5,0),"")</f>
        <v/>
      </c>
      <c r="BH309" s="185" t="str">
        <f>_xlfn.IFNA(VLOOKUP($BC309,Programma!$F$3:$K$1101,6,0),"")</f>
        <v/>
      </c>
      <c r="BI309" s="185" t="str">
        <f>_xlfn.IFNA(VLOOKUP($BC309,Programma!$F$3:$L$1101,7,0),"")</f>
        <v/>
      </c>
      <c r="BJ309" s="185" t="str">
        <f>_xlfn.IFNA(VLOOKUP($BC309,Programma!$F$3:$M$1101,8,0),"")</f>
        <v/>
      </c>
      <c r="BK309" s="185" t="str">
        <f>_xlfn.IFNA(VLOOKUP($BC309,Programma!$F$3:$N$1101,9,0),"")</f>
        <v/>
      </c>
      <c r="BL309" s="185" t="str">
        <f>_xlfn.IFNA(VLOOKUP($BC309,Programma!$F$3:$O$1101,10,0),"")</f>
        <v/>
      </c>
      <c r="BM309" s="185" t="str">
        <f>_xlfn.IFNA(VLOOKUP($BC309,Programma!$F$3:$P$1101,11,0),"")</f>
        <v/>
      </c>
      <c r="BN309" s="185" t="str">
        <f>_xlfn.IFNA(VLOOKUP($BC309,Programma!$F$3:$Q$1101,12,0),"")</f>
        <v/>
      </c>
      <c r="BO309" s="185" t="str">
        <f>_xlfn.IFNA(VLOOKUP($BC309,Programma!$F$3:$R$1101,13,0),"")</f>
        <v/>
      </c>
      <c r="BP309" s="185" t="str">
        <f>_xlfn.IFNA(VLOOKUP($BC309,Programma!$F$3:$S$1101,14,0),"")</f>
        <v/>
      </c>
      <c r="BQ309" s="185" t="str">
        <f>_xlfn.IFNA(VLOOKUP($BC309,Programma!$F$3:$T$1101,15,0),"")</f>
        <v/>
      </c>
      <c r="BR309" s="185" t="str">
        <f>_xlfn.IFNA(VLOOKUP($BC309,Programma!$F$3:$U$1101,16,0),"")</f>
        <v/>
      </c>
      <c r="BS309" s="185" t="str">
        <f>_xlfn.IFNA(VLOOKUP($BC309,Programma!$F$3:$V$1101,17,0),"")</f>
        <v/>
      </c>
      <c r="BT309" s="185" t="str">
        <f>_xlfn.IFNA(VLOOKUP($BC309,Programma!$F$3:$W$1101,18,0),"")</f>
        <v/>
      </c>
      <c r="BU309" s="185" t="str">
        <f>_xlfn.IFNA(VLOOKUP($BC309,Programma!$F$3:$X$1101,19,0),"")</f>
        <v/>
      </c>
      <c r="BV309" s="185" t="str">
        <f>_xlfn.IFNA(VLOOKUP($BC309,Programma!$F$3:$Y$1101,20,0),"")</f>
        <v/>
      </c>
    </row>
    <row r="310" spans="1:74" s="78" customFormat="1" ht="15" customHeight="1">
      <c r="A310" s="99">
        <v>10</v>
      </c>
      <c r="B310" s="176" t="str">
        <f>VLOOKUP(Ruimtestaat[[#This Row],[Code]],Locaties[[Code]:[Locatie]],2,FALSE)</f>
        <v>OJBS Het Palet</v>
      </c>
      <c r="C310" s="176" t="str">
        <f>VLOOKUP(Ruimtestaat[[#This Row],[Code]],Locaties[[#All],[Code]:[Adres]],4,FALSE)</f>
        <v>Ger. Terborghstraat 9</v>
      </c>
      <c r="D310" s="176" t="str">
        <f>VLOOKUP(Ruimtestaat[[#This Row],[Code]],Locaties[[#All],[Code]:[Postcode]],5,FALSE)</f>
        <v>7545 BV</v>
      </c>
      <c r="E310" s="176" t="str">
        <f>VLOOKUP(Ruimtestaat[[#This Row],[Code]],Locaties[#All],6,FALSE)</f>
        <v>Enschede</v>
      </c>
      <c r="F310" s="149"/>
      <c r="G310" s="149" t="s">
        <v>1646</v>
      </c>
      <c r="H310" s="99" t="s">
        <v>1666</v>
      </c>
      <c r="I310" s="183" t="s">
        <v>1658</v>
      </c>
      <c r="J310" s="99">
        <v>6</v>
      </c>
      <c r="K310" s="183" t="str">
        <f>VLOOKUP(Ruimtestaat[[#This Row],[Ruimte code]],Ruimtegroepen[[#All],[Code]:[Ruimte omschrijving]],2,FALSE)</f>
        <v>Gangen/hallen</v>
      </c>
      <c r="L310" s="149" t="s">
        <v>101</v>
      </c>
      <c r="M310" s="301" t="s">
        <v>1682</v>
      </c>
      <c r="N310" s="177">
        <v>22.8</v>
      </c>
      <c r="O310" s="177"/>
      <c r="P310" s="178" t="str">
        <f>VLOOKUP(Ruimtestaat[[#This Row],[Ruimte code]],Ruimtegroepen[],4,FALSE)</f>
        <v>Ve</v>
      </c>
      <c r="Q310" s="149">
        <v>40</v>
      </c>
      <c r="R310" s="149" t="s">
        <v>2</v>
      </c>
      <c r="S310" s="149">
        <f>IF(Q310&gt;0,IF(RIGHT(Ruimtestaat[[#This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0" s="149">
        <f>IF(S310&gt;0,VLOOKUP($J310,Ruimtegroepen[],3,FALSE)*VLOOKUP($L310,Vloersoorten[],3,FALSE)*VLOOKUP($R310,Frequenties[],3,FALSE)*VLOOKUP($A310,Locaties[],3,FALSE),0)</f>
        <v>0</v>
      </c>
      <c r="U310" s="149">
        <f>Ruimtestaat[[#This Row],[Uitvoeringen werkdagen]]*Ruimtestaat[[#This Row],[Oppervlak (netto)]]</f>
        <v>4560</v>
      </c>
      <c r="V310" s="179">
        <f>IF(T310&gt;0,Ruimtestaat[[#This Row],[Prest. (m2 /jaar) werkdagen]]/Ruimtestaat[[#This Row],[Norm (m2/uur) werkdagen]],0)</f>
        <v>0</v>
      </c>
      <c r="W310" s="180">
        <f>Ruimtestaat[[#This Row],[uren / jaar werkdagen]]*Tariefsopbouw!$E$35</f>
        <v>0</v>
      </c>
      <c r="X310" s="149"/>
      <c r="Y310" s="149">
        <f>IF(Ruimtestaat[[#This Row],[Frequentie weekend]]&gt;0,VALUE(LEFT(X310,1))*Q310,0)</f>
        <v>0</v>
      </c>
      <c r="Z310" s="148">
        <f>IF($Y310&gt;0,VLOOKUP($J310,Ruimtegroepen[],3,FALSE)*VLOOKUP($L310,Vloersoorten[],3,FALSE)*VLOOKUP($X310,Frequenties[],3,FALSE)*VLOOKUP(Ruimtestaat[[#This Row],[Code]],Locaties[],3,FALSE),0)</f>
        <v>0</v>
      </c>
      <c r="AA310" s="148">
        <f>Ruimtestaat[[#This Row],[Uitvoeringen weekend]]*Ruimtestaat[[#This Row],[Oppervlak (netto)]]</f>
        <v>0</v>
      </c>
      <c r="AB310" s="148">
        <f>IF(Z310&gt;0,Ruimtestaat[[#This Row],[Prest. (m2 /jaar) weekend]]/Ruimtestaat[[#This Row],[Norm (m2/uur) weekend]],0)</f>
        <v>0</v>
      </c>
      <c r="AC310" s="180">
        <f>Ruimtestaat[[#This Row],[uren / jaar weekend]]*Tariefsopbouw!$D$40</f>
        <v>0</v>
      </c>
      <c r="AD310" s="179">
        <f>Ruimtestaat[[#This Row],[Prest. (m2 /jaar) weekend]]+Ruimtestaat[[#This Row],[Prest. (m2 /jaar) werkdagen]]</f>
        <v>4560</v>
      </c>
      <c r="AE310" s="179">
        <f>Ruimtestaat[[#This Row],[uren / jaar weekend]]+Ruimtestaat[[#This Row],[uren / jaar werkdagen]]</f>
        <v>0</v>
      </c>
      <c r="AF310" s="174">
        <f>Ruimtestaat[[#This Row],[kosten / jaar weekend]]+Ruimtestaat[[#This Row],[kosten / jaar werkdagen]]</f>
        <v>0</v>
      </c>
      <c r="AG310" s="174"/>
      <c r="AH310" s="181" t="str">
        <f>IF(Ruimtestaat[[#This Row],[Frequentie werkdagen]]="","",_xlfn.CONCAT(Ruimtestaat[[#This Row],[Ruimte code]],"-",Ruimtestaat[[#This Row],[Frequentie werkdagen]]," ",Ruimtestaat[[#This Row],[Vloer code]]))</f>
        <v>6-5w S</v>
      </c>
      <c r="AI310" s="185" t="str">
        <f>_xlfn.IFNA(VLOOKUP($AH310,Programma!$F$3:$G$1101,2,0),"")</f>
        <v>_</v>
      </c>
      <c r="AJ310" s="185" t="str">
        <f>_xlfn.IFNA(VLOOKUP($AH310,Programma!$F$3:$H$1101,3,0),"")</f>
        <v>_</v>
      </c>
      <c r="AK310" s="185" t="str">
        <f>_xlfn.IFNA(VLOOKUP($AH310,Programma!$F$3:$I$1101,4,0),"")</f>
        <v>5w</v>
      </c>
      <c r="AL310" s="185" t="str">
        <f>_xlfn.IFNA(VLOOKUP($AH310,Programma!$F$3:$J$1101,5,0),"")</f>
        <v>_</v>
      </c>
      <c r="AM310" s="185" t="str">
        <f>_xlfn.IFNA(VLOOKUP($AH310,Programma!$F$3:$K$1101,6,0),"")</f>
        <v>5w</v>
      </c>
      <c r="AN310" s="185" t="str">
        <f>_xlfn.IFNA(VLOOKUP($AH310,Programma!$F$3:$L$1101,7,0),"")</f>
        <v>_</v>
      </c>
      <c r="AO310" s="185" t="str">
        <f>_xlfn.IFNA(VLOOKUP($AH310,Programma!$F$3:$M$1101,8,0),"")</f>
        <v>_</v>
      </c>
      <c r="AP310" s="185" t="str">
        <f>_xlfn.IFNA(VLOOKUP($AH310,Programma!$F$3:$N$1101,9,0),"")</f>
        <v>_</v>
      </c>
      <c r="AQ310" s="185" t="str">
        <f>_xlfn.IFNA(VLOOKUP($AH310,Programma!$F$3:$O$1101,10,0),"")</f>
        <v>5w</v>
      </c>
      <c r="AR310" s="185" t="str">
        <f>_xlfn.IFNA(VLOOKUP($AH310,Programma!$F$3:$P$1101,11,0),"")</f>
        <v>5w</v>
      </c>
      <c r="AS310" s="185" t="str">
        <f>_xlfn.IFNA(VLOOKUP($AH310,Programma!$F$3:$Q$1101,12,0),"")</f>
        <v>1w</v>
      </c>
      <c r="AT310" s="185" t="str">
        <f>_xlfn.IFNA(VLOOKUP($AH310,Programma!$F$3:$R$1101,13,0),"")</f>
        <v>1w</v>
      </c>
      <c r="AU310" s="185" t="str">
        <f>_xlfn.IFNA(VLOOKUP($AH310,Programma!$F$3:$S$1101,14,0),"")</f>
        <v>1m</v>
      </c>
      <c r="AV310" s="185" t="str">
        <f>_xlfn.IFNA(VLOOKUP($AH310,Programma!$F$3:$T$1101,15,0),"")</f>
        <v>2j</v>
      </c>
      <c r="AW310" s="185" t="str">
        <f>_xlfn.IFNA(VLOOKUP($AH310,Programma!$F$3:$U$1101,16,0),"")</f>
        <v>1j</v>
      </c>
      <c r="AX310" s="185" t="str">
        <f>_xlfn.IFNA(VLOOKUP($AH310,Programma!$F$3:$V$1101,17,0),"")</f>
        <v>_</v>
      </c>
      <c r="AY310" s="185" t="str">
        <f>_xlfn.IFNA(VLOOKUP($AH310,Programma!$F$3:$W$1101,18,0),"")</f>
        <v>_</v>
      </c>
      <c r="AZ310" s="185" t="str">
        <f>_xlfn.IFNA(VLOOKUP($AH310,Programma!$F$3:$X$1101,19,0),"")</f>
        <v>_</v>
      </c>
      <c r="BA310" s="185" t="str">
        <f>_xlfn.IFNA(VLOOKUP($AH310,Programma!$F$3:$Y$1101,20,0),"")</f>
        <v>_</v>
      </c>
      <c r="BB310" s="182"/>
      <c r="BC310" s="181" t="str">
        <f>IF(Ruimtestaat[[#This Row],[Frequentie weekend]]="","",_xlfn.CONCAT(Ruimtestaat[[#This Row],[Ruimte code]],"-",Ruimtestaat[[#This Row],[Frequentie weekend]]," ",Ruimtestaat[[#This Row],[Vloer code]]))</f>
        <v/>
      </c>
      <c r="BD310" s="185" t="str">
        <f>_xlfn.IFNA(VLOOKUP($BC310,Programma!$F$3:$G$1101,2,0),"")</f>
        <v/>
      </c>
      <c r="BE310" s="185" t="str">
        <f>_xlfn.IFNA(VLOOKUP($BC310,Programma!$F$3:$H$1101,3,0),"")</f>
        <v/>
      </c>
      <c r="BF310" s="185" t="str">
        <f>_xlfn.IFNA(VLOOKUP($BC310,Programma!$F$3:$I$1101,4,0),"")</f>
        <v/>
      </c>
      <c r="BG310" s="185" t="str">
        <f>_xlfn.IFNA(VLOOKUP($BC310,Programma!$F$3:$J$1101,5,0),"")</f>
        <v/>
      </c>
      <c r="BH310" s="185" t="str">
        <f>_xlfn.IFNA(VLOOKUP($BC310,Programma!$F$3:$K$1101,6,0),"")</f>
        <v/>
      </c>
      <c r="BI310" s="185" t="str">
        <f>_xlfn.IFNA(VLOOKUP($BC310,Programma!$F$3:$L$1101,7,0),"")</f>
        <v/>
      </c>
      <c r="BJ310" s="185" t="str">
        <f>_xlfn.IFNA(VLOOKUP($BC310,Programma!$F$3:$M$1101,8,0),"")</f>
        <v/>
      </c>
      <c r="BK310" s="185" t="str">
        <f>_xlfn.IFNA(VLOOKUP($BC310,Programma!$F$3:$N$1101,9,0),"")</f>
        <v/>
      </c>
      <c r="BL310" s="185" t="str">
        <f>_xlfn.IFNA(VLOOKUP($BC310,Programma!$F$3:$O$1101,10,0),"")</f>
        <v/>
      </c>
      <c r="BM310" s="185" t="str">
        <f>_xlfn.IFNA(VLOOKUP($BC310,Programma!$F$3:$P$1101,11,0),"")</f>
        <v/>
      </c>
      <c r="BN310" s="185" t="str">
        <f>_xlfn.IFNA(VLOOKUP($BC310,Programma!$F$3:$Q$1101,12,0),"")</f>
        <v/>
      </c>
      <c r="BO310" s="185" t="str">
        <f>_xlfn.IFNA(VLOOKUP($BC310,Programma!$F$3:$R$1101,13,0),"")</f>
        <v/>
      </c>
      <c r="BP310" s="185" t="str">
        <f>_xlfn.IFNA(VLOOKUP($BC310,Programma!$F$3:$S$1101,14,0),"")</f>
        <v/>
      </c>
      <c r="BQ310" s="185" t="str">
        <f>_xlfn.IFNA(VLOOKUP($BC310,Programma!$F$3:$T$1101,15,0),"")</f>
        <v/>
      </c>
      <c r="BR310" s="185" t="str">
        <f>_xlfn.IFNA(VLOOKUP($BC310,Programma!$F$3:$U$1101,16,0),"")</f>
        <v/>
      </c>
      <c r="BS310" s="185" t="str">
        <f>_xlfn.IFNA(VLOOKUP($BC310,Programma!$F$3:$V$1101,17,0),"")</f>
        <v/>
      </c>
      <c r="BT310" s="185" t="str">
        <f>_xlfn.IFNA(VLOOKUP($BC310,Programma!$F$3:$W$1101,18,0),"")</f>
        <v/>
      </c>
      <c r="BU310" s="185" t="str">
        <f>_xlfn.IFNA(VLOOKUP($BC310,Programma!$F$3:$X$1101,19,0),"")</f>
        <v/>
      </c>
      <c r="BV310" s="185" t="str">
        <f>_xlfn.IFNA(VLOOKUP($BC310,Programma!$F$3:$Y$1101,20,0),"")</f>
        <v/>
      </c>
    </row>
    <row r="311" spans="1:74" s="78" customFormat="1" ht="15" customHeight="1">
      <c r="A311" s="99">
        <v>10</v>
      </c>
      <c r="B311" s="176" t="str">
        <f>VLOOKUP(Ruimtestaat[[#This Row],[Code]],Locaties[[Code]:[Locatie]],2,FALSE)</f>
        <v>OJBS Het Palet</v>
      </c>
      <c r="C311" s="176" t="str">
        <f>VLOOKUP(Ruimtestaat[[#This Row],[Code]],Locaties[[#All],[Code]:[Adres]],4,FALSE)</f>
        <v>Ger. Terborghstraat 9</v>
      </c>
      <c r="D311" s="176" t="str">
        <f>VLOOKUP(Ruimtestaat[[#This Row],[Code]],Locaties[[#All],[Code]:[Postcode]],5,FALSE)</f>
        <v>7545 BV</v>
      </c>
      <c r="E311" s="176" t="str">
        <f>VLOOKUP(Ruimtestaat[[#This Row],[Code]],Locaties[#All],6,FALSE)</f>
        <v>Enschede</v>
      </c>
      <c r="F311" s="149"/>
      <c r="G311" s="149" t="s">
        <v>1646</v>
      </c>
      <c r="H311" s="99" t="s">
        <v>1668</v>
      </c>
      <c r="I311" s="183" t="s">
        <v>1758</v>
      </c>
      <c r="J311" s="149">
        <v>10</v>
      </c>
      <c r="K311" s="183" t="str">
        <f>VLOOKUP(Ruimtestaat[[#This Row],[Ruimte code]],Ruimtegroepen[[#All],[Code]:[Ruimte omschrijving]],2,FALSE)</f>
        <v>Trappenhuizen/lift</v>
      </c>
      <c r="L311" s="149" t="s">
        <v>101</v>
      </c>
      <c r="M311" s="301" t="s">
        <v>119</v>
      </c>
      <c r="N311" s="177">
        <v>6.2</v>
      </c>
      <c r="O311" s="177"/>
      <c r="P311" s="178" t="str">
        <f>VLOOKUP(Ruimtestaat[[#This Row],[Ruimte code]],Ruimtegroepen[],4,FALSE)</f>
        <v>Ve</v>
      </c>
      <c r="Q311" s="149">
        <v>40</v>
      </c>
      <c r="R311" s="149" t="s">
        <v>2</v>
      </c>
      <c r="S311" s="149">
        <f>IF(Q311&gt;0,IF(RIGHT(Ruimtestaat[[#This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1" s="149">
        <f>IF(S311&gt;0,VLOOKUP($J311,Ruimtegroepen[],3,FALSE)*VLOOKUP($L311,Vloersoorten[],3,FALSE)*VLOOKUP($R311,Frequenties[],3,FALSE)*VLOOKUP($A311,Locaties[],3,FALSE),0)</f>
        <v>0</v>
      </c>
      <c r="U311" s="149">
        <f>Ruimtestaat[[#This Row],[Uitvoeringen werkdagen]]*Ruimtestaat[[#This Row],[Oppervlak (netto)]]</f>
        <v>1240</v>
      </c>
      <c r="V311" s="179">
        <f>IF(T311&gt;0,Ruimtestaat[[#This Row],[Prest. (m2 /jaar) werkdagen]]/Ruimtestaat[[#This Row],[Norm (m2/uur) werkdagen]],0)</f>
        <v>0</v>
      </c>
      <c r="W311" s="180">
        <f>Ruimtestaat[[#This Row],[uren / jaar werkdagen]]*Tariefsopbouw!$E$35</f>
        <v>0</v>
      </c>
      <c r="X311" s="149"/>
      <c r="Y311" s="149">
        <f>IF(Ruimtestaat[[#This Row],[Frequentie weekend]]&gt;0,VALUE(LEFT(X311,1))*Q311,0)</f>
        <v>0</v>
      </c>
      <c r="Z311" s="148">
        <f>IF($Y311&gt;0,VLOOKUP($J311,Ruimtegroepen[],3,FALSE)*VLOOKUP($L311,Vloersoorten[],3,FALSE)*VLOOKUP($X311,Frequenties[],3,FALSE)*VLOOKUP(Ruimtestaat[[#This Row],[Code]],Locaties[],3,FALSE),0)</f>
        <v>0</v>
      </c>
      <c r="AA311" s="148">
        <f>Ruimtestaat[[#This Row],[Uitvoeringen weekend]]*Ruimtestaat[[#This Row],[Oppervlak (netto)]]</f>
        <v>0</v>
      </c>
      <c r="AB311" s="148">
        <f>IF(Z311&gt;0,Ruimtestaat[[#This Row],[Prest. (m2 /jaar) weekend]]/Ruimtestaat[[#This Row],[Norm (m2/uur) weekend]],0)</f>
        <v>0</v>
      </c>
      <c r="AC311" s="180">
        <f>Ruimtestaat[[#This Row],[uren / jaar weekend]]*Tariefsopbouw!$D$40</f>
        <v>0</v>
      </c>
      <c r="AD311" s="179">
        <f>Ruimtestaat[[#This Row],[Prest. (m2 /jaar) weekend]]+Ruimtestaat[[#This Row],[Prest. (m2 /jaar) werkdagen]]</f>
        <v>1240</v>
      </c>
      <c r="AE311" s="179">
        <f>Ruimtestaat[[#This Row],[uren / jaar weekend]]+Ruimtestaat[[#This Row],[uren / jaar werkdagen]]</f>
        <v>0</v>
      </c>
      <c r="AF311" s="174">
        <f>Ruimtestaat[[#This Row],[kosten / jaar weekend]]+Ruimtestaat[[#This Row],[kosten / jaar werkdagen]]</f>
        <v>0</v>
      </c>
      <c r="AG311" s="174"/>
      <c r="AH311" s="181" t="str">
        <f>IF(Ruimtestaat[[#This Row],[Frequentie werkdagen]]="","",_xlfn.CONCAT(Ruimtestaat[[#This Row],[Ruimte code]],"-",Ruimtestaat[[#This Row],[Frequentie werkdagen]]," ",Ruimtestaat[[#This Row],[Vloer code]]))</f>
        <v>10-5w S</v>
      </c>
      <c r="AI311" s="185" t="str">
        <f>_xlfn.IFNA(VLOOKUP($AH311,Programma!$F$3:$G$1101,2,0),"")</f>
        <v>_</v>
      </c>
      <c r="AJ311" s="185" t="str">
        <f>_xlfn.IFNA(VLOOKUP($AH311,Programma!$F$3:$H$1101,3,0),"")</f>
        <v>_</v>
      </c>
      <c r="AK311" s="185" t="str">
        <f>_xlfn.IFNA(VLOOKUP($AH311,Programma!$F$3:$I$1101,4,0),"")</f>
        <v>4w</v>
      </c>
      <c r="AL311" s="185" t="str">
        <f>_xlfn.IFNA(VLOOKUP($AH311,Programma!$F$3:$J$1101,5,0),"")</f>
        <v>1w</v>
      </c>
      <c r="AM311" s="185" t="str">
        <f>_xlfn.IFNA(VLOOKUP($AH311,Programma!$F$3:$K$1101,6,0),"")</f>
        <v>4j</v>
      </c>
      <c r="AN311" s="185" t="str">
        <f>_xlfn.IFNA(VLOOKUP($AH311,Programma!$F$3:$L$1101,7,0),"")</f>
        <v>_</v>
      </c>
      <c r="AO311" s="185" t="str">
        <f>_xlfn.IFNA(VLOOKUP($AH311,Programma!$F$3:$M$1101,8,0),"")</f>
        <v>_</v>
      </c>
      <c r="AP311" s="185" t="str">
        <f>_xlfn.IFNA(VLOOKUP($AH311,Programma!$F$3:$N$1101,9,0),"")</f>
        <v>_</v>
      </c>
      <c r="AQ311" s="185" t="str">
        <f>_xlfn.IFNA(VLOOKUP($AH311,Programma!$F$3:$O$1101,10,0),"")</f>
        <v>5w</v>
      </c>
      <c r="AR311" s="185" t="str">
        <f>_xlfn.IFNA(VLOOKUP($AH311,Programma!$F$3:$P$1101,11,0),"")</f>
        <v>5w</v>
      </c>
      <c r="AS311" s="185" t="str">
        <f>_xlfn.IFNA(VLOOKUP($AH311,Programma!$F$3:$Q$1101,12,0),"")</f>
        <v>1w</v>
      </c>
      <c r="AT311" s="185" t="str">
        <f>_xlfn.IFNA(VLOOKUP($AH311,Programma!$F$3:$R$1101,13,0),"")</f>
        <v>1w</v>
      </c>
      <c r="AU311" s="185" t="str">
        <f>_xlfn.IFNA(VLOOKUP($AH311,Programma!$F$3:$S$1101,14,0),"")</f>
        <v>1m</v>
      </c>
      <c r="AV311" s="185" t="str">
        <f>_xlfn.IFNA(VLOOKUP($AH311,Programma!$F$3:$T$1101,15,0),"")</f>
        <v>2j</v>
      </c>
      <c r="AW311" s="185" t="str">
        <f>_xlfn.IFNA(VLOOKUP($AH311,Programma!$F$3:$U$1101,16,0),"")</f>
        <v>1j</v>
      </c>
      <c r="AX311" s="185" t="str">
        <f>_xlfn.IFNA(VLOOKUP($AH311,Programma!$F$3:$V$1101,17,0),"")</f>
        <v>_</v>
      </c>
      <c r="AY311" s="185" t="str">
        <f>_xlfn.IFNA(VLOOKUP($AH311,Programma!$F$3:$W$1101,18,0),"")</f>
        <v>_</v>
      </c>
      <c r="AZ311" s="185" t="str">
        <f>_xlfn.IFNA(VLOOKUP($AH311,Programma!$F$3:$X$1101,19,0),"")</f>
        <v>_</v>
      </c>
      <c r="BA311" s="185" t="str">
        <f>_xlfn.IFNA(VLOOKUP($AH311,Programma!$F$3:$Y$1101,20,0),"")</f>
        <v>_</v>
      </c>
      <c r="BB311" s="182"/>
      <c r="BC311" s="181" t="str">
        <f>IF(Ruimtestaat[[#This Row],[Frequentie weekend]]="","",_xlfn.CONCAT(Ruimtestaat[[#This Row],[Ruimte code]],"-",Ruimtestaat[[#This Row],[Frequentie weekend]]," ",Ruimtestaat[[#This Row],[Vloer code]]))</f>
        <v/>
      </c>
      <c r="BD311" s="185" t="str">
        <f>_xlfn.IFNA(VLOOKUP($BC311,Programma!$F$3:$G$1101,2,0),"")</f>
        <v/>
      </c>
      <c r="BE311" s="185" t="str">
        <f>_xlfn.IFNA(VLOOKUP($BC311,Programma!$F$3:$H$1101,3,0),"")</f>
        <v/>
      </c>
      <c r="BF311" s="185" t="str">
        <f>_xlfn.IFNA(VLOOKUP($BC311,Programma!$F$3:$I$1101,4,0),"")</f>
        <v/>
      </c>
      <c r="BG311" s="185" t="str">
        <f>_xlfn.IFNA(VLOOKUP($BC311,Programma!$F$3:$J$1101,5,0),"")</f>
        <v/>
      </c>
      <c r="BH311" s="185" t="str">
        <f>_xlfn.IFNA(VLOOKUP($BC311,Programma!$F$3:$K$1101,6,0),"")</f>
        <v/>
      </c>
      <c r="BI311" s="185" t="str">
        <f>_xlfn.IFNA(VLOOKUP($BC311,Programma!$F$3:$L$1101,7,0),"")</f>
        <v/>
      </c>
      <c r="BJ311" s="185" t="str">
        <f>_xlfn.IFNA(VLOOKUP($BC311,Programma!$F$3:$M$1101,8,0),"")</f>
        <v/>
      </c>
      <c r="BK311" s="185" t="str">
        <f>_xlfn.IFNA(VLOOKUP($BC311,Programma!$F$3:$N$1101,9,0),"")</f>
        <v/>
      </c>
      <c r="BL311" s="185" t="str">
        <f>_xlfn.IFNA(VLOOKUP($BC311,Programma!$F$3:$O$1101,10,0),"")</f>
        <v/>
      </c>
      <c r="BM311" s="185" t="str">
        <f>_xlfn.IFNA(VLOOKUP($BC311,Programma!$F$3:$P$1101,11,0),"")</f>
        <v/>
      </c>
      <c r="BN311" s="185" t="str">
        <f>_xlfn.IFNA(VLOOKUP($BC311,Programma!$F$3:$Q$1101,12,0),"")</f>
        <v/>
      </c>
      <c r="BO311" s="185" t="str">
        <f>_xlfn.IFNA(VLOOKUP($BC311,Programma!$F$3:$R$1101,13,0),"")</f>
        <v/>
      </c>
      <c r="BP311" s="185" t="str">
        <f>_xlfn.IFNA(VLOOKUP($BC311,Programma!$F$3:$S$1101,14,0),"")</f>
        <v/>
      </c>
      <c r="BQ311" s="185" t="str">
        <f>_xlfn.IFNA(VLOOKUP($BC311,Programma!$F$3:$T$1101,15,0),"")</f>
        <v/>
      </c>
      <c r="BR311" s="185" t="str">
        <f>_xlfn.IFNA(VLOOKUP($BC311,Programma!$F$3:$U$1101,16,0),"")</f>
        <v/>
      </c>
      <c r="BS311" s="185" t="str">
        <f>_xlfn.IFNA(VLOOKUP($BC311,Programma!$F$3:$V$1101,17,0),"")</f>
        <v/>
      </c>
      <c r="BT311" s="185" t="str">
        <f>_xlfn.IFNA(VLOOKUP($BC311,Programma!$F$3:$W$1101,18,0),"")</f>
        <v/>
      </c>
      <c r="BU311" s="185" t="str">
        <f>_xlfn.IFNA(VLOOKUP($BC311,Programma!$F$3:$X$1101,19,0),"")</f>
        <v/>
      </c>
      <c r="BV311" s="185" t="str">
        <f>_xlfn.IFNA(VLOOKUP($BC311,Programma!$F$3:$Y$1101,20,0),"")</f>
        <v/>
      </c>
    </row>
    <row r="312" spans="1:74" s="78" customFormat="1" ht="15" customHeight="1">
      <c r="A312" s="99">
        <v>10</v>
      </c>
      <c r="B312" s="176" t="str">
        <f>VLOOKUP(Ruimtestaat[[#This Row],[Code]],Locaties[[Code]:[Locatie]],2,FALSE)</f>
        <v>OJBS Het Palet</v>
      </c>
      <c r="C312" s="176" t="str">
        <f>VLOOKUP(Ruimtestaat[[#This Row],[Code]],Locaties[[#All],[Code]:[Adres]],4,FALSE)</f>
        <v>Ger. Terborghstraat 9</v>
      </c>
      <c r="D312" s="176" t="str">
        <f>VLOOKUP(Ruimtestaat[[#This Row],[Code]],Locaties[[#All],[Code]:[Postcode]],5,FALSE)</f>
        <v>7545 BV</v>
      </c>
      <c r="E312" s="176" t="str">
        <f>VLOOKUP(Ruimtestaat[[#This Row],[Code]],Locaties[#All],6,FALSE)</f>
        <v>Enschede</v>
      </c>
      <c r="F312" s="149"/>
      <c r="G312" s="149" t="s">
        <v>1646</v>
      </c>
      <c r="H312" s="99" t="s">
        <v>1669</v>
      </c>
      <c r="I312" s="183" t="s">
        <v>1681</v>
      </c>
      <c r="J312" s="99">
        <v>6</v>
      </c>
      <c r="K312" s="183" t="str">
        <f>VLOOKUP(Ruimtestaat[[#This Row],[Ruimte code]],Ruimtegroepen[[#All],[Code]:[Ruimte omschrijving]],2,FALSE)</f>
        <v>Gangen/hallen</v>
      </c>
      <c r="L312" s="149" t="s">
        <v>101</v>
      </c>
      <c r="M312" s="301" t="s">
        <v>1682</v>
      </c>
      <c r="N312" s="177">
        <v>84.9</v>
      </c>
      <c r="O312" s="177"/>
      <c r="P312" s="178" t="str">
        <f>VLOOKUP(Ruimtestaat[[#This Row],[Ruimte code]],Ruimtegroepen[],4,FALSE)</f>
        <v>Ve</v>
      </c>
      <c r="Q312" s="149">
        <v>40</v>
      </c>
      <c r="R312" s="149" t="s">
        <v>2</v>
      </c>
      <c r="S312" s="149">
        <f>IF(Q312&gt;0,IF(RIGHT(Ruimtestaat[[#This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2" s="149">
        <f>IF(S312&gt;0,VLOOKUP($J312,Ruimtegroepen[],3,FALSE)*VLOOKUP($L312,Vloersoorten[],3,FALSE)*VLOOKUP($R312,Frequenties[],3,FALSE)*VLOOKUP($A312,Locaties[],3,FALSE),0)</f>
        <v>0</v>
      </c>
      <c r="U312" s="149">
        <f>Ruimtestaat[[#This Row],[Uitvoeringen werkdagen]]*Ruimtestaat[[#This Row],[Oppervlak (netto)]]</f>
        <v>16980</v>
      </c>
      <c r="V312" s="179">
        <f>IF(T312&gt;0,Ruimtestaat[[#This Row],[Prest. (m2 /jaar) werkdagen]]/Ruimtestaat[[#This Row],[Norm (m2/uur) werkdagen]],0)</f>
        <v>0</v>
      </c>
      <c r="W312" s="180">
        <f>Ruimtestaat[[#This Row],[uren / jaar werkdagen]]*Tariefsopbouw!$E$35</f>
        <v>0</v>
      </c>
      <c r="X312" s="149"/>
      <c r="Y312" s="149">
        <f>IF(Ruimtestaat[[#This Row],[Frequentie weekend]]&gt;0,VALUE(LEFT(X312,1))*Q312,0)</f>
        <v>0</v>
      </c>
      <c r="Z312" s="148">
        <f>IF($Y312&gt;0,VLOOKUP($J312,Ruimtegroepen[],3,FALSE)*VLOOKUP($L312,Vloersoorten[],3,FALSE)*VLOOKUP($X312,Frequenties[],3,FALSE)*VLOOKUP(Ruimtestaat[[#This Row],[Code]],Locaties[],3,FALSE),0)</f>
        <v>0</v>
      </c>
      <c r="AA312" s="148">
        <f>Ruimtestaat[[#This Row],[Uitvoeringen weekend]]*Ruimtestaat[[#This Row],[Oppervlak (netto)]]</f>
        <v>0</v>
      </c>
      <c r="AB312" s="148">
        <f>IF(Z312&gt;0,Ruimtestaat[[#This Row],[Prest. (m2 /jaar) weekend]]/Ruimtestaat[[#This Row],[Norm (m2/uur) weekend]],0)</f>
        <v>0</v>
      </c>
      <c r="AC312" s="180">
        <f>Ruimtestaat[[#This Row],[uren / jaar weekend]]*Tariefsopbouw!$D$40</f>
        <v>0</v>
      </c>
      <c r="AD312" s="179">
        <f>Ruimtestaat[[#This Row],[Prest. (m2 /jaar) weekend]]+Ruimtestaat[[#This Row],[Prest. (m2 /jaar) werkdagen]]</f>
        <v>16980</v>
      </c>
      <c r="AE312" s="179">
        <f>Ruimtestaat[[#This Row],[uren / jaar weekend]]+Ruimtestaat[[#This Row],[uren / jaar werkdagen]]</f>
        <v>0</v>
      </c>
      <c r="AF312" s="174">
        <f>Ruimtestaat[[#This Row],[kosten / jaar weekend]]+Ruimtestaat[[#This Row],[kosten / jaar werkdagen]]</f>
        <v>0</v>
      </c>
      <c r="AG312" s="174"/>
      <c r="AH312" s="181" t="str">
        <f>IF(Ruimtestaat[[#This Row],[Frequentie werkdagen]]="","",_xlfn.CONCAT(Ruimtestaat[[#This Row],[Ruimte code]],"-",Ruimtestaat[[#This Row],[Frequentie werkdagen]]," ",Ruimtestaat[[#This Row],[Vloer code]]))</f>
        <v>6-5w S</v>
      </c>
      <c r="AI312" s="185" t="str">
        <f>_xlfn.IFNA(VLOOKUP($AH312,Programma!$F$3:$G$1101,2,0),"")</f>
        <v>_</v>
      </c>
      <c r="AJ312" s="185" t="str">
        <f>_xlfn.IFNA(VLOOKUP($AH312,Programma!$F$3:$H$1101,3,0),"")</f>
        <v>_</v>
      </c>
      <c r="AK312" s="185" t="str">
        <f>_xlfn.IFNA(VLOOKUP($AH312,Programma!$F$3:$I$1101,4,0),"")</f>
        <v>5w</v>
      </c>
      <c r="AL312" s="185" t="str">
        <f>_xlfn.IFNA(VLOOKUP($AH312,Programma!$F$3:$J$1101,5,0),"")</f>
        <v>_</v>
      </c>
      <c r="AM312" s="185" t="str">
        <f>_xlfn.IFNA(VLOOKUP($AH312,Programma!$F$3:$K$1101,6,0),"")</f>
        <v>5w</v>
      </c>
      <c r="AN312" s="185" t="str">
        <f>_xlfn.IFNA(VLOOKUP($AH312,Programma!$F$3:$L$1101,7,0),"")</f>
        <v>_</v>
      </c>
      <c r="AO312" s="185" t="str">
        <f>_xlfn.IFNA(VLOOKUP($AH312,Programma!$F$3:$M$1101,8,0),"")</f>
        <v>_</v>
      </c>
      <c r="AP312" s="185" t="str">
        <f>_xlfn.IFNA(VLOOKUP($AH312,Programma!$F$3:$N$1101,9,0),"")</f>
        <v>_</v>
      </c>
      <c r="AQ312" s="185" t="str">
        <f>_xlfn.IFNA(VLOOKUP($AH312,Programma!$F$3:$O$1101,10,0),"")</f>
        <v>5w</v>
      </c>
      <c r="AR312" s="185" t="str">
        <f>_xlfn.IFNA(VLOOKUP($AH312,Programma!$F$3:$P$1101,11,0),"")</f>
        <v>5w</v>
      </c>
      <c r="AS312" s="185" t="str">
        <f>_xlfn.IFNA(VLOOKUP($AH312,Programma!$F$3:$Q$1101,12,0),"")</f>
        <v>1w</v>
      </c>
      <c r="AT312" s="185" t="str">
        <f>_xlfn.IFNA(VLOOKUP($AH312,Programma!$F$3:$R$1101,13,0),"")</f>
        <v>1w</v>
      </c>
      <c r="AU312" s="185" t="str">
        <f>_xlfn.IFNA(VLOOKUP($AH312,Programma!$F$3:$S$1101,14,0),"")</f>
        <v>1m</v>
      </c>
      <c r="AV312" s="185" t="str">
        <f>_xlfn.IFNA(VLOOKUP($AH312,Programma!$F$3:$T$1101,15,0),"")</f>
        <v>2j</v>
      </c>
      <c r="AW312" s="185" t="str">
        <f>_xlfn.IFNA(VLOOKUP($AH312,Programma!$F$3:$U$1101,16,0),"")</f>
        <v>1j</v>
      </c>
      <c r="AX312" s="185" t="str">
        <f>_xlfn.IFNA(VLOOKUP($AH312,Programma!$F$3:$V$1101,17,0),"")</f>
        <v>_</v>
      </c>
      <c r="AY312" s="185" t="str">
        <f>_xlfn.IFNA(VLOOKUP($AH312,Programma!$F$3:$W$1101,18,0),"")</f>
        <v>_</v>
      </c>
      <c r="AZ312" s="185" t="str">
        <f>_xlfn.IFNA(VLOOKUP($AH312,Programma!$F$3:$X$1101,19,0),"")</f>
        <v>_</v>
      </c>
      <c r="BA312" s="185" t="str">
        <f>_xlfn.IFNA(VLOOKUP($AH312,Programma!$F$3:$Y$1101,20,0),"")</f>
        <v>_</v>
      </c>
      <c r="BB312" s="182"/>
      <c r="BC312" s="181" t="str">
        <f>IF(Ruimtestaat[[#This Row],[Frequentie weekend]]="","",_xlfn.CONCAT(Ruimtestaat[[#This Row],[Ruimte code]],"-",Ruimtestaat[[#This Row],[Frequentie weekend]]," ",Ruimtestaat[[#This Row],[Vloer code]]))</f>
        <v/>
      </c>
      <c r="BD312" s="185" t="str">
        <f>_xlfn.IFNA(VLOOKUP($BC312,Programma!$F$3:$G$1101,2,0),"")</f>
        <v/>
      </c>
      <c r="BE312" s="185" t="str">
        <f>_xlfn.IFNA(VLOOKUP($BC312,Programma!$F$3:$H$1101,3,0),"")</f>
        <v/>
      </c>
      <c r="BF312" s="185" t="str">
        <f>_xlfn.IFNA(VLOOKUP($BC312,Programma!$F$3:$I$1101,4,0),"")</f>
        <v/>
      </c>
      <c r="BG312" s="185" t="str">
        <f>_xlfn.IFNA(VLOOKUP($BC312,Programma!$F$3:$J$1101,5,0),"")</f>
        <v/>
      </c>
      <c r="BH312" s="185" t="str">
        <f>_xlfn.IFNA(VLOOKUP($BC312,Programma!$F$3:$K$1101,6,0),"")</f>
        <v/>
      </c>
      <c r="BI312" s="185" t="str">
        <f>_xlfn.IFNA(VLOOKUP($BC312,Programma!$F$3:$L$1101,7,0),"")</f>
        <v/>
      </c>
      <c r="BJ312" s="185" t="str">
        <f>_xlfn.IFNA(VLOOKUP($BC312,Programma!$F$3:$M$1101,8,0),"")</f>
        <v/>
      </c>
      <c r="BK312" s="185" t="str">
        <f>_xlfn.IFNA(VLOOKUP($BC312,Programma!$F$3:$N$1101,9,0),"")</f>
        <v/>
      </c>
      <c r="BL312" s="185" t="str">
        <f>_xlfn.IFNA(VLOOKUP($BC312,Programma!$F$3:$O$1101,10,0),"")</f>
        <v/>
      </c>
      <c r="BM312" s="185" t="str">
        <f>_xlfn.IFNA(VLOOKUP($BC312,Programma!$F$3:$P$1101,11,0),"")</f>
        <v/>
      </c>
      <c r="BN312" s="185" t="str">
        <f>_xlfn.IFNA(VLOOKUP($BC312,Programma!$F$3:$Q$1101,12,0),"")</f>
        <v/>
      </c>
      <c r="BO312" s="185" t="str">
        <f>_xlfn.IFNA(VLOOKUP($BC312,Programma!$F$3:$R$1101,13,0),"")</f>
        <v/>
      </c>
      <c r="BP312" s="185" t="str">
        <f>_xlfn.IFNA(VLOOKUP($BC312,Programma!$F$3:$S$1101,14,0),"")</f>
        <v/>
      </c>
      <c r="BQ312" s="185" t="str">
        <f>_xlfn.IFNA(VLOOKUP($BC312,Programma!$F$3:$T$1101,15,0),"")</f>
        <v/>
      </c>
      <c r="BR312" s="185" t="str">
        <f>_xlfn.IFNA(VLOOKUP($BC312,Programma!$F$3:$U$1101,16,0),"")</f>
        <v/>
      </c>
      <c r="BS312" s="185" t="str">
        <f>_xlfn.IFNA(VLOOKUP($BC312,Programma!$F$3:$V$1101,17,0),"")</f>
        <v/>
      </c>
      <c r="BT312" s="185" t="str">
        <f>_xlfn.IFNA(VLOOKUP($BC312,Programma!$F$3:$W$1101,18,0),"")</f>
        <v/>
      </c>
      <c r="BU312" s="185" t="str">
        <f>_xlfn.IFNA(VLOOKUP($BC312,Programma!$F$3:$X$1101,19,0),"")</f>
        <v/>
      </c>
      <c r="BV312" s="185" t="str">
        <f>_xlfn.IFNA(VLOOKUP($BC312,Programma!$F$3:$Y$1101,20,0),"")</f>
        <v/>
      </c>
    </row>
    <row r="313" spans="1:74" s="78" customFormat="1" ht="15" customHeight="1">
      <c r="A313" s="99">
        <v>10</v>
      </c>
      <c r="B313" s="176" t="str">
        <f>VLOOKUP(Ruimtestaat[[#This Row],[Code]],Locaties[[Code]:[Locatie]],2,FALSE)</f>
        <v>OJBS Het Palet</v>
      </c>
      <c r="C313" s="176" t="str">
        <f>VLOOKUP(Ruimtestaat[[#This Row],[Code]],Locaties[[#All],[Code]:[Adres]],4,FALSE)</f>
        <v>Ger. Terborghstraat 9</v>
      </c>
      <c r="D313" s="176" t="str">
        <f>VLOOKUP(Ruimtestaat[[#This Row],[Code]],Locaties[[#All],[Code]:[Postcode]],5,FALSE)</f>
        <v>7545 BV</v>
      </c>
      <c r="E313" s="176" t="str">
        <f>VLOOKUP(Ruimtestaat[[#This Row],[Code]],Locaties[#All],6,FALSE)</f>
        <v>Enschede</v>
      </c>
      <c r="F313" s="149"/>
      <c r="G313" s="149" t="s">
        <v>1646</v>
      </c>
      <c r="H313" s="99" t="s">
        <v>1670</v>
      </c>
      <c r="I313" s="183" t="s">
        <v>1702</v>
      </c>
      <c r="J313" s="99">
        <v>10</v>
      </c>
      <c r="K313" s="183" t="str">
        <f>VLOOKUP(Ruimtestaat[[#This Row],[Ruimte code]],Ruimtegroepen[[#All],[Code]:[Ruimte omschrijving]],2,FALSE)</f>
        <v>Trappenhuizen/lift</v>
      </c>
      <c r="L313" s="149" t="s">
        <v>102</v>
      </c>
      <c r="M313" s="301" t="s">
        <v>120</v>
      </c>
      <c r="N313" s="177">
        <v>6.9</v>
      </c>
      <c r="O313" s="177"/>
      <c r="P313" s="178" t="str">
        <f>VLOOKUP(Ruimtestaat[[#This Row],[Ruimte code]],Ruimtegroepen[],4,FALSE)</f>
        <v>Ve</v>
      </c>
      <c r="Q313" s="149">
        <v>40</v>
      </c>
      <c r="R313" s="149" t="s">
        <v>2</v>
      </c>
      <c r="S313" s="149">
        <f>IF(Q313&gt;0,IF(RIGHT(Ruimtestaat[[#This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3" s="149">
        <f>IF(S313&gt;0,VLOOKUP($J313,Ruimtegroepen[],3,FALSE)*VLOOKUP($L313,Vloersoorten[],3,FALSE)*VLOOKUP($R313,Frequenties[],3,FALSE)*VLOOKUP($A313,Locaties[],3,FALSE),0)</f>
        <v>0</v>
      </c>
      <c r="U313" s="149">
        <f>Ruimtestaat[[#This Row],[Uitvoeringen werkdagen]]*Ruimtestaat[[#This Row],[Oppervlak (netto)]]</f>
        <v>1380</v>
      </c>
      <c r="V313" s="179">
        <f>IF(T313&gt;0,Ruimtestaat[[#This Row],[Prest. (m2 /jaar) werkdagen]]/Ruimtestaat[[#This Row],[Norm (m2/uur) werkdagen]],0)</f>
        <v>0</v>
      </c>
      <c r="W313" s="180">
        <f>Ruimtestaat[[#This Row],[uren / jaar werkdagen]]*Tariefsopbouw!$E$35</f>
        <v>0</v>
      </c>
      <c r="X313" s="149"/>
      <c r="Y313" s="149">
        <f>IF(Ruimtestaat[[#This Row],[Frequentie weekend]]&gt;0,VALUE(LEFT(X313,1))*Q313,0)</f>
        <v>0</v>
      </c>
      <c r="Z313" s="148">
        <f>IF($Y313&gt;0,VLOOKUP($J313,Ruimtegroepen[],3,FALSE)*VLOOKUP($L313,Vloersoorten[],3,FALSE)*VLOOKUP($X313,Frequenties[],3,FALSE)*VLOOKUP(Ruimtestaat[[#This Row],[Code]],Locaties[],3,FALSE),0)</f>
        <v>0</v>
      </c>
      <c r="AA313" s="148">
        <f>Ruimtestaat[[#This Row],[Uitvoeringen weekend]]*Ruimtestaat[[#This Row],[Oppervlak (netto)]]</f>
        <v>0</v>
      </c>
      <c r="AB313" s="148">
        <f>IF(Z313&gt;0,Ruimtestaat[[#This Row],[Prest. (m2 /jaar) weekend]]/Ruimtestaat[[#This Row],[Norm (m2/uur) weekend]],0)</f>
        <v>0</v>
      </c>
      <c r="AC313" s="180">
        <f>Ruimtestaat[[#This Row],[uren / jaar weekend]]*Tariefsopbouw!$D$40</f>
        <v>0</v>
      </c>
      <c r="AD313" s="179">
        <f>Ruimtestaat[[#This Row],[Prest. (m2 /jaar) weekend]]+Ruimtestaat[[#This Row],[Prest. (m2 /jaar) werkdagen]]</f>
        <v>1380</v>
      </c>
      <c r="AE313" s="179">
        <f>Ruimtestaat[[#This Row],[uren / jaar weekend]]+Ruimtestaat[[#This Row],[uren / jaar werkdagen]]</f>
        <v>0</v>
      </c>
      <c r="AF313" s="174">
        <f>Ruimtestaat[[#This Row],[kosten / jaar weekend]]+Ruimtestaat[[#This Row],[kosten / jaar werkdagen]]</f>
        <v>0</v>
      </c>
      <c r="AG313" s="174"/>
      <c r="AH313" s="181" t="str">
        <f>IF(Ruimtestaat[[#This Row],[Frequentie werkdagen]]="","",_xlfn.CONCAT(Ruimtestaat[[#This Row],[Ruimte code]],"-",Ruimtestaat[[#This Row],[Frequentie werkdagen]]," ",Ruimtestaat[[#This Row],[Vloer code]]))</f>
        <v>10-5w P</v>
      </c>
      <c r="AI313" s="185" t="str">
        <f>_xlfn.IFNA(VLOOKUP($AH313,Programma!$F$3:$G$1101,2,0),"")</f>
        <v>_</v>
      </c>
      <c r="AJ313" s="185" t="str">
        <f>_xlfn.IFNA(VLOOKUP($AH313,Programma!$F$3:$H$1101,3,0),"")</f>
        <v>_</v>
      </c>
      <c r="AK313" s="185" t="str">
        <f>_xlfn.IFNA(VLOOKUP($AH313,Programma!$F$3:$I$1101,4,0),"")</f>
        <v>5w</v>
      </c>
      <c r="AL313" s="185" t="str">
        <f>_xlfn.IFNA(VLOOKUP($AH313,Programma!$F$3:$J$1101,5,0),"")</f>
        <v>_</v>
      </c>
      <c r="AM313" s="185" t="str">
        <f>_xlfn.IFNA(VLOOKUP($AH313,Programma!$F$3:$K$1101,6,0),"")</f>
        <v>4j</v>
      </c>
      <c r="AN313" s="185" t="str">
        <f>_xlfn.IFNA(VLOOKUP($AH313,Programma!$F$3:$L$1101,7,0),"")</f>
        <v>_</v>
      </c>
      <c r="AO313" s="185" t="str">
        <f>_xlfn.IFNA(VLOOKUP($AH313,Programma!$F$3:$M$1101,8,0),"")</f>
        <v>_</v>
      </c>
      <c r="AP313" s="185" t="str">
        <f>_xlfn.IFNA(VLOOKUP($AH313,Programma!$F$3:$N$1101,9,0),"")</f>
        <v>_</v>
      </c>
      <c r="AQ313" s="185" t="str">
        <f>_xlfn.IFNA(VLOOKUP($AH313,Programma!$F$3:$O$1101,10,0),"")</f>
        <v>5w</v>
      </c>
      <c r="AR313" s="185" t="str">
        <f>_xlfn.IFNA(VLOOKUP($AH313,Programma!$F$3:$P$1101,11,0),"")</f>
        <v>5w</v>
      </c>
      <c r="AS313" s="185" t="str">
        <f>_xlfn.IFNA(VLOOKUP($AH313,Programma!$F$3:$Q$1101,12,0),"")</f>
        <v>1w</v>
      </c>
      <c r="AT313" s="185" t="str">
        <f>_xlfn.IFNA(VLOOKUP($AH313,Programma!$F$3:$R$1101,13,0),"")</f>
        <v>1w</v>
      </c>
      <c r="AU313" s="185" t="str">
        <f>_xlfn.IFNA(VLOOKUP($AH313,Programma!$F$3:$S$1101,14,0),"")</f>
        <v>1m</v>
      </c>
      <c r="AV313" s="185" t="str">
        <f>_xlfn.IFNA(VLOOKUP($AH313,Programma!$F$3:$T$1101,15,0),"")</f>
        <v>2j</v>
      </c>
      <c r="AW313" s="185" t="str">
        <f>_xlfn.IFNA(VLOOKUP($AH313,Programma!$F$3:$U$1101,16,0),"")</f>
        <v>1j</v>
      </c>
      <c r="AX313" s="185" t="str">
        <f>_xlfn.IFNA(VLOOKUP($AH313,Programma!$F$3:$V$1101,17,0),"")</f>
        <v>_</v>
      </c>
      <c r="AY313" s="185" t="str">
        <f>_xlfn.IFNA(VLOOKUP($AH313,Programma!$F$3:$W$1101,18,0),"")</f>
        <v>_</v>
      </c>
      <c r="AZ313" s="185" t="str">
        <f>_xlfn.IFNA(VLOOKUP($AH313,Programma!$F$3:$X$1101,19,0),"")</f>
        <v>_</v>
      </c>
      <c r="BA313" s="185" t="str">
        <f>_xlfn.IFNA(VLOOKUP($AH313,Programma!$F$3:$Y$1101,20,0),"")</f>
        <v>_</v>
      </c>
      <c r="BB313" s="182"/>
      <c r="BC313" s="181" t="str">
        <f>IF(Ruimtestaat[[#This Row],[Frequentie weekend]]="","",_xlfn.CONCAT(Ruimtestaat[[#This Row],[Ruimte code]],"-",Ruimtestaat[[#This Row],[Frequentie weekend]]," ",Ruimtestaat[[#This Row],[Vloer code]]))</f>
        <v/>
      </c>
      <c r="BD313" s="185" t="str">
        <f>_xlfn.IFNA(VLOOKUP($BC313,Programma!$F$3:$G$1101,2,0),"")</f>
        <v/>
      </c>
      <c r="BE313" s="185" t="str">
        <f>_xlfn.IFNA(VLOOKUP($BC313,Programma!$F$3:$H$1101,3,0),"")</f>
        <v/>
      </c>
      <c r="BF313" s="185" t="str">
        <f>_xlfn.IFNA(VLOOKUP($BC313,Programma!$F$3:$I$1101,4,0),"")</f>
        <v/>
      </c>
      <c r="BG313" s="185" t="str">
        <f>_xlfn.IFNA(VLOOKUP($BC313,Programma!$F$3:$J$1101,5,0),"")</f>
        <v/>
      </c>
      <c r="BH313" s="185" t="str">
        <f>_xlfn.IFNA(VLOOKUP($BC313,Programma!$F$3:$K$1101,6,0),"")</f>
        <v/>
      </c>
      <c r="BI313" s="185" t="str">
        <f>_xlfn.IFNA(VLOOKUP($BC313,Programma!$F$3:$L$1101,7,0),"")</f>
        <v/>
      </c>
      <c r="BJ313" s="185" t="str">
        <f>_xlfn.IFNA(VLOOKUP($BC313,Programma!$F$3:$M$1101,8,0),"")</f>
        <v/>
      </c>
      <c r="BK313" s="185" t="str">
        <f>_xlfn.IFNA(VLOOKUP($BC313,Programma!$F$3:$N$1101,9,0),"")</f>
        <v/>
      </c>
      <c r="BL313" s="185" t="str">
        <f>_xlfn.IFNA(VLOOKUP($BC313,Programma!$F$3:$O$1101,10,0),"")</f>
        <v/>
      </c>
      <c r="BM313" s="185" t="str">
        <f>_xlfn.IFNA(VLOOKUP($BC313,Programma!$F$3:$P$1101,11,0),"")</f>
        <v/>
      </c>
      <c r="BN313" s="185" t="str">
        <f>_xlfn.IFNA(VLOOKUP($BC313,Programma!$F$3:$Q$1101,12,0),"")</f>
        <v/>
      </c>
      <c r="BO313" s="185" t="str">
        <f>_xlfn.IFNA(VLOOKUP($BC313,Programma!$F$3:$R$1101,13,0),"")</f>
        <v/>
      </c>
      <c r="BP313" s="185" t="str">
        <f>_xlfn.IFNA(VLOOKUP($BC313,Programma!$F$3:$S$1101,14,0),"")</f>
        <v/>
      </c>
      <c r="BQ313" s="185" t="str">
        <f>_xlfn.IFNA(VLOOKUP($BC313,Programma!$F$3:$T$1101,15,0),"")</f>
        <v/>
      </c>
      <c r="BR313" s="185" t="str">
        <f>_xlfn.IFNA(VLOOKUP($BC313,Programma!$F$3:$U$1101,16,0),"")</f>
        <v/>
      </c>
      <c r="BS313" s="185" t="str">
        <f>_xlfn.IFNA(VLOOKUP($BC313,Programma!$F$3:$V$1101,17,0),"")</f>
        <v/>
      </c>
      <c r="BT313" s="185" t="str">
        <f>_xlfn.IFNA(VLOOKUP($BC313,Programma!$F$3:$W$1101,18,0),"")</f>
        <v/>
      </c>
      <c r="BU313" s="185" t="str">
        <f>_xlfn.IFNA(VLOOKUP($BC313,Programma!$F$3:$X$1101,19,0),"")</f>
        <v/>
      </c>
      <c r="BV313" s="185" t="str">
        <f>_xlfn.IFNA(VLOOKUP($BC313,Programma!$F$3:$Y$1101,20,0),"")</f>
        <v/>
      </c>
    </row>
    <row r="314" spans="1:74" s="78" customFormat="1" ht="15" customHeight="1">
      <c r="A314" s="99">
        <v>10</v>
      </c>
      <c r="B314" s="176" t="str">
        <f>VLOOKUP(Ruimtestaat[[#This Row],[Code]],Locaties[[Code]:[Locatie]],2,FALSE)</f>
        <v>OJBS Het Palet</v>
      </c>
      <c r="C314" s="176" t="str">
        <f>VLOOKUP(Ruimtestaat[[#This Row],[Code]],Locaties[[#All],[Code]:[Adres]],4,FALSE)</f>
        <v>Ger. Terborghstraat 9</v>
      </c>
      <c r="D314" s="176" t="str">
        <f>VLOOKUP(Ruimtestaat[[#This Row],[Code]],Locaties[[#All],[Code]:[Postcode]],5,FALSE)</f>
        <v>7545 BV</v>
      </c>
      <c r="E314" s="176" t="str">
        <f>VLOOKUP(Ruimtestaat[[#This Row],[Code]],Locaties[#All],6,FALSE)</f>
        <v>Enschede</v>
      </c>
      <c r="F314" s="149"/>
      <c r="G314" s="149" t="s">
        <v>1714</v>
      </c>
      <c r="H314" s="99" t="s">
        <v>1715</v>
      </c>
      <c r="I314" s="183" t="s">
        <v>1651</v>
      </c>
      <c r="J314" s="99">
        <v>16</v>
      </c>
      <c r="K314" s="183" t="str">
        <f>VLOOKUP(Ruimtestaat[[#This Row],[Ruimte code]],Ruimtegroepen[[#All],[Code]:[Ruimte omschrijving]],2,FALSE)</f>
        <v>Leslokalen</v>
      </c>
      <c r="L314" s="149" t="s">
        <v>102</v>
      </c>
      <c r="M314" s="301" t="s">
        <v>120</v>
      </c>
      <c r="N314" s="177">
        <v>65.599999999999994</v>
      </c>
      <c r="O314" s="177"/>
      <c r="P314" s="178" t="str">
        <f>VLOOKUP(Ruimtestaat[[#This Row],[Ruimte code]],Ruimtegroepen[],4,FALSE)</f>
        <v>Le</v>
      </c>
      <c r="Q314" s="149">
        <v>40</v>
      </c>
      <c r="R314" s="149" t="s">
        <v>2</v>
      </c>
      <c r="S314" s="149">
        <f>IF(Q314&gt;0,IF(RIGHT(Ruimtestaat[[#This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4" s="149">
        <f>IF(S314&gt;0,VLOOKUP($J314,Ruimtegroepen[],3,FALSE)*VLOOKUP($L314,Vloersoorten[],3,FALSE)*VLOOKUP($R314,Frequenties[],3,FALSE)*VLOOKUP($A314,Locaties[],3,FALSE),0)</f>
        <v>0</v>
      </c>
      <c r="U314" s="149">
        <f>Ruimtestaat[[#This Row],[Uitvoeringen werkdagen]]*Ruimtestaat[[#This Row],[Oppervlak (netto)]]</f>
        <v>13119.999999999998</v>
      </c>
      <c r="V314" s="179">
        <f>IF(T314&gt;0,Ruimtestaat[[#This Row],[Prest. (m2 /jaar) werkdagen]]/Ruimtestaat[[#This Row],[Norm (m2/uur) werkdagen]],0)</f>
        <v>0</v>
      </c>
      <c r="W314" s="180">
        <f>Ruimtestaat[[#This Row],[uren / jaar werkdagen]]*Tariefsopbouw!$E$35</f>
        <v>0</v>
      </c>
      <c r="X314" s="149"/>
      <c r="Y314" s="149">
        <f>IF(Ruimtestaat[[#This Row],[Frequentie weekend]]&gt;0,VALUE(LEFT(X314,1))*Q314,0)</f>
        <v>0</v>
      </c>
      <c r="Z314" s="148">
        <f>IF($Y314&gt;0,VLOOKUP($J314,Ruimtegroepen[],3,FALSE)*VLOOKUP($L314,Vloersoorten[],3,FALSE)*VLOOKUP($X314,Frequenties[],3,FALSE)*VLOOKUP(Ruimtestaat[[#This Row],[Code]],Locaties[],3,FALSE),0)</f>
        <v>0</v>
      </c>
      <c r="AA314" s="148">
        <f>Ruimtestaat[[#This Row],[Uitvoeringen weekend]]*Ruimtestaat[[#This Row],[Oppervlak (netto)]]</f>
        <v>0</v>
      </c>
      <c r="AB314" s="148">
        <f>IF(Z314&gt;0,Ruimtestaat[[#This Row],[Prest. (m2 /jaar) weekend]]/Ruimtestaat[[#This Row],[Norm (m2/uur) weekend]],0)</f>
        <v>0</v>
      </c>
      <c r="AC314" s="180">
        <f>Ruimtestaat[[#This Row],[uren / jaar weekend]]*Tariefsopbouw!$D$40</f>
        <v>0</v>
      </c>
      <c r="AD314" s="179">
        <f>Ruimtestaat[[#This Row],[Prest. (m2 /jaar) weekend]]+Ruimtestaat[[#This Row],[Prest. (m2 /jaar) werkdagen]]</f>
        <v>13119.999999999998</v>
      </c>
      <c r="AE314" s="179">
        <f>Ruimtestaat[[#This Row],[uren / jaar weekend]]+Ruimtestaat[[#This Row],[uren / jaar werkdagen]]</f>
        <v>0</v>
      </c>
      <c r="AF314" s="174">
        <f>Ruimtestaat[[#This Row],[kosten / jaar weekend]]+Ruimtestaat[[#This Row],[kosten / jaar werkdagen]]</f>
        <v>0</v>
      </c>
      <c r="AG314" s="174"/>
      <c r="AH314" s="181" t="str">
        <f>IF(Ruimtestaat[[#This Row],[Frequentie werkdagen]]="","",_xlfn.CONCAT(Ruimtestaat[[#This Row],[Ruimte code]],"-",Ruimtestaat[[#This Row],[Frequentie werkdagen]]," ",Ruimtestaat[[#This Row],[Vloer code]]))</f>
        <v>16-5w P</v>
      </c>
      <c r="AI314" s="185" t="str">
        <f>_xlfn.IFNA(VLOOKUP($AH314,Programma!$F$3:$G$1101,2,0),"")</f>
        <v>_</v>
      </c>
      <c r="AJ314" s="185" t="str">
        <f>_xlfn.IFNA(VLOOKUP($AH314,Programma!$F$3:$H$1101,3,0),"")</f>
        <v>_</v>
      </c>
      <c r="AK314" s="185" t="str">
        <f>_xlfn.IFNA(VLOOKUP($AH314,Programma!$F$3:$I$1101,4,0),"")</f>
        <v>4w</v>
      </c>
      <c r="AL314" s="185" t="str">
        <f>_xlfn.IFNA(VLOOKUP($AH314,Programma!$F$3:$J$1101,5,0),"")</f>
        <v>1w</v>
      </c>
      <c r="AM314" s="185" t="str">
        <f>_xlfn.IFNA(VLOOKUP($AH314,Programma!$F$3:$K$1101,6,0),"")</f>
        <v>1m</v>
      </c>
      <c r="AN314" s="185" t="str">
        <f>_xlfn.IFNA(VLOOKUP($AH314,Programma!$F$3:$L$1101,7,0),"")</f>
        <v>_</v>
      </c>
      <c r="AO314" s="185" t="str">
        <f>_xlfn.IFNA(VLOOKUP($AH314,Programma!$F$3:$M$1101,8,0),"")</f>
        <v>_</v>
      </c>
      <c r="AP314" s="185" t="str">
        <f>_xlfn.IFNA(VLOOKUP($AH314,Programma!$F$3:$N$1101,9,0),"")</f>
        <v>_</v>
      </c>
      <c r="AQ314" s="185" t="str">
        <f>_xlfn.IFNA(VLOOKUP($AH314,Programma!$F$3:$O$1101,10,0),"")</f>
        <v>5w</v>
      </c>
      <c r="AR314" s="185" t="str">
        <f>_xlfn.IFNA(VLOOKUP($AH314,Programma!$F$3:$P$1101,11,0),"")</f>
        <v>5w</v>
      </c>
      <c r="AS314" s="185" t="str">
        <f>_xlfn.IFNA(VLOOKUP($AH314,Programma!$F$3:$Q$1101,12,0),"")</f>
        <v>1w</v>
      </c>
      <c r="AT314" s="185" t="str">
        <f>_xlfn.IFNA(VLOOKUP($AH314,Programma!$F$3:$R$1101,13,0),"")</f>
        <v>1w</v>
      </c>
      <c r="AU314" s="185" t="str">
        <f>_xlfn.IFNA(VLOOKUP($AH314,Programma!$F$3:$S$1101,14,0),"")</f>
        <v>1m</v>
      </c>
      <c r="AV314" s="185" t="str">
        <f>_xlfn.IFNA(VLOOKUP($AH314,Programma!$F$3:$T$1101,15,0),"")</f>
        <v>2j</v>
      </c>
      <c r="AW314" s="185" t="str">
        <f>_xlfn.IFNA(VLOOKUP($AH314,Programma!$F$3:$U$1101,16,0),"")</f>
        <v>1j</v>
      </c>
      <c r="AX314" s="185" t="str">
        <f>_xlfn.IFNA(VLOOKUP($AH314,Programma!$F$3:$V$1101,17,0),"")</f>
        <v>_</v>
      </c>
      <c r="AY314" s="185" t="str">
        <f>_xlfn.IFNA(VLOOKUP($AH314,Programma!$F$3:$W$1101,18,0),"")</f>
        <v>_</v>
      </c>
      <c r="AZ314" s="185" t="str">
        <f>_xlfn.IFNA(VLOOKUP($AH314,Programma!$F$3:$X$1101,19,0),"")</f>
        <v>_</v>
      </c>
      <c r="BA314" s="185" t="str">
        <f>_xlfn.IFNA(VLOOKUP($AH314,Programma!$F$3:$Y$1101,20,0),"")</f>
        <v>_</v>
      </c>
      <c r="BB314" s="182"/>
      <c r="BC314" s="181" t="str">
        <f>IF(Ruimtestaat[[#This Row],[Frequentie weekend]]="","",_xlfn.CONCAT(Ruimtestaat[[#This Row],[Ruimte code]],"-",Ruimtestaat[[#This Row],[Frequentie weekend]]," ",Ruimtestaat[[#This Row],[Vloer code]]))</f>
        <v/>
      </c>
      <c r="BD314" s="185" t="str">
        <f>_xlfn.IFNA(VLOOKUP($BC314,Programma!$F$3:$G$1101,2,0),"")</f>
        <v/>
      </c>
      <c r="BE314" s="185" t="str">
        <f>_xlfn.IFNA(VLOOKUP($BC314,Programma!$F$3:$H$1101,3,0),"")</f>
        <v/>
      </c>
      <c r="BF314" s="185" t="str">
        <f>_xlfn.IFNA(VLOOKUP($BC314,Programma!$F$3:$I$1101,4,0),"")</f>
        <v/>
      </c>
      <c r="BG314" s="185" t="str">
        <f>_xlfn.IFNA(VLOOKUP($BC314,Programma!$F$3:$J$1101,5,0),"")</f>
        <v/>
      </c>
      <c r="BH314" s="185" t="str">
        <f>_xlfn.IFNA(VLOOKUP($BC314,Programma!$F$3:$K$1101,6,0),"")</f>
        <v/>
      </c>
      <c r="BI314" s="185" t="str">
        <f>_xlfn.IFNA(VLOOKUP($BC314,Programma!$F$3:$L$1101,7,0),"")</f>
        <v/>
      </c>
      <c r="BJ314" s="185" t="str">
        <f>_xlfn.IFNA(VLOOKUP($BC314,Programma!$F$3:$M$1101,8,0),"")</f>
        <v/>
      </c>
      <c r="BK314" s="185" t="str">
        <f>_xlfn.IFNA(VLOOKUP($BC314,Programma!$F$3:$N$1101,9,0),"")</f>
        <v/>
      </c>
      <c r="BL314" s="185" t="str">
        <f>_xlfn.IFNA(VLOOKUP($BC314,Programma!$F$3:$O$1101,10,0),"")</f>
        <v/>
      </c>
      <c r="BM314" s="185" t="str">
        <f>_xlfn.IFNA(VLOOKUP($BC314,Programma!$F$3:$P$1101,11,0),"")</f>
        <v/>
      </c>
      <c r="BN314" s="185" t="str">
        <f>_xlfn.IFNA(VLOOKUP($BC314,Programma!$F$3:$Q$1101,12,0),"")</f>
        <v/>
      </c>
      <c r="BO314" s="185" t="str">
        <f>_xlfn.IFNA(VLOOKUP($BC314,Programma!$F$3:$R$1101,13,0),"")</f>
        <v/>
      </c>
      <c r="BP314" s="185" t="str">
        <f>_xlfn.IFNA(VLOOKUP($BC314,Programma!$F$3:$S$1101,14,0),"")</f>
        <v/>
      </c>
      <c r="BQ314" s="185" t="str">
        <f>_xlfn.IFNA(VLOOKUP($BC314,Programma!$F$3:$T$1101,15,0),"")</f>
        <v/>
      </c>
      <c r="BR314" s="185" t="str">
        <f>_xlfn.IFNA(VLOOKUP($BC314,Programma!$F$3:$U$1101,16,0),"")</f>
        <v/>
      </c>
      <c r="BS314" s="185" t="str">
        <f>_xlfn.IFNA(VLOOKUP($BC314,Programma!$F$3:$V$1101,17,0),"")</f>
        <v/>
      </c>
      <c r="BT314" s="185" t="str">
        <f>_xlfn.IFNA(VLOOKUP($BC314,Programma!$F$3:$W$1101,18,0),"")</f>
        <v/>
      </c>
      <c r="BU314" s="185" t="str">
        <f>_xlfn.IFNA(VLOOKUP($BC314,Programma!$F$3:$X$1101,19,0),"")</f>
        <v/>
      </c>
      <c r="BV314" s="185" t="str">
        <f>_xlfn.IFNA(VLOOKUP($BC314,Programma!$F$3:$Y$1101,20,0),"")</f>
        <v/>
      </c>
    </row>
    <row r="315" spans="1:74" s="78" customFormat="1" ht="15" customHeight="1">
      <c r="A315" s="99">
        <v>10</v>
      </c>
      <c r="B315" s="176" t="str">
        <f>VLOOKUP(Ruimtestaat[[#This Row],[Code]],Locaties[[Code]:[Locatie]],2,FALSE)</f>
        <v>OJBS Het Palet</v>
      </c>
      <c r="C315" s="176" t="str">
        <f>VLOOKUP(Ruimtestaat[[#This Row],[Code]],Locaties[[#All],[Code]:[Adres]],4,FALSE)</f>
        <v>Ger. Terborghstraat 9</v>
      </c>
      <c r="D315" s="176" t="str">
        <f>VLOOKUP(Ruimtestaat[[#This Row],[Code]],Locaties[[#All],[Code]:[Postcode]],5,FALSE)</f>
        <v>7545 BV</v>
      </c>
      <c r="E315" s="176" t="str">
        <f>VLOOKUP(Ruimtestaat[[#This Row],[Code]],Locaties[#All],6,FALSE)</f>
        <v>Enschede</v>
      </c>
      <c r="F315" s="149"/>
      <c r="G315" s="149" t="s">
        <v>1714</v>
      </c>
      <c r="H315" s="99" t="s">
        <v>1716</v>
      </c>
      <c r="I315" s="183" t="s">
        <v>1655</v>
      </c>
      <c r="J315" s="99">
        <v>5</v>
      </c>
      <c r="K315" s="183" t="str">
        <f>VLOOKUP(Ruimtestaat[[#This Row],[Ruimte code]],Ruimtegroepen[[#All],[Code]:[Ruimte omschrijving]],2,FALSE)</f>
        <v>Sanitair</v>
      </c>
      <c r="L315" s="149" t="s">
        <v>101</v>
      </c>
      <c r="M315" s="301" t="s">
        <v>1682</v>
      </c>
      <c r="N315" s="177">
        <v>1.1000000000000001</v>
      </c>
      <c r="O315" s="177"/>
      <c r="P315" s="178" t="str">
        <f>VLOOKUP(Ruimtestaat[[#This Row],[Ruimte code]],Ruimtegroepen[],4,FALSE)</f>
        <v>Sa</v>
      </c>
      <c r="Q315" s="149">
        <v>40</v>
      </c>
      <c r="R315" s="149" t="s">
        <v>2</v>
      </c>
      <c r="S315" s="149">
        <f>IF(Q315&gt;0,IF(RIGHT(Ruimtestaat[[#This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5" s="149">
        <f>IF(S315&gt;0,VLOOKUP($J315,Ruimtegroepen[],3,FALSE)*VLOOKUP($L315,Vloersoorten[],3,FALSE)*VLOOKUP($R315,Frequenties[],3,FALSE)*VLOOKUP($A315,Locaties[],3,FALSE),0)</f>
        <v>0</v>
      </c>
      <c r="U315" s="149">
        <f>Ruimtestaat[[#This Row],[Uitvoeringen werkdagen]]*Ruimtestaat[[#This Row],[Oppervlak (netto)]]</f>
        <v>220.00000000000003</v>
      </c>
      <c r="V315" s="179">
        <f>IF(T315&gt;0,Ruimtestaat[[#This Row],[Prest. (m2 /jaar) werkdagen]]/Ruimtestaat[[#This Row],[Norm (m2/uur) werkdagen]],0)</f>
        <v>0</v>
      </c>
      <c r="W315" s="180">
        <f>Ruimtestaat[[#This Row],[uren / jaar werkdagen]]*Tariefsopbouw!$E$35</f>
        <v>0</v>
      </c>
      <c r="X315" s="149"/>
      <c r="Y315" s="149">
        <f>IF(Ruimtestaat[[#This Row],[Frequentie weekend]]&gt;0,VALUE(LEFT(X315,1))*Q315,0)</f>
        <v>0</v>
      </c>
      <c r="Z315" s="148">
        <f>IF($Y315&gt;0,VLOOKUP($J315,Ruimtegroepen[],3,FALSE)*VLOOKUP($L315,Vloersoorten[],3,FALSE)*VLOOKUP($X315,Frequenties[],3,FALSE)*VLOOKUP(Ruimtestaat[[#This Row],[Code]],Locaties[],3,FALSE),0)</f>
        <v>0</v>
      </c>
      <c r="AA315" s="148">
        <f>Ruimtestaat[[#This Row],[Uitvoeringen weekend]]*Ruimtestaat[[#This Row],[Oppervlak (netto)]]</f>
        <v>0</v>
      </c>
      <c r="AB315" s="148">
        <f>IF(Z315&gt;0,Ruimtestaat[[#This Row],[Prest. (m2 /jaar) weekend]]/Ruimtestaat[[#This Row],[Norm (m2/uur) weekend]],0)</f>
        <v>0</v>
      </c>
      <c r="AC315" s="180">
        <f>Ruimtestaat[[#This Row],[uren / jaar weekend]]*Tariefsopbouw!$D$40</f>
        <v>0</v>
      </c>
      <c r="AD315" s="179">
        <f>Ruimtestaat[[#This Row],[Prest. (m2 /jaar) weekend]]+Ruimtestaat[[#This Row],[Prest. (m2 /jaar) werkdagen]]</f>
        <v>220.00000000000003</v>
      </c>
      <c r="AE315" s="179">
        <f>Ruimtestaat[[#This Row],[uren / jaar weekend]]+Ruimtestaat[[#This Row],[uren / jaar werkdagen]]</f>
        <v>0</v>
      </c>
      <c r="AF315" s="174">
        <f>Ruimtestaat[[#This Row],[kosten / jaar weekend]]+Ruimtestaat[[#This Row],[kosten / jaar werkdagen]]</f>
        <v>0</v>
      </c>
      <c r="AG315" s="174"/>
      <c r="AH315" s="181" t="str">
        <f>IF(Ruimtestaat[[#This Row],[Frequentie werkdagen]]="","",_xlfn.CONCAT(Ruimtestaat[[#This Row],[Ruimte code]],"-",Ruimtestaat[[#This Row],[Frequentie werkdagen]]," ",Ruimtestaat[[#This Row],[Vloer code]]))</f>
        <v>5-5w S</v>
      </c>
      <c r="AI315" s="185" t="str">
        <f>_xlfn.IFNA(VLOOKUP($AH315,Programma!$F$3:$G$1101,2,0),"")</f>
        <v>_</v>
      </c>
      <c r="AJ315" s="185" t="str">
        <f>_xlfn.IFNA(VLOOKUP($AH315,Programma!$F$3:$H$1101,3,0),"")</f>
        <v>_</v>
      </c>
      <c r="AK315" s="185" t="str">
        <f>_xlfn.IFNA(VLOOKUP($AH315,Programma!$F$3:$I$1101,4,0),"")</f>
        <v>_</v>
      </c>
      <c r="AL315" s="185" t="str">
        <f>_xlfn.IFNA(VLOOKUP($AH315,Programma!$F$3:$J$1101,5,0),"")</f>
        <v>4w</v>
      </c>
      <c r="AM315" s="185" t="str">
        <f>_xlfn.IFNA(VLOOKUP($AH315,Programma!$F$3:$K$1101,6,0),"")</f>
        <v>1w</v>
      </c>
      <c r="AN315" s="185" t="str">
        <f>_xlfn.IFNA(VLOOKUP($AH315,Programma!$F$3:$L$1101,7,0),"")</f>
        <v>_</v>
      </c>
      <c r="AO315" s="185" t="str">
        <f>_xlfn.IFNA(VLOOKUP($AH315,Programma!$F$3:$M$1101,8,0),"")</f>
        <v>_</v>
      </c>
      <c r="AP315" s="185" t="str">
        <f>_xlfn.IFNA(VLOOKUP($AH315,Programma!$F$3:$N$1101,9,0),"")</f>
        <v>_</v>
      </c>
      <c r="AQ315" s="185" t="str">
        <f>_xlfn.IFNA(VLOOKUP($AH315,Programma!$F$3:$O$1101,10,0),"")</f>
        <v>_</v>
      </c>
      <c r="AR315" s="185" t="str">
        <f>_xlfn.IFNA(VLOOKUP($AH315,Programma!$F$3:$P$1101,11,0),"")</f>
        <v>_</v>
      </c>
      <c r="AS315" s="185" t="str">
        <f>_xlfn.IFNA(VLOOKUP($AH315,Programma!$F$3:$Q$1101,12,0),"")</f>
        <v>_</v>
      </c>
      <c r="AT315" s="185" t="str">
        <f>_xlfn.IFNA(VLOOKUP($AH315,Programma!$F$3:$R$1101,13,0),"")</f>
        <v>_</v>
      </c>
      <c r="AU315" s="185" t="str">
        <f>_xlfn.IFNA(VLOOKUP($AH315,Programma!$F$3:$S$1101,14,0),"")</f>
        <v>_</v>
      </c>
      <c r="AV315" s="185" t="str">
        <f>_xlfn.IFNA(VLOOKUP($AH315,Programma!$F$3:$T$1101,15,0),"")</f>
        <v>_</v>
      </c>
      <c r="AW315" s="185" t="str">
        <f>_xlfn.IFNA(VLOOKUP($AH315,Programma!$F$3:$U$1101,16,0),"")</f>
        <v>_</v>
      </c>
      <c r="AX315" s="185" t="str">
        <f>_xlfn.IFNA(VLOOKUP($AH315,Programma!$F$3:$V$1101,17,0),"")</f>
        <v>_</v>
      </c>
      <c r="AY315" s="185" t="str">
        <f>_xlfn.IFNA(VLOOKUP($AH315,Programma!$F$3:$W$1101,18,0),"")</f>
        <v>4w</v>
      </c>
      <c r="AZ315" s="185" t="str">
        <f>_xlfn.IFNA(VLOOKUP($AH315,Programma!$F$3:$X$1101,19,0),"")</f>
        <v>1w</v>
      </c>
      <c r="BA315" s="185" t="str">
        <f>_xlfn.IFNA(VLOOKUP($AH315,Programma!$F$3:$Y$1101,20,0),"")</f>
        <v>_</v>
      </c>
      <c r="BB315" s="182"/>
      <c r="BC315" s="181" t="str">
        <f>IF(Ruimtestaat[[#This Row],[Frequentie weekend]]="","",_xlfn.CONCAT(Ruimtestaat[[#This Row],[Ruimte code]],"-",Ruimtestaat[[#This Row],[Frequentie weekend]]," ",Ruimtestaat[[#This Row],[Vloer code]]))</f>
        <v/>
      </c>
      <c r="BD315" s="185" t="str">
        <f>_xlfn.IFNA(VLOOKUP($BC315,Programma!$F$3:$G$1101,2,0),"")</f>
        <v/>
      </c>
      <c r="BE315" s="185" t="str">
        <f>_xlfn.IFNA(VLOOKUP($BC315,Programma!$F$3:$H$1101,3,0),"")</f>
        <v/>
      </c>
      <c r="BF315" s="185" t="str">
        <f>_xlfn.IFNA(VLOOKUP($BC315,Programma!$F$3:$I$1101,4,0),"")</f>
        <v/>
      </c>
      <c r="BG315" s="185" t="str">
        <f>_xlfn.IFNA(VLOOKUP($BC315,Programma!$F$3:$J$1101,5,0),"")</f>
        <v/>
      </c>
      <c r="BH315" s="185" t="str">
        <f>_xlfn.IFNA(VLOOKUP($BC315,Programma!$F$3:$K$1101,6,0),"")</f>
        <v/>
      </c>
      <c r="BI315" s="185" t="str">
        <f>_xlfn.IFNA(VLOOKUP($BC315,Programma!$F$3:$L$1101,7,0),"")</f>
        <v/>
      </c>
      <c r="BJ315" s="185" t="str">
        <f>_xlfn.IFNA(VLOOKUP($BC315,Programma!$F$3:$M$1101,8,0),"")</f>
        <v/>
      </c>
      <c r="BK315" s="185" t="str">
        <f>_xlfn.IFNA(VLOOKUP($BC315,Programma!$F$3:$N$1101,9,0),"")</f>
        <v/>
      </c>
      <c r="BL315" s="185" t="str">
        <f>_xlfn.IFNA(VLOOKUP($BC315,Programma!$F$3:$O$1101,10,0),"")</f>
        <v/>
      </c>
      <c r="BM315" s="185" t="str">
        <f>_xlfn.IFNA(VLOOKUP($BC315,Programma!$F$3:$P$1101,11,0),"")</f>
        <v/>
      </c>
      <c r="BN315" s="185" t="str">
        <f>_xlfn.IFNA(VLOOKUP($BC315,Programma!$F$3:$Q$1101,12,0),"")</f>
        <v/>
      </c>
      <c r="BO315" s="185" t="str">
        <f>_xlfn.IFNA(VLOOKUP($BC315,Programma!$F$3:$R$1101,13,0),"")</f>
        <v/>
      </c>
      <c r="BP315" s="185" t="str">
        <f>_xlfn.IFNA(VLOOKUP($BC315,Programma!$F$3:$S$1101,14,0),"")</f>
        <v/>
      </c>
      <c r="BQ315" s="185" t="str">
        <f>_xlfn.IFNA(VLOOKUP($BC315,Programma!$F$3:$T$1101,15,0),"")</f>
        <v/>
      </c>
      <c r="BR315" s="185" t="str">
        <f>_xlfn.IFNA(VLOOKUP($BC315,Programma!$F$3:$U$1101,16,0),"")</f>
        <v/>
      </c>
      <c r="BS315" s="185" t="str">
        <f>_xlfn.IFNA(VLOOKUP($BC315,Programma!$F$3:$V$1101,17,0),"")</f>
        <v/>
      </c>
      <c r="BT315" s="185" t="str">
        <f>_xlfn.IFNA(VLOOKUP($BC315,Programma!$F$3:$W$1101,18,0),"")</f>
        <v/>
      </c>
      <c r="BU315" s="185" t="str">
        <f>_xlfn.IFNA(VLOOKUP($BC315,Programma!$F$3:$X$1101,19,0),"")</f>
        <v/>
      </c>
      <c r="BV315" s="185" t="str">
        <f>_xlfn.IFNA(VLOOKUP($BC315,Programma!$F$3:$Y$1101,20,0),"")</f>
        <v/>
      </c>
    </row>
    <row r="316" spans="1:74" s="78" customFormat="1" ht="15" customHeight="1">
      <c r="A316" s="99">
        <v>10</v>
      </c>
      <c r="B316" s="176" t="str">
        <f>VLOOKUP(Ruimtestaat[[#This Row],[Code]],Locaties[[Code]:[Locatie]],2,FALSE)</f>
        <v>OJBS Het Palet</v>
      </c>
      <c r="C316" s="176" t="str">
        <f>VLOOKUP(Ruimtestaat[[#This Row],[Code]],Locaties[[#All],[Code]:[Adres]],4,FALSE)</f>
        <v>Ger. Terborghstraat 9</v>
      </c>
      <c r="D316" s="176" t="str">
        <f>VLOOKUP(Ruimtestaat[[#This Row],[Code]],Locaties[[#All],[Code]:[Postcode]],5,FALSE)</f>
        <v>7545 BV</v>
      </c>
      <c r="E316" s="176" t="str">
        <f>VLOOKUP(Ruimtestaat[[#This Row],[Code]],Locaties[#All],6,FALSE)</f>
        <v>Enschede</v>
      </c>
      <c r="F316" s="149"/>
      <c r="G316" s="149" t="s">
        <v>1714</v>
      </c>
      <c r="H316" s="99" t="s">
        <v>1717</v>
      </c>
      <c r="I316" s="183" t="s">
        <v>1649</v>
      </c>
      <c r="J316" s="99">
        <v>2</v>
      </c>
      <c r="K316" s="183" t="str">
        <f>VLOOKUP(Ruimtestaat[[#This Row],[Ruimte code]],Ruimtegroepen[[#All],[Code]:[Ruimte omschrijving]],2,FALSE)</f>
        <v>Kantoren</v>
      </c>
      <c r="L316" s="149" t="s">
        <v>102</v>
      </c>
      <c r="M316" s="301" t="s">
        <v>120</v>
      </c>
      <c r="N316" s="177">
        <v>9.1999999999999993</v>
      </c>
      <c r="O316" s="177"/>
      <c r="P316" s="178" t="str">
        <f>VLOOKUP(Ruimtestaat[[#This Row],[Ruimte code]],Ruimtegroepen[],4,FALSE)</f>
        <v>Bu</v>
      </c>
      <c r="Q316" s="149">
        <v>40</v>
      </c>
      <c r="R316" s="149" t="s">
        <v>18</v>
      </c>
      <c r="S316" s="149">
        <f>IF(Q316&gt;0,IF(RIGHT(Ruimtestaat[[#This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16" s="149">
        <f>IF(S316&gt;0,VLOOKUP($J316,Ruimtegroepen[],3,FALSE)*VLOOKUP($L316,Vloersoorten[],3,FALSE)*VLOOKUP($R316,Frequenties[],3,FALSE)*VLOOKUP($A316,Locaties[],3,FALSE),0)</f>
        <v>0</v>
      </c>
      <c r="U316" s="149">
        <f>Ruimtestaat[[#This Row],[Uitvoeringen werkdagen]]*Ruimtestaat[[#This Row],[Oppervlak (netto)]]</f>
        <v>1104</v>
      </c>
      <c r="V316" s="179">
        <f>IF(T316&gt;0,Ruimtestaat[[#This Row],[Prest. (m2 /jaar) werkdagen]]/Ruimtestaat[[#This Row],[Norm (m2/uur) werkdagen]],0)</f>
        <v>0</v>
      </c>
      <c r="W316" s="180">
        <f>Ruimtestaat[[#This Row],[uren / jaar werkdagen]]*Tariefsopbouw!$E$35</f>
        <v>0</v>
      </c>
      <c r="X316" s="149"/>
      <c r="Y316" s="149">
        <f>IF(Ruimtestaat[[#This Row],[Frequentie weekend]]&gt;0,VALUE(LEFT(X316,1))*Q316,0)</f>
        <v>0</v>
      </c>
      <c r="Z316" s="148">
        <f>IF($Y316&gt;0,VLOOKUP($J316,Ruimtegroepen[],3,FALSE)*VLOOKUP($L316,Vloersoorten[],3,FALSE)*VLOOKUP($X316,Frequenties[],3,FALSE)*VLOOKUP(Ruimtestaat[[#This Row],[Code]],Locaties[],3,FALSE),0)</f>
        <v>0</v>
      </c>
      <c r="AA316" s="148">
        <f>Ruimtestaat[[#This Row],[Uitvoeringen weekend]]*Ruimtestaat[[#This Row],[Oppervlak (netto)]]</f>
        <v>0</v>
      </c>
      <c r="AB316" s="148">
        <f>IF(Z316&gt;0,Ruimtestaat[[#This Row],[Prest. (m2 /jaar) weekend]]/Ruimtestaat[[#This Row],[Norm (m2/uur) weekend]],0)</f>
        <v>0</v>
      </c>
      <c r="AC316" s="180">
        <f>Ruimtestaat[[#This Row],[uren / jaar weekend]]*Tariefsopbouw!$D$40</f>
        <v>0</v>
      </c>
      <c r="AD316" s="179">
        <f>Ruimtestaat[[#This Row],[Prest. (m2 /jaar) weekend]]+Ruimtestaat[[#This Row],[Prest. (m2 /jaar) werkdagen]]</f>
        <v>1104</v>
      </c>
      <c r="AE316" s="179">
        <f>Ruimtestaat[[#This Row],[uren / jaar weekend]]+Ruimtestaat[[#This Row],[uren / jaar werkdagen]]</f>
        <v>0</v>
      </c>
      <c r="AF316" s="174">
        <f>Ruimtestaat[[#This Row],[kosten / jaar weekend]]+Ruimtestaat[[#This Row],[kosten / jaar werkdagen]]</f>
        <v>0</v>
      </c>
      <c r="AG316" s="174"/>
      <c r="AH316" s="181" t="str">
        <f>IF(Ruimtestaat[[#This Row],[Frequentie werkdagen]]="","",_xlfn.CONCAT(Ruimtestaat[[#This Row],[Ruimte code]],"-",Ruimtestaat[[#This Row],[Frequentie werkdagen]]," ",Ruimtestaat[[#This Row],[Vloer code]]))</f>
        <v>2-3w P</v>
      </c>
      <c r="AI316" s="185" t="str">
        <f>_xlfn.IFNA(VLOOKUP($AH316,Programma!$F$3:$G$1101,2,0),"")</f>
        <v>_</v>
      </c>
      <c r="AJ316" s="185" t="str">
        <f>_xlfn.IFNA(VLOOKUP($AH316,Programma!$F$3:$H$1101,3,0),"")</f>
        <v>_</v>
      </c>
      <c r="AK316" s="185" t="str">
        <f>_xlfn.IFNA(VLOOKUP($AH316,Programma!$F$3:$I$1101,4,0),"")</f>
        <v>2w</v>
      </c>
      <c r="AL316" s="185" t="str">
        <f>_xlfn.IFNA(VLOOKUP($AH316,Programma!$F$3:$J$1101,5,0),"")</f>
        <v>1w</v>
      </c>
      <c r="AM316" s="185" t="str">
        <f>_xlfn.IFNA(VLOOKUP($AH316,Programma!$F$3:$K$1101,6,0),"")</f>
        <v>1j</v>
      </c>
      <c r="AN316" s="185" t="str">
        <f>_xlfn.IFNA(VLOOKUP($AH316,Programma!$F$3:$L$1101,7,0),"")</f>
        <v>_</v>
      </c>
      <c r="AO316" s="185" t="str">
        <f>_xlfn.IFNA(VLOOKUP($AH316,Programma!$F$3:$M$1101,8,0),"")</f>
        <v>_</v>
      </c>
      <c r="AP316" s="185" t="str">
        <f>_xlfn.IFNA(VLOOKUP($AH316,Programma!$F$3:$N$1101,9,0),"")</f>
        <v>_</v>
      </c>
      <c r="AQ316" s="185" t="str">
        <f>_xlfn.IFNA(VLOOKUP($AH316,Programma!$F$3:$O$1101,10,0),"")</f>
        <v>3w</v>
      </c>
      <c r="AR316" s="185" t="str">
        <f>_xlfn.IFNA(VLOOKUP($AH316,Programma!$F$3:$P$1101,11,0),"")</f>
        <v>3w</v>
      </c>
      <c r="AS316" s="185" t="str">
        <f>_xlfn.IFNA(VLOOKUP($AH316,Programma!$F$3:$Q$1101,12,0),"")</f>
        <v>1w</v>
      </c>
      <c r="AT316" s="185" t="str">
        <f>_xlfn.IFNA(VLOOKUP($AH316,Programma!$F$3:$R$1101,13,0),"")</f>
        <v>1w</v>
      </c>
      <c r="AU316" s="185" t="str">
        <f>_xlfn.IFNA(VLOOKUP($AH316,Programma!$F$3:$S$1101,14,0),"")</f>
        <v>1m</v>
      </c>
      <c r="AV316" s="185" t="str">
        <f>_xlfn.IFNA(VLOOKUP($AH316,Programma!$F$3:$T$1101,15,0),"")</f>
        <v>2j</v>
      </c>
      <c r="AW316" s="185" t="str">
        <f>_xlfn.IFNA(VLOOKUP($AH316,Programma!$F$3:$U$1101,16,0),"")</f>
        <v>1j</v>
      </c>
      <c r="AX316" s="185" t="str">
        <f>_xlfn.IFNA(VLOOKUP($AH316,Programma!$F$3:$V$1101,17,0),"")</f>
        <v>_</v>
      </c>
      <c r="AY316" s="185" t="str">
        <f>_xlfn.IFNA(VLOOKUP($AH316,Programma!$F$3:$W$1101,18,0),"")</f>
        <v>_</v>
      </c>
      <c r="AZ316" s="185" t="str">
        <f>_xlfn.IFNA(VLOOKUP($AH316,Programma!$F$3:$X$1101,19,0),"")</f>
        <v>_</v>
      </c>
      <c r="BA316" s="185" t="str">
        <f>_xlfn.IFNA(VLOOKUP($AH316,Programma!$F$3:$Y$1101,20,0),"")</f>
        <v>_</v>
      </c>
      <c r="BB316" s="182"/>
      <c r="BC316" s="181" t="str">
        <f>IF(Ruimtestaat[[#This Row],[Frequentie weekend]]="","",_xlfn.CONCAT(Ruimtestaat[[#This Row],[Ruimte code]],"-",Ruimtestaat[[#This Row],[Frequentie weekend]]," ",Ruimtestaat[[#This Row],[Vloer code]]))</f>
        <v/>
      </c>
      <c r="BD316" s="185" t="str">
        <f>_xlfn.IFNA(VLOOKUP($BC316,Programma!$F$3:$G$1101,2,0),"")</f>
        <v/>
      </c>
      <c r="BE316" s="185" t="str">
        <f>_xlfn.IFNA(VLOOKUP($BC316,Programma!$F$3:$H$1101,3,0),"")</f>
        <v/>
      </c>
      <c r="BF316" s="185" t="str">
        <f>_xlfn.IFNA(VLOOKUP($BC316,Programma!$F$3:$I$1101,4,0),"")</f>
        <v/>
      </c>
      <c r="BG316" s="185" t="str">
        <f>_xlfn.IFNA(VLOOKUP($BC316,Programma!$F$3:$J$1101,5,0),"")</f>
        <v/>
      </c>
      <c r="BH316" s="185" t="str">
        <f>_xlfn.IFNA(VLOOKUP($BC316,Programma!$F$3:$K$1101,6,0),"")</f>
        <v/>
      </c>
      <c r="BI316" s="185" t="str">
        <f>_xlfn.IFNA(VLOOKUP($BC316,Programma!$F$3:$L$1101,7,0),"")</f>
        <v/>
      </c>
      <c r="BJ316" s="185" t="str">
        <f>_xlfn.IFNA(VLOOKUP($BC316,Programma!$F$3:$M$1101,8,0),"")</f>
        <v/>
      </c>
      <c r="BK316" s="185" t="str">
        <f>_xlfn.IFNA(VLOOKUP($BC316,Programma!$F$3:$N$1101,9,0),"")</f>
        <v/>
      </c>
      <c r="BL316" s="185" t="str">
        <f>_xlfn.IFNA(VLOOKUP($BC316,Programma!$F$3:$O$1101,10,0),"")</f>
        <v/>
      </c>
      <c r="BM316" s="185" t="str">
        <f>_xlfn.IFNA(VLOOKUP($BC316,Programma!$F$3:$P$1101,11,0),"")</f>
        <v/>
      </c>
      <c r="BN316" s="185" t="str">
        <f>_xlfn.IFNA(VLOOKUP($BC316,Programma!$F$3:$Q$1101,12,0),"")</f>
        <v/>
      </c>
      <c r="BO316" s="185" t="str">
        <f>_xlfn.IFNA(VLOOKUP($BC316,Programma!$F$3:$R$1101,13,0),"")</f>
        <v/>
      </c>
      <c r="BP316" s="185" t="str">
        <f>_xlfn.IFNA(VLOOKUP($BC316,Programma!$F$3:$S$1101,14,0),"")</f>
        <v/>
      </c>
      <c r="BQ316" s="185" t="str">
        <f>_xlfn.IFNA(VLOOKUP($BC316,Programma!$F$3:$T$1101,15,0),"")</f>
        <v/>
      </c>
      <c r="BR316" s="185" t="str">
        <f>_xlfn.IFNA(VLOOKUP($BC316,Programma!$F$3:$U$1101,16,0),"")</f>
        <v/>
      </c>
      <c r="BS316" s="185" t="str">
        <f>_xlfn.IFNA(VLOOKUP($BC316,Programma!$F$3:$V$1101,17,0),"")</f>
        <v/>
      </c>
      <c r="BT316" s="185" t="str">
        <f>_xlfn.IFNA(VLOOKUP($BC316,Programma!$F$3:$W$1101,18,0),"")</f>
        <v/>
      </c>
      <c r="BU316" s="185" t="str">
        <f>_xlfn.IFNA(VLOOKUP($BC316,Programma!$F$3:$X$1101,19,0),"")</f>
        <v/>
      </c>
      <c r="BV316" s="185" t="str">
        <f>_xlfn.IFNA(VLOOKUP($BC316,Programma!$F$3:$Y$1101,20,0),"")</f>
        <v/>
      </c>
    </row>
    <row r="317" spans="1:74" s="78" customFormat="1" ht="15" customHeight="1">
      <c r="A317" s="99">
        <v>10</v>
      </c>
      <c r="B317" s="176" t="str">
        <f>VLOOKUP(Ruimtestaat[[#This Row],[Code]],Locaties[[Code]:[Locatie]],2,FALSE)</f>
        <v>OJBS Het Palet</v>
      </c>
      <c r="C317" s="176" t="str">
        <f>VLOOKUP(Ruimtestaat[[#This Row],[Code]],Locaties[[#All],[Code]:[Adres]],4,FALSE)</f>
        <v>Ger. Terborghstraat 9</v>
      </c>
      <c r="D317" s="176" t="str">
        <f>VLOOKUP(Ruimtestaat[[#This Row],[Code]],Locaties[[#All],[Code]:[Postcode]],5,FALSE)</f>
        <v>7545 BV</v>
      </c>
      <c r="E317" s="176" t="str">
        <f>VLOOKUP(Ruimtestaat[[#This Row],[Code]],Locaties[#All],6,FALSE)</f>
        <v>Enschede</v>
      </c>
      <c r="F317" s="149"/>
      <c r="G317" s="149" t="s">
        <v>1714</v>
      </c>
      <c r="H317" s="99" t="s">
        <v>1718</v>
      </c>
      <c r="I317" s="183" t="s">
        <v>1651</v>
      </c>
      <c r="J317" s="99">
        <v>16</v>
      </c>
      <c r="K317" s="183" t="str">
        <f>VLOOKUP(Ruimtestaat[[#This Row],[Ruimte code]],Ruimtegroepen[[#All],[Code]:[Ruimte omschrijving]],2,FALSE)</f>
        <v>Leslokalen</v>
      </c>
      <c r="L317" s="149" t="s">
        <v>102</v>
      </c>
      <c r="M317" s="301" t="s">
        <v>120</v>
      </c>
      <c r="N317" s="177">
        <v>49.6</v>
      </c>
      <c r="O317" s="177"/>
      <c r="P317" s="178" t="str">
        <f>VLOOKUP(Ruimtestaat[[#This Row],[Ruimte code]],Ruimtegroepen[],4,FALSE)</f>
        <v>Le</v>
      </c>
      <c r="Q317" s="149">
        <v>40</v>
      </c>
      <c r="R317" s="149" t="s">
        <v>2</v>
      </c>
      <c r="S317" s="149">
        <f>IF(Q317&gt;0,IF(RIGHT(Ruimtestaat[[#This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7" s="149">
        <f>IF(S317&gt;0,VLOOKUP($J317,Ruimtegroepen[],3,FALSE)*VLOOKUP($L317,Vloersoorten[],3,FALSE)*VLOOKUP($R317,Frequenties[],3,FALSE)*VLOOKUP($A317,Locaties[],3,FALSE),0)</f>
        <v>0</v>
      </c>
      <c r="U317" s="149">
        <f>Ruimtestaat[[#This Row],[Uitvoeringen werkdagen]]*Ruimtestaat[[#This Row],[Oppervlak (netto)]]</f>
        <v>9920</v>
      </c>
      <c r="V317" s="179">
        <f>IF(T317&gt;0,Ruimtestaat[[#This Row],[Prest. (m2 /jaar) werkdagen]]/Ruimtestaat[[#This Row],[Norm (m2/uur) werkdagen]],0)</f>
        <v>0</v>
      </c>
      <c r="W317" s="180">
        <f>Ruimtestaat[[#This Row],[uren / jaar werkdagen]]*Tariefsopbouw!$E$35</f>
        <v>0</v>
      </c>
      <c r="X317" s="149"/>
      <c r="Y317" s="149">
        <f>IF(Ruimtestaat[[#This Row],[Frequentie weekend]]&gt;0,VALUE(LEFT(X317,1))*Q317,0)</f>
        <v>0</v>
      </c>
      <c r="Z317" s="148">
        <f>IF($Y317&gt;0,VLOOKUP($J317,Ruimtegroepen[],3,FALSE)*VLOOKUP($L317,Vloersoorten[],3,FALSE)*VLOOKUP($X317,Frequenties[],3,FALSE)*VLOOKUP(Ruimtestaat[[#This Row],[Code]],Locaties[],3,FALSE),0)</f>
        <v>0</v>
      </c>
      <c r="AA317" s="148">
        <f>Ruimtestaat[[#This Row],[Uitvoeringen weekend]]*Ruimtestaat[[#This Row],[Oppervlak (netto)]]</f>
        <v>0</v>
      </c>
      <c r="AB317" s="148">
        <f>IF(Z317&gt;0,Ruimtestaat[[#This Row],[Prest. (m2 /jaar) weekend]]/Ruimtestaat[[#This Row],[Norm (m2/uur) weekend]],0)</f>
        <v>0</v>
      </c>
      <c r="AC317" s="180">
        <f>Ruimtestaat[[#This Row],[uren / jaar weekend]]*Tariefsopbouw!$D$40</f>
        <v>0</v>
      </c>
      <c r="AD317" s="179">
        <f>Ruimtestaat[[#This Row],[Prest. (m2 /jaar) weekend]]+Ruimtestaat[[#This Row],[Prest. (m2 /jaar) werkdagen]]</f>
        <v>9920</v>
      </c>
      <c r="AE317" s="179">
        <f>Ruimtestaat[[#This Row],[uren / jaar weekend]]+Ruimtestaat[[#This Row],[uren / jaar werkdagen]]</f>
        <v>0</v>
      </c>
      <c r="AF317" s="174">
        <f>Ruimtestaat[[#This Row],[kosten / jaar weekend]]+Ruimtestaat[[#This Row],[kosten / jaar werkdagen]]</f>
        <v>0</v>
      </c>
      <c r="AG317" s="174"/>
      <c r="AH317" s="181" t="str">
        <f>IF(Ruimtestaat[[#This Row],[Frequentie werkdagen]]="","",_xlfn.CONCAT(Ruimtestaat[[#This Row],[Ruimte code]],"-",Ruimtestaat[[#This Row],[Frequentie werkdagen]]," ",Ruimtestaat[[#This Row],[Vloer code]]))</f>
        <v>16-5w P</v>
      </c>
      <c r="AI317" s="185" t="str">
        <f>_xlfn.IFNA(VLOOKUP($AH317,Programma!$F$3:$G$1101,2,0),"")</f>
        <v>_</v>
      </c>
      <c r="AJ317" s="185" t="str">
        <f>_xlfn.IFNA(VLOOKUP($AH317,Programma!$F$3:$H$1101,3,0),"")</f>
        <v>_</v>
      </c>
      <c r="AK317" s="185" t="str">
        <f>_xlfn.IFNA(VLOOKUP($AH317,Programma!$F$3:$I$1101,4,0),"")</f>
        <v>4w</v>
      </c>
      <c r="AL317" s="185" t="str">
        <f>_xlfn.IFNA(VLOOKUP($AH317,Programma!$F$3:$J$1101,5,0),"")</f>
        <v>1w</v>
      </c>
      <c r="AM317" s="185" t="str">
        <f>_xlfn.IFNA(VLOOKUP($AH317,Programma!$F$3:$K$1101,6,0),"")</f>
        <v>1m</v>
      </c>
      <c r="AN317" s="185" t="str">
        <f>_xlfn.IFNA(VLOOKUP($AH317,Programma!$F$3:$L$1101,7,0),"")</f>
        <v>_</v>
      </c>
      <c r="AO317" s="185" t="str">
        <f>_xlfn.IFNA(VLOOKUP($AH317,Programma!$F$3:$M$1101,8,0),"")</f>
        <v>_</v>
      </c>
      <c r="AP317" s="185" t="str">
        <f>_xlfn.IFNA(VLOOKUP($AH317,Programma!$F$3:$N$1101,9,0),"")</f>
        <v>_</v>
      </c>
      <c r="AQ317" s="185" t="str">
        <f>_xlfn.IFNA(VLOOKUP($AH317,Programma!$F$3:$O$1101,10,0),"")</f>
        <v>5w</v>
      </c>
      <c r="AR317" s="185" t="str">
        <f>_xlfn.IFNA(VLOOKUP($AH317,Programma!$F$3:$P$1101,11,0),"")</f>
        <v>5w</v>
      </c>
      <c r="AS317" s="185" t="str">
        <f>_xlfn.IFNA(VLOOKUP($AH317,Programma!$F$3:$Q$1101,12,0),"")</f>
        <v>1w</v>
      </c>
      <c r="AT317" s="185" t="str">
        <f>_xlfn.IFNA(VLOOKUP($AH317,Programma!$F$3:$R$1101,13,0),"")</f>
        <v>1w</v>
      </c>
      <c r="AU317" s="185" t="str">
        <f>_xlfn.IFNA(VLOOKUP($AH317,Programma!$F$3:$S$1101,14,0),"")</f>
        <v>1m</v>
      </c>
      <c r="AV317" s="185" t="str">
        <f>_xlfn.IFNA(VLOOKUP($AH317,Programma!$F$3:$T$1101,15,0),"")</f>
        <v>2j</v>
      </c>
      <c r="AW317" s="185" t="str">
        <f>_xlfn.IFNA(VLOOKUP($AH317,Programma!$F$3:$U$1101,16,0),"")</f>
        <v>1j</v>
      </c>
      <c r="AX317" s="185" t="str">
        <f>_xlfn.IFNA(VLOOKUP($AH317,Programma!$F$3:$V$1101,17,0),"")</f>
        <v>_</v>
      </c>
      <c r="AY317" s="185" t="str">
        <f>_xlfn.IFNA(VLOOKUP($AH317,Programma!$F$3:$W$1101,18,0),"")</f>
        <v>_</v>
      </c>
      <c r="AZ317" s="185" t="str">
        <f>_xlfn.IFNA(VLOOKUP($AH317,Programma!$F$3:$X$1101,19,0),"")</f>
        <v>_</v>
      </c>
      <c r="BA317" s="185" t="str">
        <f>_xlfn.IFNA(VLOOKUP($AH317,Programma!$F$3:$Y$1101,20,0),"")</f>
        <v>_</v>
      </c>
      <c r="BB317" s="182"/>
      <c r="BC317" s="181" t="str">
        <f>IF(Ruimtestaat[[#This Row],[Frequentie weekend]]="","",_xlfn.CONCAT(Ruimtestaat[[#This Row],[Ruimte code]],"-",Ruimtestaat[[#This Row],[Frequentie weekend]]," ",Ruimtestaat[[#This Row],[Vloer code]]))</f>
        <v/>
      </c>
      <c r="BD317" s="185" t="str">
        <f>_xlfn.IFNA(VLOOKUP($BC317,Programma!$F$3:$G$1101,2,0),"")</f>
        <v/>
      </c>
      <c r="BE317" s="185" t="str">
        <f>_xlfn.IFNA(VLOOKUP($BC317,Programma!$F$3:$H$1101,3,0),"")</f>
        <v/>
      </c>
      <c r="BF317" s="185" t="str">
        <f>_xlfn.IFNA(VLOOKUP($BC317,Programma!$F$3:$I$1101,4,0),"")</f>
        <v/>
      </c>
      <c r="BG317" s="185" t="str">
        <f>_xlfn.IFNA(VLOOKUP($BC317,Programma!$F$3:$J$1101,5,0),"")</f>
        <v/>
      </c>
      <c r="BH317" s="185" t="str">
        <f>_xlfn.IFNA(VLOOKUP($BC317,Programma!$F$3:$K$1101,6,0),"")</f>
        <v/>
      </c>
      <c r="BI317" s="185" t="str">
        <f>_xlfn.IFNA(VLOOKUP($BC317,Programma!$F$3:$L$1101,7,0),"")</f>
        <v/>
      </c>
      <c r="BJ317" s="185" t="str">
        <f>_xlfn.IFNA(VLOOKUP($BC317,Programma!$F$3:$M$1101,8,0),"")</f>
        <v/>
      </c>
      <c r="BK317" s="185" t="str">
        <f>_xlfn.IFNA(VLOOKUP($BC317,Programma!$F$3:$N$1101,9,0),"")</f>
        <v/>
      </c>
      <c r="BL317" s="185" t="str">
        <f>_xlfn.IFNA(VLOOKUP($BC317,Programma!$F$3:$O$1101,10,0),"")</f>
        <v/>
      </c>
      <c r="BM317" s="185" t="str">
        <f>_xlfn.IFNA(VLOOKUP($BC317,Programma!$F$3:$P$1101,11,0),"")</f>
        <v/>
      </c>
      <c r="BN317" s="185" t="str">
        <f>_xlfn.IFNA(VLOOKUP($BC317,Programma!$F$3:$Q$1101,12,0),"")</f>
        <v/>
      </c>
      <c r="BO317" s="185" t="str">
        <f>_xlfn.IFNA(VLOOKUP($BC317,Programma!$F$3:$R$1101,13,0),"")</f>
        <v/>
      </c>
      <c r="BP317" s="185" t="str">
        <f>_xlfn.IFNA(VLOOKUP($BC317,Programma!$F$3:$S$1101,14,0),"")</f>
        <v/>
      </c>
      <c r="BQ317" s="185" t="str">
        <f>_xlfn.IFNA(VLOOKUP($BC317,Programma!$F$3:$T$1101,15,0),"")</f>
        <v/>
      </c>
      <c r="BR317" s="185" t="str">
        <f>_xlfn.IFNA(VLOOKUP($BC317,Programma!$F$3:$U$1101,16,0),"")</f>
        <v/>
      </c>
      <c r="BS317" s="185" t="str">
        <f>_xlfn.IFNA(VLOOKUP($BC317,Programma!$F$3:$V$1101,17,0),"")</f>
        <v/>
      </c>
      <c r="BT317" s="185" t="str">
        <f>_xlfn.IFNA(VLOOKUP($BC317,Programma!$F$3:$W$1101,18,0),"")</f>
        <v/>
      </c>
      <c r="BU317" s="185" t="str">
        <f>_xlfn.IFNA(VLOOKUP($BC317,Programma!$F$3:$X$1101,19,0),"")</f>
        <v/>
      </c>
      <c r="BV317" s="185" t="str">
        <f>_xlfn.IFNA(VLOOKUP($BC317,Programma!$F$3:$Y$1101,20,0),"")</f>
        <v/>
      </c>
    </row>
    <row r="318" spans="1:74" s="78" customFormat="1" ht="15" customHeight="1">
      <c r="A318" s="99">
        <v>10</v>
      </c>
      <c r="B318" s="176" t="str">
        <f>VLOOKUP(Ruimtestaat[[#This Row],[Code]],Locaties[[Code]:[Locatie]],2,FALSE)</f>
        <v>OJBS Het Palet</v>
      </c>
      <c r="C318" s="176" t="str">
        <f>VLOOKUP(Ruimtestaat[[#This Row],[Code]],Locaties[[#All],[Code]:[Adres]],4,FALSE)</f>
        <v>Ger. Terborghstraat 9</v>
      </c>
      <c r="D318" s="176" t="str">
        <f>VLOOKUP(Ruimtestaat[[#This Row],[Code]],Locaties[[#All],[Code]:[Postcode]],5,FALSE)</f>
        <v>7545 BV</v>
      </c>
      <c r="E318" s="176" t="str">
        <f>VLOOKUP(Ruimtestaat[[#This Row],[Code]],Locaties[#All],6,FALSE)</f>
        <v>Enschede</v>
      </c>
      <c r="F318" s="149"/>
      <c r="G318" s="149" t="s">
        <v>1714</v>
      </c>
      <c r="H318" s="99" t="s">
        <v>1733</v>
      </c>
      <c r="I318" s="183" t="s">
        <v>1655</v>
      </c>
      <c r="J318" s="99">
        <v>5</v>
      </c>
      <c r="K318" s="183" t="str">
        <f>VLOOKUP(Ruimtestaat[[#This Row],[Ruimte code]],Ruimtegroepen[[#All],[Code]:[Ruimte omschrijving]],2,FALSE)</f>
        <v>Sanitair</v>
      </c>
      <c r="L318" s="149" t="s">
        <v>101</v>
      </c>
      <c r="M318" s="301" t="s">
        <v>1682</v>
      </c>
      <c r="N318" s="177">
        <v>6.2</v>
      </c>
      <c r="O318" s="177"/>
      <c r="P318" s="178" t="str">
        <f>VLOOKUP(Ruimtestaat[[#This Row],[Ruimte code]],Ruimtegroepen[],4,FALSE)</f>
        <v>Sa</v>
      </c>
      <c r="Q318" s="149">
        <v>40</v>
      </c>
      <c r="R318" s="149" t="s">
        <v>2</v>
      </c>
      <c r="S318" s="149">
        <f>IF(Q318&gt;0,IF(RIGHT(Ruimtestaat[[#This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18" s="149">
        <f>IF(S318&gt;0,VLOOKUP($J318,Ruimtegroepen[],3,FALSE)*VLOOKUP($L318,Vloersoorten[],3,FALSE)*VLOOKUP($R318,Frequenties[],3,FALSE)*VLOOKUP($A318,Locaties[],3,FALSE),0)</f>
        <v>0</v>
      </c>
      <c r="U318" s="149">
        <f>Ruimtestaat[[#This Row],[Uitvoeringen werkdagen]]*Ruimtestaat[[#This Row],[Oppervlak (netto)]]</f>
        <v>1240</v>
      </c>
      <c r="V318" s="179">
        <f>IF(T318&gt;0,Ruimtestaat[[#This Row],[Prest. (m2 /jaar) werkdagen]]/Ruimtestaat[[#This Row],[Norm (m2/uur) werkdagen]],0)</f>
        <v>0</v>
      </c>
      <c r="W318" s="180">
        <f>Ruimtestaat[[#This Row],[uren / jaar werkdagen]]*Tariefsopbouw!$E$35</f>
        <v>0</v>
      </c>
      <c r="X318" s="149"/>
      <c r="Y318" s="149">
        <f>IF(Ruimtestaat[[#This Row],[Frequentie weekend]]&gt;0,VALUE(LEFT(X318,1))*Q318,0)</f>
        <v>0</v>
      </c>
      <c r="Z318" s="148">
        <f>IF($Y318&gt;0,VLOOKUP($J318,Ruimtegroepen[],3,FALSE)*VLOOKUP($L318,Vloersoorten[],3,FALSE)*VLOOKUP($X318,Frequenties[],3,FALSE)*VLOOKUP(Ruimtestaat[[#This Row],[Code]],Locaties[],3,FALSE),0)</f>
        <v>0</v>
      </c>
      <c r="AA318" s="148">
        <f>Ruimtestaat[[#This Row],[Uitvoeringen weekend]]*Ruimtestaat[[#This Row],[Oppervlak (netto)]]</f>
        <v>0</v>
      </c>
      <c r="AB318" s="148">
        <f>IF(Z318&gt;0,Ruimtestaat[[#This Row],[Prest. (m2 /jaar) weekend]]/Ruimtestaat[[#This Row],[Norm (m2/uur) weekend]],0)</f>
        <v>0</v>
      </c>
      <c r="AC318" s="180">
        <f>Ruimtestaat[[#This Row],[uren / jaar weekend]]*Tariefsopbouw!$D$40</f>
        <v>0</v>
      </c>
      <c r="AD318" s="179">
        <f>Ruimtestaat[[#This Row],[Prest. (m2 /jaar) weekend]]+Ruimtestaat[[#This Row],[Prest. (m2 /jaar) werkdagen]]</f>
        <v>1240</v>
      </c>
      <c r="AE318" s="179">
        <f>Ruimtestaat[[#This Row],[uren / jaar weekend]]+Ruimtestaat[[#This Row],[uren / jaar werkdagen]]</f>
        <v>0</v>
      </c>
      <c r="AF318" s="174">
        <f>Ruimtestaat[[#This Row],[kosten / jaar weekend]]+Ruimtestaat[[#This Row],[kosten / jaar werkdagen]]</f>
        <v>0</v>
      </c>
      <c r="AG318" s="174"/>
      <c r="AH318" s="181" t="str">
        <f>IF(Ruimtestaat[[#This Row],[Frequentie werkdagen]]="","",_xlfn.CONCAT(Ruimtestaat[[#This Row],[Ruimte code]],"-",Ruimtestaat[[#This Row],[Frequentie werkdagen]]," ",Ruimtestaat[[#This Row],[Vloer code]]))</f>
        <v>5-5w S</v>
      </c>
      <c r="AI318" s="185" t="str">
        <f>_xlfn.IFNA(VLOOKUP($AH318,Programma!$F$3:$G$1101,2,0),"")</f>
        <v>_</v>
      </c>
      <c r="AJ318" s="185" t="str">
        <f>_xlfn.IFNA(VLOOKUP($AH318,Programma!$F$3:$H$1101,3,0),"")</f>
        <v>_</v>
      </c>
      <c r="AK318" s="185" t="str">
        <f>_xlfn.IFNA(VLOOKUP($AH318,Programma!$F$3:$I$1101,4,0),"")</f>
        <v>_</v>
      </c>
      <c r="AL318" s="185" t="str">
        <f>_xlfn.IFNA(VLOOKUP($AH318,Programma!$F$3:$J$1101,5,0),"")</f>
        <v>4w</v>
      </c>
      <c r="AM318" s="185" t="str">
        <f>_xlfn.IFNA(VLOOKUP($AH318,Programma!$F$3:$K$1101,6,0),"")</f>
        <v>1w</v>
      </c>
      <c r="AN318" s="185" t="str">
        <f>_xlfn.IFNA(VLOOKUP($AH318,Programma!$F$3:$L$1101,7,0),"")</f>
        <v>_</v>
      </c>
      <c r="AO318" s="185" t="str">
        <f>_xlfn.IFNA(VLOOKUP($AH318,Programma!$F$3:$M$1101,8,0),"")</f>
        <v>_</v>
      </c>
      <c r="AP318" s="185" t="str">
        <f>_xlfn.IFNA(VLOOKUP($AH318,Programma!$F$3:$N$1101,9,0),"")</f>
        <v>_</v>
      </c>
      <c r="AQ318" s="185" t="str">
        <f>_xlfn.IFNA(VLOOKUP($AH318,Programma!$F$3:$O$1101,10,0),"")</f>
        <v>_</v>
      </c>
      <c r="AR318" s="185" t="str">
        <f>_xlfn.IFNA(VLOOKUP($AH318,Programma!$F$3:$P$1101,11,0),"")</f>
        <v>_</v>
      </c>
      <c r="AS318" s="185" t="str">
        <f>_xlfn.IFNA(VLOOKUP($AH318,Programma!$F$3:$Q$1101,12,0),"")</f>
        <v>_</v>
      </c>
      <c r="AT318" s="185" t="str">
        <f>_xlfn.IFNA(VLOOKUP($AH318,Programma!$F$3:$R$1101,13,0),"")</f>
        <v>_</v>
      </c>
      <c r="AU318" s="185" t="str">
        <f>_xlfn.IFNA(VLOOKUP($AH318,Programma!$F$3:$S$1101,14,0),"")</f>
        <v>_</v>
      </c>
      <c r="AV318" s="185" t="str">
        <f>_xlfn.IFNA(VLOOKUP($AH318,Programma!$F$3:$T$1101,15,0),"")</f>
        <v>_</v>
      </c>
      <c r="AW318" s="185" t="str">
        <f>_xlfn.IFNA(VLOOKUP($AH318,Programma!$F$3:$U$1101,16,0),"")</f>
        <v>_</v>
      </c>
      <c r="AX318" s="185" t="str">
        <f>_xlfn.IFNA(VLOOKUP($AH318,Programma!$F$3:$V$1101,17,0),"")</f>
        <v>_</v>
      </c>
      <c r="AY318" s="185" t="str">
        <f>_xlfn.IFNA(VLOOKUP($AH318,Programma!$F$3:$W$1101,18,0),"")</f>
        <v>4w</v>
      </c>
      <c r="AZ318" s="185" t="str">
        <f>_xlfn.IFNA(VLOOKUP($AH318,Programma!$F$3:$X$1101,19,0),"")</f>
        <v>1w</v>
      </c>
      <c r="BA318" s="185" t="str">
        <f>_xlfn.IFNA(VLOOKUP($AH318,Programma!$F$3:$Y$1101,20,0),"")</f>
        <v>_</v>
      </c>
      <c r="BB318" s="182"/>
      <c r="BC318" s="181" t="str">
        <f>IF(Ruimtestaat[[#This Row],[Frequentie weekend]]="","",_xlfn.CONCAT(Ruimtestaat[[#This Row],[Ruimte code]],"-",Ruimtestaat[[#This Row],[Frequentie weekend]]," ",Ruimtestaat[[#This Row],[Vloer code]]))</f>
        <v/>
      </c>
      <c r="BD318" s="185" t="str">
        <f>_xlfn.IFNA(VLOOKUP($BC318,Programma!$F$3:$G$1101,2,0),"")</f>
        <v/>
      </c>
      <c r="BE318" s="185" t="str">
        <f>_xlfn.IFNA(VLOOKUP($BC318,Programma!$F$3:$H$1101,3,0),"")</f>
        <v/>
      </c>
      <c r="BF318" s="185" t="str">
        <f>_xlfn.IFNA(VLOOKUP($BC318,Programma!$F$3:$I$1101,4,0),"")</f>
        <v/>
      </c>
      <c r="BG318" s="185" t="str">
        <f>_xlfn.IFNA(VLOOKUP($BC318,Programma!$F$3:$J$1101,5,0),"")</f>
        <v/>
      </c>
      <c r="BH318" s="185" t="str">
        <f>_xlfn.IFNA(VLOOKUP($BC318,Programma!$F$3:$K$1101,6,0),"")</f>
        <v/>
      </c>
      <c r="BI318" s="185" t="str">
        <f>_xlfn.IFNA(VLOOKUP($BC318,Programma!$F$3:$L$1101,7,0),"")</f>
        <v/>
      </c>
      <c r="BJ318" s="185" t="str">
        <f>_xlfn.IFNA(VLOOKUP($BC318,Programma!$F$3:$M$1101,8,0),"")</f>
        <v/>
      </c>
      <c r="BK318" s="185" t="str">
        <f>_xlfn.IFNA(VLOOKUP($BC318,Programma!$F$3:$N$1101,9,0),"")</f>
        <v/>
      </c>
      <c r="BL318" s="185" t="str">
        <f>_xlfn.IFNA(VLOOKUP($BC318,Programma!$F$3:$O$1101,10,0),"")</f>
        <v/>
      </c>
      <c r="BM318" s="185" t="str">
        <f>_xlfn.IFNA(VLOOKUP($BC318,Programma!$F$3:$P$1101,11,0),"")</f>
        <v/>
      </c>
      <c r="BN318" s="185" t="str">
        <f>_xlfn.IFNA(VLOOKUP($BC318,Programma!$F$3:$Q$1101,12,0),"")</f>
        <v/>
      </c>
      <c r="BO318" s="185" t="str">
        <f>_xlfn.IFNA(VLOOKUP($BC318,Programma!$F$3:$R$1101,13,0),"")</f>
        <v/>
      </c>
      <c r="BP318" s="185" t="str">
        <f>_xlfn.IFNA(VLOOKUP($BC318,Programma!$F$3:$S$1101,14,0),"")</f>
        <v/>
      </c>
      <c r="BQ318" s="185" t="str">
        <f>_xlfn.IFNA(VLOOKUP($BC318,Programma!$F$3:$T$1101,15,0),"")</f>
        <v/>
      </c>
      <c r="BR318" s="185" t="str">
        <f>_xlfn.IFNA(VLOOKUP($BC318,Programma!$F$3:$U$1101,16,0),"")</f>
        <v/>
      </c>
      <c r="BS318" s="185" t="str">
        <f>_xlfn.IFNA(VLOOKUP($BC318,Programma!$F$3:$V$1101,17,0),"")</f>
        <v/>
      </c>
      <c r="BT318" s="185" t="str">
        <f>_xlfn.IFNA(VLOOKUP($BC318,Programma!$F$3:$W$1101,18,0),"")</f>
        <v/>
      </c>
      <c r="BU318" s="185" t="str">
        <f>_xlfn.IFNA(VLOOKUP($BC318,Programma!$F$3:$X$1101,19,0),"")</f>
        <v/>
      </c>
      <c r="BV318" s="185" t="str">
        <f>_xlfn.IFNA(VLOOKUP($BC318,Programma!$F$3:$Y$1101,20,0),"")</f>
        <v/>
      </c>
    </row>
    <row r="319" spans="1:74" s="78" customFormat="1" ht="15" customHeight="1">
      <c r="A319" s="99">
        <v>10</v>
      </c>
      <c r="B319" s="176" t="str">
        <f>VLOOKUP(Ruimtestaat[[#This Row],[Code]],Locaties[[Code]:[Locatie]],2,FALSE)</f>
        <v>OJBS Het Palet</v>
      </c>
      <c r="C319" s="176" t="str">
        <f>VLOOKUP(Ruimtestaat[[#This Row],[Code]],Locaties[[#All],[Code]:[Adres]],4,FALSE)</f>
        <v>Ger. Terborghstraat 9</v>
      </c>
      <c r="D319" s="176" t="str">
        <f>VLOOKUP(Ruimtestaat[[#This Row],[Code]],Locaties[[#All],[Code]:[Postcode]],5,FALSE)</f>
        <v>7545 BV</v>
      </c>
      <c r="E319" s="176" t="str">
        <f>VLOOKUP(Ruimtestaat[[#This Row],[Code]],Locaties[#All],6,FALSE)</f>
        <v>Enschede</v>
      </c>
      <c r="F319" s="149"/>
      <c r="G319" s="149" t="s">
        <v>1714</v>
      </c>
      <c r="H319" s="99" t="s">
        <v>1734</v>
      </c>
      <c r="I319" s="183" t="s">
        <v>1702</v>
      </c>
      <c r="J319" s="99">
        <v>10</v>
      </c>
      <c r="K319" s="183" t="str">
        <f>VLOOKUP(Ruimtestaat[[#This Row],[Ruimte code]],Ruimtegroepen[[#All],[Code]:[Ruimte omschrijving]],2,FALSE)</f>
        <v>Trappenhuizen/lift</v>
      </c>
      <c r="L319" s="149" t="s">
        <v>101</v>
      </c>
      <c r="M319" s="301" t="s">
        <v>119</v>
      </c>
      <c r="N319" s="177">
        <v>7.8</v>
      </c>
      <c r="O319" s="177"/>
      <c r="P319" s="178" t="str">
        <f>VLOOKUP(Ruimtestaat[[#This Row],[Ruimte code]],Ruimtegroepen[],4,FALSE)</f>
        <v>Ve</v>
      </c>
      <c r="Q319" s="149">
        <v>40</v>
      </c>
      <c r="R319" s="149" t="s">
        <v>18</v>
      </c>
      <c r="S319" s="149">
        <f>IF(Q319&gt;0,IF(RIGHT(Ruimtestaat[[#This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19" s="149">
        <f>IF(S319&gt;0,VLOOKUP($J319,Ruimtegroepen[],3,FALSE)*VLOOKUP($L319,Vloersoorten[],3,FALSE)*VLOOKUP($R319,Frequenties[],3,FALSE)*VLOOKUP($A319,Locaties[],3,FALSE),0)</f>
        <v>0</v>
      </c>
      <c r="U319" s="149">
        <f>Ruimtestaat[[#This Row],[Uitvoeringen werkdagen]]*Ruimtestaat[[#This Row],[Oppervlak (netto)]]</f>
        <v>936</v>
      </c>
      <c r="V319" s="179">
        <f>IF(T319&gt;0,Ruimtestaat[[#This Row],[Prest. (m2 /jaar) werkdagen]]/Ruimtestaat[[#This Row],[Norm (m2/uur) werkdagen]],0)</f>
        <v>0</v>
      </c>
      <c r="W319" s="180">
        <f>Ruimtestaat[[#This Row],[uren / jaar werkdagen]]*Tariefsopbouw!$E$35</f>
        <v>0</v>
      </c>
      <c r="X319" s="149"/>
      <c r="Y319" s="149">
        <f>IF(Ruimtestaat[[#This Row],[Frequentie weekend]]&gt;0,VALUE(LEFT(X319,1))*Q319,0)</f>
        <v>0</v>
      </c>
      <c r="Z319" s="148">
        <f>IF($Y319&gt;0,VLOOKUP($J319,Ruimtegroepen[],3,FALSE)*VLOOKUP($L319,Vloersoorten[],3,FALSE)*VLOOKUP($X319,Frequenties[],3,FALSE)*VLOOKUP(Ruimtestaat[[#This Row],[Code]],Locaties[],3,FALSE),0)</f>
        <v>0</v>
      </c>
      <c r="AA319" s="148">
        <f>Ruimtestaat[[#This Row],[Uitvoeringen weekend]]*Ruimtestaat[[#This Row],[Oppervlak (netto)]]</f>
        <v>0</v>
      </c>
      <c r="AB319" s="148">
        <f>IF(Z319&gt;0,Ruimtestaat[[#This Row],[Prest. (m2 /jaar) weekend]]/Ruimtestaat[[#This Row],[Norm (m2/uur) weekend]],0)</f>
        <v>0</v>
      </c>
      <c r="AC319" s="180">
        <f>Ruimtestaat[[#This Row],[uren / jaar weekend]]*Tariefsopbouw!$D$40</f>
        <v>0</v>
      </c>
      <c r="AD319" s="179">
        <f>Ruimtestaat[[#This Row],[Prest. (m2 /jaar) weekend]]+Ruimtestaat[[#This Row],[Prest. (m2 /jaar) werkdagen]]</f>
        <v>936</v>
      </c>
      <c r="AE319" s="179">
        <f>Ruimtestaat[[#This Row],[uren / jaar weekend]]+Ruimtestaat[[#This Row],[uren / jaar werkdagen]]</f>
        <v>0</v>
      </c>
      <c r="AF319" s="174">
        <f>Ruimtestaat[[#This Row],[kosten / jaar weekend]]+Ruimtestaat[[#This Row],[kosten / jaar werkdagen]]</f>
        <v>0</v>
      </c>
      <c r="AG319" s="174"/>
      <c r="AH319" s="181" t="str">
        <f>IF(Ruimtestaat[[#This Row],[Frequentie werkdagen]]="","",_xlfn.CONCAT(Ruimtestaat[[#This Row],[Ruimte code]],"-",Ruimtestaat[[#This Row],[Frequentie werkdagen]]," ",Ruimtestaat[[#This Row],[Vloer code]]))</f>
        <v>10-3w S</v>
      </c>
      <c r="AI319" s="185" t="str">
        <f>_xlfn.IFNA(VLOOKUP($AH319,Programma!$F$3:$G$1101,2,0),"")</f>
        <v>_</v>
      </c>
      <c r="AJ319" s="185" t="str">
        <f>_xlfn.IFNA(VLOOKUP($AH319,Programma!$F$3:$H$1101,3,0),"")</f>
        <v>_</v>
      </c>
      <c r="AK319" s="185" t="str">
        <f>_xlfn.IFNA(VLOOKUP($AH319,Programma!$F$3:$I$1101,4,0),"")</f>
        <v>2w</v>
      </c>
      <c r="AL319" s="185" t="str">
        <f>_xlfn.IFNA(VLOOKUP($AH319,Programma!$F$3:$J$1101,5,0),"")</f>
        <v>1w</v>
      </c>
      <c r="AM319" s="185" t="str">
        <f>_xlfn.IFNA(VLOOKUP($AH319,Programma!$F$3:$K$1101,6,0),"")</f>
        <v>4j</v>
      </c>
      <c r="AN319" s="185" t="str">
        <f>_xlfn.IFNA(VLOOKUP($AH319,Programma!$F$3:$L$1101,7,0),"")</f>
        <v>_</v>
      </c>
      <c r="AO319" s="185" t="str">
        <f>_xlfn.IFNA(VLOOKUP($AH319,Programma!$F$3:$M$1101,8,0),"")</f>
        <v>_</v>
      </c>
      <c r="AP319" s="185" t="str">
        <f>_xlfn.IFNA(VLOOKUP($AH319,Programma!$F$3:$N$1101,9,0),"")</f>
        <v>_</v>
      </c>
      <c r="AQ319" s="185" t="str">
        <f>_xlfn.IFNA(VLOOKUP($AH319,Programma!$F$3:$O$1101,10,0),"")</f>
        <v>3w</v>
      </c>
      <c r="AR319" s="185" t="str">
        <f>_xlfn.IFNA(VLOOKUP($AH319,Programma!$F$3:$P$1101,11,0),"")</f>
        <v>3w</v>
      </c>
      <c r="AS319" s="185" t="str">
        <f>_xlfn.IFNA(VLOOKUP($AH319,Programma!$F$3:$Q$1101,12,0),"")</f>
        <v>1w</v>
      </c>
      <c r="AT319" s="185" t="str">
        <f>_xlfn.IFNA(VLOOKUP($AH319,Programma!$F$3:$R$1101,13,0),"")</f>
        <v>1w</v>
      </c>
      <c r="AU319" s="185" t="str">
        <f>_xlfn.IFNA(VLOOKUP($AH319,Programma!$F$3:$S$1101,14,0),"")</f>
        <v>1m</v>
      </c>
      <c r="AV319" s="185" t="str">
        <f>_xlfn.IFNA(VLOOKUP($AH319,Programma!$F$3:$T$1101,15,0),"")</f>
        <v>2j</v>
      </c>
      <c r="AW319" s="185" t="str">
        <f>_xlfn.IFNA(VLOOKUP($AH319,Programma!$F$3:$U$1101,16,0),"")</f>
        <v>1j</v>
      </c>
      <c r="AX319" s="185" t="str">
        <f>_xlfn.IFNA(VLOOKUP($AH319,Programma!$F$3:$V$1101,17,0),"")</f>
        <v>_</v>
      </c>
      <c r="AY319" s="185" t="str">
        <f>_xlfn.IFNA(VLOOKUP($AH319,Programma!$F$3:$W$1101,18,0),"")</f>
        <v>_</v>
      </c>
      <c r="AZ319" s="185" t="str">
        <f>_xlfn.IFNA(VLOOKUP($AH319,Programma!$F$3:$X$1101,19,0),"")</f>
        <v>_</v>
      </c>
      <c r="BA319" s="185" t="str">
        <f>_xlfn.IFNA(VLOOKUP($AH319,Programma!$F$3:$Y$1101,20,0),"")</f>
        <v>_</v>
      </c>
      <c r="BB319" s="182"/>
      <c r="BC319" s="181" t="str">
        <f>IF(Ruimtestaat[[#This Row],[Frequentie weekend]]="","",_xlfn.CONCAT(Ruimtestaat[[#This Row],[Ruimte code]],"-",Ruimtestaat[[#This Row],[Frequentie weekend]]," ",Ruimtestaat[[#This Row],[Vloer code]]))</f>
        <v/>
      </c>
      <c r="BD319" s="185" t="str">
        <f>_xlfn.IFNA(VLOOKUP($BC319,Programma!$F$3:$G$1101,2,0),"")</f>
        <v/>
      </c>
      <c r="BE319" s="185" t="str">
        <f>_xlfn.IFNA(VLOOKUP($BC319,Programma!$F$3:$H$1101,3,0),"")</f>
        <v/>
      </c>
      <c r="BF319" s="185" t="str">
        <f>_xlfn.IFNA(VLOOKUP($BC319,Programma!$F$3:$I$1101,4,0),"")</f>
        <v/>
      </c>
      <c r="BG319" s="185" t="str">
        <f>_xlfn.IFNA(VLOOKUP($BC319,Programma!$F$3:$J$1101,5,0),"")</f>
        <v/>
      </c>
      <c r="BH319" s="185" t="str">
        <f>_xlfn.IFNA(VLOOKUP($BC319,Programma!$F$3:$K$1101,6,0),"")</f>
        <v/>
      </c>
      <c r="BI319" s="185" t="str">
        <f>_xlfn.IFNA(VLOOKUP($BC319,Programma!$F$3:$L$1101,7,0),"")</f>
        <v/>
      </c>
      <c r="BJ319" s="185" t="str">
        <f>_xlfn.IFNA(VLOOKUP($BC319,Programma!$F$3:$M$1101,8,0),"")</f>
        <v/>
      </c>
      <c r="BK319" s="185" t="str">
        <f>_xlfn.IFNA(VLOOKUP($BC319,Programma!$F$3:$N$1101,9,0),"")</f>
        <v/>
      </c>
      <c r="BL319" s="185" t="str">
        <f>_xlfn.IFNA(VLOOKUP($BC319,Programma!$F$3:$O$1101,10,0),"")</f>
        <v/>
      </c>
      <c r="BM319" s="185" t="str">
        <f>_xlfn.IFNA(VLOOKUP($BC319,Programma!$F$3:$P$1101,11,0),"")</f>
        <v/>
      </c>
      <c r="BN319" s="185" t="str">
        <f>_xlfn.IFNA(VLOOKUP($BC319,Programma!$F$3:$Q$1101,12,0),"")</f>
        <v/>
      </c>
      <c r="BO319" s="185" t="str">
        <f>_xlfn.IFNA(VLOOKUP($BC319,Programma!$F$3:$R$1101,13,0),"")</f>
        <v/>
      </c>
      <c r="BP319" s="185" t="str">
        <f>_xlfn.IFNA(VLOOKUP($BC319,Programma!$F$3:$S$1101,14,0),"")</f>
        <v/>
      </c>
      <c r="BQ319" s="185" t="str">
        <f>_xlfn.IFNA(VLOOKUP($BC319,Programma!$F$3:$T$1101,15,0),"")</f>
        <v/>
      </c>
      <c r="BR319" s="185" t="str">
        <f>_xlfn.IFNA(VLOOKUP($BC319,Programma!$F$3:$U$1101,16,0),"")</f>
        <v/>
      </c>
      <c r="BS319" s="185" t="str">
        <f>_xlfn.IFNA(VLOOKUP($BC319,Programma!$F$3:$V$1101,17,0),"")</f>
        <v/>
      </c>
      <c r="BT319" s="185" t="str">
        <f>_xlfn.IFNA(VLOOKUP($BC319,Programma!$F$3:$W$1101,18,0),"")</f>
        <v/>
      </c>
      <c r="BU319" s="185" t="str">
        <f>_xlfn.IFNA(VLOOKUP($BC319,Programma!$F$3:$X$1101,19,0),"")</f>
        <v/>
      </c>
      <c r="BV319" s="185" t="str">
        <f>_xlfn.IFNA(VLOOKUP($BC319,Programma!$F$3:$Y$1101,20,0),"")</f>
        <v/>
      </c>
    </row>
    <row r="320" spans="1:74" s="78" customFormat="1" ht="15" customHeight="1">
      <c r="A320" s="99">
        <v>10</v>
      </c>
      <c r="B320" s="176" t="str">
        <f>VLOOKUP(Ruimtestaat[[#This Row],[Code]],Locaties[[Code]:[Locatie]],2,FALSE)</f>
        <v>OJBS Het Palet</v>
      </c>
      <c r="C320" s="176" t="str">
        <f>VLOOKUP(Ruimtestaat[[#This Row],[Code]],Locaties[[#All],[Code]:[Adres]],4,FALSE)</f>
        <v>Ger. Terborghstraat 9</v>
      </c>
      <c r="D320" s="176" t="str">
        <f>VLOOKUP(Ruimtestaat[[#This Row],[Code]],Locaties[[#All],[Code]:[Postcode]],5,FALSE)</f>
        <v>7545 BV</v>
      </c>
      <c r="E320" s="176" t="str">
        <f>VLOOKUP(Ruimtestaat[[#This Row],[Code]],Locaties[#All],6,FALSE)</f>
        <v>Enschede</v>
      </c>
      <c r="F320" s="149"/>
      <c r="G320" s="149" t="s">
        <v>1646</v>
      </c>
      <c r="H320" s="99" t="s">
        <v>1671</v>
      </c>
      <c r="I320" s="183" t="s">
        <v>38</v>
      </c>
      <c r="J320" s="99">
        <v>7</v>
      </c>
      <c r="K320" s="183" t="str">
        <f>VLOOKUP(Ruimtestaat[[#This Row],[Ruimte code]],Ruimtegroepen[[#All],[Code]:[Ruimte omschrijving]],2,FALSE)</f>
        <v>Entree</v>
      </c>
      <c r="L320" s="149" t="s">
        <v>99</v>
      </c>
      <c r="M320" s="301" t="s">
        <v>1700</v>
      </c>
      <c r="N320" s="177">
        <v>8.6</v>
      </c>
      <c r="O320" s="177"/>
      <c r="P320" s="178" t="str">
        <f>VLOOKUP(Ruimtestaat[[#This Row],[Ruimte code]],Ruimtegroepen[],4,FALSE)</f>
        <v>Ve</v>
      </c>
      <c r="Q320" s="149">
        <v>40</v>
      </c>
      <c r="R320" s="149" t="s">
        <v>2</v>
      </c>
      <c r="S320" s="149">
        <f>IF(Q320&gt;0,IF(RIGHT(Ruimtestaat[[#This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0" s="149">
        <f>IF(S320&gt;0,VLOOKUP($J320,Ruimtegroepen[],3,FALSE)*VLOOKUP($L320,Vloersoorten[],3,FALSE)*VLOOKUP($R320,Frequenties[],3,FALSE)*VLOOKUP($A320,Locaties[],3,FALSE),0)</f>
        <v>0</v>
      </c>
      <c r="U320" s="149">
        <f>Ruimtestaat[[#This Row],[Uitvoeringen werkdagen]]*Ruimtestaat[[#This Row],[Oppervlak (netto)]]</f>
        <v>1720</v>
      </c>
      <c r="V320" s="179">
        <f>IF(T320&gt;0,Ruimtestaat[[#This Row],[Prest. (m2 /jaar) werkdagen]]/Ruimtestaat[[#This Row],[Norm (m2/uur) werkdagen]],0)</f>
        <v>0</v>
      </c>
      <c r="W320" s="180">
        <f>Ruimtestaat[[#This Row],[uren / jaar werkdagen]]*Tariefsopbouw!$E$35</f>
        <v>0</v>
      </c>
      <c r="X320" s="149"/>
      <c r="Y320" s="149">
        <f>IF(Ruimtestaat[[#This Row],[Frequentie weekend]]&gt;0,VALUE(LEFT(X320,1))*Q320,0)</f>
        <v>0</v>
      </c>
      <c r="Z320" s="148">
        <f>IF($Y320&gt;0,VLOOKUP($J320,Ruimtegroepen[],3,FALSE)*VLOOKUP($L320,Vloersoorten[],3,FALSE)*VLOOKUP($X320,Frequenties[],3,FALSE)*VLOOKUP(Ruimtestaat[[#This Row],[Code]],Locaties[],3,FALSE),0)</f>
        <v>0</v>
      </c>
      <c r="AA320" s="148">
        <f>Ruimtestaat[[#This Row],[Uitvoeringen weekend]]*Ruimtestaat[[#This Row],[Oppervlak (netto)]]</f>
        <v>0</v>
      </c>
      <c r="AB320" s="148">
        <f>IF(Z320&gt;0,Ruimtestaat[[#This Row],[Prest. (m2 /jaar) weekend]]/Ruimtestaat[[#This Row],[Norm (m2/uur) weekend]],0)</f>
        <v>0</v>
      </c>
      <c r="AC320" s="180">
        <f>Ruimtestaat[[#This Row],[uren / jaar weekend]]*Tariefsopbouw!$D$40</f>
        <v>0</v>
      </c>
      <c r="AD320" s="179">
        <f>Ruimtestaat[[#This Row],[Prest. (m2 /jaar) weekend]]+Ruimtestaat[[#This Row],[Prest. (m2 /jaar) werkdagen]]</f>
        <v>1720</v>
      </c>
      <c r="AE320" s="179">
        <f>Ruimtestaat[[#This Row],[uren / jaar weekend]]+Ruimtestaat[[#This Row],[uren / jaar werkdagen]]</f>
        <v>0</v>
      </c>
      <c r="AF320" s="174">
        <f>Ruimtestaat[[#This Row],[kosten / jaar weekend]]+Ruimtestaat[[#This Row],[kosten / jaar werkdagen]]</f>
        <v>0</v>
      </c>
      <c r="AG320" s="174"/>
      <c r="AH320" s="181" t="str">
        <f>IF(Ruimtestaat[[#This Row],[Frequentie werkdagen]]="","",_xlfn.CONCAT(Ruimtestaat[[#This Row],[Ruimte code]],"-",Ruimtestaat[[#This Row],[Frequentie werkdagen]]," ",Ruimtestaat[[#This Row],[Vloer code]]))</f>
        <v>7-5w T</v>
      </c>
      <c r="AI320" s="185" t="str">
        <f>_xlfn.IFNA(VLOOKUP($AH320,Programma!$F$3:$G$1101,2,0),"")</f>
        <v>_</v>
      </c>
      <c r="AJ320" s="185" t="str">
        <f>_xlfn.IFNA(VLOOKUP($AH320,Programma!$F$3:$H$1101,3,0),"")</f>
        <v>5w</v>
      </c>
      <c r="AK320" s="185" t="str">
        <f>_xlfn.IFNA(VLOOKUP($AH320,Programma!$F$3:$I$1101,4,0),"")</f>
        <v>_</v>
      </c>
      <c r="AL320" s="185" t="str">
        <f>_xlfn.IFNA(VLOOKUP($AH320,Programma!$F$3:$J$1101,5,0),"")</f>
        <v>_</v>
      </c>
      <c r="AM320" s="185" t="str">
        <f>_xlfn.IFNA(VLOOKUP($AH320,Programma!$F$3:$K$1101,6,0),"")</f>
        <v>_</v>
      </c>
      <c r="AN320" s="185" t="str">
        <f>_xlfn.IFNA(VLOOKUP($AH320,Programma!$F$3:$L$1101,7,0),"")</f>
        <v>_</v>
      </c>
      <c r="AO320" s="185" t="str">
        <f>_xlfn.IFNA(VLOOKUP($AH320,Programma!$F$3:$M$1101,8,0),"")</f>
        <v>_</v>
      </c>
      <c r="AP320" s="185" t="str">
        <f>_xlfn.IFNA(VLOOKUP($AH320,Programma!$F$3:$N$1101,9,0),"")</f>
        <v>_</v>
      </c>
      <c r="AQ320" s="185" t="str">
        <f>_xlfn.IFNA(VLOOKUP($AH320,Programma!$F$3:$O$1101,10,0),"")</f>
        <v>5w</v>
      </c>
      <c r="AR320" s="185" t="str">
        <f>_xlfn.IFNA(VLOOKUP($AH320,Programma!$F$3:$P$1101,11,0),"")</f>
        <v>5w</v>
      </c>
      <c r="AS320" s="185" t="str">
        <f>_xlfn.IFNA(VLOOKUP($AH320,Programma!$F$3:$Q$1101,12,0),"")</f>
        <v>1w</v>
      </c>
      <c r="AT320" s="185" t="str">
        <f>_xlfn.IFNA(VLOOKUP($AH320,Programma!$F$3:$R$1101,13,0),"")</f>
        <v>1w</v>
      </c>
      <c r="AU320" s="185" t="str">
        <f>_xlfn.IFNA(VLOOKUP($AH320,Programma!$F$3:$S$1101,14,0),"")</f>
        <v>1m</v>
      </c>
      <c r="AV320" s="185" t="str">
        <f>_xlfn.IFNA(VLOOKUP($AH320,Programma!$F$3:$T$1101,15,0),"")</f>
        <v>2j</v>
      </c>
      <c r="AW320" s="185" t="str">
        <f>_xlfn.IFNA(VLOOKUP($AH320,Programma!$F$3:$U$1101,16,0),"")</f>
        <v>1j</v>
      </c>
      <c r="AX320" s="185" t="str">
        <f>_xlfn.IFNA(VLOOKUP($AH320,Programma!$F$3:$V$1101,17,0),"")</f>
        <v>_</v>
      </c>
      <c r="AY320" s="185" t="str">
        <f>_xlfn.IFNA(VLOOKUP($AH320,Programma!$F$3:$W$1101,18,0),"")</f>
        <v>_</v>
      </c>
      <c r="AZ320" s="185" t="str">
        <f>_xlfn.IFNA(VLOOKUP($AH320,Programma!$F$3:$X$1101,19,0),"")</f>
        <v>_</v>
      </c>
      <c r="BA320" s="185" t="str">
        <f>_xlfn.IFNA(VLOOKUP($AH320,Programma!$F$3:$Y$1101,20,0),"")</f>
        <v>_</v>
      </c>
      <c r="BB320" s="182"/>
      <c r="BC320" s="181" t="str">
        <f>IF(Ruimtestaat[[#This Row],[Frequentie weekend]]="","",_xlfn.CONCAT(Ruimtestaat[[#This Row],[Ruimte code]],"-",Ruimtestaat[[#This Row],[Frequentie weekend]]," ",Ruimtestaat[[#This Row],[Vloer code]]))</f>
        <v/>
      </c>
      <c r="BD320" s="185" t="str">
        <f>_xlfn.IFNA(VLOOKUP($BC320,Programma!$F$3:$G$1101,2,0),"")</f>
        <v/>
      </c>
      <c r="BE320" s="185" t="str">
        <f>_xlfn.IFNA(VLOOKUP($BC320,Programma!$F$3:$H$1101,3,0),"")</f>
        <v/>
      </c>
      <c r="BF320" s="185" t="str">
        <f>_xlfn.IFNA(VLOOKUP($BC320,Programma!$F$3:$I$1101,4,0),"")</f>
        <v/>
      </c>
      <c r="BG320" s="185" t="str">
        <f>_xlfn.IFNA(VLOOKUP($BC320,Programma!$F$3:$J$1101,5,0),"")</f>
        <v/>
      </c>
      <c r="BH320" s="185" t="str">
        <f>_xlfn.IFNA(VLOOKUP($BC320,Programma!$F$3:$K$1101,6,0),"")</f>
        <v/>
      </c>
      <c r="BI320" s="185" t="str">
        <f>_xlfn.IFNA(VLOOKUP($BC320,Programma!$F$3:$L$1101,7,0),"")</f>
        <v/>
      </c>
      <c r="BJ320" s="185" t="str">
        <f>_xlfn.IFNA(VLOOKUP($BC320,Programma!$F$3:$M$1101,8,0),"")</f>
        <v/>
      </c>
      <c r="BK320" s="185" t="str">
        <f>_xlfn.IFNA(VLOOKUP($BC320,Programma!$F$3:$N$1101,9,0),"")</f>
        <v/>
      </c>
      <c r="BL320" s="185" t="str">
        <f>_xlfn.IFNA(VLOOKUP($BC320,Programma!$F$3:$O$1101,10,0),"")</f>
        <v/>
      </c>
      <c r="BM320" s="185" t="str">
        <f>_xlfn.IFNA(VLOOKUP($BC320,Programma!$F$3:$P$1101,11,0),"")</f>
        <v/>
      </c>
      <c r="BN320" s="185" t="str">
        <f>_xlfn.IFNA(VLOOKUP($BC320,Programma!$F$3:$Q$1101,12,0),"")</f>
        <v/>
      </c>
      <c r="BO320" s="185" t="str">
        <f>_xlfn.IFNA(VLOOKUP($BC320,Programma!$F$3:$R$1101,13,0),"")</f>
        <v/>
      </c>
      <c r="BP320" s="185" t="str">
        <f>_xlfn.IFNA(VLOOKUP($BC320,Programma!$F$3:$S$1101,14,0),"")</f>
        <v/>
      </c>
      <c r="BQ320" s="185" t="str">
        <f>_xlfn.IFNA(VLOOKUP($BC320,Programma!$F$3:$T$1101,15,0),"")</f>
        <v/>
      </c>
      <c r="BR320" s="185" t="str">
        <f>_xlfn.IFNA(VLOOKUP($BC320,Programma!$F$3:$U$1101,16,0),"")</f>
        <v/>
      </c>
      <c r="BS320" s="185" t="str">
        <f>_xlfn.IFNA(VLOOKUP($BC320,Programma!$F$3:$V$1101,17,0),"")</f>
        <v/>
      </c>
      <c r="BT320" s="185" t="str">
        <f>_xlfn.IFNA(VLOOKUP($BC320,Programma!$F$3:$W$1101,18,0),"")</f>
        <v/>
      </c>
      <c r="BU320" s="185" t="str">
        <f>_xlfn.IFNA(VLOOKUP($BC320,Programma!$F$3:$X$1101,19,0),"")</f>
        <v/>
      </c>
      <c r="BV320" s="185" t="str">
        <f>_xlfn.IFNA(VLOOKUP($BC320,Programma!$F$3:$Y$1101,20,0),"")</f>
        <v/>
      </c>
    </row>
    <row r="321" spans="1:74" s="78" customFormat="1" ht="15" customHeight="1">
      <c r="A321" s="99">
        <v>10</v>
      </c>
      <c r="B321" s="176" t="str">
        <f>VLOOKUP(Ruimtestaat[[#This Row],[Code]],Locaties[[Code]:[Locatie]],2,FALSE)</f>
        <v>OJBS Het Palet</v>
      </c>
      <c r="C321" s="176" t="str">
        <f>VLOOKUP(Ruimtestaat[[#This Row],[Code]],Locaties[[#All],[Code]:[Adres]],4,FALSE)</f>
        <v>Ger. Terborghstraat 9</v>
      </c>
      <c r="D321" s="176" t="str">
        <f>VLOOKUP(Ruimtestaat[[#This Row],[Code]],Locaties[[#All],[Code]:[Postcode]],5,FALSE)</f>
        <v>7545 BV</v>
      </c>
      <c r="E321" s="176" t="str">
        <f>VLOOKUP(Ruimtestaat[[#This Row],[Code]],Locaties[#All],6,FALSE)</f>
        <v>Enschede</v>
      </c>
      <c r="F321" s="149"/>
      <c r="G321" s="149" t="s">
        <v>1646</v>
      </c>
      <c r="H321" s="99" t="s">
        <v>1672</v>
      </c>
      <c r="I321" s="183" t="s">
        <v>1655</v>
      </c>
      <c r="J321" s="99">
        <v>5</v>
      </c>
      <c r="K321" s="183" t="str">
        <f>VLOOKUP(Ruimtestaat[[#This Row],[Ruimte code]],Ruimtegroepen[[#All],[Code]:[Ruimte omschrijving]],2,FALSE)</f>
        <v>Sanitair</v>
      </c>
      <c r="L321" s="149" t="s">
        <v>101</v>
      </c>
      <c r="M321" s="301" t="s">
        <v>1682</v>
      </c>
      <c r="N321" s="177">
        <v>6.1</v>
      </c>
      <c r="O321" s="177"/>
      <c r="P321" s="178" t="str">
        <f>VLOOKUP(Ruimtestaat[[#This Row],[Ruimte code]],Ruimtegroepen[],4,FALSE)</f>
        <v>Sa</v>
      </c>
      <c r="Q321" s="149">
        <v>40</v>
      </c>
      <c r="R321" s="149" t="s">
        <v>2</v>
      </c>
      <c r="S321" s="149">
        <f>IF(Q321&gt;0,IF(RIGHT(Ruimtestaat[[#This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1" s="149">
        <f>IF(S321&gt;0,VLOOKUP($J321,Ruimtegroepen[],3,FALSE)*VLOOKUP($L321,Vloersoorten[],3,FALSE)*VLOOKUP($R321,Frequenties[],3,FALSE)*VLOOKUP($A321,Locaties[],3,FALSE),0)</f>
        <v>0</v>
      </c>
      <c r="U321" s="149">
        <f>Ruimtestaat[[#This Row],[Uitvoeringen werkdagen]]*Ruimtestaat[[#This Row],[Oppervlak (netto)]]</f>
        <v>1220</v>
      </c>
      <c r="V321" s="179">
        <f>IF(T321&gt;0,Ruimtestaat[[#This Row],[Prest. (m2 /jaar) werkdagen]]/Ruimtestaat[[#This Row],[Norm (m2/uur) werkdagen]],0)</f>
        <v>0</v>
      </c>
      <c r="W321" s="180">
        <f>Ruimtestaat[[#This Row],[uren / jaar werkdagen]]*Tariefsopbouw!$E$35</f>
        <v>0</v>
      </c>
      <c r="X321" s="149"/>
      <c r="Y321" s="149">
        <f>IF(Ruimtestaat[[#This Row],[Frequentie weekend]]&gt;0,VALUE(LEFT(X321,1))*Q321,0)</f>
        <v>0</v>
      </c>
      <c r="Z321" s="148">
        <f>IF($Y321&gt;0,VLOOKUP($J321,Ruimtegroepen[],3,FALSE)*VLOOKUP($L321,Vloersoorten[],3,FALSE)*VLOOKUP($X321,Frequenties[],3,FALSE)*VLOOKUP(Ruimtestaat[[#This Row],[Code]],Locaties[],3,FALSE),0)</f>
        <v>0</v>
      </c>
      <c r="AA321" s="148">
        <f>Ruimtestaat[[#This Row],[Uitvoeringen weekend]]*Ruimtestaat[[#This Row],[Oppervlak (netto)]]</f>
        <v>0</v>
      </c>
      <c r="AB321" s="148">
        <f>IF(Z321&gt;0,Ruimtestaat[[#This Row],[Prest. (m2 /jaar) weekend]]/Ruimtestaat[[#This Row],[Norm (m2/uur) weekend]],0)</f>
        <v>0</v>
      </c>
      <c r="AC321" s="180">
        <f>Ruimtestaat[[#This Row],[uren / jaar weekend]]*Tariefsopbouw!$D$40</f>
        <v>0</v>
      </c>
      <c r="AD321" s="179">
        <f>Ruimtestaat[[#This Row],[Prest. (m2 /jaar) weekend]]+Ruimtestaat[[#This Row],[Prest. (m2 /jaar) werkdagen]]</f>
        <v>1220</v>
      </c>
      <c r="AE321" s="179">
        <f>Ruimtestaat[[#This Row],[uren / jaar weekend]]+Ruimtestaat[[#This Row],[uren / jaar werkdagen]]</f>
        <v>0</v>
      </c>
      <c r="AF321" s="174">
        <f>Ruimtestaat[[#This Row],[kosten / jaar weekend]]+Ruimtestaat[[#This Row],[kosten / jaar werkdagen]]</f>
        <v>0</v>
      </c>
      <c r="AG321" s="174"/>
      <c r="AH321" s="181" t="str">
        <f>IF(Ruimtestaat[[#This Row],[Frequentie werkdagen]]="","",_xlfn.CONCAT(Ruimtestaat[[#This Row],[Ruimte code]],"-",Ruimtestaat[[#This Row],[Frequentie werkdagen]]," ",Ruimtestaat[[#This Row],[Vloer code]]))</f>
        <v>5-5w S</v>
      </c>
      <c r="AI321" s="185" t="str">
        <f>_xlfn.IFNA(VLOOKUP($AH321,Programma!$F$3:$G$1101,2,0),"")</f>
        <v>_</v>
      </c>
      <c r="AJ321" s="185" t="str">
        <f>_xlfn.IFNA(VLOOKUP($AH321,Programma!$F$3:$H$1101,3,0),"")</f>
        <v>_</v>
      </c>
      <c r="AK321" s="185" t="str">
        <f>_xlfn.IFNA(VLOOKUP($AH321,Programma!$F$3:$I$1101,4,0),"")</f>
        <v>_</v>
      </c>
      <c r="AL321" s="185" t="str">
        <f>_xlfn.IFNA(VLOOKUP($AH321,Programma!$F$3:$J$1101,5,0),"")</f>
        <v>4w</v>
      </c>
      <c r="AM321" s="185" t="str">
        <f>_xlfn.IFNA(VLOOKUP($AH321,Programma!$F$3:$K$1101,6,0),"")</f>
        <v>1w</v>
      </c>
      <c r="AN321" s="185" t="str">
        <f>_xlfn.IFNA(VLOOKUP($AH321,Programma!$F$3:$L$1101,7,0),"")</f>
        <v>_</v>
      </c>
      <c r="AO321" s="185" t="str">
        <f>_xlfn.IFNA(VLOOKUP($AH321,Programma!$F$3:$M$1101,8,0),"")</f>
        <v>_</v>
      </c>
      <c r="AP321" s="185" t="str">
        <f>_xlfn.IFNA(VLOOKUP($AH321,Programma!$F$3:$N$1101,9,0),"")</f>
        <v>_</v>
      </c>
      <c r="AQ321" s="185" t="str">
        <f>_xlfn.IFNA(VLOOKUP($AH321,Programma!$F$3:$O$1101,10,0),"")</f>
        <v>_</v>
      </c>
      <c r="AR321" s="185" t="str">
        <f>_xlfn.IFNA(VLOOKUP($AH321,Programma!$F$3:$P$1101,11,0),"")</f>
        <v>_</v>
      </c>
      <c r="AS321" s="185" t="str">
        <f>_xlfn.IFNA(VLOOKUP($AH321,Programma!$F$3:$Q$1101,12,0),"")</f>
        <v>_</v>
      </c>
      <c r="AT321" s="185" t="str">
        <f>_xlfn.IFNA(VLOOKUP($AH321,Programma!$F$3:$R$1101,13,0),"")</f>
        <v>_</v>
      </c>
      <c r="AU321" s="185" t="str">
        <f>_xlfn.IFNA(VLOOKUP($AH321,Programma!$F$3:$S$1101,14,0),"")</f>
        <v>_</v>
      </c>
      <c r="AV321" s="185" t="str">
        <f>_xlfn.IFNA(VLOOKUP($AH321,Programma!$F$3:$T$1101,15,0),"")</f>
        <v>_</v>
      </c>
      <c r="AW321" s="185" t="str">
        <f>_xlfn.IFNA(VLOOKUP($AH321,Programma!$F$3:$U$1101,16,0),"")</f>
        <v>_</v>
      </c>
      <c r="AX321" s="185" t="str">
        <f>_xlfn.IFNA(VLOOKUP($AH321,Programma!$F$3:$V$1101,17,0),"")</f>
        <v>_</v>
      </c>
      <c r="AY321" s="185" t="str">
        <f>_xlfn.IFNA(VLOOKUP($AH321,Programma!$F$3:$W$1101,18,0),"")</f>
        <v>4w</v>
      </c>
      <c r="AZ321" s="185" t="str">
        <f>_xlfn.IFNA(VLOOKUP($AH321,Programma!$F$3:$X$1101,19,0),"")</f>
        <v>1w</v>
      </c>
      <c r="BA321" s="185" t="str">
        <f>_xlfn.IFNA(VLOOKUP($AH321,Programma!$F$3:$Y$1101,20,0),"")</f>
        <v>_</v>
      </c>
      <c r="BB321" s="182"/>
      <c r="BC321" s="181" t="str">
        <f>IF(Ruimtestaat[[#This Row],[Frequentie weekend]]="","",_xlfn.CONCAT(Ruimtestaat[[#This Row],[Ruimte code]],"-",Ruimtestaat[[#This Row],[Frequentie weekend]]," ",Ruimtestaat[[#This Row],[Vloer code]]))</f>
        <v/>
      </c>
      <c r="BD321" s="185" t="str">
        <f>_xlfn.IFNA(VLOOKUP($BC321,Programma!$F$3:$G$1101,2,0),"")</f>
        <v/>
      </c>
      <c r="BE321" s="185" t="str">
        <f>_xlfn.IFNA(VLOOKUP($BC321,Programma!$F$3:$H$1101,3,0),"")</f>
        <v/>
      </c>
      <c r="BF321" s="185" t="str">
        <f>_xlfn.IFNA(VLOOKUP($BC321,Programma!$F$3:$I$1101,4,0),"")</f>
        <v/>
      </c>
      <c r="BG321" s="185" t="str">
        <f>_xlfn.IFNA(VLOOKUP($BC321,Programma!$F$3:$J$1101,5,0),"")</f>
        <v/>
      </c>
      <c r="BH321" s="185" t="str">
        <f>_xlfn.IFNA(VLOOKUP($BC321,Programma!$F$3:$K$1101,6,0),"")</f>
        <v/>
      </c>
      <c r="BI321" s="185" t="str">
        <f>_xlfn.IFNA(VLOOKUP($BC321,Programma!$F$3:$L$1101,7,0),"")</f>
        <v/>
      </c>
      <c r="BJ321" s="185" t="str">
        <f>_xlfn.IFNA(VLOOKUP($BC321,Programma!$F$3:$M$1101,8,0),"")</f>
        <v/>
      </c>
      <c r="BK321" s="185" t="str">
        <f>_xlfn.IFNA(VLOOKUP($BC321,Programma!$F$3:$N$1101,9,0),"")</f>
        <v/>
      </c>
      <c r="BL321" s="185" t="str">
        <f>_xlfn.IFNA(VLOOKUP($BC321,Programma!$F$3:$O$1101,10,0),"")</f>
        <v/>
      </c>
      <c r="BM321" s="185" t="str">
        <f>_xlfn.IFNA(VLOOKUP($BC321,Programma!$F$3:$P$1101,11,0),"")</f>
        <v/>
      </c>
      <c r="BN321" s="185" t="str">
        <f>_xlfn.IFNA(VLOOKUP($BC321,Programma!$F$3:$Q$1101,12,0),"")</f>
        <v/>
      </c>
      <c r="BO321" s="185" t="str">
        <f>_xlfn.IFNA(VLOOKUP($BC321,Programma!$F$3:$R$1101,13,0),"")</f>
        <v/>
      </c>
      <c r="BP321" s="185" t="str">
        <f>_xlfn.IFNA(VLOOKUP($BC321,Programma!$F$3:$S$1101,14,0),"")</f>
        <v/>
      </c>
      <c r="BQ321" s="185" t="str">
        <f>_xlfn.IFNA(VLOOKUP($BC321,Programma!$F$3:$T$1101,15,0),"")</f>
        <v/>
      </c>
      <c r="BR321" s="185" t="str">
        <f>_xlfn.IFNA(VLOOKUP($BC321,Programma!$F$3:$U$1101,16,0),"")</f>
        <v/>
      </c>
      <c r="BS321" s="185" t="str">
        <f>_xlfn.IFNA(VLOOKUP($BC321,Programma!$F$3:$V$1101,17,0),"")</f>
        <v/>
      </c>
      <c r="BT321" s="185" t="str">
        <f>_xlfn.IFNA(VLOOKUP($BC321,Programma!$F$3:$W$1101,18,0),"")</f>
        <v/>
      </c>
      <c r="BU321" s="185" t="str">
        <f>_xlfn.IFNA(VLOOKUP($BC321,Programma!$F$3:$X$1101,19,0),"")</f>
        <v/>
      </c>
      <c r="BV321" s="185" t="str">
        <f>_xlfn.IFNA(VLOOKUP($BC321,Programma!$F$3:$Y$1101,20,0),"")</f>
        <v/>
      </c>
    </row>
    <row r="322" spans="1:74" s="78" customFormat="1" ht="15" customHeight="1">
      <c r="A322" s="99">
        <v>10</v>
      </c>
      <c r="B322" s="176" t="str">
        <f>VLOOKUP(Ruimtestaat[[#This Row],[Code]],Locaties[[Code]:[Locatie]],2,FALSE)</f>
        <v>OJBS Het Palet</v>
      </c>
      <c r="C322" s="176" t="str">
        <f>VLOOKUP(Ruimtestaat[[#This Row],[Code]],Locaties[[#All],[Code]:[Adres]],4,FALSE)</f>
        <v>Ger. Terborghstraat 9</v>
      </c>
      <c r="D322" s="176" t="str">
        <f>VLOOKUP(Ruimtestaat[[#This Row],[Code]],Locaties[[#All],[Code]:[Postcode]],5,FALSE)</f>
        <v>7545 BV</v>
      </c>
      <c r="E322" s="176" t="str">
        <f>VLOOKUP(Ruimtestaat[[#This Row],[Code]],Locaties[#All],6,FALSE)</f>
        <v>Enschede</v>
      </c>
      <c r="F322" s="149"/>
      <c r="G322" s="149" t="s">
        <v>1714</v>
      </c>
      <c r="H322" s="99" t="s">
        <v>1735</v>
      </c>
      <c r="I322" s="183" t="s">
        <v>1651</v>
      </c>
      <c r="J322" s="99">
        <v>16</v>
      </c>
      <c r="K322" s="183" t="str">
        <f>VLOOKUP(Ruimtestaat[[#This Row],[Ruimte code]],Ruimtegroepen[[#All],[Code]:[Ruimte omschrijving]],2,FALSE)</f>
        <v>Leslokalen</v>
      </c>
      <c r="L322" s="149" t="s">
        <v>102</v>
      </c>
      <c r="M322" s="301" t="s">
        <v>120</v>
      </c>
      <c r="N322" s="177">
        <v>58.6</v>
      </c>
      <c r="O322" s="177"/>
      <c r="P322" s="178" t="str">
        <f>VLOOKUP(Ruimtestaat[[#This Row],[Ruimte code]],Ruimtegroepen[],4,FALSE)</f>
        <v>Le</v>
      </c>
      <c r="Q322" s="149">
        <v>40</v>
      </c>
      <c r="R322" s="149" t="s">
        <v>2</v>
      </c>
      <c r="S322" s="149">
        <f>IF(Q322&gt;0,IF(RIGHT(Ruimtestaat[[#This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2" s="149">
        <f>IF(S322&gt;0,VLOOKUP($J322,Ruimtegroepen[],3,FALSE)*VLOOKUP($L322,Vloersoorten[],3,FALSE)*VLOOKUP($R322,Frequenties[],3,FALSE)*VLOOKUP($A322,Locaties[],3,FALSE),0)</f>
        <v>0</v>
      </c>
      <c r="U322" s="149">
        <f>Ruimtestaat[[#This Row],[Uitvoeringen werkdagen]]*Ruimtestaat[[#This Row],[Oppervlak (netto)]]</f>
        <v>11720</v>
      </c>
      <c r="V322" s="179">
        <f>IF(T322&gt;0,Ruimtestaat[[#This Row],[Prest. (m2 /jaar) werkdagen]]/Ruimtestaat[[#This Row],[Norm (m2/uur) werkdagen]],0)</f>
        <v>0</v>
      </c>
      <c r="W322" s="180">
        <f>Ruimtestaat[[#This Row],[uren / jaar werkdagen]]*Tariefsopbouw!$E$35</f>
        <v>0</v>
      </c>
      <c r="X322" s="149"/>
      <c r="Y322" s="149">
        <f>IF(Ruimtestaat[[#This Row],[Frequentie weekend]]&gt;0,VALUE(LEFT(X322,1))*Q322,0)</f>
        <v>0</v>
      </c>
      <c r="Z322" s="148">
        <f>IF($Y322&gt;0,VLOOKUP($J322,Ruimtegroepen[],3,FALSE)*VLOOKUP($L322,Vloersoorten[],3,FALSE)*VLOOKUP($X322,Frequenties[],3,FALSE)*VLOOKUP(Ruimtestaat[[#This Row],[Code]],Locaties[],3,FALSE),0)</f>
        <v>0</v>
      </c>
      <c r="AA322" s="148">
        <f>Ruimtestaat[[#This Row],[Uitvoeringen weekend]]*Ruimtestaat[[#This Row],[Oppervlak (netto)]]</f>
        <v>0</v>
      </c>
      <c r="AB322" s="148">
        <f>IF(Z322&gt;0,Ruimtestaat[[#This Row],[Prest. (m2 /jaar) weekend]]/Ruimtestaat[[#This Row],[Norm (m2/uur) weekend]],0)</f>
        <v>0</v>
      </c>
      <c r="AC322" s="180">
        <f>Ruimtestaat[[#This Row],[uren / jaar weekend]]*Tariefsopbouw!$D$40</f>
        <v>0</v>
      </c>
      <c r="AD322" s="179">
        <f>Ruimtestaat[[#This Row],[Prest. (m2 /jaar) weekend]]+Ruimtestaat[[#This Row],[Prest. (m2 /jaar) werkdagen]]</f>
        <v>11720</v>
      </c>
      <c r="AE322" s="179">
        <f>Ruimtestaat[[#This Row],[uren / jaar weekend]]+Ruimtestaat[[#This Row],[uren / jaar werkdagen]]</f>
        <v>0</v>
      </c>
      <c r="AF322" s="174">
        <f>Ruimtestaat[[#This Row],[kosten / jaar weekend]]+Ruimtestaat[[#This Row],[kosten / jaar werkdagen]]</f>
        <v>0</v>
      </c>
      <c r="AG322" s="174"/>
      <c r="AH322" s="181" t="str">
        <f>IF(Ruimtestaat[[#This Row],[Frequentie werkdagen]]="","",_xlfn.CONCAT(Ruimtestaat[[#This Row],[Ruimte code]],"-",Ruimtestaat[[#This Row],[Frequentie werkdagen]]," ",Ruimtestaat[[#This Row],[Vloer code]]))</f>
        <v>16-5w P</v>
      </c>
      <c r="AI322" s="185" t="str">
        <f>_xlfn.IFNA(VLOOKUP($AH322,Programma!$F$3:$G$1101,2,0),"")</f>
        <v>_</v>
      </c>
      <c r="AJ322" s="185" t="str">
        <f>_xlfn.IFNA(VLOOKUP($AH322,Programma!$F$3:$H$1101,3,0),"")</f>
        <v>_</v>
      </c>
      <c r="AK322" s="185" t="str">
        <f>_xlfn.IFNA(VLOOKUP($AH322,Programma!$F$3:$I$1101,4,0),"")</f>
        <v>4w</v>
      </c>
      <c r="AL322" s="185" t="str">
        <f>_xlfn.IFNA(VLOOKUP($AH322,Programma!$F$3:$J$1101,5,0),"")</f>
        <v>1w</v>
      </c>
      <c r="AM322" s="185" t="str">
        <f>_xlfn.IFNA(VLOOKUP($AH322,Programma!$F$3:$K$1101,6,0),"")</f>
        <v>1m</v>
      </c>
      <c r="AN322" s="185" t="str">
        <f>_xlfn.IFNA(VLOOKUP($AH322,Programma!$F$3:$L$1101,7,0),"")</f>
        <v>_</v>
      </c>
      <c r="AO322" s="185" t="str">
        <f>_xlfn.IFNA(VLOOKUP($AH322,Programma!$F$3:$M$1101,8,0),"")</f>
        <v>_</v>
      </c>
      <c r="AP322" s="185" t="str">
        <f>_xlfn.IFNA(VLOOKUP($AH322,Programma!$F$3:$N$1101,9,0),"")</f>
        <v>_</v>
      </c>
      <c r="AQ322" s="185" t="str">
        <f>_xlfn.IFNA(VLOOKUP($AH322,Programma!$F$3:$O$1101,10,0),"")</f>
        <v>5w</v>
      </c>
      <c r="AR322" s="185" t="str">
        <f>_xlfn.IFNA(VLOOKUP($AH322,Programma!$F$3:$P$1101,11,0),"")</f>
        <v>5w</v>
      </c>
      <c r="AS322" s="185" t="str">
        <f>_xlfn.IFNA(VLOOKUP($AH322,Programma!$F$3:$Q$1101,12,0),"")</f>
        <v>1w</v>
      </c>
      <c r="AT322" s="185" t="str">
        <f>_xlfn.IFNA(VLOOKUP($AH322,Programma!$F$3:$R$1101,13,0),"")</f>
        <v>1w</v>
      </c>
      <c r="AU322" s="185" t="str">
        <f>_xlfn.IFNA(VLOOKUP($AH322,Programma!$F$3:$S$1101,14,0),"")</f>
        <v>1m</v>
      </c>
      <c r="AV322" s="185" t="str">
        <f>_xlfn.IFNA(VLOOKUP($AH322,Programma!$F$3:$T$1101,15,0),"")</f>
        <v>2j</v>
      </c>
      <c r="AW322" s="185" t="str">
        <f>_xlfn.IFNA(VLOOKUP($AH322,Programma!$F$3:$U$1101,16,0),"")</f>
        <v>1j</v>
      </c>
      <c r="AX322" s="185" t="str">
        <f>_xlfn.IFNA(VLOOKUP($AH322,Programma!$F$3:$V$1101,17,0),"")</f>
        <v>_</v>
      </c>
      <c r="AY322" s="185" t="str">
        <f>_xlfn.IFNA(VLOOKUP($AH322,Programma!$F$3:$W$1101,18,0),"")</f>
        <v>_</v>
      </c>
      <c r="AZ322" s="185" t="str">
        <f>_xlfn.IFNA(VLOOKUP($AH322,Programma!$F$3:$X$1101,19,0),"")</f>
        <v>_</v>
      </c>
      <c r="BA322" s="185" t="str">
        <f>_xlfn.IFNA(VLOOKUP($AH322,Programma!$F$3:$Y$1101,20,0),"")</f>
        <v>_</v>
      </c>
      <c r="BB322" s="182"/>
      <c r="BC322" s="181" t="str">
        <f>IF(Ruimtestaat[[#This Row],[Frequentie weekend]]="","",_xlfn.CONCAT(Ruimtestaat[[#This Row],[Ruimte code]],"-",Ruimtestaat[[#This Row],[Frequentie weekend]]," ",Ruimtestaat[[#This Row],[Vloer code]]))</f>
        <v/>
      </c>
      <c r="BD322" s="185" t="str">
        <f>_xlfn.IFNA(VLOOKUP($BC322,Programma!$F$3:$G$1101,2,0),"")</f>
        <v/>
      </c>
      <c r="BE322" s="185" t="str">
        <f>_xlfn.IFNA(VLOOKUP($BC322,Programma!$F$3:$H$1101,3,0),"")</f>
        <v/>
      </c>
      <c r="BF322" s="185" t="str">
        <f>_xlfn.IFNA(VLOOKUP($BC322,Programma!$F$3:$I$1101,4,0),"")</f>
        <v/>
      </c>
      <c r="BG322" s="185" t="str">
        <f>_xlfn.IFNA(VLOOKUP($BC322,Programma!$F$3:$J$1101,5,0),"")</f>
        <v/>
      </c>
      <c r="BH322" s="185" t="str">
        <f>_xlfn.IFNA(VLOOKUP($BC322,Programma!$F$3:$K$1101,6,0),"")</f>
        <v/>
      </c>
      <c r="BI322" s="185" t="str">
        <f>_xlfn.IFNA(VLOOKUP($BC322,Programma!$F$3:$L$1101,7,0),"")</f>
        <v/>
      </c>
      <c r="BJ322" s="185" t="str">
        <f>_xlfn.IFNA(VLOOKUP($BC322,Programma!$F$3:$M$1101,8,0),"")</f>
        <v/>
      </c>
      <c r="BK322" s="185" t="str">
        <f>_xlfn.IFNA(VLOOKUP($BC322,Programma!$F$3:$N$1101,9,0),"")</f>
        <v/>
      </c>
      <c r="BL322" s="185" t="str">
        <f>_xlfn.IFNA(VLOOKUP($BC322,Programma!$F$3:$O$1101,10,0),"")</f>
        <v/>
      </c>
      <c r="BM322" s="185" t="str">
        <f>_xlfn.IFNA(VLOOKUP($BC322,Programma!$F$3:$P$1101,11,0),"")</f>
        <v/>
      </c>
      <c r="BN322" s="185" t="str">
        <f>_xlfn.IFNA(VLOOKUP($BC322,Programma!$F$3:$Q$1101,12,0),"")</f>
        <v/>
      </c>
      <c r="BO322" s="185" t="str">
        <f>_xlfn.IFNA(VLOOKUP($BC322,Programma!$F$3:$R$1101,13,0),"")</f>
        <v/>
      </c>
      <c r="BP322" s="185" t="str">
        <f>_xlfn.IFNA(VLOOKUP($BC322,Programma!$F$3:$S$1101,14,0),"")</f>
        <v/>
      </c>
      <c r="BQ322" s="185" t="str">
        <f>_xlfn.IFNA(VLOOKUP($BC322,Programma!$F$3:$T$1101,15,0),"")</f>
        <v/>
      </c>
      <c r="BR322" s="185" t="str">
        <f>_xlfn.IFNA(VLOOKUP($BC322,Programma!$F$3:$U$1101,16,0),"")</f>
        <v/>
      </c>
      <c r="BS322" s="185" t="str">
        <f>_xlfn.IFNA(VLOOKUP($BC322,Programma!$F$3:$V$1101,17,0),"")</f>
        <v/>
      </c>
      <c r="BT322" s="185" t="str">
        <f>_xlfn.IFNA(VLOOKUP($BC322,Programma!$F$3:$W$1101,18,0),"")</f>
        <v/>
      </c>
      <c r="BU322" s="185" t="str">
        <f>_xlfn.IFNA(VLOOKUP($BC322,Programma!$F$3:$X$1101,19,0),"")</f>
        <v/>
      </c>
      <c r="BV322" s="185" t="str">
        <f>_xlfn.IFNA(VLOOKUP($BC322,Programma!$F$3:$Y$1101,20,0),"")</f>
        <v/>
      </c>
    </row>
    <row r="323" spans="1:74" s="78" customFormat="1" ht="15" customHeight="1">
      <c r="A323" s="99">
        <v>10</v>
      </c>
      <c r="B323" s="176" t="str">
        <f>VLOOKUP(Ruimtestaat[[#This Row],[Code]],Locaties[[Code]:[Locatie]],2,FALSE)</f>
        <v>OJBS Het Palet</v>
      </c>
      <c r="C323" s="176" t="str">
        <f>VLOOKUP(Ruimtestaat[[#This Row],[Code]],Locaties[[#All],[Code]:[Adres]],4,FALSE)</f>
        <v>Ger. Terborghstraat 9</v>
      </c>
      <c r="D323" s="176" t="str">
        <f>VLOOKUP(Ruimtestaat[[#This Row],[Code]],Locaties[[#All],[Code]:[Postcode]],5,FALSE)</f>
        <v>7545 BV</v>
      </c>
      <c r="E323" s="176" t="str">
        <f>VLOOKUP(Ruimtestaat[[#This Row],[Code]],Locaties[#All],6,FALSE)</f>
        <v>Enschede</v>
      </c>
      <c r="F323" s="149"/>
      <c r="G323" s="149" t="s">
        <v>1714</v>
      </c>
      <c r="H323" s="99" t="s">
        <v>1736</v>
      </c>
      <c r="I323" s="183" t="s">
        <v>1651</v>
      </c>
      <c r="J323" s="99">
        <v>16</v>
      </c>
      <c r="K323" s="183" t="str">
        <f>VLOOKUP(Ruimtestaat[[#This Row],[Ruimte code]],Ruimtegroepen[[#All],[Code]:[Ruimte omschrijving]],2,FALSE)</f>
        <v>Leslokalen</v>
      </c>
      <c r="L323" s="149" t="s">
        <v>102</v>
      </c>
      <c r="M323" s="301" t="s">
        <v>120</v>
      </c>
      <c r="N323" s="177">
        <v>23.9</v>
      </c>
      <c r="O323" s="177"/>
      <c r="P323" s="178" t="str">
        <f>VLOOKUP(Ruimtestaat[[#This Row],[Ruimte code]],Ruimtegroepen[],4,FALSE)</f>
        <v>Le</v>
      </c>
      <c r="Q323" s="149">
        <v>40</v>
      </c>
      <c r="R323" s="149" t="s">
        <v>2</v>
      </c>
      <c r="S323" s="149">
        <f>IF(Q323&gt;0,IF(RIGHT(Ruimtestaat[[#This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3" s="149">
        <f>IF(S323&gt;0,VLOOKUP($J323,Ruimtegroepen[],3,FALSE)*VLOOKUP($L323,Vloersoorten[],3,FALSE)*VLOOKUP($R323,Frequenties[],3,FALSE)*VLOOKUP($A323,Locaties[],3,FALSE),0)</f>
        <v>0</v>
      </c>
      <c r="U323" s="149">
        <f>Ruimtestaat[[#This Row],[Uitvoeringen werkdagen]]*Ruimtestaat[[#This Row],[Oppervlak (netto)]]</f>
        <v>4780</v>
      </c>
      <c r="V323" s="179">
        <f>IF(T323&gt;0,Ruimtestaat[[#This Row],[Prest. (m2 /jaar) werkdagen]]/Ruimtestaat[[#This Row],[Norm (m2/uur) werkdagen]],0)</f>
        <v>0</v>
      </c>
      <c r="W323" s="180">
        <f>Ruimtestaat[[#This Row],[uren / jaar werkdagen]]*Tariefsopbouw!$E$35</f>
        <v>0</v>
      </c>
      <c r="X323" s="149"/>
      <c r="Y323" s="149">
        <f>IF(Ruimtestaat[[#This Row],[Frequentie weekend]]&gt;0,VALUE(LEFT(X323,1))*Q323,0)</f>
        <v>0</v>
      </c>
      <c r="Z323" s="148">
        <f>IF($Y323&gt;0,VLOOKUP($J323,Ruimtegroepen[],3,FALSE)*VLOOKUP($L323,Vloersoorten[],3,FALSE)*VLOOKUP($X323,Frequenties[],3,FALSE)*VLOOKUP(Ruimtestaat[[#This Row],[Code]],Locaties[],3,FALSE),0)</f>
        <v>0</v>
      </c>
      <c r="AA323" s="148">
        <f>Ruimtestaat[[#This Row],[Uitvoeringen weekend]]*Ruimtestaat[[#This Row],[Oppervlak (netto)]]</f>
        <v>0</v>
      </c>
      <c r="AB323" s="148">
        <f>IF(Z323&gt;0,Ruimtestaat[[#This Row],[Prest. (m2 /jaar) weekend]]/Ruimtestaat[[#This Row],[Norm (m2/uur) weekend]],0)</f>
        <v>0</v>
      </c>
      <c r="AC323" s="180">
        <f>Ruimtestaat[[#This Row],[uren / jaar weekend]]*Tariefsopbouw!$D$40</f>
        <v>0</v>
      </c>
      <c r="AD323" s="179">
        <f>Ruimtestaat[[#This Row],[Prest. (m2 /jaar) weekend]]+Ruimtestaat[[#This Row],[Prest. (m2 /jaar) werkdagen]]</f>
        <v>4780</v>
      </c>
      <c r="AE323" s="179">
        <f>Ruimtestaat[[#This Row],[uren / jaar weekend]]+Ruimtestaat[[#This Row],[uren / jaar werkdagen]]</f>
        <v>0</v>
      </c>
      <c r="AF323" s="174">
        <f>Ruimtestaat[[#This Row],[kosten / jaar weekend]]+Ruimtestaat[[#This Row],[kosten / jaar werkdagen]]</f>
        <v>0</v>
      </c>
      <c r="AG323" s="174"/>
      <c r="AH323" s="181" t="str">
        <f>IF(Ruimtestaat[[#This Row],[Frequentie werkdagen]]="","",_xlfn.CONCAT(Ruimtestaat[[#This Row],[Ruimte code]],"-",Ruimtestaat[[#This Row],[Frequentie werkdagen]]," ",Ruimtestaat[[#This Row],[Vloer code]]))</f>
        <v>16-5w P</v>
      </c>
      <c r="AI323" s="185" t="str">
        <f>_xlfn.IFNA(VLOOKUP($AH323,Programma!$F$3:$G$1101,2,0),"")</f>
        <v>_</v>
      </c>
      <c r="AJ323" s="185" t="str">
        <f>_xlfn.IFNA(VLOOKUP($AH323,Programma!$F$3:$H$1101,3,0),"")</f>
        <v>_</v>
      </c>
      <c r="AK323" s="185" t="str">
        <f>_xlfn.IFNA(VLOOKUP($AH323,Programma!$F$3:$I$1101,4,0),"")</f>
        <v>4w</v>
      </c>
      <c r="AL323" s="185" t="str">
        <f>_xlfn.IFNA(VLOOKUP($AH323,Programma!$F$3:$J$1101,5,0),"")</f>
        <v>1w</v>
      </c>
      <c r="AM323" s="185" t="str">
        <f>_xlfn.IFNA(VLOOKUP($AH323,Programma!$F$3:$K$1101,6,0),"")</f>
        <v>1m</v>
      </c>
      <c r="AN323" s="185" t="str">
        <f>_xlfn.IFNA(VLOOKUP($AH323,Programma!$F$3:$L$1101,7,0),"")</f>
        <v>_</v>
      </c>
      <c r="AO323" s="185" t="str">
        <f>_xlfn.IFNA(VLOOKUP($AH323,Programma!$F$3:$M$1101,8,0),"")</f>
        <v>_</v>
      </c>
      <c r="AP323" s="185" t="str">
        <f>_xlfn.IFNA(VLOOKUP($AH323,Programma!$F$3:$N$1101,9,0),"")</f>
        <v>_</v>
      </c>
      <c r="AQ323" s="185" t="str">
        <f>_xlfn.IFNA(VLOOKUP($AH323,Programma!$F$3:$O$1101,10,0),"")</f>
        <v>5w</v>
      </c>
      <c r="AR323" s="185" t="str">
        <f>_xlfn.IFNA(VLOOKUP($AH323,Programma!$F$3:$P$1101,11,0),"")</f>
        <v>5w</v>
      </c>
      <c r="AS323" s="185" t="str">
        <f>_xlfn.IFNA(VLOOKUP($AH323,Programma!$F$3:$Q$1101,12,0),"")</f>
        <v>1w</v>
      </c>
      <c r="AT323" s="185" t="str">
        <f>_xlfn.IFNA(VLOOKUP($AH323,Programma!$F$3:$R$1101,13,0),"")</f>
        <v>1w</v>
      </c>
      <c r="AU323" s="185" t="str">
        <f>_xlfn.IFNA(VLOOKUP($AH323,Programma!$F$3:$S$1101,14,0),"")</f>
        <v>1m</v>
      </c>
      <c r="AV323" s="185" t="str">
        <f>_xlfn.IFNA(VLOOKUP($AH323,Programma!$F$3:$T$1101,15,0),"")</f>
        <v>2j</v>
      </c>
      <c r="AW323" s="185" t="str">
        <f>_xlfn.IFNA(VLOOKUP($AH323,Programma!$F$3:$U$1101,16,0),"")</f>
        <v>1j</v>
      </c>
      <c r="AX323" s="185" t="str">
        <f>_xlfn.IFNA(VLOOKUP($AH323,Programma!$F$3:$V$1101,17,0),"")</f>
        <v>_</v>
      </c>
      <c r="AY323" s="185" t="str">
        <f>_xlfn.IFNA(VLOOKUP($AH323,Programma!$F$3:$W$1101,18,0),"")</f>
        <v>_</v>
      </c>
      <c r="AZ323" s="185" t="str">
        <f>_xlfn.IFNA(VLOOKUP($AH323,Programma!$F$3:$X$1101,19,0),"")</f>
        <v>_</v>
      </c>
      <c r="BA323" s="185" t="str">
        <f>_xlfn.IFNA(VLOOKUP($AH323,Programma!$F$3:$Y$1101,20,0),"")</f>
        <v>_</v>
      </c>
      <c r="BB323" s="182"/>
      <c r="BC323" s="181" t="str">
        <f>IF(Ruimtestaat[[#This Row],[Frequentie weekend]]="","",_xlfn.CONCAT(Ruimtestaat[[#This Row],[Ruimte code]],"-",Ruimtestaat[[#This Row],[Frequentie weekend]]," ",Ruimtestaat[[#This Row],[Vloer code]]))</f>
        <v/>
      </c>
      <c r="BD323" s="185" t="str">
        <f>_xlfn.IFNA(VLOOKUP($BC323,Programma!$F$3:$G$1101,2,0),"")</f>
        <v/>
      </c>
      <c r="BE323" s="185" t="str">
        <f>_xlfn.IFNA(VLOOKUP($BC323,Programma!$F$3:$H$1101,3,0),"")</f>
        <v/>
      </c>
      <c r="BF323" s="185" t="str">
        <f>_xlfn.IFNA(VLOOKUP($BC323,Programma!$F$3:$I$1101,4,0),"")</f>
        <v/>
      </c>
      <c r="BG323" s="185" t="str">
        <f>_xlfn.IFNA(VLOOKUP($BC323,Programma!$F$3:$J$1101,5,0),"")</f>
        <v/>
      </c>
      <c r="BH323" s="185" t="str">
        <f>_xlfn.IFNA(VLOOKUP($BC323,Programma!$F$3:$K$1101,6,0),"")</f>
        <v/>
      </c>
      <c r="BI323" s="185" t="str">
        <f>_xlfn.IFNA(VLOOKUP($BC323,Programma!$F$3:$L$1101,7,0),"")</f>
        <v/>
      </c>
      <c r="BJ323" s="185" t="str">
        <f>_xlfn.IFNA(VLOOKUP($BC323,Programma!$F$3:$M$1101,8,0),"")</f>
        <v/>
      </c>
      <c r="BK323" s="185" t="str">
        <f>_xlfn.IFNA(VLOOKUP($BC323,Programma!$F$3:$N$1101,9,0),"")</f>
        <v/>
      </c>
      <c r="BL323" s="185" t="str">
        <f>_xlfn.IFNA(VLOOKUP($BC323,Programma!$F$3:$O$1101,10,0),"")</f>
        <v/>
      </c>
      <c r="BM323" s="185" t="str">
        <f>_xlfn.IFNA(VLOOKUP($BC323,Programma!$F$3:$P$1101,11,0),"")</f>
        <v/>
      </c>
      <c r="BN323" s="185" t="str">
        <f>_xlfn.IFNA(VLOOKUP($BC323,Programma!$F$3:$Q$1101,12,0),"")</f>
        <v/>
      </c>
      <c r="BO323" s="185" t="str">
        <f>_xlfn.IFNA(VLOOKUP($BC323,Programma!$F$3:$R$1101,13,0),"")</f>
        <v/>
      </c>
      <c r="BP323" s="185" t="str">
        <f>_xlfn.IFNA(VLOOKUP($BC323,Programma!$F$3:$S$1101,14,0),"")</f>
        <v/>
      </c>
      <c r="BQ323" s="185" t="str">
        <f>_xlfn.IFNA(VLOOKUP($BC323,Programma!$F$3:$T$1101,15,0),"")</f>
        <v/>
      </c>
      <c r="BR323" s="185" t="str">
        <f>_xlfn.IFNA(VLOOKUP($BC323,Programma!$F$3:$U$1101,16,0),"")</f>
        <v/>
      </c>
      <c r="BS323" s="185" t="str">
        <f>_xlfn.IFNA(VLOOKUP($BC323,Programma!$F$3:$V$1101,17,0),"")</f>
        <v/>
      </c>
      <c r="BT323" s="185" t="str">
        <f>_xlfn.IFNA(VLOOKUP($BC323,Programma!$F$3:$W$1101,18,0),"")</f>
        <v/>
      </c>
      <c r="BU323" s="185" t="str">
        <f>_xlfn.IFNA(VLOOKUP($BC323,Programma!$F$3:$X$1101,19,0),"")</f>
        <v/>
      </c>
      <c r="BV323" s="185" t="str">
        <f>_xlfn.IFNA(VLOOKUP($BC323,Programma!$F$3:$Y$1101,20,0),"")</f>
        <v/>
      </c>
    </row>
    <row r="324" spans="1:74" s="78" customFormat="1" ht="15" customHeight="1">
      <c r="A324" s="99">
        <v>10</v>
      </c>
      <c r="B324" s="176" t="str">
        <f>VLOOKUP(Ruimtestaat[[#This Row],[Code]],Locaties[[Code]:[Locatie]],2,FALSE)</f>
        <v>OJBS Het Palet</v>
      </c>
      <c r="C324" s="176" t="str">
        <f>VLOOKUP(Ruimtestaat[[#This Row],[Code]],Locaties[[#All],[Code]:[Adres]],4,FALSE)</f>
        <v>Ger. Terborghstraat 9</v>
      </c>
      <c r="D324" s="176" t="str">
        <f>VLOOKUP(Ruimtestaat[[#This Row],[Code]],Locaties[[#All],[Code]:[Postcode]],5,FALSE)</f>
        <v>7545 BV</v>
      </c>
      <c r="E324" s="176" t="str">
        <f>VLOOKUP(Ruimtestaat[[#This Row],[Code]],Locaties[#All],6,FALSE)</f>
        <v>Enschede</v>
      </c>
      <c r="F324" s="149"/>
      <c r="G324" s="149" t="s">
        <v>1714</v>
      </c>
      <c r="H324" s="99" t="s">
        <v>1737</v>
      </c>
      <c r="I324" s="183" t="s">
        <v>1651</v>
      </c>
      <c r="J324" s="99">
        <v>16</v>
      </c>
      <c r="K324" s="183" t="str">
        <f>VLOOKUP(Ruimtestaat[[#This Row],[Ruimte code]],Ruimtegroepen[[#All],[Code]:[Ruimte omschrijving]],2,FALSE)</f>
        <v>Leslokalen</v>
      </c>
      <c r="L324" s="149" t="s">
        <v>102</v>
      </c>
      <c r="M324" s="301" t="s">
        <v>120</v>
      </c>
      <c r="N324" s="177">
        <v>79.8</v>
      </c>
      <c r="O324" s="177"/>
      <c r="P324" s="178" t="str">
        <f>VLOOKUP(Ruimtestaat[[#This Row],[Ruimte code]],Ruimtegroepen[],4,FALSE)</f>
        <v>Le</v>
      </c>
      <c r="Q324" s="149">
        <v>40</v>
      </c>
      <c r="R324" s="149" t="s">
        <v>2</v>
      </c>
      <c r="S324" s="149">
        <f>IF(Q324&gt;0,IF(RIGHT(Ruimtestaat[[#This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4" s="149">
        <f>IF(S324&gt;0,VLOOKUP($J324,Ruimtegroepen[],3,FALSE)*VLOOKUP($L324,Vloersoorten[],3,FALSE)*VLOOKUP($R324,Frequenties[],3,FALSE)*VLOOKUP($A324,Locaties[],3,FALSE),0)</f>
        <v>0</v>
      </c>
      <c r="U324" s="149">
        <f>Ruimtestaat[[#This Row],[Uitvoeringen werkdagen]]*Ruimtestaat[[#This Row],[Oppervlak (netto)]]</f>
        <v>15960</v>
      </c>
      <c r="V324" s="179">
        <f>IF(T324&gt;0,Ruimtestaat[[#This Row],[Prest. (m2 /jaar) werkdagen]]/Ruimtestaat[[#This Row],[Norm (m2/uur) werkdagen]],0)</f>
        <v>0</v>
      </c>
      <c r="W324" s="180">
        <f>Ruimtestaat[[#This Row],[uren / jaar werkdagen]]*Tariefsopbouw!$E$35</f>
        <v>0</v>
      </c>
      <c r="X324" s="149"/>
      <c r="Y324" s="149">
        <f>IF(Ruimtestaat[[#This Row],[Frequentie weekend]]&gt;0,VALUE(LEFT(X324,1))*Q324,0)</f>
        <v>0</v>
      </c>
      <c r="Z324" s="148">
        <f>IF($Y324&gt;0,VLOOKUP($J324,Ruimtegroepen[],3,FALSE)*VLOOKUP($L324,Vloersoorten[],3,FALSE)*VLOOKUP($X324,Frequenties[],3,FALSE)*VLOOKUP(Ruimtestaat[[#This Row],[Code]],Locaties[],3,FALSE),0)</f>
        <v>0</v>
      </c>
      <c r="AA324" s="148">
        <f>Ruimtestaat[[#This Row],[Uitvoeringen weekend]]*Ruimtestaat[[#This Row],[Oppervlak (netto)]]</f>
        <v>0</v>
      </c>
      <c r="AB324" s="148">
        <f>IF(Z324&gt;0,Ruimtestaat[[#This Row],[Prest. (m2 /jaar) weekend]]/Ruimtestaat[[#This Row],[Norm (m2/uur) weekend]],0)</f>
        <v>0</v>
      </c>
      <c r="AC324" s="180">
        <f>Ruimtestaat[[#This Row],[uren / jaar weekend]]*Tariefsopbouw!$D$40</f>
        <v>0</v>
      </c>
      <c r="AD324" s="179">
        <f>Ruimtestaat[[#This Row],[Prest. (m2 /jaar) weekend]]+Ruimtestaat[[#This Row],[Prest. (m2 /jaar) werkdagen]]</f>
        <v>15960</v>
      </c>
      <c r="AE324" s="179">
        <f>Ruimtestaat[[#This Row],[uren / jaar weekend]]+Ruimtestaat[[#This Row],[uren / jaar werkdagen]]</f>
        <v>0</v>
      </c>
      <c r="AF324" s="174">
        <f>Ruimtestaat[[#This Row],[kosten / jaar weekend]]+Ruimtestaat[[#This Row],[kosten / jaar werkdagen]]</f>
        <v>0</v>
      </c>
      <c r="AG324" s="174"/>
      <c r="AH324" s="181" t="str">
        <f>IF(Ruimtestaat[[#This Row],[Frequentie werkdagen]]="","",_xlfn.CONCAT(Ruimtestaat[[#This Row],[Ruimte code]],"-",Ruimtestaat[[#This Row],[Frequentie werkdagen]]," ",Ruimtestaat[[#This Row],[Vloer code]]))</f>
        <v>16-5w P</v>
      </c>
      <c r="AI324" s="185" t="str">
        <f>_xlfn.IFNA(VLOOKUP($AH324,Programma!$F$3:$G$1101,2,0),"")</f>
        <v>_</v>
      </c>
      <c r="AJ324" s="185" t="str">
        <f>_xlfn.IFNA(VLOOKUP($AH324,Programma!$F$3:$H$1101,3,0),"")</f>
        <v>_</v>
      </c>
      <c r="AK324" s="185" t="str">
        <f>_xlfn.IFNA(VLOOKUP($AH324,Programma!$F$3:$I$1101,4,0),"")</f>
        <v>4w</v>
      </c>
      <c r="AL324" s="185" t="str">
        <f>_xlfn.IFNA(VLOOKUP($AH324,Programma!$F$3:$J$1101,5,0),"")</f>
        <v>1w</v>
      </c>
      <c r="AM324" s="185" t="str">
        <f>_xlfn.IFNA(VLOOKUP($AH324,Programma!$F$3:$K$1101,6,0),"")</f>
        <v>1m</v>
      </c>
      <c r="AN324" s="185" t="str">
        <f>_xlfn.IFNA(VLOOKUP($AH324,Programma!$F$3:$L$1101,7,0),"")</f>
        <v>_</v>
      </c>
      <c r="AO324" s="185" t="str">
        <f>_xlfn.IFNA(VLOOKUP($AH324,Programma!$F$3:$M$1101,8,0),"")</f>
        <v>_</v>
      </c>
      <c r="AP324" s="185" t="str">
        <f>_xlfn.IFNA(VLOOKUP($AH324,Programma!$F$3:$N$1101,9,0),"")</f>
        <v>_</v>
      </c>
      <c r="AQ324" s="185" t="str">
        <f>_xlfn.IFNA(VLOOKUP($AH324,Programma!$F$3:$O$1101,10,0),"")</f>
        <v>5w</v>
      </c>
      <c r="AR324" s="185" t="str">
        <f>_xlfn.IFNA(VLOOKUP($AH324,Programma!$F$3:$P$1101,11,0),"")</f>
        <v>5w</v>
      </c>
      <c r="AS324" s="185" t="str">
        <f>_xlfn.IFNA(VLOOKUP($AH324,Programma!$F$3:$Q$1101,12,0),"")</f>
        <v>1w</v>
      </c>
      <c r="AT324" s="185" t="str">
        <f>_xlfn.IFNA(VLOOKUP($AH324,Programma!$F$3:$R$1101,13,0),"")</f>
        <v>1w</v>
      </c>
      <c r="AU324" s="185" t="str">
        <f>_xlfn.IFNA(VLOOKUP($AH324,Programma!$F$3:$S$1101,14,0),"")</f>
        <v>1m</v>
      </c>
      <c r="AV324" s="185" t="str">
        <f>_xlfn.IFNA(VLOOKUP($AH324,Programma!$F$3:$T$1101,15,0),"")</f>
        <v>2j</v>
      </c>
      <c r="AW324" s="185" t="str">
        <f>_xlfn.IFNA(VLOOKUP($AH324,Programma!$F$3:$U$1101,16,0),"")</f>
        <v>1j</v>
      </c>
      <c r="AX324" s="185" t="str">
        <f>_xlfn.IFNA(VLOOKUP($AH324,Programma!$F$3:$V$1101,17,0),"")</f>
        <v>_</v>
      </c>
      <c r="AY324" s="185" t="str">
        <f>_xlfn.IFNA(VLOOKUP($AH324,Programma!$F$3:$W$1101,18,0),"")</f>
        <v>_</v>
      </c>
      <c r="AZ324" s="185" t="str">
        <f>_xlfn.IFNA(VLOOKUP($AH324,Programma!$F$3:$X$1101,19,0),"")</f>
        <v>_</v>
      </c>
      <c r="BA324" s="185" t="str">
        <f>_xlfn.IFNA(VLOOKUP($AH324,Programma!$F$3:$Y$1101,20,0),"")</f>
        <v>_</v>
      </c>
      <c r="BB324" s="182"/>
      <c r="BC324" s="181" t="str">
        <f>IF(Ruimtestaat[[#This Row],[Frequentie weekend]]="","",_xlfn.CONCAT(Ruimtestaat[[#This Row],[Ruimte code]],"-",Ruimtestaat[[#This Row],[Frequentie weekend]]," ",Ruimtestaat[[#This Row],[Vloer code]]))</f>
        <v/>
      </c>
      <c r="BD324" s="185" t="str">
        <f>_xlfn.IFNA(VLOOKUP($BC324,Programma!$F$3:$G$1101,2,0),"")</f>
        <v/>
      </c>
      <c r="BE324" s="185" t="str">
        <f>_xlfn.IFNA(VLOOKUP($BC324,Programma!$F$3:$H$1101,3,0),"")</f>
        <v/>
      </c>
      <c r="BF324" s="185" t="str">
        <f>_xlfn.IFNA(VLOOKUP($BC324,Programma!$F$3:$I$1101,4,0),"")</f>
        <v/>
      </c>
      <c r="BG324" s="185" t="str">
        <f>_xlfn.IFNA(VLOOKUP($BC324,Programma!$F$3:$J$1101,5,0),"")</f>
        <v/>
      </c>
      <c r="BH324" s="185" t="str">
        <f>_xlfn.IFNA(VLOOKUP($BC324,Programma!$F$3:$K$1101,6,0),"")</f>
        <v/>
      </c>
      <c r="BI324" s="185" t="str">
        <f>_xlfn.IFNA(VLOOKUP($BC324,Programma!$F$3:$L$1101,7,0),"")</f>
        <v/>
      </c>
      <c r="BJ324" s="185" t="str">
        <f>_xlfn.IFNA(VLOOKUP($BC324,Programma!$F$3:$M$1101,8,0),"")</f>
        <v/>
      </c>
      <c r="BK324" s="185" t="str">
        <f>_xlfn.IFNA(VLOOKUP($BC324,Programma!$F$3:$N$1101,9,0),"")</f>
        <v/>
      </c>
      <c r="BL324" s="185" t="str">
        <f>_xlfn.IFNA(VLOOKUP($BC324,Programma!$F$3:$O$1101,10,0),"")</f>
        <v/>
      </c>
      <c r="BM324" s="185" t="str">
        <f>_xlfn.IFNA(VLOOKUP($BC324,Programma!$F$3:$P$1101,11,0),"")</f>
        <v/>
      </c>
      <c r="BN324" s="185" t="str">
        <f>_xlfn.IFNA(VLOOKUP($BC324,Programma!$F$3:$Q$1101,12,0),"")</f>
        <v/>
      </c>
      <c r="BO324" s="185" t="str">
        <f>_xlfn.IFNA(VLOOKUP($BC324,Programma!$F$3:$R$1101,13,0),"")</f>
        <v/>
      </c>
      <c r="BP324" s="185" t="str">
        <f>_xlfn.IFNA(VLOOKUP($BC324,Programma!$F$3:$S$1101,14,0),"")</f>
        <v/>
      </c>
      <c r="BQ324" s="185" t="str">
        <f>_xlfn.IFNA(VLOOKUP($BC324,Programma!$F$3:$T$1101,15,0),"")</f>
        <v/>
      </c>
      <c r="BR324" s="185" t="str">
        <f>_xlfn.IFNA(VLOOKUP($BC324,Programma!$F$3:$U$1101,16,0),"")</f>
        <v/>
      </c>
      <c r="BS324" s="185" t="str">
        <f>_xlfn.IFNA(VLOOKUP($BC324,Programma!$F$3:$V$1101,17,0),"")</f>
        <v/>
      </c>
      <c r="BT324" s="185" t="str">
        <f>_xlfn.IFNA(VLOOKUP($BC324,Programma!$F$3:$W$1101,18,0),"")</f>
        <v/>
      </c>
      <c r="BU324" s="185" t="str">
        <f>_xlfn.IFNA(VLOOKUP($BC324,Programma!$F$3:$X$1101,19,0),"")</f>
        <v/>
      </c>
      <c r="BV324" s="185" t="str">
        <f>_xlfn.IFNA(VLOOKUP($BC324,Programma!$F$3:$Y$1101,20,0),"")</f>
        <v/>
      </c>
    </row>
    <row r="325" spans="1:74" s="78" customFormat="1" ht="15" customHeight="1">
      <c r="A325" s="99">
        <v>10</v>
      </c>
      <c r="B325" s="176" t="str">
        <f>VLOOKUP(Ruimtestaat[[#This Row],[Code]],Locaties[[Code]:[Locatie]],2,FALSE)</f>
        <v>OJBS Het Palet</v>
      </c>
      <c r="C325" s="176" t="str">
        <f>VLOOKUP(Ruimtestaat[[#This Row],[Code]],Locaties[[#All],[Code]:[Adres]],4,FALSE)</f>
        <v>Ger. Terborghstraat 9</v>
      </c>
      <c r="D325" s="176" t="str">
        <f>VLOOKUP(Ruimtestaat[[#This Row],[Code]],Locaties[[#All],[Code]:[Postcode]],5,FALSE)</f>
        <v>7545 BV</v>
      </c>
      <c r="E325" s="176" t="str">
        <f>VLOOKUP(Ruimtestaat[[#This Row],[Code]],Locaties[#All],6,FALSE)</f>
        <v>Enschede</v>
      </c>
      <c r="F325" s="149"/>
      <c r="G325" s="149" t="s">
        <v>1714</v>
      </c>
      <c r="H325" s="99" t="s">
        <v>1795</v>
      </c>
      <c r="I325" s="183" t="s">
        <v>1655</v>
      </c>
      <c r="J325" s="99">
        <v>5</v>
      </c>
      <c r="K325" s="183" t="str">
        <f>VLOOKUP(Ruimtestaat[[#This Row],[Ruimte code]],Ruimtegroepen[[#All],[Code]:[Ruimte omschrijving]],2,FALSE)</f>
        <v>Sanitair</v>
      </c>
      <c r="L325" s="149" t="s">
        <v>101</v>
      </c>
      <c r="M325" s="301" t="s">
        <v>1682</v>
      </c>
      <c r="N325" s="177">
        <v>5.7</v>
      </c>
      <c r="O325" s="177"/>
      <c r="P325" s="178" t="str">
        <f>VLOOKUP(Ruimtestaat[[#This Row],[Ruimte code]],Ruimtegroepen[],4,FALSE)</f>
        <v>Sa</v>
      </c>
      <c r="Q325" s="149">
        <v>40</v>
      </c>
      <c r="R325" s="149" t="s">
        <v>2</v>
      </c>
      <c r="S325" s="149">
        <f>IF(Q325&gt;0,IF(RIGHT(Ruimtestaat[[#This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5" s="149">
        <f>IF(S325&gt;0,VLOOKUP($J325,Ruimtegroepen[],3,FALSE)*VLOOKUP($L325,Vloersoorten[],3,FALSE)*VLOOKUP($R325,Frequenties[],3,FALSE)*VLOOKUP($A325,Locaties[],3,FALSE),0)</f>
        <v>0</v>
      </c>
      <c r="U325" s="149">
        <f>Ruimtestaat[[#This Row],[Uitvoeringen werkdagen]]*Ruimtestaat[[#This Row],[Oppervlak (netto)]]</f>
        <v>1140</v>
      </c>
      <c r="V325" s="179">
        <f>IF(T325&gt;0,Ruimtestaat[[#This Row],[Prest. (m2 /jaar) werkdagen]]/Ruimtestaat[[#This Row],[Norm (m2/uur) werkdagen]],0)</f>
        <v>0</v>
      </c>
      <c r="W325" s="180">
        <f>Ruimtestaat[[#This Row],[uren / jaar werkdagen]]*Tariefsopbouw!$E$35</f>
        <v>0</v>
      </c>
      <c r="X325" s="149"/>
      <c r="Y325" s="149">
        <f>IF(Ruimtestaat[[#This Row],[Frequentie weekend]]&gt;0,VALUE(LEFT(X325,1))*Q325,0)</f>
        <v>0</v>
      </c>
      <c r="Z325" s="148">
        <f>IF($Y325&gt;0,VLOOKUP($J325,Ruimtegroepen[],3,FALSE)*VLOOKUP($L325,Vloersoorten[],3,FALSE)*VLOOKUP($X325,Frequenties[],3,FALSE)*VLOOKUP(Ruimtestaat[[#This Row],[Code]],Locaties[],3,FALSE),0)</f>
        <v>0</v>
      </c>
      <c r="AA325" s="148">
        <f>Ruimtestaat[[#This Row],[Uitvoeringen weekend]]*Ruimtestaat[[#This Row],[Oppervlak (netto)]]</f>
        <v>0</v>
      </c>
      <c r="AB325" s="148">
        <f>IF(Z325&gt;0,Ruimtestaat[[#This Row],[Prest. (m2 /jaar) weekend]]/Ruimtestaat[[#This Row],[Norm (m2/uur) weekend]],0)</f>
        <v>0</v>
      </c>
      <c r="AC325" s="180">
        <f>Ruimtestaat[[#This Row],[uren / jaar weekend]]*Tariefsopbouw!$D$40</f>
        <v>0</v>
      </c>
      <c r="AD325" s="179">
        <f>Ruimtestaat[[#This Row],[Prest. (m2 /jaar) weekend]]+Ruimtestaat[[#This Row],[Prest. (m2 /jaar) werkdagen]]</f>
        <v>1140</v>
      </c>
      <c r="AE325" s="179">
        <f>Ruimtestaat[[#This Row],[uren / jaar weekend]]+Ruimtestaat[[#This Row],[uren / jaar werkdagen]]</f>
        <v>0</v>
      </c>
      <c r="AF325" s="174">
        <f>Ruimtestaat[[#This Row],[kosten / jaar weekend]]+Ruimtestaat[[#This Row],[kosten / jaar werkdagen]]</f>
        <v>0</v>
      </c>
      <c r="AG325" s="174"/>
      <c r="AH325" s="181" t="str">
        <f>IF(Ruimtestaat[[#This Row],[Frequentie werkdagen]]="","",_xlfn.CONCAT(Ruimtestaat[[#This Row],[Ruimte code]],"-",Ruimtestaat[[#This Row],[Frequentie werkdagen]]," ",Ruimtestaat[[#This Row],[Vloer code]]))</f>
        <v>5-5w S</v>
      </c>
      <c r="AI325" s="185" t="str">
        <f>_xlfn.IFNA(VLOOKUP($AH325,Programma!$F$3:$G$1101,2,0),"")</f>
        <v>_</v>
      </c>
      <c r="AJ325" s="185" t="str">
        <f>_xlfn.IFNA(VLOOKUP($AH325,Programma!$F$3:$H$1101,3,0),"")</f>
        <v>_</v>
      </c>
      <c r="AK325" s="185" t="str">
        <f>_xlfn.IFNA(VLOOKUP($AH325,Programma!$F$3:$I$1101,4,0),"")</f>
        <v>_</v>
      </c>
      <c r="AL325" s="185" t="str">
        <f>_xlfn.IFNA(VLOOKUP($AH325,Programma!$F$3:$J$1101,5,0),"")</f>
        <v>4w</v>
      </c>
      <c r="AM325" s="185" t="str">
        <f>_xlfn.IFNA(VLOOKUP($AH325,Programma!$F$3:$K$1101,6,0),"")</f>
        <v>1w</v>
      </c>
      <c r="AN325" s="185" t="str">
        <f>_xlfn.IFNA(VLOOKUP($AH325,Programma!$F$3:$L$1101,7,0),"")</f>
        <v>_</v>
      </c>
      <c r="AO325" s="185" t="str">
        <f>_xlfn.IFNA(VLOOKUP($AH325,Programma!$F$3:$M$1101,8,0),"")</f>
        <v>_</v>
      </c>
      <c r="AP325" s="185" t="str">
        <f>_xlfn.IFNA(VLOOKUP($AH325,Programma!$F$3:$N$1101,9,0),"")</f>
        <v>_</v>
      </c>
      <c r="AQ325" s="185" t="str">
        <f>_xlfn.IFNA(VLOOKUP($AH325,Programma!$F$3:$O$1101,10,0),"")</f>
        <v>_</v>
      </c>
      <c r="AR325" s="185" t="str">
        <f>_xlfn.IFNA(VLOOKUP($AH325,Programma!$F$3:$P$1101,11,0),"")</f>
        <v>_</v>
      </c>
      <c r="AS325" s="185" t="str">
        <f>_xlfn.IFNA(VLOOKUP($AH325,Programma!$F$3:$Q$1101,12,0),"")</f>
        <v>_</v>
      </c>
      <c r="AT325" s="185" t="str">
        <f>_xlfn.IFNA(VLOOKUP($AH325,Programma!$F$3:$R$1101,13,0),"")</f>
        <v>_</v>
      </c>
      <c r="AU325" s="185" t="str">
        <f>_xlfn.IFNA(VLOOKUP($AH325,Programma!$F$3:$S$1101,14,0),"")</f>
        <v>_</v>
      </c>
      <c r="AV325" s="185" t="str">
        <f>_xlfn.IFNA(VLOOKUP($AH325,Programma!$F$3:$T$1101,15,0),"")</f>
        <v>_</v>
      </c>
      <c r="AW325" s="185" t="str">
        <f>_xlfn.IFNA(VLOOKUP($AH325,Programma!$F$3:$U$1101,16,0),"")</f>
        <v>_</v>
      </c>
      <c r="AX325" s="185" t="str">
        <f>_xlfn.IFNA(VLOOKUP($AH325,Programma!$F$3:$V$1101,17,0),"")</f>
        <v>_</v>
      </c>
      <c r="AY325" s="185" t="str">
        <f>_xlfn.IFNA(VLOOKUP($AH325,Programma!$F$3:$W$1101,18,0),"")</f>
        <v>4w</v>
      </c>
      <c r="AZ325" s="185" t="str">
        <f>_xlfn.IFNA(VLOOKUP($AH325,Programma!$F$3:$X$1101,19,0),"")</f>
        <v>1w</v>
      </c>
      <c r="BA325" s="185" t="str">
        <f>_xlfn.IFNA(VLOOKUP($AH325,Programma!$F$3:$Y$1101,20,0),"")</f>
        <v>_</v>
      </c>
      <c r="BB325" s="182"/>
      <c r="BC325" s="181" t="str">
        <f>IF(Ruimtestaat[[#This Row],[Frequentie weekend]]="","",_xlfn.CONCAT(Ruimtestaat[[#This Row],[Ruimte code]],"-",Ruimtestaat[[#This Row],[Frequentie weekend]]," ",Ruimtestaat[[#This Row],[Vloer code]]))</f>
        <v/>
      </c>
      <c r="BD325" s="185" t="str">
        <f>_xlfn.IFNA(VLOOKUP($BC325,Programma!$F$3:$G$1101,2,0),"")</f>
        <v/>
      </c>
      <c r="BE325" s="185" t="str">
        <f>_xlfn.IFNA(VLOOKUP($BC325,Programma!$F$3:$H$1101,3,0),"")</f>
        <v/>
      </c>
      <c r="BF325" s="185" t="str">
        <f>_xlfn.IFNA(VLOOKUP($BC325,Programma!$F$3:$I$1101,4,0),"")</f>
        <v/>
      </c>
      <c r="BG325" s="185" t="str">
        <f>_xlfn.IFNA(VLOOKUP($BC325,Programma!$F$3:$J$1101,5,0),"")</f>
        <v/>
      </c>
      <c r="BH325" s="185" t="str">
        <f>_xlfn.IFNA(VLOOKUP($BC325,Programma!$F$3:$K$1101,6,0),"")</f>
        <v/>
      </c>
      <c r="BI325" s="185" t="str">
        <f>_xlfn.IFNA(VLOOKUP($BC325,Programma!$F$3:$L$1101,7,0),"")</f>
        <v/>
      </c>
      <c r="BJ325" s="185" t="str">
        <f>_xlfn.IFNA(VLOOKUP($BC325,Programma!$F$3:$M$1101,8,0),"")</f>
        <v/>
      </c>
      <c r="BK325" s="185" t="str">
        <f>_xlfn.IFNA(VLOOKUP($BC325,Programma!$F$3:$N$1101,9,0),"")</f>
        <v/>
      </c>
      <c r="BL325" s="185" t="str">
        <f>_xlfn.IFNA(VLOOKUP($BC325,Programma!$F$3:$O$1101,10,0),"")</f>
        <v/>
      </c>
      <c r="BM325" s="185" t="str">
        <f>_xlfn.IFNA(VLOOKUP($BC325,Programma!$F$3:$P$1101,11,0),"")</f>
        <v/>
      </c>
      <c r="BN325" s="185" t="str">
        <f>_xlfn.IFNA(VLOOKUP($BC325,Programma!$F$3:$Q$1101,12,0),"")</f>
        <v/>
      </c>
      <c r="BO325" s="185" t="str">
        <f>_xlfn.IFNA(VLOOKUP($BC325,Programma!$F$3:$R$1101,13,0),"")</f>
        <v/>
      </c>
      <c r="BP325" s="185" t="str">
        <f>_xlfn.IFNA(VLOOKUP($BC325,Programma!$F$3:$S$1101,14,0),"")</f>
        <v/>
      </c>
      <c r="BQ325" s="185" t="str">
        <f>_xlfn.IFNA(VLOOKUP($BC325,Programma!$F$3:$T$1101,15,0),"")</f>
        <v/>
      </c>
      <c r="BR325" s="185" t="str">
        <f>_xlfn.IFNA(VLOOKUP($BC325,Programma!$F$3:$U$1101,16,0),"")</f>
        <v/>
      </c>
      <c r="BS325" s="185" t="str">
        <f>_xlfn.IFNA(VLOOKUP($BC325,Programma!$F$3:$V$1101,17,0),"")</f>
        <v/>
      </c>
      <c r="BT325" s="185" t="str">
        <f>_xlfn.IFNA(VLOOKUP($BC325,Programma!$F$3:$W$1101,18,0),"")</f>
        <v/>
      </c>
      <c r="BU325" s="185" t="str">
        <f>_xlfn.IFNA(VLOOKUP($BC325,Programma!$F$3:$X$1101,19,0),"")</f>
        <v/>
      </c>
      <c r="BV325" s="185" t="str">
        <f>_xlfn.IFNA(VLOOKUP($BC325,Programma!$F$3:$Y$1101,20,0),"")</f>
        <v/>
      </c>
    </row>
    <row r="326" spans="1:74" s="78" customFormat="1" ht="15" customHeight="1">
      <c r="A326" s="99">
        <v>10</v>
      </c>
      <c r="B326" s="176" t="str">
        <f>VLOOKUP(Ruimtestaat[[#This Row],[Code]],Locaties[[Code]:[Locatie]],2,FALSE)</f>
        <v>OJBS Het Palet</v>
      </c>
      <c r="C326" s="176" t="str">
        <f>VLOOKUP(Ruimtestaat[[#This Row],[Code]],Locaties[[#All],[Code]:[Adres]],4,FALSE)</f>
        <v>Ger. Terborghstraat 9</v>
      </c>
      <c r="D326" s="176" t="str">
        <f>VLOOKUP(Ruimtestaat[[#This Row],[Code]],Locaties[[#All],[Code]:[Postcode]],5,FALSE)</f>
        <v>7545 BV</v>
      </c>
      <c r="E326" s="176" t="str">
        <f>VLOOKUP(Ruimtestaat[[#This Row],[Code]],Locaties[#All],6,FALSE)</f>
        <v>Enschede</v>
      </c>
      <c r="F326" s="149"/>
      <c r="G326" s="149" t="s">
        <v>1714</v>
      </c>
      <c r="H326" s="99" t="s">
        <v>1738</v>
      </c>
      <c r="I326" s="183" t="s">
        <v>1679</v>
      </c>
      <c r="J326" s="99">
        <v>15</v>
      </c>
      <c r="K326" s="183" t="str">
        <f>VLOOKUP(Ruimtestaat[[#This Row],[Ruimte code]],Ruimtegroepen[[#All],[Code]:[Ruimte omschrijving]],2,FALSE)</f>
        <v>Keuken/pantry</v>
      </c>
      <c r="L326" s="149" t="s">
        <v>102</v>
      </c>
      <c r="M326" s="301" t="s">
        <v>120</v>
      </c>
      <c r="N326" s="177">
        <v>11.3</v>
      </c>
      <c r="O326" s="177"/>
      <c r="P326" s="178" t="str">
        <f>VLOOKUP(Ruimtestaat[[#This Row],[Ruimte code]],Ruimtegroepen[],4,FALSE)</f>
        <v>Ve</v>
      </c>
      <c r="Q326" s="149">
        <v>40</v>
      </c>
      <c r="R326" s="149" t="s">
        <v>2</v>
      </c>
      <c r="S326" s="149">
        <f>IF(Q326&gt;0,IF(RIGHT(Ruimtestaat[[#This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6" s="149">
        <f>IF(S326&gt;0,VLOOKUP($J326,Ruimtegroepen[],3,FALSE)*VLOOKUP($L326,Vloersoorten[],3,FALSE)*VLOOKUP($R326,Frequenties[],3,FALSE)*VLOOKUP($A326,Locaties[],3,FALSE),0)</f>
        <v>0</v>
      </c>
      <c r="U326" s="149">
        <f>Ruimtestaat[[#This Row],[Uitvoeringen werkdagen]]*Ruimtestaat[[#This Row],[Oppervlak (netto)]]</f>
        <v>2260</v>
      </c>
      <c r="V326" s="179">
        <f>IF(T326&gt;0,Ruimtestaat[[#This Row],[Prest. (m2 /jaar) werkdagen]]/Ruimtestaat[[#This Row],[Norm (m2/uur) werkdagen]],0)</f>
        <v>0</v>
      </c>
      <c r="W326" s="180">
        <f>Ruimtestaat[[#This Row],[uren / jaar werkdagen]]*Tariefsopbouw!$E$35</f>
        <v>0</v>
      </c>
      <c r="X326" s="149"/>
      <c r="Y326" s="149">
        <f>IF(Ruimtestaat[[#This Row],[Frequentie weekend]]&gt;0,VALUE(LEFT(X326,1))*Q326,0)</f>
        <v>0</v>
      </c>
      <c r="Z326" s="148">
        <f>IF($Y326&gt;0,VLOOKUP($J326,Ruimtegroepen[],3,FALSE)*VLOOKUP($L326,Vloersoorten[],3,FALSE)*VLOOKUP($X326,Frequenties[],3,FALSE)*VLOOKUP(Ruimtestaat[[#This Row],[Code]],Locaties[],3,FALSE),0)</f>
        <v>0</v>
      </c>
      <c r="AA326" s="148">
        <f>Ruimtestaat[[#This Row],[Uitvoeringen weekend]]*Ruimtestaat[[#This Row],[Oppervlak (netto)]]</f>
        <v>0</v>
      </c>
      <c r="AB326" s="148">
        <f>IF(Z326&gt;0,Ruimtestaat[[#This Row],[Prest. (m2 /jaar) weekend]]/Ruimtestaat[[#This Row],[Norm (m2/uur) weekend]],0)</f>
        <v>0</v>
      </c>
      <c r="AC326" s="180">
        <f>Ruimtestaat[[#This Row],[uren / jaar weekend]]*Tariefsopbouw!$D$40</f>
        <v>0</v>
      </c>
      <c r="AD326" s="179">
        <f>Ruimtestaat[[#This Row],[Prest. (m2 /jaar) weekend]]+Ruimtestaat[[#This Row],[Prest. (m2 /jaar) werkdagen]]</f>
        <v>2260</v>
      </c>
      <c r="AE326" s="179">
        <f>Ruimtestaat[[#This Row],[uren / jaar weekend]]+Ruimtestaat[[#This Row],[uren / jaar werkdagen]]</f>
        <v>0</v>
      </c>
      <c r="AF326" s="174">
        <f>Ruimtestaat[[#This Row],[kosten / jaar weekend]]+Ruimtestaat[[#This Row],[kosten / jaar werkdagen]]</f>
        <v>0</v>
      </c>
      <c r="AG326" s="174"/>
      <c r="AH326" s="181" t="str">
        <f>IF(Ruimtestaat[[#This Row],[Frequentie werkdagen]]="","",_xlfn.CONCAT(Ruimtestaat[[#This Row],[Ruimte code]],"-",Ruimtestaat[[#This Row],[Frequentie werkdagen]]," ",Ruimtestaat[[#This Row],[Vloer code]]))</f>
        <v>15-5w P</v>
      </c>
      <c r="AI326" s="185" t="str">
        <f>_xlfn.IFNA(VLOOKUP($AH326,Programma!$F$3:$G$1101,2,0),"")</f>
        <v>_</v>
      </c>
      <c r="AJ326" s="185" t="str">
        <f>_xlfn.IFNA(VLOOKUP($AH326,Programma!$F$3:$H$1101,3,0),"")</f>
        <v>_</v>
      </c>
      <c r="AK326" s="185" t="str">
        <f>_xlfn.IFNA(VLOOKUP($AH326,Programma!$F$3:$I$1101,4,0),"")</f>
        <v>5w</v>
      </c>
      <c r="AL326" s="185" t="str">
        <f>_xlfn.IFNA(VLOOKUP($AH326,Programma!$F$3:$J$1101,5,0),"")</f>
        <v>_</v>
      </c>
      <c r="AM326" s="185" t="str">
        <f>_xlfn.IFNA(VLOOKUP($AH326,Programma!$F$3:$K$1101,6,0),"")</f>
        <v>5w</v>
      </c>
      <c r="AN326" s="185" t="str">
        <f>_xlfn.IFNA(VLOOKUP($AH326,Programma!$F$3:$L$1101,7,0),"")</f>
        <v>_</v>
      </c>
      <c r="AO326" s="185" t="str">
        <f>_xlfn.IFNA(VLOOKUP($AH326,Programma!$F$3:$M$1101,8,0),"")</f>
        <v>_</v>
      </c>
      <c r="AP326" s="185" t="str">
        <f>_xlfn.IFNA(VLOOKUP($AH326,Programma!$F$3:$N$1101,9,0),"")</f>
        <v>_</v>
      </c>
      <c r="AQ326" s="185" t="str">
        <f>_xlfn.IFNA(VLOOKUP($AH326,Programma!$F$3:$O$1101,10,0),"")</f>
        <v>5w</v>
      </c>
      <c r="AR326" s="185" t="str">
        <f>_xlfn.IFNA(VLOOKUP($AH326,Programma!$F$3:$P$1101,11,0),"")</f>
        <v>5w</v>
      </c>
      <c r="AS326" s="185" t="str">
        <f>_xlfn.IFNA(VLOOKUP($AH326,Programma!$F$3:$Q$1101,12,0),"")</f>
        <v>1w</v>
      </c>
      <c r="AT326" s="185" t="str">
        <f>_xlfn.IFNA(VLOOKUP($AH326,Programma!$F$3:$R$1101,13,0),"")</f>
        <v>1w</v>
      </c>
      <c r="AU326" s="185" t="str">
        <f>_xlfn.IFNA(VLOOKUP($AH326,Programma!$F$3:$S$1101,14,0),"")</f>
        <v>1m</v>
      </c>
      <c r="AV326" s="185" t="str">
        <f>_xlfn.IFNA(VLOOKUP($AH326,Programma!$F$3:$T$1101,15,0),"")</f>
        <v>2j</v>
      </c>
      <c r="AW326" s="185" t="str">
        <f>_xlfn.IFNA(VLOOKUP($AH326,Programma!$F$3:$U$1101,16,0),"")</f>
        <v>1j</v>
      </c>
      <c r="AX326" s="185" t="str">
        <f>_xlfn.IFNA(VLOOKUP($AH326,Programma!$F$3:$V$1101,17,0),"")</f>
        <v>_</v>
      </c>
      <c r="AY326" s="185" t="str">
        <f>_xlfn.IFNA(VLOOKUP($AH326,Programma!$F$3:$W$1101,18,0),"")</f>
        <v>_</v>
      </c>
      <c r="AZ326" s="185" t="str">
        <f>_xlfn.IFNA(VLOOKUP($AH326,Programma!$F$3:$X$1101,19,0),"")</f>
        <v>_</v>
      </c>
      <c r="BA326" s="185" t="str">
        <f>_xlfn.IFNA(VLOOKUP($AH326,Programma!$F$3:$Y$1101,20,0),"")</f>
        <v>_</v>
      </c>
      <c r="BB326" s="182"/>
      <c r="BC326" s="181" t="str">
        <f>IF(Ruimtestaat[[#This Row],[Frequentie weekend]]="","",_xlfn.CONCAT(Ruimtestaat[[#This Row],[Ruimte code]],"-",Ruimtestaat[[#This Row],[Frequentie weekend]]," ",Ruimtestaat[[#This Row],[Vloer code]]))</f>
        <v/>
      </c>
      <c r="BD326" s="185" t="str">
        <f>_xlfn.IFNA(VLOOKUP($BC326,Programma!$F$3:$G$1101,2,0),"")</f>
        <v/>
      </c>
      <c r="BE326" s="185" t="str">
        <f>_xlfn.IFNA(VLOOKUP($BC326,Programma!$F$3:$H$1101,3,0),"")</f>
        <v/>
      </c>
      <c r="BF326" s="185" t="str">
        <f>_xlfn.IFNA(VLOOKUP($BC326,Programma!$F$3:$I$1101,4,0),"")</f>
        <v/>
      </c>
      <c r="BG326" s="185" t="str">
        <f>_xlfn.IFNA(VLOOKUP($BC326,Programma!$F$3:$J$1101,5,0),"")</f>
        <v/>
      </c>
      <c r="BH326" s="185" t="str">
        <f>_xlfn.IFNA(VLOOKUP($BC326,Programma!$F$3:$K$1101,6,0),"")</f>
        <v/>
      </c>
      <c r="BI326" s="185" t="str">
        <f>_xlfn.IFNA(VLOOKUP($BC326,Programma!$F$3:$L$1101,7,0),"")</f>
        <v/>
      </c>
      <c r="BJ326" s="185" t="str">
        <f>_xlfn.IFNA(VLOOKUP($BC326,Programma!$F$3:$M$1101,8,0),"")</f>
        <v/>
      </c>
      <c r="BK326" s="185" t="str">
        <f>_xlfn.IFNA(VLOOKUP($BC326,Programma!$F$3:$N$1101,9,0),"")</f>
        <v/>
      </c>
      <c r="BL326" s="185" t="str">
        <f>_xlfn.IFNA(VLOOKUP($BC326,Programma!$F$3:$O$1101,10,0),"")</f>
        <v/>
      </c>
      <c r="BM326" s="185" t="str">
        <f>_xlfn.IFNA(VLOOKUP($BC326,Programma!$F$3:$P$1101,11,0),"")</f>
        <v/>
      </c>
      <c r="BN326" s="185" t="str">
        <f>_xlfn.IFNA(VLOOKUP($BC326,Programma!$F$3:$Q$1101,12,0),"")</f>
        <v/>
      </c>
      <c r="BO326" s="185" t="str">
        <f>_xlfn.IFNA(VLOOKUP($BC326,Programma!$F$3:$R$1101,13,0),"")</f>
        <v/>
      </c>
      <c r="BP326" s="185" t="str">
        <f>_xlfn.IFNA(VLOOKUP($BC326,Programma!$F$3:$S$1101,14,0),"")</f>
        <v/>
      </c>
      <c r="BQ326" s="185" t="str">
        <f>_xlfn.IFNA(VLOOKUP($BC326,Programma!$F$3:$T$1101,15,0),"")</f>
        <v/>
      </c>
      <c r="BR326" s="185" t="str">
        <f>_xlfn.IFNA(VLOOKUP($BC326,Programma!$F$3:$U$1101,16,0),"")</f>
        <v/>
      </c>
      <c r="BS326" s="185" t="str">
        <f>_xlfn.IFNA(VLOOKUP($BC326,Programma!$F$3:$V$1101,17,0),"")</f>
        <v/>
      </c>
      <c r="BT326" s="185" t="str">
        <f>_xlfn.IFNA(VLOOKUP($BC326,Programma!$F$3:$W$1101,18,0),"")</f>
        <v/>
      </c>
      <c r="BU326" s="185" t="str">
        <f>_xlfn.IFNA(VLOOKUP($BC326,Programma!$F$3:$X$1101,19,0),"")</f>
        <v/>
      </c>
      <c r="BV326" s="185" t="str">
        <f>_xlfn.IFNA(VLOOKUP($BC326,Programma!$F$3:$Y$1101,20,0),"")</f>
        <v/>
      </c>
    </row>
    <row r="327" spans="1:74" s="78" customFormat="1" ht="15" customHeight="1">
      <c r="A327" s="99">
        <v>10</v>
      </c>
      <c r="B327" s="176" t="str">
        <f>VLOOKUP(Ruimtestaat[[#This Row],[Code]],Locaties[[Code]:[Locatie]],2,FALSE)</f>
        <v>OJBS Het Palet</v>
      </c>
      <c r="C327" s="176" t="str">
        <f>VLOOKUP(Ruimtestaat[[#This Row],[Code]],Locaties[[#All],[Code]:[Adres]],4,FALSE)</f>
        <v>Ger. Terborghstraat 9</v>
      </c>
      <c r="D327" s="176" t="str">
        <f>VLOOKUP(Ruimtestaat[[#This Row],[Code]],Locaties[[#All],[Code]:[Postcode]],5,FALSE)</f>
        <v>7545 BV</v>
      </c>
      <c r="E327" s="176" t="str">
        <f>VLOOKUP(Ruimtestaat[[#This Row],[Code]],Locaties[#All],6,FALSE)</f>
        <v>Enschede</v>
      </c>
      <c r="F327" s="149"/>
      <c r="G327" s="149" t="s">
        <v>1714</v>
      </c>
      <c r="H327" s="99" t="s">
        <v>1739</v>
      </c>
      <c r="I327" s="183" t="s">
        <v>1655</v>
      </c>
      <c r="J327" s="99">
        <v>5</v>
      </c>
      <c r="K327" s="183" t="str">
        <f>VLOOKUP(Ruimtestaat[[#This Row],[Ruimte code]],Ruimtegroepen[[#All],[Code]:[Ruimte omschrijving]],2,FALSE)</f>
        <v>Sanitair</v>
      </c>
      <c r="L327" s="149" t="s">
        <v>101</v>
      </c>
      <c r="M327" s="301" t="s">
        <v>1682</v>
      </c>
      <c r="N327" s="177">
        <v>5</v>
      </c>
      <c r="O327" s="177"/>
      <c r="P327" s="178" t="str">
        <f>VLOOKUP(Ruimtestaat[[#This Row],[Ruimte code]],Ruimtegroepen[],4,FALSE)</f>
        <v>Sa</v>
      </c>
      <c r="Q327" s="149">
        <v>40</v>
      </c>
      <c r="R327" s="149" t="s">
        <v>2</v>
      </c>
      <c r="S327" s="149">
        <f>IF(Q327&gt;0,IF(RIGHT(Ruimtestaat[[#This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7" s="149">
        <f>IF(S327&gt;0,VLOOKUP($J327,Ruimtegroepen[],3,FALSE)*VLOOKUP($L327,Vloersoorten[],3,FALSE)*VLOOKUP($R327,Frequenties[],3,FALSE)*VLOOKUP($A327,Locaties[],3,FALSE),0)</f>
        <v>0</v>
      </c>
      <c r="U327" s="149">
        <f>Ruimtestaat[[#This Row],[Uitvoeringen werkdagen]]*Ruimtestaat[[#This Row],[Oppervlak (netto)]]</f>
        <v>1000</v>
      </c>
      <c r="V327" s="179">
        <f>IF(T327&gt;0,Ruimtestaat[[#This Row],[Prest. (m2 /jaar) werkdagen]]/Ruimtestaat[[#This Row],[Norm (m2/uur) werkdagen]],0)</f>
        <v>0</v>
      </c>
      <c r="W327" s="180">
        <f>Ruimtestaat[[#This Row],[uren / jaar werkdagen]]*Tariefsopbouw!$E$35</f>
        <v>0</v>
      </c>
      <c r="X327" s="149"/>
      <c r="Y327" s="149">
        <f>IF(Ruimtestaat[[#This Row],[Frequentie weekend]]&gt;0,VALUE(LEFT(X327,1))*Q327,0)</f>
        <v>0</v>
      </c>
      <c r="Z327" s="148">
        <f>IF($Y327&gt;0,VLOOKUP($J327,Ruimtegroepen[],3,FALSE)*VLOOKUP($L327,Vloersoorten[],3,FALSE)*VLOOKUP($X327,Frequenties[],3,FALSE)*VLOOKUP(Ruimtestaat[[#This Row],[Code]],Locaties[],3,FALSE),0)</f>
        <v>0</v>
      </c>
      <c r="AA327" s="148">
        <f>Ruimtestaat[[#This Row],[Uitvoeringen weekend]]*Ruimtestaat[[#This Row],[Oppervlak (netto)]]</f>
        <v>0</v>
      </c>
      <c r="AB327" s="148">
        <f>IF(Z327&gt;0,Ruimtestaat[[#This Row],[Prest. (m2 /jaar) weekend]]/Ruimtestaat[[#This Row],[Norm (m2/uur) weekend]],0)</f>
        <v>0</v>
      </c>
      <c r="AC327" s="180">
        <f>Ruimtestaat[[#This Row],[uren / jaar weekend]]*Tariefsopbouw!$D$40</f>
        <v>0</v>
      </c>
      <c r="AD327" s="179">
        <f>Ruimtestaat[[#This Row],[Prest. (m2 /jaar) weekend]]+Ruimtestaat[[#This Row],[Prest. (m2 /jaar) werkdagen]]</f>
        <v>1000</v>
      </c>
      <c r="AE327" s="179">
        <f>Ruimtestaat[[#This Row],[uren / jaar weekend]]+Ruimtestaat[[#This Row],[uren / jaar werkdagen]]</f>
        <v>0</v>
      </c>
      <c r="AF327" s="174">
        <f>Ruimtestaat[[#This Row],[kosten / jaar weekend]]+Ruimtestaat[[#This Row],[kosten / jaar werkdagen]]</f>
        <v>0</v>
      </c>
      <c r="AG327" s="174"/>
      <c r="AH327" s="181" t="str">
        <f>IF(Ruimtestaat[[#This Row],[Frequentie werkdagen]]="","",_xlfn.CONCAT(Ruimtestaat[[#This Row],[Ruimte code]],"-",Ruimtestaat[[#This Row],[Frequentie werkdagen]]," ",Ruimtestaat[[#This Row],[Vloer code]]))</f>
        <v>5-5w S</v>
      </c>
      <c r="AI327" s="185" t="str">
        <f>_xlfn.IFNA(VLOOKUP($AH327,Programma!$F$3:$G$1101,2,0),"")</f>
        <v>_</v>
      </c>
      <c r="AJ327" s="185" t="str">
        <f>_xlfn.IFNA(VLOOKUP($AH327,Programma!$F$3:$H$1101,3,0),"")</f>
        <v>_</v>
      </c>
      <c r="AK327" s="185" t="str">
        <f>_xlfn.IFNA(VLOOKUP($AH327,Programma!$F$3:$I$1101,4,0),"")</f>
        <v>_</v>
      </c>
      <c r="AL327" s="185" t="str">
        <f>_xlfn.IFNA(VLOOKUP($AH327,Programma!$F$3:$J$1101,5,0),"")</f>
        <v>4w</v>
      </c>
      <c r="AM327" s="185" t="str">
        <f>_xlfn.IFNA(VLOOKUP($AH327,Programma!$F$3:$K$1101,6,0),"")</f>
        <v>1w</v>
      </c>
      <c r="AN327" s="185" t="str">
        <f>_xlfn.IFNA(VLOOKUP($AH327,Programma!$F$3:$L$1101,7,0),"")</f>
        <v>_</v>
      </c>
      <c r="AO327" s="185" t="str">
        <f>_xlfn.IFNA(VLOOKUP($AH327,Programma!$F$3:$M$1101,8,0),"")</f>
        <v>_</v>
      </c>
      <c r="AP327" s="185" t="str">
        <f>_xlfn.IFNA(VLOOKUP($AH327,Programma!$F$3:$N$1101,9,0),"")</f>
        <v>_</v>
      </c>
      <c r="AQ327" s="185" t="str">
        <f>_xlfn.IFNA(VLOOKUP($AH327,Programma!$F$3:$O$1101,10,0),"")</f>
        <v>_</v>
      </c>
      <c r="AR327" s="185" t="str">
        <f>_xlfn.IFNA(VLOOKUP($AH327,Programma!$F$3:$P$1101,11,0),"")</f>
        <v>_</v>
      </c>
      <c r="AS327" s="185" t="str">
        <f>_xlfn.IFNA(VLOOKUP($AH327,Programma!$F$3:$Q$1101,12,0),"")</f>
        <v>_</v>
      </c>
      <c r="AT327" s="185" t="str">
        <f>_xlfn.IFNA(VLOOKUP($AH327,Programma!$F$3:$R$1101,13,0),"")</f>
        <v>_</v>
      </c>
      <c r="AU327" s="185" t="str">
        <f>_xlfn.IFNA(VLOOKUP($AH327,Programma!$F$3:$S$1101,14,0),"")</f>
        <v>_</v>
      </c>
      <c r="AV327" s="185" t="str">
        <f>_xlfn.IFNA(VLOOKUP($AH327,Programma!$F$3:$T$1101,15,0),"")</f>
        <v>_</v>
      </c>
      <c r="AW327" s="185" t="str">
        <f>_xlfn.IFNA(VLOOKUP($AH327,Programma!$F$3:$U$1101,16,0),"")</f>
        <v>_</v>
      </c>
      <c r="AX327" s="185" t="str">
        <f>_xlfn.IFNA(VLOOKUP($AH327,Programma!$F$3:$V$1101,17,0),"")</f>
        <v>_</v>
      </c>
      <c r="AY327" s="185" t="str">
        <f>_xlfn.IFNA(VLOOKUP($AH327,Programma!$F$3:$W$1101,18,0),"")</f>
        <v>4w</v>
      </c>
      <c r="AZ327" s="185" t="str">
        <f>_xlfn.IFNA(VLOOKUP($AH327,Programma!$F$3:$X$1101,19,0),"")</f>
        <v>1w</v>
      </c>
      <c r="BA327" s="185" t="str">
        <f>_xlfn.IFNA(VLOOKUP($AH327,Programma!$F$3:$Y$1101,20,0),"")</f>
        <v>_</v>
      </c>
      <c r="BB327" s="182"/>
      <c r="BC327" s="181" t="str">
        <f>IF(Ruimtestaat[[#This Row],[Frequentie weekend]]="","",_xlfn.CONCAT(Ruimtestaat[[#This Row],[Ruimte code]],"-",Ruimtestaat[[#This Row],[Frequentie weekend]]," ",Ruimtestaat[[#This Row],[Vloer code]]))</f>
        <v/>
      </c>
      <c r="BD327" s="185" t="str">
        <f>_xlfn.IFNA(VLOOKUP($BC327,Programma!$F$3:$G$1101,2,0),"")</f>
        <v/>
      </c>
      <c r="BE327" s="185" t="str">
        <f>_xlfn.IFNA(VLOOKUP($BC327,Programma!$F$3:$H$1101,3,0),"")</f>
        <v/>
      </c>
      <c r="BF327" s="185" t="str">
        <f>_xlfn.IFNA(VLOOKUP($BC327,Programma!$F$3:$I$1101,4,0),"")</f>
        <v/>
      </c>
      <c r="BG327" s="185" t="str">
        <f>_xlfn.IFNA(VLOOKUP($BC327,Programma!$F$3:$J$1101,5,0),"")</f>
        <v/>
      </c>
      <c r="BH327" s="185" t="str">
        <f>_xlfn.IFNA(VLOOKUP($BC327,Programma!$F$3:$K$1101,6,0),"")</f>
        <v/>
      </c>
      <c r="BI327" s="185" t="str">
        <f>_xlfn.IFNA(VLOOKUP($BC327,Programma!$F$3:$L$1101,7,0),"")</f>
        <v/>
      </c>
      <c r="BJ327" s="185" t="str">
        <f>_xlfn.IFNA(VLOOKUP($BC327,Programma!$F$3:$M$1101,8,0),"")</f>
        <v/>
      </c>
      <c r="BK327" s="185" t="str">
        <f>_xlfn.IFNA(VLOOKUP($BC327,Programma!$F$3:$N$1101,9,0),"")</f>
        <v/>
      </c>
      <c r="BL327" s="185" t="str">
        <f>_xlfn.IFNA(VLOOKUP($BC327,Programma!$F$3:$O$1101,10,0),"")</f>
        <v/>
      </c>
      <c r="BM327" s="185" t="str">
        <f>_xlfn.IFNA(VLOOKUP($BC327,Programma!$F$3:$P$1101,11,0),"")</f>
        <v/>
      </c>
      <c r="BN327" s="185" t="str">
        <f>_xlfn.IFNA(VLOOKUP($BC327,Programma!$F$3:$Q$1101,12,0),"")</f>
        <v/>
      </c>
      <c r="BO327" s="185" t="str">
        <f>_xlfn.IFNA(VLOOKUP($BC327,Programma!$F$3:$R$1101,13,0),"")</f>
        <v/>
      </c>
      <c r="BP327" s="185" t="str">
        <f>_xlfn.IFNA(VLOOKUP($BC327,Programma!$F$3:$S$1101,14,0),"")</f>
        <v/>
      </c>
      <c r="BQ327" s="185" t="str">
        <f>_xlfn.IFNA(VLOOKUP($BC327,Programma!$F$3:$T$1101,15,0),"")</f>
        <v/>
      </c>
      <c r="BR327" s="185" t="str">
        <f>_xlfn.IFNA(VLOOKUP($BC327,Programma!$F$3:$U$1101,16,0),"")</f>
        <v/>
      </c>
      <c r="BS327" s="185" t="str">
        <f>_xlfn.IFNA(VLOOKUP($BC327,Programma!$F$3:$V$1101,17,0),"")</f>
        <v/>
      </c>
      <c r="BT327" s="185" t="str">
        <f>_xlfn.IFNA(VLOOKUP($BC327,Programma!$F$3:$W$1101,18,0),"")</f>
        <v/>
      </c>
      <c r="BU327" s="185" t="str">
        <f>_xlfn.IFNA(VLOOKUP($BC327,Programma!$F$3:$X$1101,19,0),"")</f>
        <v/>
      </c>
      <c r="BV327" s="185" t="str">
        <f>_xlfn.IFNA(VLOOKUP($BC327,Programma!$F$3:$Y$1101,20,0),"")</f>
        <v/>
      </c>
    </row>
    <row r="328" spans="1:74" s="78" customFormat="1" ht="15" customHeight="1">
      <c r="A328" s="99">
        <v>10</v>
      </c>
      <c r="B328" s="176" t="str">
        <f>VLOOKUP(Ruimtestaat[[#This Row],[Code]],Locaties[[Code]:[Locatie]],2,FALSE)</f>
        <v>OJBS Het Palet</v>
      </c>
      <c r="C328" s="176" t="str">
        <f>VLOOKUP(Ruimtestaat[[#This Row],[Code]],Locaties[[#All],[Code]:[Adres]],4,FALSE)</f>
        <v>Ger. Terborghstraat 9</v>
      </c>
      <c r="D328" s="176" t="str">
        <f>VLOOKUP(Ruimtestaat[[#This Row],[Code]],Locaties[[#All],[Code]:[Postcode]],5,FALSE)</f>
        <v>7545 BV</v>
      </c>
      <c r="E328" s="176" t="str">
        <f>VLOOKUP(Ruimtestaat[[#This Row],[Code]],Locaties[#All],6,FALSE)</f>
        <v>Enschede</v>
      </c>
      <c r="F328" s="149"/>
      <c r="G328" s="149" t="s">
        <v>1714</v>
      </c>
      <c r="H328" s="99" t="s">
        <v>1740</v>
      </c>
      <c r="I328" s="183" t="s">
        <v>1585</v>
      </c>
      <c r="J328" s="99">
        <v>13</v>
      </c>
      <c r="K328" s="183" t="str">
        <f>VLOOKUP(Ruimtestaat[[#This Row],[Ruimte code]],Ruimtegroepen[[#All],[Code]:[Ruimte omschrijving]],2,FALSE)</f>
        <v>Personeelskamer</v>
      </c>
      <c r="L328" s="149" t="s">
        <v>102</v>
      </c>
      <c r="M328" s="301" t="s">
        <v>120</v>
      </c>
      <c r="N328" s="177">
        <v>47.2</v>
      </c>
      <c r="O328" s="177"/>
      <c r="P328" s="178" t="str">
        <f>VLOOKUP(Ruimtestaat[[#This Row],[Ruimte code]],Ruimtegroepen[],4,FALSE)</f>
        <v>Ve</v>
      </c>
      <c r="Q328" s="149">
        <v>40</v>
      </c>
      <c r="R328" s="149" t="s">
        <v>18</v>
      </c>
      <c r="S328" s="149">
        <f>IF(Q328&gt;0,IF(RIGHT(Ruimtestaat[[#This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28" s="149">
        <f>IF(S328&gt;0,VLOOKUP($J328,Ruimtegroepen[],3,FALSE)*VLOOKUP($L328,Vloersoorten[],3,FALSE)*VLOOKUP($R328,Frequenties[],3,FALSE)*VLOOKUP($A328,Locaties[],3,FALSE),0)</f>
        <v>0</v>
      </c>
      <c r="U328" s="149">
        <f>Ruimtestaat[[#This Row],[Uitvoeringen werkdagen]]*Ruimtestaat[[#This Row],[Oppervlak (netto)]]</f>
        <v>5664</v>
      </c>
      <c r="V328" s="179">
        <f>IF(T328&gt;0,Ruimtestaat[[#This Row],[Prest. (m2 /jaar) werkdagen]]/Ruimtestaat[[#This Row],[Norm (m2/uur) werkdagen]],0)</f>
        <v>0</v>
      </c>
      <c r="W328" s="180">
        <f>Ruimtestaat[[#This Row],[uren / jaar werkdagen]]*Tariefsopbouw!$E$35</f>
        <v>0</v>
      </c>
      <c r="X328" s="149"/>
      <c r="Y328" s="149">
        <f>IF(Ruimtestaat[[#This Row],[Frequentie weekend]]&gt;0,VALUE(LEFT(X328,1))*Q328,0)</f>
        <v>0</v>
      </c>
      <c r="Z328" s="148">
        <f>IF($Y328&gt;0,VLOOKUP($J328,Ruimtegroepen[],3,FALSE)*VLOOKUP($L328,Vloersoorten[],3,FALSE)*VLOOKUP($X328,Frequenties[],3,FALSE)*VLOOKUP(Ruimtestaat[[#This Row],[Code]],Locaties[],3,FALSE),0)</f>
        <v>0</v>
      </c>
      <c r="AA328" s="148">
        <f>Ruimtestaat[[#This Row],[Uitvoeringen weekend]]*Ruimtestaat[[#This Row],[Oppervlak (netto)]]</f>
        <v>0</v>
      </c>
      <c r="AB328" s="148">
        <f>IF(Z328&gt;0,Ruimtestaat[[#This Row],[Prest. (m2 /jaar) weekend]]/Ruimtestaat[[#This Row],[Norm (m2/uur) weekend]],0)</f>
        <v>0</v>
      </c>
      <c r="AC328" s="180">
        <f>Ruimtestaat[[#This Row],[uren / jaar weekend]]*Tariefsopbouw!$D$40</f>
        <v>0</v>
      </c>
      <c r="AD328" s="179">
        <f>Ruimtestaat[[#This Row],[Prest. (m2 /jaar) weekend]]+Ruimtestaat[[#This Row],[Prest. (m2 /jaar) werkdagen]]</f>
        <v>5664</v>
      </c>
      <c r="AE328" s="179">
        <f>Ruimtestaat[[#This Row],[uren / jaar weekend]]+Ruimtestaat[[#This Row],[uren / jaar werkdagen]]</f>
        <v>0</v>
      </c>
      <c r="AF328" s="174">
        <f>Ruimtestaat[[#This Row],[kosten / jaar weekend]]+Ruimtestaat[[#This Row],[kosten / jaar werkdagen]]</f>
        <v>0</v>
      </c>
      <c r="AG328" s="174"/>
      <c r="AH328" s="181" t="str">
        <f>IF(Ruimtestaat[[#This Row],[Frequentie werkdagen]]="","",_xlfn.CONCAT(Ruimtestaat[[#This Row],[Ruimte code]],"-",Ruimtestaat[[#This Row],[Frequentie werkdagen]]," ",Ruimtestaat[[#This Row],[Vloer code]]))</f>
        <v>13-3w P</v>
      </c>
      <c r="AI328" s="185" t="str">
        <f>_xlfn.IFNA(VLOOKUP($AH328,Programma!$F$3:$G$1101,2,0),"")</f>
        <v>_</v>
      </c>
      <c r="AJ328" s="185" t="str">
        <f>_xlfn.IFNA(VLOOKUP($AH328,Programma!$F$3:$H$1101,3,0),"")</f>
        <v>_</v>
      </c>
      <c r="AK328" s="185" t="str">
        <f>_xlfn.IFNA(VLOOKUP($AH328,Programma!$F$3:$I$1101,4,0),"")</f>
        <v>2w</v>
      </c>
      <c r="AL328" s="185" t="str">
        <f>_xlfn.IFNA(VLOOKUP($AH328,Programma!$F$3:$J$1101,5,0),"")</f>
        <v>1w</v>
      </c>
      <c r="AM328" s="185" t="str">
        <f>_xlfn.IFNA(VLOOKUP($AH328,Programma!$F$3:$K$1101,6,0),"")</f>
        <v>1j</v>
      </c>
      <c r="AN328" s="185" t="str">
        <f>_xlfn.IFNA(VLOOKUP($AH328,Programma!$F$3:$L$1101,7,0),"")</f>
        <v>_</v>
      </c>
      <c r="AO328" s="185" t="str">
        <f>_xlfn.IFNA(VLOOKUP($AH328,Programma!$F$3:$M$1101,8,0),"")</f>
        <v>_</v>
      </c>
      <c r="AP328" s="185" t="str">
        <f>_xlfn.IFNA(VLOOKUP($AH328,Programma!$F$3:$N$1101,9,0),"")</f>
        <v>_</v>
      </c>
      <c r="AQ328" s="185" t="str">
        <f>_xlfn.IFNA(VLOOKUP($AH328,Programma!$F$3:$O$1101,10,0),"")</f>
        <v>3w</v>
      </c>
      <c r="AR328" s="185" t="str">
        <f>_xlfn.IFNA(VLOOKUP($AH328,Programma!$F$3:$P$1101,11,0),"")</f>
        <v>3w</v>
      </c>
      <c r="AS328" s="185" t="str">
        <f>_xlfn.IFNA(VLOOKUP($AH328,Programma!$F$3:$Q$1101,12,0),"")</f>
        <v>1w</v>
      </c>
      <c r="AT328" s="185" t="str">
        <f>_xlfn.IFNA(VLOOKUP($AH328,Programma!$F$3:$R$1101,13,0),"")</f>
        <v>1w</v>
      </c>
      <c r="AU328" s="185" t="str">
        <f>_xlfn.IFNA(VLOOKUP($AH328,Programma!$F$3:$S$1101,14,0),"")</f>
        <v>1m</v>
      </c>
      <c r="AV328" s="185" t="str">
        <f>_xlfn.IFNA(VLOOKUP($AH328,Programma!$F$3:$T$1101,15,0),"")</f>
        <v>2j</v>
      </c>
      <c r="AW328" s="185" t="str">
        <f>_xlfn.IFNA(VLOOKUP($AH328,Programma!$F$3:$U$1101,16,0),"")</f>
        <v>1j</v>
      </c>
      <c r="AX328" s="185" t="str">
        <f>_xlfn.IFNA(VLOOKUP($AH328,Programma!$F$3:$V$1101,17,0),"")</f>
        <v>_</v>
      </c>
      <c r="AY328" s="185" t="str">
        <f>_xlfn.IFNA(VLOOKUP($AH328,Programma!$F$3:$W$1101,18,0),"")</f>
        <v>_</v>
      </c>
      <c r="AZ328" s="185" t="str">
        <f>_xlfn.IFNA(VLOOKUP($AH328,Programma!$F$3:$X$1101,19,0),"")</f>
        <v>_</v>
      </c>
      <c r="BA328" s="185" t="str">
        <f>_xlfn.IFNA(VLOOKUP($AH328,Programma!$F$3:$Y$1101,20,0),"")</f>
        <v>_</v>
      </c>
      <c r="BB328" s="182"/>
      <c r="BC328" s="181" t="str">
        <f>IF(Ruimtestaat[[#This Row],[Frequentie weekend]]="","",_xlfn.CONCAT(Ruimtestaat[[#This Row],[Ruimte code]],"-",Ruimtestaat[[#This Row],[Frequentie weekend]]," ",Ruimtestaat[[#This Row],[Vloer code]]))</f>
        <v/>
      </c>
      <c r="BD328" s="185" t="str">
        <f>_xlfn.IFNA(VLOOKUP($BC328,Programma!$F$3:$G$1101,2,0),"")</f>
        <v/>
      </c>
      <c r="BE328" s="185" t="str">
        <f>_xlfn.IFNA(VLOOKUP($BC328,Programma!$F$3:$H$1101,3,0),"")</f>
        <v/>
      </c>
      <c r="BF328" s="185" t="str">
        <f>_xlfn.IFNA(VLOOKUP($BC328,Programma!$F$3:$I$1101,4,0),"")</f>
        <v/>
      </c>
      <c r="BG328" s="185" t="str">
        <f>_xlfn.IFNA(VLOOKUP($BC328,Programma!$F$3:$J$1101,5,0),"")</f>
        <v/>
      </c>
      <c r="BH328" s="185" t="str">
        <f>_xlfn.IFNA(VLOOKUP($BC328,Programma!$F$3:$K$1101,6,0),"")</f>
        <v/>
      </c>
      <c r="BI328" s="185" t="str">
        <f>_xlfn.IFNA(VLOOKUP($BC328,Programma!$F$3:$L$1101,7,0),"")</f>
        <v/>
      </c>
      <c r="BJ328" s="185" t="str">
        <f>_xlfn.IFNA(VLOOKUP($BC328,Programma!$F$3:$M$1101,8,0),"")</f>
        <v/>
      </c>
      <c r="BK328" s="185" t="str">
        <f>_xlfn.IFNA(VLOOKUP($BC328,Programma!$F$3:$N$1101,9,0),"")</f>
        <v/>
      </c>
      <c r="BL328" s="185" t="str">
        <f>_xlfn.IFNA(VLOOKUP($BC328,Programma!$F$3:$O$1101,10,0),"")</f>
        <v/>
      </c>
      <c r="BM328" s="185" t="str">
        <f>_xlfn.IFNA(VLOOKUP($BC328,Programma!$F$3:$P$1101,11,0),"")</f>
        <v/>
      </c>
      <c r="BN328" s="185" t="str">
        <f>_xlfn.IFNA(VLOOKUP($BC328,Programma!$F$3:$Q$1101,12,0),"")</f>
        <v/>
      </c>
      <c r="BO328" s="185" t="str">
        <f>_xlfn.IFNA(VLOOKUP($BC328,Programma!$F$3:$R$1101,13,0),"")</f>
        <v/>
      </c>
      <c r="BP328" s="185" t="str">
        <f>_xlfn.IFNA(VLOOKUP($BC328,Programma!$F$3:$S$1101,14,0),"")</f>
        <v/>
      </c>
      <c r="BQ328" s="185" t="str">
        <f>_xlfn.IFNA(VLOOKUP($BC328,Programma!$F$3:$T$1101,15,0),"")</f>
        <v/>
      </c>
      <c r="BR328" s="185" t="str">
        <f>_xlfn.IFNA(VLOOKUP($BC328,Programma!$F$3:$U$1101,16,0),"")</f>
        <v/>
      </c>
      <c r="BS328" s="185" t="str">
        <f>_xlfn.IFNA(VLOOKUP($BC328,Programma!$F$3:$V$1101,17,0),"")</f>
        <v/>
      </c>
      <c r="BT328" s="185" t="str">
        <f>_xlfn.IFNA(VLOOKUP($BC328,Programma!$F$3:$W$1101,18,0),"")</f>
        <v/>
      </c>
      <c r="BU328" s="185" t="str">
        <f>_xlfn.IFNA(VLOOKUP($BC328,Programma!$F$3:$X$1101,19,0),"")</f>
        <v/>
      </c>
      <c r="BV328" s="185" t="str">
        <f>_xlfn.IFNA(VLOOKUP($BC328,Programma!$F$3:$Y$1101,20,0),"")</f>
        <v/>
      </c>
    </row>
    <row r="329" spans="1:74" s="78" customFormat="1" ht="15" customHeight="1">
      <c r="A329" s="99">
        <v>10</v>
      </c>
      <c r="B329" s="176" t="str">
        <f>VLOOKUP(Ruimtestaat[[#This Row],[Code]],Locaties[[Code]:[Locatie]],2,FALSE)</f>
        <v>OJBS Het Palet</v>
      </c>
      <c r="C329" s="176" t="str">
        <f>VLOOKUP(Ruimtestaat[[#This Row],[Code]],Locaties[[#All],[Code]:[Adres]],4,FALSE)</f>
        <v>Ger. Terborghstraat 9</v>
      </c>
      <c r="D329" s="176" t="str">
        <f>VLOOKUP(Ruimtestaat[[#This Row],[Code]],Locaties[[#All],[Code]:[Postcode]],5,FALSE)</f>
        <v>7545 BV</v>
      </c>
      <c r="E329" s="176" t="str">
        <f>VLOOKUP(Ruimtestaat[[#This Row],[Code]],Locaties[#All],6,FALSE)</f>
        <v>Enschede</v>
      </c>
      <c r="F329" s="149"/>
      <c r="G329" s="149" t="s">
        <v>1714</v>
      </c>
      <c r="H329" s="99" t="s">
        <v>1741</v>
      </c>
      <c r="I329" s="183" t="s">
        <v>1702</v>
      </c>
      <c r="J329" s="99">
        <v>10</v>
      </c>
      <c r="K329" s="183" t="str">
        <f>VLOOKUP(Ruimtestaat[[#This Row],[Ruimte code]],Ruimtegroepen[[#All],[Code]:[Ruimte omschrijving]],2,FALSE)</f>
        <v>Trappenhuizen/lift</v>
      </c>
      <c r="L329" s="149" t="s">
        <v>101</v>
      </c>
      <c r="M329" s="301" t="s">
        <v>119</v>
      </c>
      <c r="N329" s="177">
        <v>6.2</v>
      </c>
      <c r="O329" s="177"/>
      <c r="P329" s="178" t="str">
        <f>VLOOKUP(Ruimtestaat[[#This Row],[Ruimte code]],Ruimtegroepen[],4,FALSE)</f>
        <v>Ve</v>
      </c>
      <c r="Q329" s="149">
        <v>40</v>
      </c>
      <c r="R329" s="149" t="s">
        <v>2</v>
      </c>
      <c r="S329" s="149">
        <f>IF(Q329&gt;0,IF(RIGHT(Ruimtestaat[[#This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29" s="149">
        <f>IF(S329&gt;0,VLOOKUP($J329,Ruimtegroepen[],3,FALSE)*VLOOKUP($L329,Vloersoorten[],3,FALSE)*VLOOKUP($R329,Frequenties[],3,FALSE)*VLOOKUP($A329,Locaties[],3,FALSE),0)</f>
        <v>0</v>
      </c>
      <c r="U329" s="149">
        <f>Ruimtestaat[[#This Row],[Uitvoeringen werkdagen]]*Ruimtestaat[[#This Row],[Oppervlak (netto)]]</f>
        <v>1240</v>
      </c>
      <c r="V329" s="179">
        <f>IF(T329&gt;0,Ruimtestaat[[#This Row],[Prest. (m2 /jaar) werkdagen]]/Ruimtestaat[[#This Row],[Norm (m2/uur) werkdagen]],0)</f>
        <v>0</v>
      </c>
      <c r="W329" s="180">
        <f>Ruimtestaat[[#This Row],[uren / jaar werkdagen]]*Tariefsopbouw!$E$35</f>
        <v>0</v>
      </c>
      <c r="X329" s="149"/>
      <c r="Y329" s="149">
        <f>IF(Ruimtestaat[[#This Row],[Frequentie weekend]]&gt;0,VALUE(LEFT(X329,1))*Q329,0)</f>
        <v>0</v>
      </c>
      <c r="Z329" s="148">
        <f>IF($Y329&gt;0,VLOOKUP($J329,Ruimtegroepen[],3,FALSE)*VLOOKUP($L329,Vloersoorten[],3,FALSE)*VLOOKUP($X329,Frequenties[],3,FALSE)*VLOOKUP(Ruimtestaat[[#This Row],[Code]],Locaties[],3,FALSE),0)</f>
        <v>0</v>
      </c>
      <c r="AA329" s="148">
        <f>Ruimtestaat[[#This Row],[Uitvoeringen weekend]]*Ruimtestaat[[#This Row],[Oppervlak (netto)]]</f>
        <v>0</v>
      </c>
      <c r="AB329" s="148">
        <f>IF(Z329&gt;0,Ruimtestaat[[#This Row],[Prest. (m2 /jaar) weekend]]/Ruimtestaat[[#This Row],[Norm (m2/uur) weekend]],0)</f>
        <v>0</v>
      </c>
      <c r="AC329" s="180">
        <f>Ruimtestaat[[#This Row],[uren / jaar weekend]]*Tariefsopbouw!$D$40</f>
        <v>0</v>
      </c>
      <c r="AD329" s="179">
        <f>Ruimtestaat[[#This Row],[Prest. (m2 /jaar) weekend]]+Ruimtestaat[[#This Row],[Prest. (m2 /jaar) werkdagen]]</f>
        <v>1240</v>
      </c>
      <c r="AE329" s="179">
        <f>Ruimtestaat[[#This Row],[uren / jaar weekend]]+Ruimtestaat[[#This Row],[uren / jaar werkdagen]]</f>
        <v>0</v>
      </c>
      <c r="AF329" s="174">
        <f>Ruimtestaat[[#This Row],[kosten / jaar weekend]]+Ruimtestaat[[#This Row],[kosten / jaar werkdagen]]</f>
        <v>0</v>
      </c>
      <c r="AG329" s="174"/>
      <c r="AH329" s="181" t="str">
        <f>IF(Ruimtestaat[[#This Row],[Frequentie werkdagen]]="","",_xlfn.CONCAT(Ruimtestaat[[#This Row],[Ruimte code]],"-",Ruimtestaat[[#This Row],[Frequentie werkdagen]]," ",Ruimtestaat[[#This Row],[Vloer code]]))</f>
        <v>10-5w S</v>
      </c>
      <c r="AI329" s="185" t="str">
        <f>_xlfn.IFNA(VLOOKUP($AH329,Programma!$F$3:$G$1101,2,0),"")</f>
        <v>_</v>
      </c>
      <c r="AJ329" s="185" t="str">
        <f>_xlfn.IFNA(VLOOKUP($AH329,Programma!$F$3:$H$1101,3,0),"")</f>
        <v>_</v>
      </c>
      <c r="AK329" s="185" t="str">
        <f>_xlfn.IFNA(VLOOKUP($AH329,Programma!$F$3:$I$1101,4,0),"")</f>
        <v>4w</v>
      </c>
      <c r="AL329" s="185" t="str">
        <f>_xlfn.IFNA(VLOOKUP($AH329,Programma!$F$3:$J$1101,5,0),"")</f>
        <v>1w</v>
      </c>
      <c r="AM329" s="185" t="str">
        <f>_xlfn.IFNA(VLOOKUP($AH329,Programma!$F$3:$K$1101,6,0),"")</f>
        <v>4j</v>
      </c>
      <c r="AN329" s="185" t="str">
        <f>_xlfn.IFNA(VLOOKUP($AH329,Programma!$F$3:$L$1101,7,0),"")</f>
        <v>_</v>
      </c>
      <c r="AO329" s="185" t="str">
        <f>_xlfn.IFNA(VLOOKUP($AH329,Programma!$F$3:$M$1101,8,0),"")</f>
        <v>_</v>
      </c>
      <c r="AP329" s="185" t="str">
        <f>_xlfn.IFNA(VLOOKUP($AH329,Programma!$F$3:$N$1101,9,0),"")</f>
        <v>_</v>
      </c>
      <c r="AQ329" s="185" t="str">
        <f>_xlfn.IFNA(VLOOKUP($AH329,Programma!$F$3:$O$1101,10,0),"")</f>
        <v>5w</v>
      </c>
      <c r="AR329" s="185" t="str">
        <f>_xlfn.IFNA(VLOOKUP($AH329,Programma!$F$3:$P$1101,11,0),"")</f>
        <v>5w</v>
      </c>
      <c r="AS329" s="185" t="str">
        <f>_xlfn.IFNA(VLOOKUP($AH329,Programma!$F$3:$Q$1101,12,0),"")</f>
        <v>1w</v>
      </c>
      <c r="AT329" s="185" t="str">
        <f>_xlfn.IFNA(VLOOKUP($AH329,Programma!$F$3:$R$1101,13,0),"")</f>
        <v>1w</v>
      </c>
      <c r="AU329" s="185" t="str">
        <f>_xlfn.IFNA(VLOOKUP($AH329,Programma!$F$3:$S$1101,14,0),"")</f>
        <v>1m</v>
      </c>
      <c r="AV329" s="185" t="str">
        <f>_xlfn.IFNA(VLOOKUP($AH329,Programma!$F$3:$T$1101,15,0),"")</f>
        <v>2j</v>
      </c>
      <c r="AW329" s="185" t="str">
        <f>_xlfn.IFNA(VLOOKUP($AH329,Programma!$F$3:$U$1101,16,0),"")</f>
        <v>1j</v>
      </c>
      <c r="AX329" s="185" t="str">
        <f>_xlfn.IFNA(VLOOKUP($AH329,Programma!$F$3:$V$1101,17,0),"")</f>
        <v>_</v>
      </c>
      <c r="AY329" s="185" t="str">
        <f>_xlfn.IFNA(VLOOKUP($AH329,Programma!$F$3:$W$1101,18,0),"")</f>
        <v>_</v>
      </c>
      <c r="AZ329" s="185" t="str">
        <f>_xlfn.IFNA(VLOOKUP($AH329,Programma!$F$3:$X$1101,19,0),"")</f>
        <v>_</v>
      </c>
      <c r="BA329" s="185" t="str">
        <f>_xlfn.IFNA(VLOOKUP($AH329,Programma!$F$3:$Y$1101,20,0),"")</f>
        <v>_</v>
      </c>
      <c r="BB329" s="182"/>
      <c r="BC329" s="181" t="str">
        <f>IF(Ruimtestaat[[#This Row],[Frequentie weekend]]="","",_xlfn.CONCAT(Ruimtestaat[[#This Row],[Ruimte code]],"-",Ruimtestaat[[#This Row],[Frequentie weekend]]," ",Ruimtestaat[[#This Row],[Vloer code]]))</f>
        <v/>
      </c>
      <c r="BD329" s="185" t="str">
        <f>_xlfn.IFNA(VLOOKUP($BC329,Programma!$F$3:$G$1101,2,0),"")</f>
        <v/>
      </c>
      <c r="BE329" s="185" t="str">
        <f>_xlfn.IFNA(VLOOKUP($BC329,Programma!$F$3:$H$1101,3,0),"")</f>
        <v/>
      </c>
      <c r="BF329" s="185" t="str">
        <f>_xlfn.IFNA(VLOOKUP($BC329,Programma!$F$3:$I$1101,4,0),"")</f>
        <v/>
      </c>
      <c r="BG329" s="185" t="str">
        <f>_xlfn.IFNA(VLOOKUP($BC329,Programma!$F$3:$J$1101,5,0),"")</f>
        <v/>
      </c>
      <c r="BH329" s="185" t="str">
        <f>_xlfn.IFNA(VLOOKUP($BC329,Programma!$F$3:$K$1101,6,0),"")</f>
        <v/>
      </c>
      <c r="BI329" s="185" t="str">
        <f>_xlfn.IFNA(VLOOKUP($BC329,Programma!$F$3:$L$1101,7,0),"")</f>
        <v/>
      </c>
      <c r="BJ329" s="185" t="str">
        <f>_xlfn.IFNA(VLOOKUP($BC329,Programma!$F$3:$M$1101,8,0),"")</f>
        <v/>
      </c>
      <c r="BK329" s="185" t="str">
        <f>_xlfn.IFNA(VLOOKUP($BC329,Programma!$F$3:$N$1101,9,0),"")</f>
        <v/>
      </c>
      <c r="BL329" s="185" t="str">
        <f>_xlfn.IFNA(VLOOKUP($BC329,Programma!$F$3:$O$1101,10,0),"")</f>
        <v/>
      </c>
      <c r="BM329" s="185" t="str">
        <f>_xlfn.IFNA(VLOOKUP($BC329,Programma!$F$3:$P$1101,11,0),"")</f>
        <v/>
      </c>
      <c r="BN329" s="185" t="str">
        <f>_xlfn.IFNA(VLOOKUP($BC329,Programma!$F$3:$Q$1101,12,0),"")</f>
        <v/>
      </c>
      <c r="BO329" s="185" t="str">
        <f>_xlfn.IFNA(VLOOKUP($BC329,Programma!$F$3:$R$1101,13,0),"")</f>
        <v/>
      </c>
      <c r="BP329" s="185" t="str">
        <f>_xlfn.IFNA(VLOOKUP($BC329,Programma!$F$3:$S$1101,14,0),"")</f>
        <v/>
      </c>
      <c r="BQ329" s="185" t="str">
        <f>_xlfn.IFNA(VLOOKUP($BC329,Programma!$F$3:$T$1101,15,0),"")</f>
        <v/>
      </c>
      <c r="BR329" s="185" t="str">
        <f>_xlfn.IFNA(VLOOKUP($BC329,Programma!$F$3:$U$1101,16,0),"")</f>
        <v/>
      </c>
      <c r="BS329" s="185" t="str">
        <f>_xlfn.IFNA(VLOOKUP($BC329,Programma!$F$3:$V$1101,17,0),"")</f>
        <v/>
      </c>
      <c r="BT329" s="185" t="str">
        <f>_xlfn.IFNA(VLOOKUP($BC329,Programma!$F$3:$W$1101,18,0),"")</f>
        <v/>
      </c>
      <c r="BU329" s="185" t="str">
        <f>_xlfn.IFNA(VLOOKUP($BC329,Programma!$F$3:$X$1101,19,0),"")</f>
        <v/>
      </c>
      <c r="BV329" s="185" t="str">
        <f>_xlfn.IFNA(VLOOKUP($BC329,Programma!$F$3:$Y$1101,20,0),"")</f>
        <v/>
      </c>
    </row>
    <row r="330" spans="1:74" s="78" customFormat="1" ht="15" customHeight="1">
      <c r="A330" s="99">
        <v>10</v>
      </c>
      <c r="B330" s="176" t="str">
        <f>VLOOKUP(Ruimtestaat[[#This Row],[Code]],Locaties[[Code]:[Locatie]],2,FALSE)</f>
        <v>OJBS Het Palet</v>
      </c>
      <c r="C330" s="176" t="str">
        <f>VLOOKUP(Ruimtestaat[[#This Row],[Code]],Locaties[[#All],[Code]:[Adres]],4,FALSE)</f>
        <v>Ger. Terborghstraat 9</v>
      </c>
      <c r="D330" s="176" t="str">
        <f>VLOOKUP(Ruimtestaat[[#This Row],[Code]],Locaties[[#All],[Code]:[Postcode]],5,FALSE)</f>
        <v>7545 BV</v>
      </c>
      <c r="E330" s="176" t="str">
        <f>VLOOKUP(Ruimtestaat[[#This Row],[Code]],Locaties[#All],6,FALSE)</f>
        <v>Enschede</v>
      </c>
      <c r="F330" s="149"/>
      <c r="G330" s="149" t="s">
        <v>1714</v>
      </c>
      <c r="H330" s="99" t="s">
        <v>1744</v>
      </c>
      <c r="I330" s="183" t="s">
        <v>1651</v>
      </c>
      <c r="J330" s="99">
        <v>16</v>
      </c>
      <c r="K330" s="183" t="str">
        <f>VLOOKUP(Ruimtestaat[[#This Row],[Ruimte code]],Ruimtegroepen[[#All],[Code]:[Ruimte omschrijving]],2,FALSE)</f>
        <v>Leslokalen</v>
      </c>
      <c r="L330" s="149" t="s">
        <v>102</v>
      </c>
      <c r="M330" s="301" t="s">
        <v>120</v>
      </c>
      <c r="N330" s="177">
        <v>61.2</v>
      </c>
      <c r="O330" s="177"/>
      <c r="P330" s="178" t="str">
        <f>VLOOKUP(Ruimtestaat[[#This Row],[Ruimte code]],Ruimtegroepen[],4,FALSE)</f>
        <v>Le</v>
      </c>
      <c r="Q330" s="149">
        <v>40</v>
      </c>
      <c r="R330" s="149" t="s">
        <v>2</v>
      </c>
      <c r="S330" s="149">
        <f>IF(Q330&gt;0,IF(RIGHT(Ruimtestaat[[#This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0" s="149">
        <f>IF(S330&gt;0,VLOOKUP($J330,Ruimtegroepen[],3,FALSE)*VLOOKUP($L330,Vloersoorten[],3,FALSE)*VLOOKUP($R330,Frequenties[],3,FALSE)*VLOOKUP($A330,Locaties[],3,FALSE),0)</f>
        <v>0</v>
      </c>
      <c r="U330" s="149">
        <f>Ruimtestaat[[#This Row],[Uitvoeringen werkdagen]]*Ruimtestaat[[#This Row],[Oppervlak (netto)]]</f>
        <v>12240</v>
      </c>
      <c r="V330" s="179">
        <f>IF(T330&gt;0,Ruimtestaat[[#This Row],[Prest. (m2 /jaar) werkdagen]]/Ruimtestaat[[#This Row],[Norm (m2/uur) werkdagen]],0)</f>
        <v>0</v>
      </c>
      <c r="W330" s="180">
        <f>Ruimtestaat[[#This Row],[uren / jaar werkdagen]]*Tariefsopbouw!$E$35</f>
        <v>0</v>
      </c>
      <c r="X330" s="149"/>
      <c r="Y330" s="149">
        <f>IF(Ruimtestaat[[#This Row],[Frequentie weekend]]&gt;0,VALUE(LEFT(X330,1))*Q330,0)</f>
        <v>0</v>
      </c>
      <c r="Z330" s="148">
        <f>IF($Y330&gt;0,VLOOKUP($J330,Ruimtegroepen[],3,FALSE)*VLOOKUP($L330,Vloersoorten[],3,FALSE)*VLOOKUP($X330,Frequenties[],3,FALSE)*VLOOKUP(Ruimtestaat[[#This Row],[Code]],Locaties[],3,FALSE),0)</f>
        <v>0</v>
      </c>
      <c r="AA330" s="148">
        <f>Ruimtestaat[[#This Row],[Uitvoeringen weekend]]*Ruimtestaat[[#This Row],[Oppervlak (netto)]]</f>
        <v>0</v>
      </c>
      <c r="AB330" s="148">
        <f>IF(Z330&gt;0,Ruimtestaat[[#This Row],[Prest. (m2 /jaar) weekend]]/Ruimtestaat[[#This Row],[Norm (m2/uur) weekend]],0)</f>
        <v>0</v>
      </c>
      <c r="AC330" s="180">
        <f>Ruimtestaat[[#This Row],[uren / jaar weekend]]*Tariefsopbouw!$D$40</f>
        <v>0</v>
      </c>
      <c r="AD330" s="179">
        <f>Ruimtestaat[[#This Row],[Prest. (m2 /jaar) weekend]]+Ruimtestaat[[#This Row],[Prest. (m2 /jaar) werkdagen]]</f>
        <v>12240</v>
      </c>
      <c r="AE330" s="179">
        <f>Ruimtestaat[[#This Row],[uren / jaar weekend]]+Ruimtestaat[[#This Row],[uren / jaar werkdagen]]</f>
        <v>0</v>
      </c>
      <c r="AF330" s="174">
        <f>Ruimtestaat[[#This Row],[kosten / jaar weekend]]+Ruimtestaat[[#This Row],[kosten / jaar werkdagen]]</f>
        <v>0</v>
      </c>
      <c r="AG330" s="174"/>
      <c r="AH330" s="181" t="str">
        <f>IF(Ruimtestaat[[#This Row],[Frequentie werkdagen]]="","",_xlfn.CONCAT(Ruimtestaat[[#This Row],[Ruimte code]],"-",Ruimtestaat[[#This Row],[Frequentie werkdagen]]," ",Ruimtestaat[[#This Row],[Vloer code]]))</f>
        <v>16-5w P</v>
      </c>
      <c r="AI330" s="185" t="str">
        <f>_xlfn.IFNA(VLOOKUP($AH330,Programma!$F$3:$G$1101,2,0),"")</f>
        <v>_</v>
      </c>
      <c r="AJ330" s="185" t="str">
        <f>_xlfn.IFNA(VLOOKUP($AH330,Programma!$F$3:$H$1101,3,0),"")</f>
        <v>_</v>
      </c>
      <c r="AK330" s="185" t="str">
        <f>_xlfn.IFNA(VLOOKUP($AH330,Programma!$F$3:$I$1101,4,0),"")</f>
        <v>4w</v>
      </c>
      <c r="AL330" s="185" t="str">
        <f>_xlfn.IFNA(VLOOKUP($AH330,Programma!$F$3:$J$1101,5,0),"")</f>
        <v>1w</v>
      </c>
      <c r="AM330" s="185" t="str">
        <f>_xlfn.IFNA(VLOOKUP($AH330,Programma!$F$3:$K$1101,6,0),"")</f>
        <v>1m</v>
      </c>
      <c r="AN330" s="185" t="str">
        <f>_xlfn.IFNA(VLOOKUP($AH330,Programma!$F$3:$L$1101,7,0),"")</f>
        <v>_</v>
      </c>
      <c r="AO330" s="185" t="str">
        <f>_xlfn.IFNA(VLOOKUP($AH330,Programma!$F$3:$M$1101,8,0),"")</f>
        <v>_</v>
      </c>
      <c r="AP330" s="185" t="str">
        <f>_xlfn.IFNA(VLOOKUP($AH330,Programma!$F$3:$N$1101,9,0),"")</f>
        <v>_</v>
      </c>
      <c r="AQ330" s="185" t="str">
        <f>_xlfn.IFNA(VLOOKUP($AH330,Programma!$F$3:$O$1101,10,0),"")</f>
        <v>5w</v>
      </c>
      <c r="AR330" s="185" t="str">
        <f>_xlfn.IFNA(VLOOKUP($AH330,Programma!$F$3:$P$1101,11,0),"")</f>
        <v>5w</v>
      </c>
      <c r="AS330" s="185" t="str">
        <f>_xlfn.IFNA(VLOOKUP($AH330,Programma!$F$3:$Q$1101,12,0),"")</f>
        <v>1w</v>
      </c>
      <c r="AT330" s="185" t="str">
        <f>_xlfn.IFNA(VLOOKUP($AH330,Programma!$F$3:$R$1101,13,0),"")</f>
        <v>1w</v>
      </c>
      <c r="AU330" s="185" t="str">
        <f>_xlfn.IFNA(VLOOKUP($AH330,Programma!$F$3:$S$1101,14,0),"")</f>
        <v>1m</v>
      </c>
      <c r="AV330" s="185" t="str">
        <f>_xlfn.IFNA(VLOOKUP($AH330,Programma!$F$3:$T$1101,15,0),"")</f>
        <v>2j</v>
      </c>
      <c r="AW330" s="185" t="str">
        <f>_xlfn.IFNA(VLOOKUP($AH330,Programma!$F$3:$U$1101,16,0),"")</f>
        <v>1j</v>
      </c>
      <c r="AX330" s="185" t="str">
        <f>_xlfn.IFNA(VLOOKUP($AH330,Programma!$F$3:$V$1101,17,0),"")</f>
        <v>_</v>
      </c>
      <c r="AY330" s="185" t="str">
        <f>_xlfn.IFNA(VLOOKUP($AH330,Programma!$F$3:$W$1101,18,0),"")</f>
        <v>_</v>
      </c>
      <c r="AZ330" s="185" t="str">
        <f>_xlfn.IFNA(VLOOKUP($AH330,Programma!$F$3:$X$1101,19,0),"")</f>
        <v>_</v>
      </c>
      <c r="BA330" s="185" t="str">
        <f>_xlfn.IFNA(VLOOKUP($AH330,Programma!$F$3:$Y$1101,20,0),"")</f>
        <v>_</v>
      </c>
      <c r="BB330" s="182"/>
      <c r="BC330" s="181" t="str">
        <f>IF(Ruimtestaat[[#This Row],[Frequentie weekend]]="","",_xlfn.CONCAT(Ruimtestaat[[#This Row],[Ruimte code]],"-",Ruimtestaat[[#This Row],[Frequentie weekend]]," ",Ruimtestaat[[#This Row],[Vloer code]]))</f>
        <v/>
      </c>
      <c r="BD330" s="185" t="str">
        <f>_xlfn.IFNA(VLOOKUP($BC330,Programma!$F$3:$G$1101,2,0),"")</f>
        <v/>
      </c>
      <c r="BE330" s="185" t="str">
        <f>_xlfn.IFNA(VLOOKUP($BC330,Programma!$F$3:$H$1101,3,0),"")</f>
        <v/>
      </c>
      <c r="BF330" s="185" t="str">
        <f>_xlfn.IFNA(VLOOKUP($BC330,Programma!$F$3:$I$1101,4,0),"")</f>
        <v/>
      </c>
      <c r="BG330" s="185" t="str">
        <f>_xlfn.IFNA(VLOOKUP($BC330,Programma!$F$3:$J$1101,5,0),"")</f>
        <v/>
      </c>
      <c r="BH330" s="185" t="str">
        <f>_xlfn.IFNA(VLOOKUP($BC330,Programma!$F$3:$K$1101,6,0),"")</f>
        <v/>
      </c>
      <c r="BI330" s="185" t="str">
        <f>_xlfn.IFNA(VLOOKUP($BC330,Programma!$F$3:$L$1101,7,0),"")</f>
        <v/>
      </c>
      <c r="BJ330" s="185" t="str">
        <f>_xlfn.IFNA(VLOOKUP($BC330,Programma!$F$3:$M$1101,8,0),"")</f>
        <v/>
      </c>
      <c r="BK330" s="185" t="str">
        <f>_xlfn.IFNA(VLOOKUP($BC330,Programma!$F$3:$N$1101,9,0),"")</f>
        <v/>
      </c>
      <c r="BL330" s="185" t="str">
        <f>_xlfn.IFNA(VLOOKUP($BC330,Programma!$F$3:$O$1101,10,0),"")</f>
        <v/>
      </c>
      <c r="BM330" s="185" t="str">
        <f>_xlfn.IFNA(VLOOKUP($BC330,Programma!$F$3:$P$1101,11,0),"")</f>
        <v/>
      </c>
      <c r="BN330" s="185" t="str">
        <f>_xlfn.IFNA(VLOOKUP($BC330,Programma!$F$3:$Q$1101,12,0),"")</f>
        <v/>
      </c>
      <c r="BO330" s="185" t="str">
        <f>_xlfn.IFNA(VLOOKUP($BC330,Programma!$F$3:$R$1101,13,0),"")</f>
        <v/>
      </c>
      <c r="BP330" s="185" t="str">
        <f>_xlfn.IFNA(VLOOKUP($BC330,Programma!$F$3:$S$1101,14,0),"")</f>
        <v/>
      </c>
      <c r="BQ330" s="185" t="str">
        <f>_xlfn.IFNA(VLOOKUP($BC330,Programma!$F$3:$T$1101,15,0),"")</f>
        <v/>
      </c>
      <c r="BR330" s="185" t="str">
        <f>_xlfn.IFNA(VLOOKUP($BC330,Programma!$F$3:$U$1101,16,0),"")</f>
        <v/>
      </c>
      <c r="BS330" s="185" t="str">
        <f>_xlfn.IFNA(VLOOKUP($BC330,Programma!$F$3:$V$1101,17,0),"")</f>
        <v/>
      </c>
      <c r="BT330" s="185" t="str">
        <f>_xlfn.IFNA(VLOOKUP($BC330,Programma!$F$3:$W$1101,18,0),"")</f>
        <v/>
      </c>
      <c r="BU330" s="185" t="str">
        <f>_xlfn.IFNA(VLOOKUP($BC330,Programma!$F$3:$X$1101,19,0),"")</f>
        <v/>
      </c>
      <c r="BV330" s="185" t="str">
        <f>_xlfn.IFNA(VLOOKUP($BC330,Programma!$F$3:$Y$1101,20,0),"")</f>
        <v/>
      </c>
    </row>
    <row r="331" spans="1:74" s="78" customFormat="1" ht="15" customHeight="1">
      <c r="A331" s="99">
        <v>10</v>
      </c>
      <c r="B331" s="176" t="str">
        <f>VLOOKUP(Ruimtestaat[[#This Row],[Code]],Locaties[[Code]:[Locatie]],2,FALSE)</f>
        <v>OJBS Het Palet</v>
      </c>
      <c r="C331" s="176" t="str">
        <f>VLOOKUP(Ruimtestaat[[#This Row],[Code]],Locaties[[#All],[Code]:[Adres]],4,FALSE)</f>
        <v>Ger. Terborghstraat 9</v>
      </c>
      <c r="D331" s="176" t="str">
        <f>VLOOKUP(Ruimtestaat[[#This Row],[Code]],Locaties[[#All],[Code]:[Postcode]],5,FALSE)</f>
        <v>7545 BV</v>
      </c>
      <c r="E331" s="176" t="str">
        <f>VLOOKUP(Ruimtestaat[[#This Row],[Code]],Locaties[#All],6,FALSE)</f>
        <v>Enschede</v>
      </c>
      <c r="F331" s="149"/>
      <c r="G331" s="149" t="s">
        <v>1714</v>
      </c>
      <c r="H331" s="99" t="s">
        <v>1745</v>
      </c>
      <c r="I331" s="183" t="s">
        <v>1658</v>
      </c>
      <c r="J331" s="99">
        <v>6</v>
      </c>
      <c r="K331" s="183" t="str">
        <f>VLOOKUP(Ruimtestaat[[#This Row],[Ruimte code]],Ruimtegroepen[[#All],[Code]:[Ruimte omschrijving]],2,FALSE)</f>
        <v>Gangen/hallen</v>
      </c>
      <c r="L331" s="149" t="s">
        <v>101</v>
      </c>
      <c r="M331" s="301" t="s">
        <v>1682</v>
      </c>
      <c r="N331" s="177">
        <v>31.1</v>
      </c>
      <c r="O331" s="177"/>
      <c r="P331" s="178" t="str">
        <f>VLOOKUP(Ruimtestaat[[#This Row],[Ruimte code]],Ruimtegroepen[],4,FALSE)</f>
        <v>Ve</v>
      </c>
      <c r="Q331" s="149">
        <v>40</v>
      </c>
      <c r="R331" s="149" t="s">
        <v>2</v>
      </c>
      <c r="S331" s="149">
        <f>IF(Q331&gt;0,IF(RIGHT(Ruimtestaat[[#This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1" s="149">
        <f>IF(S331&gt;0,VLOOKUP($J331,Ruimtegroepen[],3,FALSE)*VLOOKUP($L331,Vloersoorten[],3,FALSE)*VLOOKUP($R331,Frequenties[],3,FALSE)*VLOOKUP($A331,Locaties[],3,FALSE),0)</f>
        <v>0</v>
      </c>
      <c r="U331" s="149">
        <f>Ruimtestaat[[#This Row],[Uitvoeringen werkdagen]]*Ruimtestaat[[#This Row],[Oppervlak (netto)]]</f>
        <v>6220</v>
      </c>
      <c r="V331" s="179">
        <f>IF(T331&gt;0,Ruimtestaat[[#This Row],[Prest. (m2 /jaar) werkdagen]]/Ruimtestaat[[#This Row],[Norm (m2/uur) werkdagen]],0)</f>
        <v>0</v>
      </c>
      <c r="W331" s="180">
        <f>Ruimtestaat[[#This Row],[uren / jaar werkdagen]]*Tariefsopbouw!$E$35</f>
        <v>0</v>
      </c>
      <c r="X331" s="149"/>
      <c r="Y331" s="149">
        <f>IF(Ruimtestaat[[#This Row],[Frequentie weekend]]&gt;0,VALUE(LEFT(X331,1))*Q331,0)</f>
        <v>0</v>
      </c>
      <c r="Z331" s="148">
        <f>IF($Y331&gt;0,VLOOKUP($J331,Ruimtegroepen[],3,FALSE)*VLOOKUP($L331,Vloersoorten[],3,FALSE)*VLOOKUP($X331,Frequenties[],3,FALSE)*VLOOKUP(Ruimtestaat[[#This Row],[Code]],Locaties[],3,FALSE),0)</f>
        <v>0</v>
      </c>
      <c r="AA331" s="148">
        <f>Ruimtestaat[[#This Row],[Uitvoeringen weekend]]*Ruimtestaat[[#This Row],[Oppervlak (netto)]]</f>
        <v>0</v>
      </c>
      <c r="AB331" s="148">
        <f>IF(Z331&gt;0,Ruimtestaat[[#This Row],[Prest. (m2 /jaar) weekend]]/Ruimtestaat[[#This Row],[Norm (m2/uur) weekend]],0)</f>
        <v>0</v>
      </c>
      <c r="AC331" s="180">
        <f>Ruimtestaat[[#This Row],[uren / jaar weekend]]*Tariefsopbouw!$D$40</f>
        <v>0</v>
      </c>
      <c r="AD331" s="179">
        <f>Ruimtestaat[[#This Row],[Prest. (m2 /jaar) weekend]]+Ruimtestaat[[#This Row],[Prest. (m2 /jaar) werkdagen]]</f>
        <v>6220</v>
      </c>
      <c r="AE331" s="179">
        <f>Ruimtestaat[[#This Row],[uren / jaar weekend]]+Ruimtestaat[[#This Row],[uren / jaar werkdagen]]</f>
        <v>0</v>
      </c>
      <c r="AF331" s="174">
        <f>Ruimtestaat[[#This Row],[kosten / jaar weekend]]+Ruimtestaat[[#This Row],[kosten / jaar werkdagen]]</f>
        <v>0</v>
      </c>
      <c r="AG331" s="174"/>
      <c r="AH331" s="181" t="str">
        <f>IF(Ruimtestaat[[#This Row],[Frequentie werkdagen]]="","",_xlfn.CONCAT(Ruimtestaat[[#This Row],[Ruimte code]],"-",Ruimtestaat[[#This Row],[Frequentie werkdagen]]," ",Ruimtestaat[[#This Row],[Vloer code]]))</f>
        <v>6-5w S</v>
      </c>
      <c r="AI331" s="185" t="str">
        <f>_xlfn.IFNA(VLOOKUP($AH331,Programma!$F$3:$G$1101,2,0),"")</f>
        <v>_</v>
      </c>
      <c r="AJ331" s="185" t="str">
        <f>_xlfn.IFNA(VLOOKUP($AH331,Programma!$F$3:$H$1101,3,0),"")</f>
        <v>_</v>
      </c>
      <c r="AK331" s="185" t="str">
        <f>_xlfn.IFNA(VLOOKUP($AH331,Programma!$F$3:$I$1101,4,0),"")</f>
        <v>5w</v>
      </c>
      <c r="AL331" s="185" t="str">
        <f>_xlfn.IFNA(VLOOKUP($AH331,Programma!$F$3:$J$1101,5,0),"")</f>
        <v>_</v>
      </c>
      <c r="AM331" s="185" t="str">
        <f>_xlfn.IFNA(VLOOKUP($AH331,Programma!$F$3:$K$1101,6,0),"")</f>
        <v>5w</v>
      </c>
      <c r="AN331" s="185" t="str">
        <f>_xlfn.IFNA(VLOOKUP($AH331,Programma!$F$3:$L$1101,7,0),"")</f>
        <v>_</v>
      </c>
      <c r="AO331" s="185" t="str">
        <f>_xlfn.IFNA(VLOOKUP($AH331,Programma!$F$3:$M$1101,8,0),"")</f>
        <v>_</v>
      </c>
      <c r="AP331" s="185" t="str">
        <f>_xlfn.IFNA(VLOOKUP($AH331,Programma!$F$3:$N$1101,9,0),"")</f>
        <v>_</v>
      </c>
      <c r="AQ331" s="185" t="str">
        <f>_xlfn.IFNA(VLOOKUP($AH331,Programma!$F$3:$O$1101,10,0),"")</f>
        <v>5w</v>
      </c>
      <c r="AR331" s="185" t="str">
        <f>_xlfn.IFNA(VLOOKUP($AH331,Programma!$F$3:$P$1101,11,0),"")</f>
        <v>5w</v>
      </c>
      <c r="AS331" s="185" t="str">
        <f>_xlfn.IFNA(VLOOKUP($AH331,Programma!$F$3:$Q$1101,12,0),"")</f>
        <v>1w</v>
      </c>
      <c r="AT331" s="185" t="str">
        <f>_xlfn.IFNA(VLOOKUP($AH331,Programma!$F$3:$R$1101,13,0),"")</f>
        <v>1w</v>
      </c>
      <c r="AU331" s="185" t="str">
        <f>_xlfn.IFNA(VLOOKUP($AH331,Programma!$F$3:$S$1101,14,0),"")</f>
        <v>1m</v>
      </c>
      <c r="AV331" s="185" t="str">
        <f>_xlfn.IFNA(VLOOKUP($AH331,Programma!$F$3:$T$1101,15,0),"")</f>
        <v>2j</v>
      </c>
      <c r="AW331" s="185" t="str">
        <f>_xlfn.IFNA(VLOOKUP($AH331,Programma!$F$3:$U$1101,16,0),"")</f>
        <v>1j</v>
      </c>
      <c r="AX331" s="185" t="str">
        <f>_xlfn.IFNA(VLOOKUP($AH331,Programma!$F$3:$V$1101,17,0),"")</f>
        <v>_</v>
      </c>
      <c r="AY331" s="185" t="str">
        <f>_xlfn.IFNA(VLOOKUP($AH331,Programma!$F$3:$W$1101,18,0),"")</f>
        <v>_</v>
      </c>
      <c r="AZ331" s="185" t="str">
        <f>_xlfn.IFNA(VLOOKUP($AH331,Programma!$F$3:$X$1101,19,0),"")</f>
        <v>_</v>
      </c>
      <c r="BA331" s="185" t="str">
        <f>_xlfn.IFNA(VLOOKUP($AH331,Programma!$F$3:$Y$1101,20,0),"")</f>
        <v>_</v>
      </c>
      <c r="BB331" s="182"/>
      <c r="BC331" s="181" t="str">
        <f>IF(Ruimtestaat[[#This Row],[Frequentie weekend]]="","",_xlfn.CONCAT(Ruimtestaat[[#This Row],[Ruimte code]],"-",Ruimtestaat[[#This Row],[Frequentie weekend]]," ",Ruimtestaat[[#This Row],[Vloer code]]))</f>
        <v/>
      </c>
      <c r="BD331" s="185" t="str">
        <f>_xlfn.IFNA(VLOOKUP($BC331,Programma!$F$3:$G$1101,2,0),"")</f>
        <v/>
      </c>
      <c r="BE331" s="185" t="str">
        <f>_xlfn.IFNA(VLOOKUP($BC331,Programma!$F$3:$H$1101,3,0),"")</f>
        <v/>
      </c>
      <c r="BF331" s="185" t="str">
        <f>_xlfn.IFNA(VLOOKUP($BC331,Programma!$F$3:$I$1101,4,0),"")</f>
        <v/>
      </c>
      <c r="BG331" s="185" t="str">
        <f>_xlfn.IFNA(VLOOKUP($BC331,Programma!$F$3:$J$1101,5,0),"")</f>
        <v/>
      </c>
      <c r="BH331" s="185" t="str">
        <f>_xlfn.IFNA(VLOOKUP($BC331,Programma!$F$3:$K$1101,6,0),"")</f>
        <v/>
      </c>
      <c r="BI331" s="185" t="str">
        <f>_xlfn.IFNA(VLOOKUP($BC331,Programma!$F$3:$L$1101,7,0),"")</f>
        <v/>
      </c>
      <c r="BJ331" s="185" t="str">
        <f>_xlfn.IFNA(VLOOKUP($BC331,Programma!$F$3:$M$1101,8,0),"")</f>
        <v/>
      </c>
      <c r="BK331" s="185" t="str">
        <f>_xlfn.IFNA(VLOOKUP($BC331,Programma!$F$3:$N$1101,9,0),"")</f>
        <v/>
      </c>
      <c r="BL331" s="185" t="str">
        <f>_xlfn.IFNA(VLOOKUP($BC331,Programma!$F$3:$O$1101,10,0),"")</f>
        <v/>
      </c>
      <c r="BM331" s="185" t="str">
        <f>_xlfn.IFNA(VLOOKUP($BC331,Programma!$F$3:$P$1101,11,0),"")</f>
        <v/>
      </c>
      <c r="BN331" s="185" t="str">
        <f>_xlfn.IFNA(VLOOKUP($BC331,Programma!$F$3:$Q$1101,12,0),"")</f>
        <v/>
      </c>
      <c r="BO331" s="185" t="str">
        <f>_xlfn.IFNA(VLOOKUP($BC331,Programma!$F$3:$R$1101,13,0),"")</f>
        <v/>
      </c>
      <c r="BP331" s="185" t="str">
        <f>_xlfn.IFNA(VLOOKUP($BC331,Programma!$F$3:$S$1101,14,0),"")</f>
        <v/>
      </c>
      <c r="BQ331" s="185" t="str">
        <f>_xlfn.IFNA(VLOOKUP($BC331,Programma!$F$3:$T$1101,15,0),"")</f>
        <v/>
      </c>
      <c r="BR331" s="185" t="str">
        <f>_xlfn.IFNA(VLOOKUP($BC331,Programma!$F$3:$U$1101,16,0),"")</f>
        <v/>
      </c>
      <c r="BS331" s="185" t="str">
        <f>_xlfn.IFNA(VLOOKUP($BC331,Programma!$F$3:$V$1101,17,0),"")</f>
        <v/>
      </c>
      <c r="BT331" s="185" t="str">
        <f>_xlfn.IFNA(VLOOKUP($BC331,Programma!$F$3:$W$1101,18,0),"")</f>
        <v/>
      </c>
      <c r="BU331" s="185" t="str">
        <f>_xlfn.IFNA(VLOOKUP($BC331,Programma!$F$3:$X$1101,19,0),"")</f>
        <v/>
      </c>
      <c r="BV331" s="185" t="str">
        <f>_xlfn.IFNA(VLOOKUP($BC331,Programma!$F$3:$Y$1101,20,0),"")</f>
        <v/>
      </c>
    </row>
    <row r="332" spans="1:74" s="78" customFormat="1" ht="15" customHeight="1">
      <c r="A332" s="99">
        <v>10</v>
      </c>
      <c r="B332" s="176" t="str">
        <f>VLOOKUP(Ruimtestaat[[#This Row],[Code]],Locaties[[Code]:[Locatie]],2,FALSE)</f>
        <v>OJBS Het Palet</v>
      </c>
      <c r="C332" s="176" t="str">
        <f>VLOOKUP(Ruimtestaat[[#This Row],[Code]],Locaties[[#All],[Code]:[Adres]],4,FALSE)</f>
        <v>Ger. Terborghstraat 9</v>
      </c>
      <c r="D332" s="176" t="str">
        <f>VLOOKUP(Ruimtestaat[[#This Row],[Code]],Locaties[[#All],[Code]:[Postcode]],5,FALSE)</f>
        <v>7545 BV</v>
      </c>
      <c r="E332" s="176" t="str">
        <f>VLOOKUP(Ruimtestaat[[#This Row],[Code]],Locaties[#All],6,FALSE)</f>
        <v>Enschede</v>
      </c>
      <c r="F332" s="149"/>
      <c r="G332" s="149" t="s">
        <v>1714</v>
      </c>
      <c r="H332" s="99" t="s">
        <v>1746</v>
      </c>
      <c r="I332" s="183" t="s">
        <v>1651</v>
      </c>
      <c r="J332" s="99">
        <v>16</v>
      </c>
      <c r="K332" s="183" t="str">
        <f>VLOOKUP(Ruimtestaat[[#This Row],[Ruimte code]],Ruimtegroepen[[#All],[Code]:[Ruimte omschrijving]],2,FALSE)</f>
        <v>Leslokalen</v>
      </c>
      <c r="L332" s="149" t="s">
        <v>102</v>
      </c>
      <c r="M332" s="301" t="s">
        <v>120</v>
      </c>
      <c r="N332" s="177">
        <v>56.6</v>
      </c>
      <c r="O332" s="177"/>
      <c r="P332" s="178" t="str">
        <f>VLOOKUP(Ruimtestaat[[#This Row],[Ruimte code]],Ruimtegroepen[],4,FALSE)</f>
        <v>Le</v>
      </c>
      <c r="Q332" s="149">
        <v>40</v>
      </c>
      <c r="R332" s="149" t="s">
        <v>2</v>
      </c>
      <c r="S332" s="149">
        <f>IF(Q332&gt;0,IF(RIGHT(Ruimtestaat[[#This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2" s="149">
        <f>IF(S332&gt;0,VLOOKUP($J332,Ruimtegroepen[],3,FALSE)*VLOOKUP($L332,Vloersoorten[],3,FALSE)*VLOOKUP($R332,Frequenties[],3,FALSE)*VLOOKUP($A332,Locaties[],3,FALSE),0)</f>
        <v>0</v>
      </c>
      <c r="U332" s="149">
        <f>Ruimtestaat[[#This Row],[Uitvoeringen werkdagen]]*Ruimtestaat[[#This Row],[Oppervlak (netto)]]</f>
        <v>11320</v>
      </c>
      <c r="V332" s="179">
        <f>IF(T332&gt;0,Ruimtestaat[[#This Row],[Prest. (m2 /jaar) werkdagen]]/Ruimtestaat[[#This Row],[Norm (m2/uur) werkdagen]],0)</f>
        <v>0</v>
      </c>
      <c r="W332" s="180">
        <f>Ruimtestaat[[#This Row],[uren / jaar werkdagen]]*Tariefsopbouw!$E$35</f>
        <v>0</v>
      </c>
      <c r="X332" s="149"/>
      <c r="Y332" s="149">
        <f>IF(Ruimtestaat[[#This Row],[Frequentie weekend]]&gt;0,VALUE(LEFT(X332,1))*Q332,0)</f>
        <v>0</v>
      </c>
      <c r="Z332" s="148">
        <f>IF($Y332&gt;0,VLOOKUP($J332,Ruimtegroepen[],3,FALSE)*VLOOKUP($L332,Vloersoorten[],3,FALSE)*VLOOKUP($X332,Frequenties[],3,FALSE)*VLOOKUP(Ruimtestaat[[#This Row],[Code]],Locaties[],3,FALSE),0)</f>
        <v>0</v>
      </c>
      <c r="AA332" s="148">
        <f>Ruimtestaat[[#This Row],[Uitvoeringen weekend]]*Ruimtestaat[[#This Row],[Oppervlak (netto)]]</f>
        <v>0</v>
      </c>
      <c r="AB332" s="148">
        <f>IF(Z332&gt;0,Ruimtestaat[[#This Row],[Prest. (m2 /jaar) weekend]]/Ruimtestaat[[#This Row],[Norm (m2/uur) weekend]],0)</f>
        <v>0</v>
      </c>
      <c r="AC332" s="180">
        <f>Ruimtestaat[[#This Row],[uren / jaar weekend]]*Tariefsopbouw!$D$40</f>
        <v>0</v>
      </c>
      <c r="AD332" s="179">
        <f>Ruimtestaat[[#This Row],[Prest. (m2 /jaar) weekend]]+Ruimtestaat[[#This Row],[Prest. (m2 /jaar) werkdagen]]</f>
        <v>11320</v>
      </c>
      <c r="AE332" s="179">
        <f>Ruimtestaat[[#This Row],[uren / jaar weekend]]+Ruimtestaat[[#This Row],[uren / jaar werkdagen]]</f>
        <v>0</v>
      </c>
      <c r="AF332" s="174">
        <f>Ruimtestaat[[#This Row],[kosten / jaar weekend]]+Ruimtestaat[[#This Row],[kosten / jaar werkdagen]]</f>
        <v>0</v>
      </c>
      <c r="AG332" s="174"/>
      <c r="AH332" s="181" t="str">
        <f>IF(Ruimtestaat[[#This Row],[Frequentie werkdagen]]="","",_xlfn.CONCAT(Ruimtestaat[[#This Row],[Ruimte code]],"-",Ruimtestaat[[#This Row],[Frequentie werkdagen]]," ",Ruimtestaat[[#This Row],[Vloer code]]))</f>
        <v>16-5w P</v>
      </c>
      <c r="AI332" s="185" t="str">
        <f>_xlfn.IFNA(VLOOKUP($AH332,Programma!$F$3:$G$1101,2,0),"")</f>
        <v>_</v>
      </c>
      <c r="AJ332" s="185" t="str">
        <f>_xlfn.IFNA(VLOOKUP($AH332,Programma!$F$3:$H$1101,3,0),"")</f>
        <v>_</v>
      </c>
      <c r="AK332" s="185" t="str">
        <f>_xlfn.IFNA(VLOOKUP($AH332,Programma!$F$3:$I$1101,4,0),"")</f>
        <v>4w</v>
      </c>
      <c r="AL332" s="185" t="str">
        <f>_xlfn.IFNA(VLOOKUP($AH332,Programma!$F$3:$J$1101,5,0),"")</f>
        <v>1w</v>
      </c>
      <c r="AM332" s="185" t="str">
        <f>_xlfn.IFNA(VLOOKUP($AH332,Programma!$F$3:$K$1101,6,0),"")</f>
        <v>1m</v>
      </c>
      <c r="AN332" s="185" t="str">
        <f>_xlfn.IFNA(VLOOKUP($AH332,Programma!$F$3:$L$1101,7,0),"")</f>
        <v>_</v>
      </c>
      <c r="AO332" s="185" t="str">
        <f>_xlfn.IFNA(VLOOKUP($AH332,Programma!$F$3:$M$1101,8,0),"")</f>
        <v>_</v>
      </c>
      <c r="AP332" s="185" t="str">
        <f>_xlfn.IFNA(VLOOKUP($AH332,Programma!$F$3:$N$1101,9,0),"")</f>
        <v>_</v>
      </c>
      <c r="AQ332" s="185" t="str">
        <f>_xlfn.IFNA(VLOOKUP($AH332,Programma!$F$3:$O$1101,10,0),"")</f>
        <v>5w</v>
      </c>
      <c r="AR332" s="185" t="str">
        <f>_xlfn.IFNA(VLOOKUP($AH332,Programma!$F$3:$P$1101,11,0),"")</f>
        <v>5w</v>
      </c>
      <c r="AS332" s="185" t="str">
        <f>_xlfn.IFNA(VLOOKUP($AH332,Programma!$F$3:$Q$1101,12,0),"")</f>
        <v>1w</v>
      </c>
      <c r="AT332" s="185" t="str">
        <f>_xlfn.IFNA(VLOOKUP($AH332,Programma!$F$3:$R$1101,13,0),"")</f>
        <v>1w</v>
      </c>
      <c r="AU332" s="185" t="str">
        <f>_xlfn.IFNA(VLOOKUP($AH332,Programma!$F$3:$S$1101,14,0),"")</f>
        <v>1m</v>
      </c>
      <c r="AV332" s="185" t="str">
        <f>_xlfn.IFNA(VLOOKUP($AH332,Programma!$F$3:$T$1101,15,0),"")</f>
        <v>2j</v>
      </c>
      <c r="AW332" s="185" t="str">
        <f>_xlfn.IFNA(VLOOKUP($AH332,Programma!$F$3:$U$1101,16,0),"")</f>
        <v>1j</v>
      </c>
      <c r="AX332" s="185" t="str">
        <f>_xlfn.IFNA(VLOOKUP($AH332,Programma!$F$3:$V$1101,17,0),"")</f>
        <v>_</v>
      </c>
      <c r="AY332" s="185" t="str">
        <f>_xlfn.IFNA(VLOOKUP($AH332,Programma!$F$3:$W$1101,18,0),"")</f>
        <v>_</v>
      </c>
      <c r="AZ332" s="185" t="str">
        <f>_xlfn.IFNA(VLOOKUP($AH332,Programma!$F$3:$X$1101,19,0),"")</f>
        <v>_</v>
      </c>
      <c r="BA332" s="185" t="str">
        <f>_xlfn.IFNA(VLOOKUP($AH332,Programma!$F$3:$Y$1101,20,0),"")</f>
        <v>_</v>
      </c>
      <c r="BB332" s="182"/>
      <c r="BC332" s="181" t="str">
        <f>IF(Ruimtestaat[[#This Row],[Frequentie weekend]]="","",_xlfn.CONCAT(Ruimtestaat[[#This Row],[Ruimte code]],"-",Ruimtestaat[[#This Row],[Frequentie weekend]]," ",Ruimtestaat[[#This Row],[Vloer code]]))</f>
        <v/>
      </c>
      <c r="BD332" s="185" t="str">
        <f>_xlfn.IFNA(VLOOKUP($BC332,Programma!$F$3:$G$1101,2,0),"")</f>
        <v/>
      </c>
      <c r="BE332" s="185" t="str">
        <f>_xlfn.IFNA(VLOOKUP($BC332,Programma!$F$3:$H$1101,3,0),"")</f>
        <v/>
      </c>
      <c r="BF332" s="185" t="str">
        <f>_xlfn.IFNA(VLOOKUP($BC332,Programma!$F$3:$I$1101,4,0),"")</f>
        <v/>
      </c>
      <c r="BG332" s="185" t="str">
        <f>_xlfn.IFNA(VLOOKUP($BC332,Programma!$F$3:$J$1101,5,0),"")</f>
        <v/>
      </c>
      <c r="BH332" s="185" t="str">
        <f>_xlfn.IFNA(VLOOKUP($BC332,Programma!$F$3:$K$1101,6,0),"")</f>
        <v/>
      </c>
      <c r="BI332" s="185" t="str">
        <f>_xlfn.IFNA(VLOOKUP($BC332,Programma!$F$3:$L$1101,7,0),"")</f>
        <v/>
      </c>
      <c r="BJ332" s="185" t="str">
        <f>_xlfn.IFNA(VLOOKUP($BC332,Programma!$F$3:$M$1101,8,0),"")</f>
        <v/>
      </c>
      <c r="BK332" s="185" t="str">
        <f>_xlfn.IFNA(VLOOKUP($BC332,Programma!$F$3:$N$1101,9,0),"")</f>
        <v/>
      </c>
      <c r="BL332" s="185" t="str">
        <f>_xlfn.IFNA(VLOOKUP($BC332,Programma!$F$3:$O$1101,10,0),"")</f>
        <v/>
      </c>
      <c r="BM332" s="185" t="str">
        <f>_xlfn.IFNA(VLOOKUP($BC332,Programma!$F$3:$P$1101,11,0),"")</f>
        <v/>
      </c>
      <c r="BN332" s="185" t="str">
        <f>_xlfn.IFNA(VLOOKUP($BC332,Programma!$F$3:$Q$1101,12,0),"")</f>
        <v/>
      </c>
      <c r="BO332" s="185" t="str">
        <f>_xlfn.IFNA(VLOOKUP($BC332,Programma!$F$3:$R$1101,13,0),"")</f>
        <v/>
      </c>
      <c r="BP332" s="185" t="str">
        <f>_xlfn.IFNA(VLOOKUP($BC332,Programma!$F$3:$S$1101,14,0),"")</f>
        <v/>
      </c>
      <c r="BQ332" s="185" t="str">
        <f>_xlfn.IFNA(VLOOKUP($BC332,Programma!$F$3:$T$1101,15,0),"")</f>
        <v/>
      </c>
      <c r="BR332" s="185" t="str">
        <f>_xlfn.IFNA(VLOOKUP($BC332,Programma!$F$3:$U$1101,16,0),"")</f>
        <v/>
      </c>
      <c r="BS332" s="185" t="str">
        <f>_xlfn.IFNA(VLOOKUP($BC332,Programma!$F$3:$V$1101,17,0),"")</f>
        <v/>
      </c>
      <c r="BT332" s="185" t="str">
        <f>_xlfn.IFNA(VLOOKUP($BC332,Programma!$F$3:$W$1101,18,0),"")</f>
        <v/>
      </c>
      <c r="BU332" s="185" t="str">
        <f>_xlfn.IFNA(VLOOKUP($BC332,Programma!$F$3:$X$1101,19,0),"")</f>
        <v/>
      </c>
      <c r="BV332" s="185" t="str">
        <f>_xlfn.IFNA(VLOOKUP($BC332,Programma!$F$3:$Y$1101,20,0),"")</f>
        <v/>
      </c>
    </row>
    <row r="333" spans="1:74" s="78" customFormat="1" ht="15" customHeight="1">
      <c r="A333" s="99">
        <v>10</v>
      </c>
      <c r="B333" s="176" t="str">
        <f>VLOOKUP(Ruimtestaat[[#This Row],[Code]],Locaties[[Code]:[Locatie]],2,FALSE)</f>
        <v>OJBS Het Palet</v>
      </c>
      <c r="C333" s="176" t="str">
        <f>VLOOKUP(Ruimtestaat[[#This Row],[Code]],Locaties[[#All],[Code]:[Adres]],4,FALSE)</f>
        <v>Ger. Terborghstraat 9</v>
      </c>
      <c r="D333" s="176" t="str">
        <f>VLOOKUP(Ruimtestaat[[#This Row],[Code]],Locaties[[#All],[Code]:[Postcode]],5,FALSE)</f>
        <v>7545 BV</v>
      </c>
      <c r="E333" s="176" t="str">
        <f>VLOOKUP(Ruimtestaat[[#This Row],[Code]],Locaties[#All],6,FALSE)</f>
        <v>Enschede</v>
      </c>
      <c r="F333" s="149"/>
      <c r="G333" s="149" t="s">
        <v>1714</v>
      </c>
      <c r="H333" s="99" t="s">
        <v>1747</v>
      </c>
      <c r="I333" s="183" t="s">
        <v>1702</v>
      </c>
      <c r="J333" s="99">
        <v>10</v>
      </c>
      <c r="K333" s="183" t="str">
        <f>VLOOKUP(Ruimtestaat[[#This Row],[Ruimte code]],Ruimtegroepen[[#All],[Code]:[Ruimte omschrijving]],2,FALSE)</f>
        <v>Trappenhuizen/lift</v>
      </c>
      <c r="L333" s="149" t="s">
        <v>101</v>
      </c>
      <c r="M333" s="301" t="s">
        <v>119</v>
      </c>
      <c r="N333" s="177">
        <v>8.1</v>
      </c>
      <c r="O333" s="177"/>
      <c r="P333" s="178" t="str">
        <f>VLOOKUP(Ruimtestaat[[#This Row],[Ruimte code]],Ruimtegroepen[],4,FALSE)</f>
        <v>Ve</v>
      </c>
      <c r="Q333" s="149">
        <v>40</v>
      </c>
      <c r="R333" s="149" t="s">
        <v>2</v>
      </c>
      <c r="S333" s="149">
        <f>IF(Q333&gt;0,IF(RIGHT(Ruimtestaat[[#This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3" s="149">
        <f>IF(S333&gt;0,VLOOKUP($J333,Ruimtegroepen[],3,FALSE)*VLOOKUP($L333,Vloersoorten[],3,FALSE)*VLOOKUP($R333,Frequenties[],3,FALSE)*VLOOKUP($A333,Locaties[],3,FALSE),0)</f>
        <v>0</v>
      </c>
      <c r="U333" s="149">
        <f>Ruimtestaat[[#This Row],[Uitvoeringen werkdagen]]*Ruimtestaat[[#This Row],[Oppervlak (netto)]]</f>
        <v>1620</v>
      </c>
      <c r="V333" s="179">
        <f>IF(T333&gt;0,Ruimtestaat[[#This Row],[Prest. (m2 /jaar) werkdagen]]/Ruimtestaat[[#This Row],[Norm (m2/uur) werkdagen]],0)</f>
        <v>0</v>
      </c>
      <c r="W333" s="180">
        <f>Ruimtestaat[[#This Row],[uren / jaar werkdagen]]*Tariefsopbouw!$E$35</f>
        <v>0</v>
      </c>
      <c r="X333" s="149"/>
      <c r="Y333" s="149">
        <f>IF(Ruimtestaat[[#This Row],[Frequentie weekend]]&gt;0,VALUE(LEFT(X333,1))*Q333,0)</f>
        <v>0</v>
      </c>
      <c r="Z333" s="148">
        <f>IF($Y333&gt;0,VLOOKUP($J333,Ruimtegroepen[],3,FALSE)*VLOOKUP($L333,Vloersoorten[],3,FALSE)*VLOOKUP($X333,Frequenties[],3,FALSE)*VLOOKUP(Ruimtestaat[[#This Row],[Code]],Locaties[],3,FALSE),0)</f>
        <v>0</v>
      </c>
      <c r="AA333" s="148">
        <f>Ruimtestaat[[#This Row],[Uitvoeringen weekend]]*Ruimtestaat[[#This Row],[Oppervlak (netto)]]</f>
        <v>0</v>
      </c>
      <c r="AB333" s="148">
        <f>IF(Z333&gt;0,Ruimtestaat[[#This Row],[Prest. (m2 /jaar) weekend]]/Ruimtestaat[[#This Row],[Norm (m2/uur) weekend]],0)</f>
        <v>0</v>
      </c>
      <c r="AC333" s="180">
        <f>Ruimtestaat[[#This Row],[uren / jaar weekend]]*Tariefsopbouw!$D$40</f>
        <v>0</v>
      </c>
      <c r="AD333" s="179">
        <f>Ruimtestaat[[#This Row],[Prest. (m2 /jaar) weekend]]+Ruimtestaat[[#This Row],[Prest. (m2 /jaar) werkdagen]]</f>
        <v>1620</v>
      </c>
      <c r="AE333" s="179">
        <f>Ruimtestaat[[#This Row],[uren / jaar weekend]]+Ruimtestaat[[#This Row],[uren / jaar werkdagen]]</f>
        <v>0</v>
      </c>
      <c r="AF333" s="174">
        <f>Ruimtestaat[[#This Row],[kosten / jaar weekend]]+Ruimtestaat[[#This Row],[kosten / jaar werkdagen]]</f>
        <v>0</v>
      </c>
      <c r="AG333" s="174"/>
      <c r="AH333" s="181" t="str">
        <f>IF(Ruimtestaat[[#This Row],[Frequentie werkdagen]]="","",_xlfn.CONCAT(Ruimtestaat[[#This Row],[Ruimte code]],"-",Ruimtestaat[[#This Row],[Frequentie werkdagen]]," ",Ruimtestaat[[#This Row],[Vloer code]]))</f>
        <v>10-5w S</v>
      </c>
      <c r="AI333" s="185" t="str">
        <f>_xlfn.IFNA(VLOOKUP($AH333,Programma!$F$3:$G$1101,2,0),"")</f>
        <v>_</v>
      </c>
      <c r="AJ333" s="185" t="str">
        <f>_xlfn.IFNA(VLOOKUP($AH333,Programma!$F$3:$H$1101,3,0),"")</f>
        <v>_</v>
      </c>
      <c r="AK333" s="185" t="str">
        <f>_xlfn.IFNA(VLOOKUP($AH333,Programma!$F$3:$I$1101,4,0),"")</f>
        <v>4w</v>
      </c>
      <c r="AL333" s="185" t="str">
        <f>_xlfn.IFNA(VLOOKUP($AH333,Programma!$F$3:$J$1101,5,0),"")</f>
        <v>1w</v>
      </c>
      <c r="AM333" s="185" t="str">
        <f>_xlfn.IFNA(VLOOKUP($AH333,Programma!$F$3:$K$1101,6,0),"")</f>
        <v>4j</v>
      </c>
      <c r="AN333" s="185" t="str">
        <f>_xlfn.IFNA(VLOOKUP($AH333,Programma!$F$3:$L$1101,7,0),"")</f>
        <v>_</v>
      </c>
      <c r="AO333" s="185" t="str">
        <f>_xlfn.IFNA(VLOOKUP($AH333,Programma!$F$3:$M$1101,8,0),"")</f>
        <v>_</v>
      </c>
      <c r="AP333" s="185" t="str">
        <f>_xlfn.IFNA(VLOOKUP($AH333,Programma!$F$3:$N$1101,9,0),"")</f>
        <v>_</v>
      </c>
      <c r="AQ333" s="185" t="str">
        <f>_xlfn.IFNA(VLOOKUP($AH333,Programma!$F$3:$O$1101,10,0),"")</f>
        <v>5w</v>
      </c>
      <c r="AR333" s="185" t="str">
        <f>_xlfn.IFNA(VLOOKUP($AH333,Programma!$F$3:$P$1101,11,0),"")</f>
        <v>5w</v>
      </c>
      <c r="AS333" s="185" t="str">
        <f>_xlfn.IFNA(VLOOKUP($AH333,Programma!$F$3:$Q$1101,12,0),"")</f>
        <v>1w</v>
      </c>
      <c r="AT333" s="185" t="str">
        <f>_xlfn.IFNA(VLOOKUP($AH333,Programma!$F$3:$R$1101,13,0),"")</f>
        <v>1w</v>
      </c>
      <c r="AU333" s="185" t="str">
        <f>_xlfn.IFNA(VLOOKUP($AH333,Programma!$F$3:$S$1101,14,0),"")</f>
        <v>1m</v>
      </c>
      <c r="AV333" s="185" t="str">
        <f>_xlfn.IFNA(VLOOKUP($AH333,Programma!$F$3:$T$1101,15,0),"")</f>
        <v>2j</v>
      </c>
      <c r="AW333" s="185" t="str">
        <f>_xlfn.IFNA(VLOOKUP($AH333,Programma!$F$3:$U$1101,16,0),"")</f>
        <v>1j</v>
      </c>
      <c r="AX333" s="185" t="str">
        <f>_xlfn.IFNA(VLOOKUP($AH333,Programma!$F$3:$V$1101,17,0),"")</f>
        <v>_</v>
      </c>
      <c r="AY333" s="185" t="str">
        <f>_xlfn.IFNA(VLOOKUP($AH333,Programma!$F$3:$W$1101,18,0),"")</f>
        <v>_</v>
      </c>
      <c r="AZ333" s="185" t="str">
        <f>_xlfn.IFNA(VLOOKUP($AH333,Programma!$F$3:$X$1101,19,0),"")</f>
        <v>_</v>
      </c>
      <c r="BA333" s="185" t="str">
        <f>_xlfn.IFNA(VLOOKUP($AH333,Programma!$F$3:$Y$1101,20,0),"")</f>
        <v>_</v>
      </c>
      <c r="BB333" s="182"/>
      <c r="BC333" s="181" t="str">
        <f>IF(Ruimtestaat[[#This Row],[Frequentie weekend]]="","",_xlfn.CONCAT(Ruimtestaat[[#This Row],[Ruimte code]],"-",Ruimtestaat[[#This Row],[Frequentie weekend]]," ",Ruimtestaat[[#This Row],[Vloer code]]))</f>
        <v/>
      </c>
      <c r="BD333" s="185" t="str">
        <f>_xlfn.IFNA(VLOOKUP($BC333,Programma!$F$3:$G$1101,2,0),"")</f>
        <v/>
      </c>
      <c r="BE333" s="185" t="str">
        <f>_xlfn.IFNA(VLOOKUP($BC333,Programma!$F$3:$H$1101,3,0),"")</f>
        <v/>
      </c>
      <c r="BF333" s="185" t="str">
        <f>_xlfn.IFNA(VLOOKUP($BC333,Programma!$F$3:$I$1101,4,0),"")</f>
        <v/>
      </c>
      <c r="BG333" s="185" t="str">
        <f>_xlfn.IFNA(VLOOKUP($BC333,Programma!$F$3:$J$1101,5,0),"")</f>
        <v/>
      </c>
      <c r="BH333" s="185" t="str">
        <f>_xlfn.IFNA(VLOOKUP($BC333,Programma!$F$3:$K$1101,6,0),"")</f>
        <v/>
      </c>
      <c r="BI333" s="185" t="str">
        <f>_xlfn.IFNA(VLOOKUP($BC333,Programma!$F$3:$L$1101,7,0),"")</f>
        <v/>
      </c>
      <c r="BJ333" s="185" t="str">
        <f>_xlfn.IFNA(VLOOKUP($BC333,Programma!$F$3:$M$1101,8,0),"")</f>
        <v/>
      </c>
      <c r="BK333" s="185" t="str">
        <f>_xlfn.IFNA(VLOOKUP($BC333,Programma!$F$3:$N$1101,9,0),"")</f>
        <v/>
      </c>
      <c r="BL333" s="185" t="str">
        <f>_xlfn.IFNA(VLOOKUP($BC333,Programma!$F$3:$O$1101,10,0),"")</f>
        <v/>
      </c>
      <c r="BM333" s="185" t="str">
        <f>_xlfn.IFNA(VLOOKUP($BC333,Programma!$F$3:$P$1101,11,0),"")</f>
        <v/>
      </c>
      <c r="BN333" s="185" t="str">
        <f>_xlfn.IFNA(VLOOKUP($BC333,Programma!$F$3:$Q$1101,12,0),"")</f>
        <v/>
      </c>
      <c r="BO333" s="185" t="str">
        <f>_xlfn.IFNA(VLOOKUP($BC333,Programma!$F$3:$R$1101,13,0),"")</f>
        <v/>
      </c>
      <c r="BP333" s="185" t="str">
        <f>_xlfn.IFNA(VLOOKUP($BC333,Programma!$F$3:$S$1101,14,0),"")</f>
        <v/>
      </c>
      <c r="BQ333" s="185" t="str">
        <f>_xlfn.IFNA(VLOOKUP($BC333,Programma!$F$3:$T$1101,15,0),"")</f>
        <v/>
      </c>
      <c r="BR333" s="185" t="str">
        <f>_xlfn.IFNA(VLOOKUP($BC333,Programma!$F$3:$U$1101,16,0),"")</f>
        <v/>
      </c>
      <c r="BS333" s="185" t="str">
        <f>_xlfn.IFNA(VLOOKUP($BC333,Programma!$F$3:$V$1101,17,0),"")</f>
        <v/>
      </c>
      <c r="BT333" s="185" t="str">
        <f>_xlfn.IFNA(VLOOKUP($BC333,Programma!$F$3:$W$1101,18,0),"")</f>
        <v/>
      </c>
      <c r="BU333" s="185" t="str">
        <f>_xlfn.IFNA(VLOOKUP($BC333,Programma!$F$3:$X$1101,19,0),"")</f>
        <v/>
      </c>
      <c r="BV333" s="185" t="str">
        <f>_xlfn.IFNA(VLOOKUP($BC333,Programma!$F$3:$Y$1101,20,0),"")</f>
        <v/>
      </c>
    </row>
    <row r="334" spans="1:74" s="78" customFormat="1" ht="15" customHeight="1">
      <c r="A334" s="99">
        <v>10</v>
      </c>
      <c r="B334" s="176" t="str">
        <f>VLOOKUP(Ruimtestaat[[#This Row],[Code]],Locaties[[Code]:[Locatie]],2,FALSE)</f>
        <v>OJBS Het Palet</v>
      </c>
      <c r="C334" s="176" t="str">
        <f>VLOOKUP(Ruimtestaat[[#This Row],[Code]],Locaties[[#All],[Code]:[Adres]],4,FALSE)</f>
        <v>Ger. Terborghstraat 9</v>
      </c>
      <c r="D334" s="176" t="str">
        <f>VLOOKUP(Ruimtestaat[[#This Row],[Code]],Locaties[[#All],[Code]:[Postcode]],5,FALSE)</f>
        <v>7545 BV</v>
      </c>
      <c r="E334" s="176" t="str">
        <f>VLOOKUP(Ruimtestaat[[#This Row],[Code]],Locaties[#All],6,FALSE)</f>
        <v>Enschede</v>
      </c>
      <c r="F334" s="149"/>
      <c r="G334" s="149" t="s">
        <v>1646</v>
      </c>
      <c r="H334" s="99" t="s">
        <v>1673</v>
      </c>
      <c r="I334" s="183" t="s">
        <v>38</v>
      </c>
      <c r="J334" s="99">
        <v>7</v>
      </c>
      <c r="K334" s="183" t="str">
        <f>VLOOKUP(Ruimtestaat[[#This Row],[Ruimte code]],Ruimtegroepen[[#All],[Code]:[Ruimte omschrijving]],2,FALSE)</f>
        <v>Entree</v>
      </c>
      <c r="L334" s="149" t="s">
        <v>99</v>
      </c>
      <c r="M334" s="301" t="s">
        <v>1700</v>
      </c>
      <c r="N334" s="177">
        <v>9.1999999999999993</v>
      </c>
      <c r="O334" s="177"/>
      <c r="P334" s="178" t="str">
        <f>VLOOKUP(Ruimtestaat[[#This Row],[Ruimte code]],Ruimtegroepen[],4,FALSE)</f>
        <v>Ve</v>
      </c>
      <c r="Q334" s="149">
        <v>40</v>
      </c>
      <c r="R334" s="149" t="s">
        <v>2</v>
      </c>
      <c r="S334" s="149">
        <f>IF(Q334&gt;0,IF(RIGHT(Ruimtestaat[[#This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4" s="149">
        <f>IF(S334&gt;0,VLOOKUP($J334,Ruimtegroepen[],3,FALSE)*VLOOKUP($L334,Vloersoorten[],3,FALSE)*VLOOKUP($R334,Frequenties[],3,FALSE)*VLOOKUP($A334,Locaties[],3,FALSE),0)</f>
        <v>0</v>
      </c>
      <c r="U334" s="149">
        <f>Ruimtestaat[[#This Row],[Uitvoeringen werkdagen]]*Ruimtestaat[[#This Row],[Oppervlak (netto)]]</f>
        <v>1839.9999999999998</v>
      </c>
      <c r="V334" s="179">
        <f>IF(T334&gt;0,Ruimtestaat[[#This Row],[Prest. (m2 /jaar) werkdagen]]/Ruimtestaat[[#This Row],[Norm (m2/uur) werkdagen]],0)</f>
        <v>0</v>
      </c>
      <c r="W334" s="180">
        <f>Ruimtestaat[[#This Row],[uren / jaar werkdagen]]*Tariefsopbouw!$E$35</f>
        <v>0</v>
      </c>
      <c r="X334" s="149"/>
      <c r="Y334" s="149">
        <f>IF(Ruimtestaat[[#This Row],[Frequentie weekend]]&gt;0,VALUE(LEFT(X334,1))*Q334,0)</f>
        <v>0</v>
      </c>
      <c r="Z334" s="148">
        <f>IF($Y334&gt;0,VLOOKUP($J334,Ruimtegroepen[],3,FALSE)*VLOOKUP($L334,Vloersoorten[],3,FALSE)*VLOOKUP($X334,Frequenties[],3,FALSE)*VLOOKUP(Ruimtestaat[[#This Row],[Code]],Locaties[],3,FALSE),0)</f>
        <v>0</v>
      </c>
      <c r="AA334" s="148">
        <f>Ruimtestaat[[#This Row],[Uitvoeringen weekend]]*Ruimtestaat[[#This Row],[Oppervlak (netto)]]</f>
        <v>0</v>
      </c>
      <c r="AB334" s="148">
        <f>IF(Z334&gt;0,Ruimtestaat[[#This Row],[Prest. (m2 /jaar) weekend]]/Ruimtestaat[[#This Row],[Norm (m2/uur) weekend]],0)</f>
        <v>0</v>
      </c>
      <c r="AC334" s="180">
        <f>Ruimtestaat[[#This Row],[uren / jaar weekend]]*Tariefsopbouw!$D$40</f>
        <v>0</v>
      </c>
      <c r="AD334" s="179">
        <f>Ruimtestaat[[#This Row],[Prest. (m2 /jaar) weekend]]+Ruimtestaat[[#This Row],[Prest. (m2 /jaar) werkdagen]]</f>
        <v>1839.9999999999998</v>
      </c>
      <c r="AE334" s="179">
        <f>Ruimtestaat[[#This Row],[uren / jaar weekend]]+Ruimtestaat[[#This Row],[uren / jaar werkdagen]]</f>
        <v>0</v>
      </c>
      <c r="AF334" s="174">
        <f>Ruimtestaat[[#This Row],[kosten / jaar weekend]]+Ruimtestaat[[#This Row],[kosten / jaar werkdagen]]</f>
        <v>0</v>
      </c>
      <c r="AG334" s="174"/>
      <c r="AH334" s="181" t="str">
        <f>IF(Ruimtestaat[[#This Row],[Frequentie werkdagen]]="","",_xlfn.CONCAT(Ruimtestaat[[#This Row],[Ruimte code]],"-",Ruimtestaat[[#This Row],[Frequentie werkdagen]]," ",Ruimtestaat[[#This Row],[Vloer code]]))</f>
        <v>7-5w T</v>
      </c>
      <c r="AI334" s="185" t="str">
        <f>_xlfn.IFNA(VLOOKUP($AH334,Programma!$F$3:$G$1101,2,0),"")</f>
        <v>_</v>
      </c>
      <c r="AJ334" s="185" t="str">
        <f>_xlfn.IFNA(VLOOKUP($AH334,Programma!$F$3:$H$1101,3,0),"")</f>
        <v>5w</v>
      </c>
      <c r="AK334" s="185" t="str">
        <f>_xlfn.IFNA(VLOOKUP($AH334,Programma!$F$3:$I$1101,4,0),"")</f>
        <v>_</v>
      </c>
      <c r="AL334" s="185" t="str">
        <f>_xlfn.IFNA(VLOOKUP($AH334,Programma!$F$3:$J$1101,5,0),"")</f>
        <v>_</v>
      </c>
      <c r="AM334" s="185" t="str">
        <f>_xlfn.IFNA(VLOOKUP($AH334,Programma!$F$3:$K$1101,6,0),"")</f>
        <v>_</v>
      </c>
      <c r="AN334" s="185" t="str">
        <f>_xlfn.IFNA(VLOOKUP($AH334,Programma!$F$3:$L$1101,7,0),"")</f>
        <v>_</v>
      </c>
      <c r="AO334" s="185" t="str">
        <f>_xlfn.IFNA(VLOOKUP($AH334,Programma!$F$3:$M$1101,8,0),"")</f>
        <v>_</v>
      </c>
      <c r="AP334" s="185" t="str">
        <f>_xlfn.IFNA(VLOOKUP($AH334,Programma!$F$3:$N$1101,9,0),"")</f>
        <v>_</v>
      </c>
      <c r="AQ334" s="185" t="str">
        <f>_xlfn.IFNA(VLOOKUP($AH334,Programma!$F$3:$O$1101,10,0),"")</f>
        <v>5w</v>
      </c>
      <c r="AR334" s="185" t="str">
        <f>_xlfn.IFNA(VLOOKUP($AH334,Programma!$F$3:$P$1101,11,0),"")</f>
        <v>5w</v>
      </c>
      <c r="AS334" s="185" t="str">
        <f>_xlfn.IFNA(VLOOKUP($AH334,Programma!$F$3:$Q$1101,12,0),"")</f>
        <v>1w</v>
      </c>
      <c r="AT334" s="185" t="str">
        <f>_xlfn.IFNA(VLOOKUP($AH334,Programma!$F$3:$R$1101,13,0),"")</f>
        <v>1w</v>
      </c>
      <c r="AU334" s="185" t="str">
        <f>_xlfn.IFNA(VLOOKUP($AH334,Programma!$F$3:$S$1101,14,0),"")</f>
        <v>1m</v>
      </c>
      <c r="AV334" s="185" t="str">
        <f>_xlfn.IFNA(VLOOKUP($AH334,Programma!$F$3:$T$1101,15,0),"")</f>
        <v>2j</v>
      </c>
      <c r="AW334" s="185" t="str">
        <f>_xlfn.IFNA(VLOOKUP($AH334,Programma!$F$3:$U$1101,16,0),"")</f>
        <v>1j</v>
      </c>
      <c r="AX334" s="185" t="str">
        <f>_xlfn.IFNA(VLOOKUP($AH334,Programma!$F$3:$V$1101,17,0),"")</f>
        <v>_</v>
      </c>
      <c r="AY334" s="185" t="str">
        <f>_xlfn.IFNA(VLOOKUP($AH334,Programma!$F$3:$W$1101,18,0),"")</f>
        <v>_</v>
      </c>
      <c r="AZ334" s="185" t="str">
        <f>_xlfn.IFNA(VLOOKUP($AH334,Programma!$F$3:$X$1101,19,0),"")</f>
        <v>_</v>
      </c>
      <c r="BA334" s="185" t="str">
        <f>_xlfn.IFNA(VLOOKUP($AH334,Programma!$F$3:$Y$1101,20,0),"")</f>
        <v>_</v>
      </c>
      <c r="BB334" s="182"/>
      <c r="BC334" s="181" t="str">
        <f>IF(Ruimtestaat[[#This Row],[Frequentie weekend]]="","",_xlfn.CONCAT(Ruimtestaat[[#This Row],[Ruimte code]],"-",Ruimtestaat[[#This Row],[Frequentie weekend]]," ",Ruimtestaat[[#This Row],[Vloer code]]))</f>
        <v/>
      </c>
      <c r="BD334" s="185" t="str">
        <f>_xlfn.IFNA(VLOOKUP($BC334,Programma!$F$3:$G$1101,2,0),"")</f>
        <v/>
      </c>
      <c r="BE334" s="185" t="str">
        <f>_xlfn.IFNA(VLOOKUP($BC334,Programma!$F$3:$H$1101,3,0),"")</f>
        <v/>
      </c>
      <c r="BF334" s="185" t="str">
        <f>_xlfn.IFNA(VLOOKUP($BC334,Programma!$F$3:$I$1101,4,0),"")</f>
        <v/>
      </c>
      <c r="BG334" s="185" t="str">
        <f>_xlfn.IFNA(VLOOKUP($BC334,Programma!$F$3:$J$1101,5,0),"")</f>
        <v/>
      </c>
      <c r="BH334" s="185" t="str">
        <f>_xlfn.IFNA(VLOOKUP($BC334,Programma!$F$3:$K$1101,6,0),"")</f>
        <v/>
      </c>
      <c r="BI334" s="185" t="str">
        <f>_xlfn.IFNA(VLOOKUP($BC334,Programma!$F$3:$L$1101,7,0),"")</f>
        <v/>
      </c>
      <c r="BJ334" s="185" t="str">
        <f>_xlfn.IFNA(VLOOKUP($BC334,Programma!$F$3:$M$1101,8,0),"")</f>
        <v/>
      </c>
      <c r="BK334" s="185" t="str">
        <f>_xlfn.IFNA(VLOOKUP($BC334,Programma!$F$3:$N$1101,9,0),"")</f>
        <v/>
      </c>
      <c r="BL334" s="185" t="str">
        <f>_xlfn.IFNA(VLOOKUP($BC334,Programma!$F$3:$O$1101,10,0),"")</f>
        <v/>
      </c>
      <c r="BM334" s="185" t="str">
        <f>_xlfn.IFNA(VLOOKUP($BC334,Programma!$F$3:$P$1101,11,0),"")</f>
        <v/>
      </c>
      <c r="BN334" s="185" t="str">
        <f>_xlfn.IFNA(VLOOKUP($BC334,Programma!$F$3:$Q$1101,12,0),"")</f>
        <v/>
      </c>
      <c r="BO334" s="185" t="str">
        <f>_xlfn.IFNA(VLOOKUP($BC334,Programma!$F$3:$R$1101,13,0),"")</f>
        <v/>
      </c>
      <c r="BP334" s="185" t="str">
        <f>_xlfn.IFNA(VLOOKUP($BC334,Programma!$F$3:$S$1101,14,0),"")</f>
        <v/>
      </c>
      <c r="BQ334" s="185" t="str">
        <f>_xlfn.IFNA(VLOOKUP($BC334,Programma!$F$3:$T$1101,15,0),"")</f>
        <v/>
      </c>
      <c r="BR334" s="185" t="str">
        <f>_xlfn.IFNA(VLOOKUP($BC334,Programma!$F$3:$U$1101,16,0),"")</f>
        <v/>
      </c>
      <c r="BS334" s="185" t="str">
        <f>_xlfn.IFNA(VLOOKUP($BC334,Programma!$F$3:$V$1101,17,0),"")</f>
        <v/>
      </c>
      <c r="BT334" s="185" t="str">
        <f>_xlfn.IFNA(VLOOKUP($BC334,Programma!$F$3:$W$1101,18,0),"")</f>
        <v/>
      </c>
      <c r="BU334" s="185" t="str">
        <f>_xlfn.IFNA(VLOOKUP($BC334,Programma!$F$3:$X$1101,19,0),"")</f>
        <v/>
      </c>
      <c r="BV334" s="185" t="str">
        <f>_xlfn.IFNA(VLOOKUP($BC334,Programma!$F$3:$Y$1101,20,0),"")</f>
        <v/>
      </c>
    </row>
    <row r="335" spans="1:74" s="78" customFormat="1" ht="15" customHeight="1">
      <c r="A335" s="99">
        <v>10</v>
      </c>
      <c r="B335" s="176" t="str">
        <f>VLOOKUP(Ruimtestaat[[#This Row],[Code]],Locaties[[Code]:[Locatie]],2,FALSE)</f>
        <v>OJBS Het Palet</v>
      </c>
      <c r="C335" s="176" t="str">
        <f>VLOOKUP(Ruimtestaat[[#This Row],[Code]],Locaties[[#All],[Code]:[Adres]],4,FALSE)</f>
        <v>Ger. Terborghstraat 9</v>
      </c>
      <c r="D335" s="176" t="str">
        <f>VLOOKUP(Ruimtestaat[[#This Row],[Code]],Locaties[[#All],[Code]:[Postcode]],5,FALSE)</f>
        <v>7545 BV</v>
      </c>
      <c r="E335" s="176" t="str">
        <f>VLOOKUP(Ruimtestaat[[#This Row],[Code]],Locaties[#All],6,FALSE)</f>
        <v>Enschede</v>
      </c>
      <c r="F335" s="149"/>
      <c r="G335" s="149" t="s">
        <v>1646</v>
      </c>
      <c r="H335" s="99" t="s">
        <v>1674</v>
      </c>
      <c r="I335" s="183" t="s">
        <v>1655</v>
      </c>
      <c r="J335" s="99">
        <v>5</v>
      </c>
      <c r="K335" s="183" t="str">
        <f>VLOOKUP(Ruimtestaat[[#This Row],[Ruimte code]],Ruimtegroepen[[#All],[Code]:[Ruimte omschrijving]],2,FALSE)</f>
        <v>Sanitair</v>
      </c>
      <c r="L335" s="149" t="s">
        <v>101</v>
      </c>
      <c r="M335" s="301" t="s">
        <v>1682</v>
      </c>
      <c r="N335" s="177">
        <v>6.9</v>
      </c>
      <c r="O335" s="177"/>
      <c r="P335" s="178" t="str">
        <f>VLOOKUP(Ruimtestaat[[#This Row],[Ruimte code]],Ruimtegroepen[],4,FALSE)</f>
        <v>Sa</v>
      </c>
      <c r="Q335" s="149">
        <v>40</v>
      </c>
      <c r="R335" s="149" t="s">
        <v>2</v>
      </c>
      <c r="S335" s="149">
        <f>IF(Q335&gt;0,IF(RIGHT(Ruimtestaat[[#This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5" s="149">
        <f>IF(S335&gt;0,VLOOKUP($J335,Ruimtegroepen[],3,FALSE)*VLOOKUP($L335,Vloersoorten[],3,FALSE)*VLOOKUP($R335,Frequenties[],3,FALSE)*VLOOKUP($A335,Locaties[],3,FALSE),0)</f>
        <v>0</v>
      </c>
      <c r="U335" s="149">
        <f>Ruimtestaat[[#This Row],[Uitvoeringen werkdagen]]*Ruimtestaat[[#This Row],[Oppervlak (netto)]]</f>
        <v>1380</v>
      </c>
      <c r="V335" s="179">
        <f>IF(T335&gt;0,Ruimtestaat[[#This Row],[Prest. (m2 /jaar) werkdagen]]/Ruimtestaat[[#This Row],[Norm (m2/uur) werkdagen]],0)</f>
        <v>0</v>
      </c>
      <c r="W335" s="180">
        <f>Ruimtestaat[[#This Row],[uren / jaar werkdagen]]*Tariefsopbouw!$E$35</f>
        <v>0</v>
      </c>
      <c r="X335" s="149"/>
      <c r="Y335" s="149">
        <f>IF(Ruimtestaat[[#This Row],[Frequentie weekend]]&gt;0,VALUE(LEFT(X335,1))*Q335,0)</f>
        <v>0</v>
      </c>
      <c r="Z335" s="148">
        <f>IF($Y335&gt;0,VLOOKUP($J335,Ruimtegroepen[],3,FALSE)*VLOOKUP($L335,Vloersoorten[],3,FALSE)*VLOOKUP($X335,Frequenties[],3,FALSE)*VLOOKUP(Ruimtestaat[[#This Row],[Code]],Locaties[],3,FALSE),0)</f>
        <v>0</v>
      </c>
      <c r="AA335" s="148">
        <f>Ruimtestaat[[#This Row],[Uitvoeringen weekend]]*Ruimtestaat[[#This Row],[Oppervlak (netto)]]</f>
        <v>0</v>
      </c>
      <c r="AB335" s="148">
        <f>IF(Z335&gt;0,Ruimtestaat[[#This Row],[Prest. (m2 /jaar) weekend]]/Ruimtestaat[[#This Row],[Norm (m2/uur) weekend]],0)</f>
        <v>0</v>
      </c>
      <c r="AC335" s="180">
        <f>Ruimtestaat[[#This Row],[uren / jaar weekend]]*Tariefsopbouw!$D$40</f>
        <v>0</v>
      </c>
      <c r="AD335" s="179">
        <f>Ruimtestaat[[#This Row],[Prest. (m2 /jaar) weekend]]+Ruimtestaat[[#This Row],[Prest. (m2 /jaar) werkdagen]]</f>
        <v>1380</v>
      </c>
      <c r="AE335" s="179">
        <f>Ruimtestaat[[#This Row],[uren / jaar weekend]]+Ruimtestaat[[#This Row],[uren / jaar werkdagen]]</f>
        <v>0</v>
      </c>
      <c r="AF335" s="174">
        <f>Ruimtestaat[[#This Row],[kosten / jaar weekend]]+Ruimtestaat[[#This Row],[kosten / jaar werkdagen]]</f>
        <v>0</v>
      </c>
      <c r="AG335" s="174"/>
      <c r="AH335" s="181" t="str">
        <f>IF(Ruimtestaat[[#This Row],[Frequentie werkdagen]]="","",_xlfn.CONCAT(Ruimtestaat[[#This Row],[Ruimte code]],"-",Ruimtestaat[[#This Row],[Frequentie werkdagen]]," ",Ruimtestaat[[#This Row],[Vloer code]]))</f>
        <v>5-5w S</v>
      </c>
      <c r="AI335" s="185" t="str">
        <f>_xlfn.IFNA(VLOOKUP($AH335,Programma!$F$3:$G$1101,2,0),"")</f>
        <v>_</v>
      </c>
      <c r="AJ335" s="185" t="str">
        <f>_xlfn.IFNA(VLOOKUP($AH335,Programma!$F$3:$H$1101,3,0),"")</f>
        <v>_</v>
      </c>
      <c r="AK335" s="185" t="str">
        <f>_xlfn.IFNA(VLOOKUP($AH335,Programma!$F$3:$I$1101,4,0),"")</f>
        <v>_</v>
      </c>
      <c r="AL335" s="185" t="str">
        <f>_xlfn.IFNA(VLOOKUP($AH335,Programma!$F$3:$J$1101,5,0),"")</f>
        <v>4w</v>
      </c>
      <c r="AM335" s="185" t="str">
        <f>_xlfn.IFNA(VLOOKUP($AH335,Programma!$F$3:$K$1101,6,0),"")</f>
        <v>1w</v>
      </c>
      <c r="AN335" s="185" t="str">
        <f>_xlfn.IFNA(VLOOKUP($AH335,Programma!$F$3:$L$1101,7,0),"")</f>
        <v>_</v>
      </c>
      <c r="AO335" s="185" t="str">
        <f>_xlfn.IFNA(VLOOKUP($AH335,Programma!$F$3:$M$1101,8,0),"")</f>
        <v>_</v>
      </c>
      <c r="AP335" s="185" t="str">
        <f>_xlfn.IFNA(VLOOKUP($AH335,Programma!$F$3:$N$1101,9,0),"")</f>
        <v>_</v>
      </c>
      <c r="AQ335" s="185" t="str">
        <f>_xlfn.IFNA(VLOOKUP($AH335,Programma!$F$3:$O$1101,10,0),"")</f>
        <v>_</v>
      </c>
      <c r="AR335" s="185" t="str">
        <f>_xlfn.IFNA(VLOOKUP($AH335,Programma!$F$3:$P$1101,11,0),"")</f>
        <v>_</v>
      </c>
      <c r="AS335" s="185" t="str">
        <f>_xlfn.IFNA(VLOOKUP($AH335,Programma!$F$3:$Q$1101,12,0),"")</f>
        <v>_</v>
      </c>
      <c r="AT335" s="185" t="str">
        <f>_xlfn.IFNA(VLOOKUP($AH335,Programma!$F$3:$R$1101,13,0),"")</f>
        <v>_</v>
      </c>
      <c r="AU335" s="185" t="str">
        <f>_xlfn.IFNA(VLOOKUP($AH335,Programma!$F$3:$S$1101,14,0),"")</f>
        <v>_</v>
      </c>
      <c r="AV335" s="185" t="str">
        <f>_xlfn.IFNA(VLOOKUP($AH335,Programma!$F$3:$T$1101,15,0),"")</f>
        <v>_</v>
      </c>
      <c r="AW335" s="185" t="str">
        <f>_xlfn.IFNA(VLOOKUP($AH335,Programma!$F$3:$U$1101,16,0),"")</f>
        <v>_</v>
      </c>
      <c r="AX335" s="185" t="str">
        <f>_xlfn.IFNA(VLOOKUP($AH335,Programma!$F$3:$V$1101,17,0),"")</f>
        <v>_</v>
      </c>
      <c r="AY335" s="185" t="str">
        <f>_xlfn.IFNA(VLOOKUP($AH335,Programma!$F$3:$W$1101,18,0),"")</f>
        <v>4w</v>
      </c>
      <c r="AZ335" s="185" t="str">
        <f>_xlfn.IFNA(VLOOKUP($AH335,Programma!$F$3:$X$1101,19,0),"")</f>
        <v>1w</v>
      </c>
      <c r="BA335" s="185" t="str">
        <f>_xlfn.IFNA(VLOOKUP($AH335,Programma!$F$3:$Y$1101,20,0),"")</f>
        <v>_</v>
      </c>
      <c r="BB335" s="182"/>
      <c r="BC335" s="181" t="str">
        <f>IF(Ruimtestaat[[#This Row],[Frequentie weekend]]="","",_xlfn.CONCAT(Ruimtestaat[[#This Row],[Ruimte code]],"-",Ruimtestaat[[#This Row],[Frequentie weekend]]," ",Ruimtestaat[[#This Row],[Vloer code]]))</f>
        <v/>
      </c>
      <c r="BD335" s="185" t="str">
        <f>_xlfn.IFNA(VLOOKUP($BC335,Programma!$F$3:$G$1101,2,0),"")</f>
        <v/>
      </c>
      <c r="BE335" s="185" t="str">
        <f>_xlfn.IFNA(VLOOKUP($BC335,Programma!$F$3:$H$1101,3,0),"")</f>
        <v/>
      </c>
      <c r="BF335" s="185" t="str">
        <f>_xlfn.IFNA(VLOOKUP($BC335,Programma!$F$3:$I$1101,4,0),"")</f>
        <v/>
      </c>
      <c r="BG335" s="185" t="str">
        <f>_xlfn.IFNA(VLOOKUP($BC335,Programma!$F$3:$J$1101,5,0),"")</f>
        <v/>
      </c>
      <c r="BH335" s="185" t="str">
        <f>_xlfn.IFNA(VLOOKUP($BC335,Programma!$F$3:$K$1101,6,0),"")</f>
        <v/>
      </c>
      <c r="BI335" s="185" t="str">
        <f>_xlfn.IFNA(VLOOKUP($BC335,Programma!$F$3:$L$1101,7,0),"")</f>
        <v/>
      </c>
      <c r="BJ335" s="185" t="str">
        <f>_xlfn.IFNA(VLOOKUP($BC335,Programma!$F$3:$M$1101,8,0),"")</f>
        <v/>
      </c>
      <c r="BK335" s="185" t="str">
        <f>_xlfn.IFNA(VLOOKUP($BC335,Programma!$F$3:$N$1101,9,0),"")</f>
        <v/>
      </c>
      <c r="BL335" s="185" t="str">
        <f>_xlfn.IFNA(VLOOKUP($BC335,Programma!$F$3:$O$1101,10,0),"")</f>
        <v/>
      </c>
      <c r="BM335" s="185" t="str">
        <f>_xlfn.IFNA(VLOOKUP($BC335,Programma!$F$3:$P$1101,11,0),"")</f>
        <v/>
      </c>
      <c r="BN335" s="185" t="str">
        <f>_xlfn.IFNA(VLOOKUP($BC335,Programma!$F$3:$Q$1101,12,0),"")</f>
        <v/>
      </c>
      <c r="BO335" s="185" t="str">
        <f>_xlfn.IFNA(VLOOKUP($BC335,Programma!$F$3:$R$1101,13,0),"")</f>
        <v/>
      </c>
      <c r="BP335" s="185" t="str">
        <f>_xlfn.IFNA(VLOOKUP($BC335,Programma!$F$3:$S$1101,14,0),"")</f>
        <v/>
      </c>
      <c r="BQ335" s="185" t="str">
        <f>_xlfn.IFNA(VLOOKUP($BC335,Programma!$F$3:$T$1101,15,0),"")</f>
        <v/>
      </c>
      <c r="BR335" s="185" t="str">
        <f>_xlfn.IFNA(VLOOKUP($BC335,Programma!$F$3:$U$1101,16,0),"")</f>
        <v/>
      </c>
      <c r="BS335" s="185" t="str">
        <f>_xlfn.IFNA(VLOOKUP($BC335,Programma!$F$3:$V$1101,17,0),"")</f>
        <v/>
      </c>
      <c r="BT335" s="185" t="str">
        <f>_xlfn.IFNA(VLOOKUP($BC335,Programma!$F$3:$W$1101,18,0),"")</f>
        <v/>
      </c>
      <c r="BU335" s="185" t="str">
        <f>_xlfn.IFNA(VLOOKUP($BC335,Programma!$F$3:$X$1101,19,0),"")</f>
        <v/>
      </c>
      <c r="BV335" s="185" t="str">
        <f>_xlfn.IFNA(VLOOKUP($BC335,Programma!$F$3:$Y$1101,20,0),"")</f>
        <v/>
      </c>
    </row>
    <row r="336" spans="1:74" s="78" customFormat="1" ht="15" customHeight="1">
      <c r="A336" s="99">
        <v>10</v>
      </c>
      <c r="B336" s="176" t="str">
        <f>VLOOKUP(Ruimtestaat[[#This Row],[Code]],Locaties[[Code]:[Locatie]],2,FALSE)</f>
        <v>OJBS Het Palet</v>
      </c>
      <c r="C336" s="176" t="str">
        <f>VLOOKUP(Ruimtestaat[[#This Row],[Code]],Locaties[[#All],[Code]:[Adres]],4,FALSE)</f>
        <v>Ger. Terborghstraat 9</v>
      </c>
      <c r="D336" s="176" t="str">
        <f>VLOOKUP(Ruimtestaat[[#This Row],[Code]],Locaties[[#All],[Code]:[Postcode]],5,FALSE)</f>
        <v>7545 BV</v>
      </c>
      <c r="E336" s="176" t="str">
        <f>VLOOKUP(Ruimtestaat[[#This Row],[Code]],Locaties[#All],6,FALSE)</f>
        <v>Enschede</v>
      </c>
      <c r="F336" s="149"/>
      <c r="G336" s="149" t="s">
        <v>1714</v>
      </c>
      <c r="H336" s="99" t="s">
        <v>1748</v>
      </c>
      <c r="I336" s="183" t="s">
        <v>1655</v>
      </c>
      <c r="J336" s="99">
        <v>5</v>
      </c>
      <c r="K336" s="183" t="str">
        <f>VLOOKUP(Ruimtestaat[[#This Row],[Ruimte code]],Ruimtegroepen[[#All],[Code]:[Ruimte omschrijving]],2,FALSE)</f>
        <v>Sanitair</v>
      </c>
      <c r="L336" s="149" t="s">
        <v>101</v>
      </c>
      <c r="M336" s="301" t="s">
        <v>1682</v>
      </c>
      <c r="N336" s="177">
        <v>6.2</v>
      </c>
      <c r="O336" s="177"/>
      <c r="P336" s="178" t="str">
        <f>VLOOKUP(Ruimtestaat[[#This Row],[Ruimte code]],Ruimtegroepen[],4,FALSE)</f>
        <v>Sa</v>
      </c>
      <c r="Q336" s="149">
        <v>40</v>
      </c>
      <c r="R336" s="149" t="s">
        <v>2</v>
      </c>
      <c r="S336" s="149">
        <f>IF(Q336&gt;0,IF(RIGHT(Ruimtestaat[[#This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6" s="149">
        <f>IF(S336&gt;0,VLOOKUP($J336,Ruimtegroepen[],3,FALSE)*VLOOKUP($L336,Vloersoorten[],3,FALSE)*VLOOKUP($R336,Frequenties[],3,FALSE)*VLOOKUP($A336,Locaties[],3,FALSE),0)</f>
        <v>0</v>
      </c>
      <c r="U336" s="149">
        <f>Ruimtestaat[[#This Row],[Uitvoeringen werkdagen]]*Ruimtestaat[[#This Row],[Oppervlak (netto)]]</f>
        <v>1240</v>
      </c>
      <c r="V336" s="179">
        <f>IF(T336&gt;0,Ruimtestaat[[#This Row],[Prest. (m2 /jaar) werkdagen]]/Ruimtestaat[[#This Row],[Norm (m2/uur) werkdagen]],0)</f>
        <v>0</v>
      </c>
      <c r="W336" s="180">
        <f>Ruimtestaat[[#This Row],[uren / jaar werkdagen]]*Tariefsopbouw!$E$35</f>
        <v>0</v>
      </c>
      <c r="X336" s="149"/>
      <c r="Y336" s="149">
        <f>IF(Ruimtestaat[[#This Row],[Frequentie weekend]]&gt;0,VALUE(LEFT(X336,1))*Q336,0)</f>
        <v>0</v>
      </c>
      <c r="Z336" s="148">
        <f>IF($Y336&gt;0,VLOOKUP($J336,Ruimtegroepen[],3,FALSE)*VLOOKUP($L336,Vloersoorten[],3,FALSE)*VLOOKUP($X336,Frequenties[],3,FALSE)*VLOOKUP(Ruimtestaat[[#This Row],[Code]],Locaties[],3,FALSE),0)</f>
        <v>0</v>
      </c>
      <c r="AA336" s="148">
        <f>Ruimtestaat[[#This Row],[Uitvoeringen weekend]]*Ruimtestaat[[#This Row],[Oppervlak (netto)]]</f>
        <v>0</v>
      </c>
      <c r="AB336" s="148">
        <f>IF(Z336&gt;0,Ruimtestaat[[#This Row],[Prest. (m2 /jaar) weekend]]/Ruimtestaat[[#This Row],[Norm (m2/uur) weekend]],0)</f>
        <v>0</v>
      </c>
      <c r="AC336" s="180">
        <f>Ruimtestaat[[#This Row],[uren / jaar weekend]]*Tariefsopbouw!$D$40</f>
        <v>0</v>
      </c>
      <c r="AD336" s="179">
        <f>Ruimtestaat[[#This Row],[Prest. (m2 /jaar) weekend]]+Ruimtestaat[[#This Row],[Prest. (m2 /jaar) werkdagen]]</f>
        <v>1240</v>
      </c>
      <c r="AE336" s="179">
        <f>Ruimtestaat[[#This Row],[uren / jaar weekend]]+Ruimtestaat[[#This Row],[uren / jaar werkdagen]]</f>
        <v>0</v>
      </c>
      <c r="AF336" s="174">
        <f>Ruimtestaat[[#This Row],[kosten / jaar weekend]]+Ruimtestaat[[#This Row],[kosten / jaar werkdagen]]</f>
        <v>0</v>
      </c>
      <c r="AG336" s="174"/>
      <c r="AH336" s="181" t="str">
        <f>IF(Ruimtestaat[[#This Row],[Frequentie werkdagen]]="","",_xlfn.CONCAT(Ruimtestaat[[#This Row],[Ruimte code]],"-",Ruimtestaat[[#This Row],[Frequentie werkdagen]]," ",Ruimtestaat[[#This Row],[Vloer code]]))</f>
        <v>5-5w S</v>
      </c>
      <c r="AI336" s="185" t="str">
        <f>_xlfn.IFNA(VLOOKUP($AH336,Programma!$F$3:$G$1101,2,0),"")</f>
        <v>_</v>
      </c>
      <c r="AJ336" s="185" t="str">
        <f>_xlfn.IFNA(VLOOKUP($AH336,Programma!$F$3:$H$1101,3,0),"")</f>
        <v>_</v>
      </c>
      <c r="AK336" s="185" t="str">
        <f>_xlfn.IFNA(VLOOKUP($AH336,Programma!$F$3:$I$1101,4,0),"")</f>
        <v>_</v>
      </c>
      <c r="AL336" s="185" t="str">
        <f>_xlfn.IFNA(VLOOKUP($AH336,Programma!$F$3:$J$1101,5,0),"")</f>
        <v>4w</v>
      </c>
      <c r="AM336" s="185" t="str">
        <f>_xlfn.IFNA(VLOOKUP($AH336,Programma!$F$3:$K$1101,6,0),"")</f>
        <v>1w</v>
      </c>
      <c r="AN336" s="185" t="str">
        <f>_xlfn.IFNA(VLOOKUP($AH336,Programma!$F$3:$L$1101,7,0),"")</f>
        <v>_</v>
      </c>
      <c r="AO336" s="185" t="str">
        <f>_xlfn.IFNA(VLOOKUP($AH336,Programma!$F$3:$M$1101,8,0),"")</f>
        <v>_</v>
      </c>
      <c r="AP336" s="185" t="str">
        <f>_xlfn.IFNA(VLOOKUP($AH336,Programma!$F$3:$N$1101,9,0),"")</f>
        <v>_</v>
      </c>
      <c r="AQ336" s="185" t="str">
        <f>_xlfn.IFNA(VLOOKUP($AH336,Programma!$F$3:$O$1101,10,0),"")</f>
        <v>_</v>
      </c>
      <c r="AR336" s="185" t="str">
        <f>_xlfn.IFNA(VLOOKUP($AH336,Programma!$F$3:$P$1101,11,0),"")</f>
        <v>_</v>
      </c>
      <c r="AS336" s="185" t="str">
        <f>_xlfn.IFNA(VLOOKUP($AH336,Programma!$F$3:$Q$1101,12,0),"")</f>
        <v>_</v>
      </c>
      <c r="AT336" s="185" t="str">
        <f>_xlfn.IFNA(VLOOKUP($AH336,Programma!$F$3:$R$1101,13,0),"")</f>
        <v>_</v>
      </c>
      <c r="AU336" s="185" t="str">
        <f>_xlfn.IFNA(VLOOKUP($AH336,Programma!$F$3:$S$1101,14,0),"")</f>
        <v>_</v>
      </c>
      <c r="AV336" s="185" t="str">
        <f>_xlfn.IFNA(VLOOKUP($AH336,Programma!$F$3:$T$1101,15,0),"")</f>
        <v>_</v>
      </c>
      <c r="AW336" s="185" t="str">
        <f>_xlfn.IFNA(VLOOKUP($AH336,Programma!$F$3:$U$1101,16,0),"")</f>
        <v>_</v>
      </c>
      <c r="AX336" s="185" t="str">
        <f>_xlfn.IFNA(VLOOKUP($AH336,Programma!$F$3:$V$1101,17,0),"")</f>
        <v>_</v>
      </c>
      <c r="AY336" s="185" t="str">
        <f>_xlfn.IFNA(VLOOKUP($AH336,Programma!$F$3:$W$1101,18,0),"")</f>
        <v>4w</v>
      </c>
      <c r="AZ336" s="185" t="str">
        <f>_xlfn.IFNA(VLOOKUP($AH336,Programma!$F$3:$X$1101,19,0),"")</f>
        <v>1w</v>
      </c>
      <c r="BA336" s="185" t="str">
        <f>_xlfn.IFNA(VLOOKUP($AH336,Programma!$F$3:$Y$1101,20,0),"")</f>
        <v>_</v>
      </c>
      <c r="BB336" s="182"/>
      <c r="BC336" s="181" t="str">
        <f>IF(Ruimtestaat[[#This Row],[Frequentie weekend]]="","",_xlfn.CONCAT(Ruimtestaat[[#This Row],[Ruimte code]],"-",Ruimtestaat[[#This Row],[Frequentie weekend]]," ",Ruimtestaat[[#This Row],[Vloer code]]))</f>
        <v/>
      </c>
      <c r="BD336" s="185" t="str">
        <f>_xlfn.IFNA(VLOOKUP($BC336,Programma!$F$3:$G$1101,2,0),"")</f>
        <v/>
      </c>
      <c r="BE336" s="185" t="str">
        <f>_xlfn.IFNA(VLOOKUP($BC336,Programma!$F$3:$H$1101,3,0),"")</f>
        <v/>
      </c>
      <c r="BF336" s="185" t="str">
        <f>_xlfn.IFNA(VLOOKUP($BC336,Programma!$F$3:$I$1101,4,0),"")</f>
        <v/>
      </c>
      <c r="BG336" s="185" t="str">
        <f>_xlfn.IFNA(VLOOKUP($BC336,Programma!$F$3:$J$1101,5,0),"")</f>
        <v/>
      </c>
      <c r="BH336" s="185" t="str">
        <f>_xlfn.IFNA(VLOOKUP($BC336,Programma!$F$3:$K$1101,6,0),"")</f>
        <v/>
      </c>
      <c r="BI336" s="185" t="str">
        <f>_xlfn.IFNA(VLOOKUP($BC336,Programma!$F$3:$L$1101,7,0),"")</f>
        <v/>
      </c>
      <c r="BJ336" s="185" t="str">
        <f>_xlfn.IFNA(VLOOKUP($BC336,Programma!$F$3:$M$1101,8,0),"")</f>
        <v/>
      </c>
      <c r="BK336" s="185" t="str">
        <f>_xlfn.IFNA(VLOOKUP($BC336,Programma!$F$3:$N$1101,9,0),"")</f>
        <v/>
      </c>
      <c r="BL336" s="185" t="str">
        <f>_xlfn.IFNA(VLOOKUP($BC336,Programma!$F$3:$O$1101,10,0),"")</f>
        <v/>
      </c>
      <c r="BM336" s="185" t="str">
        <f>_xlfn.IFNA(VLOOKUP($BC336,Programma!$F$3:$P$1101,11,0),"")</f>
        <v/>
      </c>
      <c r="BN336" s="185" t="str">
        <f>_xlfn.IFNA(VLOOKUP($BC336,Programma!$F$3:$Q$1101,12,0),"")</f>
        <v/>
      </c>
      <c r="BO336" s="185" t="str">
        <f>_xlfn.IFNA(VLOOKUP($BC336,Programma!$F$3:$R$1101,13,0),"")</f>
        <v/>
      </c>
      <c r="BP336" s="185" t="str">
        <f>_xlfn.IFNA(VLOOKUP($BC336,Programma!$F$3:$S$1101,14,0),"")</f>
        <v/>
      </c>
      <c r="BQ336" s="185" t="str">
        <f>_xlfn.IFNA(VLOOKUP($BC336,Programma!$F$3:$T$1101,15,0),"")</f>
        <v/>
      </c>
      <c r="BR336" s="185" t="str">
        <f>_xlfn.IFNA(VLOOKUP($BC336,Programma!$F$3:$U$1101,16,0),"")</f>
        <v/>
      </c>
      <c r="BS336" s="185" t="str">
        <f>_xlfn.IFNA(VLOOKUP($BC336,Programma!$F$3:$V$1101,17,0),"")</f>
        <v/>
      </c>
      <c r="BT336" s="185" t="str">
        <f>_xlfn.IFNA(VLOOKUP($BC336,Programma!$F$3:$W$1101,18,0),"")</f>
        <v/>
      </c>
      <c r="BU336" s="185" t="str">
        <f>_xlfn.IFNA(VLOOKUP($BC336,Programma!$F$3:$X$1101,19,0),"")</f>
        <v/>
      </c>
      <c r="BV336" s="185" t="str">
        <f>_xlfn.IFNA(VLOOKUP($BC336,Programma!$F$3:$Y$1101,20,0),"")</f>
        <v/>
      </c>
    </row>
    <row r="337" spans="1:74" s="78" customFormat="1" ht="15" customHeight="1">
      <c r="A337" s="99">
        <v>10</v>
      </c>
      <c r="B337" s="176" t="str">
        <f>VLOOKUP(Ruimtestaat[[#This Row],[Code]],Locaties[[Code]:[Locatie]],2,FALSE)</f>
        <v>OJBS Het Palet</v>
      </c>
      <c r="C337" s="176" t="str">
        <f>VLOOKUP(Ruimtestaat[[#This Row],[Code]],Locaties[[#All],[Code]:[Adres]],4,FALSE)</f>
        <v>Ger. Terborghstraat 9</v>
      </c>
      <c r="D337" s="176" t="str">
        <f>VLOOKUP(Ruimtestaat[[#This Row],[Code]],Locaties[[#All],[Code]:[Postcode]],5,FALSE)</f>
        <v>7545 BV</v>
      </c>
      <c r="E337" s="176" t="str">
        <f>VLOOKUP(Ruimtestaat[[#This Row],[Code]],Locaties[#All],6,FALSE)</f>
        <v>Enschede</v>
      </c>
      <c r="F337" s="149"/>
      <c r="G337" s="149" t="s">
        <v>1714</v>
      </c>
      <c r="H337" s="99" t="s">
        <v>1749</v>
      </c>
      <c r="I337" s="183" t="s">
        <v>1702</v>
      </c>
      <c r="J337" s="99">
        <v>10</v>
      </c>
      <c r="K337" s="183" t="str">
        <f>VLOOKUP(Ruimtestaat[[#This Row],[Ruimte code]],Ruimtegroepen[[#All],[Code]:[Ruimte omschrijving]],2,FALSE)</f>
        <v>Trappenhuizen/lift</v>
      </c>
      <c r="L337" s="149" t="s">
        <v>102</v>
      </c>
      <c r="M337" s="301" t="s">
        <v>120</v>
      </c>
      <c r="N337" s="177">
        <v>6.3</v>
      </c>
      <c r="O337" s="177"/>
      <c r="P337" s="178" t="str">
        <f>VLOOKUP(Ruimtestaat[[#This Row],[Ruimte code]],Ruimtegroepen[],4,FALSE)</f>
        <v>Ve</v>
      </c>
      <c r="Q337" s="149">
        <v>40</v>
      </c>
      <c r="R337" s="149" t="s">
        <v>2</v>
      </c>
      <c r="S337" s="149">
        <f>IF(Q337&gt;0,IF(RIGHT(Ruimtestaat[[#This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7" s="149">
        <f>IF(S337&gt;0,VLOOKUP($J337,Ruimtegroepen[],3,FALSE)*VLOOKUP($L337,Vloersoorten[],3,FALSE)*VLOOKUP($R337,Frequenties[],3,FALSE)*VLOOKUP($A337,Locaties[],3,FALSE),0)</f>
        <v>0</v>
      </c>
      <c r="U337" s="149">
        <f>Ruimtestaat[[#This Row],[Uitvoeringen werkdagen]]*Ruimtestaat[[#This Row],[Oppervlak (netto)]]</f>
        <v>1260</v>
      </c>
      <c r="V337" s="179">
        <f>IF(T337&gt;0,Ruimtestaat[[#This Row],[Prest. (m2 /jaar) werkdagen]]/Ruimtestaat[[#This Row],[Norm (m2/uur) werkdagen]],0)</f>
        <v>0</v>
      </c>
      <c r="W337" s="180">
        <f>Ruimtestaat[[#This Row],[uren / jaar werkdagen]]*Tariefsopbouw!$E$35</f>
        <v>0</v>
      </c>
      <c r="X337" s="149"/>
      <c r="Y337" s="149">
        <f>IF(Ruimtestaat[[#This Row],[Frequentie weekend]]&gt;0,VALUE(LEFT(X337,1))*Q337,0)</f>
        <v>0</v>
      </c>
      <c r="Z337" s="148">
        <f>IF($Y337&gt;0,VLOOKUP($J337,Ruimtegroepen[],3,FALSE)*VLOOKUP($L337,Vloersoorten[],3,FALSE)*VLOOKUP($X337,Frequenties[],3,FALSE)*VLOOKUP(Ruimtestaat[[#This Row],[Code]],Locaties[],3,FALSE),0)</f>
        <v>0</v>
      </c>
      <c r="AA337" s="148">
        <f>Ruimtestaat[[#This Row],[Uitvoeringen weekend]]*Ruimtestaat[[#This Row],[Oppervlak (netto)]]</f>
        <v>0</v>
      </c>
      <c r="AB337" s="148">
        <f>IF(Z337&gt;0,Ruimtestaat[[#This Row],[Prest. (m2 /jaar) weekend]]/Ruimtestaat[[#This Row],[Norm (m2/uur) weekend]],0)</f>
        <v>0</v>
      </c>
      <c r="AC337" s="180">
        <f>Ruimtestaat[[#This Row],[uren / jaar weekend]]*Tariefsopbouw!$D$40</f>
        <v>0</v>
      </c>
      <c r="AD337" s="179">
        <f>Ruimtestaat[[#This Row],[Prest. (m2 /jaar) weekend]]+Ruimtestaat[[#This Row],[Prest. (m2 /jaar) werkdagen]]</f>
        <v>1260</v>
      </c>
      <c r="AE337" s="179">
        <f>Ruimtestaat[[#This Row],[uren / jaar weekend]]+Ruimtestaat[[#This Row],[uren / jaar werkdagen]]</f>
        <v>0</v>
      </c>
      <c r="AF337" s="174">
        <f>Ruimtestaat[[#This Row],[kosten / jaar weekend]]+Ruimtestaat[[#This Row],[kosten / jaar werkdagen]]</f>
        <v>0</v>
      </c>
      <c r="AG337" s="174"/>
      <c r="AH337" s="181" t="str">
        <f>IF(Ruimtestaat[[#This Row],[Frequentie werkdagen]]="","",_xlfn.CONCAT(Ruimtestaat[[#This Row],[Ruimte code]],"-",Ruimtestaat[[#This Row],[Frequentie werkdagen]]," ",Ruimtestaat[[#This Row],[Vloer code]]))</f>
        <v>10-5w P</v>
      </c>
      <c r="AI337" s="185" t="str">
        <f>_xlfn.IFNA(VLOOKUP($AH337,Programma!$F$3:$G$1101,2,0),"")</f>
        <v>_</v>
      </c>
      <c r="AJ337" s="185" t="str">
        <f>_xlfn.IFNA(VLOOKUP($AH337,Programma!$F$3:$H$1101,3,0),"")</f>
        <v>_</v>
      </c>
      <c r="AK337" s="185" t="str">
        <f>_xlfn.IFNA(VLOOKUP($AH337,Programma!$F$3:$I$1101,4,0),"")</f>
        <v>5w</v>
      </c>
      <c r="AL337" s="185" t="str">
        <f>_xlfn.IFNA(VLOOKUP($AH337,Programma!$F$3:$J$1101,5,0),"")</f>
        <v>_</v>
      </c>
      <c r="AM337" s="185" t="str">
        <f>_xlfn.IFNA(VLOOKUP($AH337,Programma!$F$3:$K$1101,6,0),"")</f>
        <v>4j</v>
      </c>
      <c r="AN337" s="185" t="str">
        <f>_xlfn.IFNA(VLOOKUP($AH337,Programma!$F$3:$L$1101,7,0),"")</f>
        <v>_</v>
      </c>
      <c r="AO337" s="185" t="str">
        <f>_xlfn.IFNA(VLOOKUP($AH337,Programma!$F$3:$M$1101,8,0),"")</f>
        <v>_</v>
      </c>
      <c r="AP337" s="185" t="str">
        <f>_xlfn.IFNA(VLOOKUP($AH337,Programma!$F$3:$N$1101,9,0),"")</f>
        <v>_</v>
      </c>
      <c r="AQ337" s="185" t="str">
        <f>_xlfn.IFNA(VLOOKUP($AH337,Programma!$F$3:$O$1101,10,0),"")</f>
        <v>5w</v>
      </c>
      <c r="AR337" s="185" t="str">
        <f>_xlfn.IFNA(VLOOKUP($AH337,Programma!$F$3:$P$1101,11,0),"")</f>
        <v>5w</v>
      </c>
      <c r="AS337" s="185" t="str">
        <f>_xlfn.IFNA(VLOOKUP($AH337,Programma!$F$3:$Q$1101,12,0),"")</f>
        <v>1w</v>
      </c>
      <c r="AT337" s="185" t="str">
        <f>_xlfn.IFNA(VLOOKUP($AH337,Programma!$F$3:$R$1101,13,0),"")</f>
        <v>1w</v>
      </c>
      <c r="AU337" s="185" t="str">
        <f>_xlfn.IFNA(VLOOKUP($AH337,Programma!$F$3:$S$1101,14,0),"")</f>
        <v>1m</v>
      </c>
      <c r="AV337" s="185" t="str">
        <f>_xlfn.IFNA(VLOOKUP($AH337,Programma!$F$3:$T$1101,15,0),"")</f>
        <v>2j</v>
      </c>
      <c r="AW337" s="185" t="str">
        <f>_xlfn.IFNA(VLOOKUP($AH337,Programma!$F$3:$U$1101,16,0),"")</f>
        <v>1j</v>
      </c>
      <c r="AX337" s="185" t="str">
        <f>_xlfn.IFNA(VLOOKUP($AH337,Programma!$F$3:$V$1101,17,0),"")</f>
        <v>_</v>
      </c>
      <c r="AY337" s="185" t="str">
        <f>_xlfn.IFNA(VLOOKUP($AH337,Programma!$F$3:$W$1101,18,0),"")</f>
        <v>_</v>
      </c>
      <c r="AZ337" s="185" t="str">
        <f>_xlfn.IFNA(VLOOKUP($AH337,Programma!$F$3:$X$1101,19,0),"")</f>
        <v>_</v>
      </c>
      <c r="BA337" s="185" t="str">
        <f>_xlfn.IFNA(VLOOKUP($AH337,Programma!$F$3:$Y$1101,20,0),"")</f>
        <v>_</v>
      </c>
      <c r="BB337" s="182"/>
      <c r="BC337" s="181" t="str">
        <f>IF(Ruimtestaat[[#This Row],[Frequentie weekend]]="","",_xlfn.CONCAT(Ruimtestaat[[#This Row],[Ruimte code]],"-",Ruimtestaat[[#This Row],[Frequentie weekend]]," ",Ruimtestaat[[#This Row],[Vloer code]]))</f>
        <v/>
      </c>
      <c r="BD337" s="185" t="str">
        <f>_xlfn.IFNA(VLOOKUP($BC337,Programma!$F$3:$G$1101,2,0),"")</f>
        <v/>
      </c>
      <c r="BE337" s="185" t="str">
        <f>_xlfn.IFNA(VLOOKUP($BC337,Programma!$F$3:$H$1101,3,0),"")</f>
        <v/>
      </c>
      <c r="BF337" s="185" t="str">
        <f>_xlfn.IFNA(VLOOKUP($BC337,Programma!$F$3:$I$1101,4,0),"")</f>
        <v/>
      </c>
      <c r="BG337" s="185" t="str">
        <f>_xlfn.IFNA(VLOOKUP($BC337,Programma!$F$3:$J$1101,5,0),"")</f>
        <v/>
      </c>
      <c r="BH337" s="185" t="str">
        <f>_xlfn.IFNA(VLOOKUP($BC337,Programma!$F$3:$K$1101,6,0),"")</f>
        <v/>
      </c>
      <c r="BI337" s="185" t="str">
        <f>_xlfn.IFNA(VLOOKUP($BC337,Programma!$F$3:$L$1101,7,0),"")</f>
        <v/>
      </c>
      <c r="BJ337" s="185" t="str">
        <f>_xlfn.IFNA(VLOOKUP($BC337,Programma!$F$3:$M$1101,8,0),"")</f>
        <v/>
      </c>
      <c r="BK337" s="185" t="str">
        <f>_xlfn.IFNA(VLOOKUP($BC337,Programma!$F$3:$N$1101,9,0),"")</f>
        <v/>
      </c>
      <c r="BL337" s="185" t="str">
        <f>_xlfn.IFNA(VLOOKUP($BC337,Programma!$F$3:$O$1101,10,0),"")</f>
        <v/>
      </c>
      <c r="BM337" s="185" t="str">
        <f>_xlfn.IFNA(VLOOKUP($BC337,Programma!$F$3:$P$1101,11,0),"")</f>
        <v/>
      </c>
      <c r="BN337" s="185" t="str">
        <f>_xlfn.IFNA(VLOOKUP($BC337,Programma!$F$3:$Q$1101,12,0),"")</f>
        <v/>
      </c>
      <c r="BO337" s="185" t="str">
        <f>_xlfn.IFNA(VLOOKUP($BC337,Programma!$F$3:$R$1101,13,0),"")</f>
        <v/>
      </c>
      <c r="BP337" s="185" t="str">
        <f>_xlfn.IFNA(VLOOKUP($BC337,Programma!$F$3:$S$1101,14,0),"")</f>
        <v/>
      </c>
      <c r="BQ337" s="185" t="str">
        <f>_xlfn.IFNA(VLOOKUP($BC337,Programma!$F$3:$T$1101,15,0),"")</f>
        <v/>
      </c>
      <c r="BR337" s="185" t="str">
        <f>_xlfn.IFNA(VLOOKUP($BC337,Programma!$F$3:$U$1101,16,0),"")</f>
        <v/>
      </c>
      <c r="BS337" s="185" t="str">
        <f>_xlfn.IFNA(VLOOKUP($BC337,Programma!$F$3:$V$1101,17,0),"")</f>
        <v/>
      </c>
      <c r="BT337" s="185" t="str">
        <f>_xlfn.IFNA(VLOOKUP($BC337,Programma!$F$3:$W$1101,18,0),"")</f>
        <v/>
      </c>
      <c r="BU337" s="185" t="str">
        <f>_xlfn.IFNA(VLOOKUP($BC337,Programma!$F$3:$X$1101,19,0),"")</f>
        <v/>
      </c>
      <c r="BV337" s="185" t="str">
        <f>_xlfn.IFNA(VLOOKUP($BC337,Programma!$F$3:$Y$1101,20,0),"")</f>
        <v/>
      </c>
    </row>
    <row r="338" spans="1:74" s="78" customFormat="1" ht="15" customHeight="1">
      <c r="A338" s="99">
        <v>10</v>
      </c>
      <c r="B338" s="176" t="str">
        <f>VLOOKUP(Ruimtestaat[[#This Row],[Code]],Locaties[[Code]:[Locatie]],2,FALSE)</f>
        <v>OJBS Het Palet</v>
      </c>
      <c r="C338" s="176" t="str">
        <f>VLOOKUP(Ruimtestaat[[#This Row],[Code]],Locaties[[#All],[Code]:[Adres]],4,FALSE)</f>
        <v>Ger. Terborghstraat 9</v>
      </c>
      <c r="D338" s="176" t="str">
        <f>VLOOKUP(Ruimtestaat[[#This Row],[Code]],Locaties[[#All],[Code]:[Postcode]],5,FALSE)</f>
        <v>7545 BV</v>
      </c>
      <c r="E338" s="176" t="str">
        <f>VLOOKUP(Ruimtestaat[[#This Row],[Code]],Locaties[#All],6,FALSE)</f>
        <v>Enschede</v>
      </c>
      <c r="F338" s="149"/>
      <c r="G338" s="149" t="s">
        <v>1714</v>
      </c>
      <c r="H338" s="99" t="s">
        <v>1750</v>
      </c>
      <c r="I338" s="183" t="s">
        <v>1658</v>
      </c>
      <c r="J338" s="99">
        <v>6</v>
      </c>
      <c r="K338" s="183" t="str">
        <f>VLOOKUP(Ruimtestaat[[#This Row],[Ruimte code]],Ruimtegroepen[[#All],[Code]:[Ruimte omschrijving]],2,FALSE)</f>
        <v>Gangen/hallen</v>
      </c>
      <c r="L338" s="149" t="s">
        <v>101</v>
      </c>
      <c r="M338" s="301" t="s">
        <v>1682</v>
      </c>
      <c r="N338" s="177">
        <v>89.4</v>
      </c>
      <c r="O338" s="177"/>
      <c r="P338" s="178" t="str">
        <f>VLOOKUP(Ruimtestaat[[#This Row],[Ruimte code]],Ruimtegroepen[],4,FALSE)</f>
        <v>Ve</v>
      </c>
      <c r="Q338" s="149">
        <v>40</v>
      </c>
      <c r="R338" s="149" t="s">
        <v>2</v>
      </c>
      <c r="S338" s="149">
        <f>IF(Q338&gt;0,IF(RIGHT(Ruimtestaat[[#This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8" s="149">
        <f>IF(S338&gt;0,VLOOKUP($J338,Ruimtegroepen[],3,FALSE)*VLOOKUP($L338,Vloersoorten[],3,FALSE)*VLOOKUP($R338,Frequenties[],3,FALSE)*VLOOKUP($A338,Locaties[],3,FALSE),0)</f>
        <v>0</v>
      </c>
      <c r="U338" s="149">
        <f>Ruimtestaat[[#This Row],[Uitvoeringen werkdagen]]*Ruimtestaat[[#This Row],[Oppervlak (netto)]]</f>
        <v>17880</v>
      </c>
      <c r="V338" s="179">
        <f>IF(T338&gt;0,Ruimtestaat[[#This Row],[Prest. (m2 /jaar) werkdagen]]/Ruimtestaat[[#This Row],[Norm (m2/uur) werkdagen]],0)</f>
        <v>0</v>
      </c>
      <c r="W338" s="180">
        <f>Ruimtestaat[[#This Row],[uren / jaar werkdagen]]*Tariefsopbouw!$E$35</f>
        <v>0</v>
      </c>
      <c r="X338" s="149"/>
      <c r="Y338" s="149">
        <f>IF(Ruimtestaat[[#This Row],[Frequentie weekend]]&gt;0,VALUE(LEFT(X338,1))*Q338,0)</f>
        <v>0</v>
      </c>
      <c r="Z338" s="148">
        <f>IF($Y338&gt;0,VLOOKUP($J338,Ruimtegroepen[],3,FALSE)*VLOOKUP($L338,Vloersoorten[],3,FALSE)*VLOOKUP($X338,Frequenties[],3,FALSE)*VLOOKUP(Ruimtestaat[[#This Row],[Code]],Locaties[],3,FALSE),0)</f>
        <v>0</v>
      </c>
      <c r="AA338" s="148">
        <f>Ruimtestaat[[#This Row],[Uitvoeringen weekend]]*Ruimtestaat[[#This Row],[Oppervlak (netto)]]</f>
        <v>0</v>
      </c>
      <c r="AB338" s="148">
        <f>IF(Z338&gt;0,Ruimtestaat[[#This Row],[Prest. (m2 /jaar) weekend]]/Ruimtestaat[[#This Row],[Norm (m2/uur) weekend]],0)</f>
        <v>0</v>
      </c>
      <c r="AC338" s="180">
        <f>Ruimtestaat[[#This Row],[uren / jaar weekend]]*Tariefsopbouw!$D$40</f>
        <v>0</v>
      </c>
      <c r="AD338" s="179">
        <f>Ruimtestaat[[#This Row],[Prest. (m2 /jaar) weekend]]+Ruimtestaat[[#This Row],[Prest. (m2 /jaar) werkdagen]]</f>
        <v>17880</v>
      </c>
      <c r="AE338" s="179">
        <f>Ruimtestaat[[#This Row],[uren / jaar weekend]]+Ruimtestaat[[#This Row],[uren / jaar werkdagen]]</f>
        <v>0</v>
      </c>
      <c r="AF338" s="174">
        <f>Ruimtestaat[[#This Row],[kosten / jaar weekend]]+Ruimtestaat[[#This Row],[kosten / jaar werkdagen]]</f>
        <v>0</v>
      </c>
      <c r="AG338" s="174"/>
      <c r="AH338" s="181" t="str">
        <f>IF(Ruimtestaat[[#This Row],[Frequentie werkdagen]]="","",_xlfn.CONCAT(Ruimtestaat[[#This Row],[Ruimte code]],"-",Ruimtestaat[[#This Row],[Frequentie werkdagen]]," ",Ruimtestaat[[#This Row],[Vloer code]]))</f>
        <v>6-5w S</v>
      </c>
      <c r="AI338" s="185" t="str">
        <f>_xlfn.IFNA(VLOOKUP($AH338,Programma!$F$3:$G$1101,2,0),"")</f>
        <v>_</v>
      </c>
      <c r="AJ338" s="185" t="str">
        <f>_xlfn.IFNA(VLOOKUP($AH338,Programma!$F$3:$H$1101,3,0),"")</f>
        <v>_</v>
      </c>
      <c r="AK338" s="185" t="str">
        <f>_xlfn.IFNA(VLOOKUP($AH338,Programma!$F$3:$I$1101,4,0),"")</f>
        <v>5w</v>
      </c>
      <c r="AL338" s="185" t="str">
        <f>_xlfn.IFNA(VLOOKUP($AH338,Programma!$F$3:$J$1101,5,0),"")</f>
        <v>_</v>
      </c>
      <c r="AM338" s="185" t="str">
        <f>_xlfn.IFNA(VLOOKUP($AH338,Programma!$F$3:$K$1101,6,0),"")</f>
        <v>5w</v>
      </c>
      <c r="AN338" s="185" t="str">
        <f>_xlfn.IFNA(VLOOKUP($AH338,Programma!$F$3:$L$1101,7,0),"")</f>
        <v>_</v>
      </c>
      <c r="AO338" s="185" t="str">
        <f>_xlfn.IFNA(VLOOKUP($AH338,Programma!$F$3:$M$1101,8,0),"")</f>
        <v>_</v>
      </c>
      <c r="AP338" s="185" t="str">
        <f>_xlfn.IFNA(VLOOKUP($AH338,Programma!$F$3:$N$1101,9,0),"")</f>
        <v>_</v>
      </c>
      <c r="AQ338" s="185" t="str">
        <f>_xlfn.IFNA(VLOOKUP($AH338,Programma!$F$3:$O$1101,10,0),"")</f>
        <v>5w</v>
      </c>
      <c r="AR338" s="185" t="str">
        <f>_xlfn.IFNA(VLOOKUP($AH338,Programma!$F$3:$P$1101,11,0),"")</f>
        <v>5w</v>
      </c>
      <c r="AS338" s="185" t="str">
        <f>_xlfn.IFNA(VLOOKUP($AH338,Programma!$F$3:$Q$1101,12,0),"")</f>
        <v>1w</v>
      </c>
      <c r="AT338" s="185" t="str">
        <f>_xlfn.IFNA(VLOOKUP($AH338,Programma!$F$3:$R$1101,13,0),"")</f>
        <v>1w</v>
      </c>
      <c r="AU338" s="185" t="str">
        <f>_xlfn.IFNA(VLOOKUP($AH338,Programma!$F$3:$S$1101,14,0),"")</f>
        <v>1m</v>
      </c>
      <c r="AV338" s="185" t="str">
        <f>_xlfn.IFNA(VLOOKUP($AH338,Programma!$F$3:$T$1101,15,0),"")</f>
        <v>2j</v>
      </c>
      <c r="AW338" s="185" t="str">
        <f>_xlfn.IFNA(VLOOKUP($AH338,Programma!$F$3:$U$1101,16,0),"")</f>
        <v>1j</v>
      </c>
      <c r="AX338" s="185" t="str">
        <f>_xlfn.IFNA(VLOOKUP($AH338,Programma!$F$3:$V$1101,17,0),"")</f>
        <v>_</v>
      </c>
      <c r="AY338" s="185" t="str">
        <f>_xlfn.IFNA(VLOOKUP($AH338,Programma!$F$3:$W$1101,18,0),"")</f>
        <v>_</v>
      </c>
      <c r="AZ338" s="185" t="str">
        <f>_xlfn.IFNA(VLOOKUP($AH338,Programma!$F$3:$X$1101,19,0),"")</f>
        <v>_</v>
      </c>
      <c r="BA338" s="185" t="str">
        <f>_xlfn.IFNA(VLOOKUP($AH338,Programma!$F$3:$Y$1101,20,0),"")</f>
        <v>_</v>
      </c>
      <c r="BB338" s="182"/>
      <c r="BC338" s="181" t="str">
        <f>IF(Ruimtestaat[[#This Row],[Frequentie weekend]]="","",_xlfn.CONCAT(Ruimtestaat[[#This Row],[Ruimte code]],"-",Ruimtestaat[[#This Row],[Frequentie weekend]]," ",Ruimtestaat[[#This Row],[Vloer code]]))</f>
        <v/>
      </c>
      <c r="BD338" s="185" t="str">
        <f>_xlfn.IFNA(VLOOKUP($BC338,Programma!$F$3:$G$1101,2,0),"")</f>
        <v/>
      </c>
      <c r="BE338" s="185" t="str">
        <f>_xlfn.IFNA(VLOOKUP($BC338,Programma!$F$3:$H$1101,3,0),"")</f>
        <v/>
      </c>
      <c r="BF338" s="185" t="str">
        <f>_xlfn.IFNA(VLOOKUP($BC338,Programma!$F$3:$I$1101,4,0),"")</f>
        <v/>
      </c>
      <c r="BG338" s="185" t="str">
        <f>_xlfn.IFNA(VLOOKUP($BC338,Programma!$F$3:$J$1101,5,0),"")</f>
        <v/>
      </c>
      <c r="BH338" s="185" t="str">
        <f>_xlfn.IFNA(VLOOKUP($BC338,Programma!$F$3:$K$1101,6,0),"")</f>
        <v/>
      </c>
      <c r="BI338" s="185" t="str">
        <f>_xlfn.IFNA(VLOOKUP($BC338,Programma!$F$3:$L$1101,7,0),"")</f>
        <v/>
      </c>
      <c r="BJ338" s="185" t="str">
        <f>_xlfn.IFNA(VLOOKUP($BC338,Programma!$F$3:$M$1101,8,0),"")</f>
        <v/>
      </c>
      <c r="BK338" s="185" t="str">
        <f>_xlfn.IFNA(VLOOKUP($BC338,Programma!$F$3:$N$1101,9,0),"")</f>
        <v/>
      </c>
      <c r="BL338" s="185" t="str">
        <f>_xlfn.IFNA(VLOOKUP($BC338,Programma!$F$3:$O$1101,10,0),"")</f>
        <v/>
      </c>
      <c r="BM338" s="185" t="str">
        <f>_xlfn.IFNA(VLOOKUP($BC338,Programma!$F$3:$P$1101,11,0),"")</f>
        <v/>
      </c>
      <c r="BN338" s="185" t="str">
        <f>_xlfn.IFNA(VLOOKUP($BC338,Programma!$F$3:$Q$1101,12,0),"")</f>
        <v/>
      </c>
      <c r="BO338" s="185" t="str">
        <f>_xlfn.IFNA(VLOOKUP($BC338,Programma!$F$3:$R$1101,13,0),"")</f>
        <v/>
      </c>
      <c r="BP338" s="185" t="str">
        <f>_xlfn.IFNA(VLOOKUP($BC338,Programma!$F$3:$S$1101,14,0),"")</f>
        <v/>
      </c>
      <c r="BQ338" s="185" t="str">
        <f>_xlfn.IFNA(VLOOKUP($BC338,Programma!$F$3:$T$1101,15,0),"")</f>
        <v/>
      </c>
      <c r="BR338" s="185" t="str">
        <f>_xlfn.IFNA(VLOOKUP($BC338,Programma!$F$3:$U$1101,16,0),"")</f>
        <v/>
      </c>
      <c r="BS338" s="185" t="str">
        <f>_xlfn.IFNA(VLOOKUP($BC338,Programma!$F$3:$V$1101,17,0),"")</f>
        <v/>
      </c>
      <c r="BT338" s="185" t="str">
        <f>_xlfn.IFNA(VLOOKUP($BC338,Programma!$F$3:$W$1101,18,0),"")</f>
        <v/>
      </c>
      <c r="BU338" s="185" t="str">
        <f>_xlfn.IFNA(VLOOKUP($BC338,Programma!$F$3:$X$1101,19,0),"")</f>
        <v/>
      </c>
      <c r="BV338" s="185" t="str">
        <f>_xlfn.IFNA(VLOOKUP($BC338,Programma!$F$3:$Y$1101,20,0),"")</f>
        <v/>
      </c>
    </row>
    <row r="339" spans="1:74" s="78" customFormat="1" ht="15" customHeight="1">
      <c r="A339" s="99">
        <v>10</v>
      </c>
      <c r="B339" s="176" t="str">
        <f>VLOOKUP(Ruimtestaat[[#This Row],[Code]],Locaties[[Code]:[Locatie]],2,FALSE)</f>
        <v>OJBS Het Palet</v>
      </c>
      <c r="C339" s="176" t="str">
        <f>VLOOKUP(Ruimtestaat[[#This Row],[Code]],Locaties[[#All],[Code]:[Adres]],4,FALSE)</f>
        <v>Ger. Terborghstraat 9</v>
      </c>
      <c r="D339" s="176" t="str">
        <f>VLOOKUP(Ruimtestaat[[#This Row],[Code]],Locaties[[#All],[Code]:[Postcode]],5,FALSE)</f>
        <v>7545 BV</v>
      </c>
      <c r="E339" s="176" t="str">
        <f>VLOOKUP(Ruimtestaat[[#This Row],[Code]],Locaties[#All],6,FALSE)</f>
        <v>Enschede</v>
      </c>
      <c r="F339" s="149"/>
      <c r="G339" s="149" t="s">
        <v>1760</v>
      </c>
      <c r="H339" s="99" t="s">
        <v>1761</v>
      </c>
      <c r="I339" s="183" t="s">
        <v>1651</v>
      </c>
      <c r="J339" s="99">
        <v>16</v>
      </c>
      <c r="K339" s="183" t="str">
        <f>VLOOKUP(Ruimtestaat[[#This Row],[Ruimte code]],Ruimtegroepen[[#All],[Code]:[Ruimte omschrijving]],2,FALSE)</f>
        <v>Leslokalen</v>
      </c>
      <c r="L339" s="149" t="s">
        <v>102</v>
      </c>
      <c r="M339" s="301" t="s">
        <v>120</v>
      </c>
      <c r="N339" s="177">
        <v>105.1</v>
      </c>
      <c r="O339" s="177"/>
      <c r="P339" s="178" t="str">
        <f>VLOOKUP(Ruimtestaat[[#This Row],[Ruimte code]],Ruimtegroepen[],4,FALSE)</f>
        <v>Le</v>
      </c>
      <c r="Q339" s="149">
        <v>40</v>
      </c>
      <c r="R339" s="149" t="s">
        <v>2</v>
      </c>
      <c r="S339" s="149">
        <f>IF(Q339&gt;0,IF(RIGHT(Ruimtestaat[[#This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9" s="149">
        <f>IF(S339&gt;0,VLOOKUP($J339,Ruimtegroepen[],3,FALSE)*VLOOKUP($L339,Vloersoorten[],3,FALSE)*VLOOKUP($R339,Frequenties[],3,FALSE)*VLOOKUP($A339,Locaties[],3,FALSE),0)</f>
        <v>0</v>
      </c>
      <c r="U339" s="149">
        <f>Ruimtestaat[[#This Row],[Uitvoeringen werkdagen]]*Ruimtestaat[[#This Row],[Oppervlak (netto)]]</f>
        <v>21020</v>
      </c>
      <c r="V339" s="179">
        <f>IF(T339&gt;0,Ruimtestaat[[#This Row],[Prest. (m2 /jaar) werkdagen]]/Ruimtestaat[[#This Row],[Norm (m2/uur) werkdagen]],0)</f>
        <v>0</v>
      </c>
      <c r="W339" s="180">
        <f>Ruimtestaat[[#This Row],[uren / jaar werkdagen]]*Tariefsopbouw!$E$35</f>
        <v>0</v>
      </c>
      <c r="X339" s="149"/>
      <c r="Y339" s="149">
        <f>IF(Ruimtestaat[[#This Row],[Frequentie weekend]]&gt;0,VALUE(LEFT(X339,1))*Q339,0)</f>
        <v>0</v>
      </c>
      <c r="Z339" s="148">
        <f>IF($Y339&gt;0,VLOOKUP($J339,Ruimtegroepen[],3,FALSE)*VLOOKUP($L339,Vloersoorten[],3,FALSE)*VLOOKUP($X339,Frequenties[],3,FALSE)*VLOOKUP(Ruimtestaat[[#This Row],[Code]],Locaties[],3,FALSE),0)</f>
        <v>0</v>
      </c>
      <c r="AA339" s="148">
        <f>Ruimtestaat[[#This Row],[Uitvoeringen weekend]]*Ruimtestaat[[#This Row],[Oppervlak (netto)]]</f>
        <v>0</v>
      </c>
      <c r="AB339" s="148">
        <f>IF(Z339&gt;0,Ruimtestaat[[#This Row],[Prest. (m2 /jaar) weekend]]/Ruimtestaat[[#This Row],[Norm (m2/uur) weekend]],0)</f>
        <v>0</v>
      </c>
      <c r="AC339" s="180">
        <f>Ruimtestaat[[#This Row],[uren / jaar weekend]]*Tariefsopbouw!$D$40</f>
        <v>0</v>
      </c>
      <c r="AD339" s="179">
        <f>Ruimtestaat[[#This Row],[Prest. (m2 /jaar) weekend]]+Ruimtestaat[[#This Row],[Prest. (m2 /jaar) werkdagen]]</f>
        <v>21020</v>
      </c>
      <c r="AE339" s="179">
        <f>Ruimtestaat[[#This Row],[uren / jaar weekend]]+Ruimtestaat[[#This Row],[uren / jaar werkdagen]]</f>
        <v>0</v>
      </c>
      <c r="AF339" s="174">
        <f>Ruimtestaat[[#This Row],[kosten / jaar weekend]]+Ruimtestaat[[#This Row],[kosten / jaar werkdagen]]</f>
        <v>0</v>
      </c>
      <c r="AG339" s="174"/>
      <c r="AH339" s="181" t="str">
        <f>IF(Ruimtestaat[[#This Row],[Frequentie werkdagen]]="","",_xlfn.CONCAT(Ruimtestaat[[#This Row],[Ruimte code]],"-",Ruimtestaat[[#This Row],[Frequentie werkdagen]]," ",Ruimtestaat[[#This Row],[Vloer code]]))</f>
        <v>16-5w P</v>
      </c>
      <c r="AI339" s="185" t="str">
        <f>_xlfn.IFNA(VLOOKUP($AH339,Programma!$F$3:$G$1101,2,0),"")</f>
        <v>_</v>
      </c>
      <c r="AJ339" s="185" t="str">
        <f>_xlfn.IFNA(VLOOKUP($AH339,Programma!$F$3:$H$1101,3,0),"")</f>
        <v>_</v>
      </c>
      <c r="AK339" s="185" t="str">
        <f>_xlfn.IFNA(VLOOKUP($AH339,Programma!$F$3:$I$1101,4,0),"")</f>
        <v>4w</v>
      </c>
      <c r="AL339" s="185" t="str">
        <f>_xlfn.IFNA(VLOOKUP($AH339,Programma!$F$3:$J$1101,5,0),"")</f>
        <v>1w</v>
      </c>
      <c r="AM339" s="185" t="str">
        <f>_xlfn.IFNA(VLOOKUP($AH339,Programma!$F$3:$K$1101,6,0),"")</f>
        <v>1m</v>
      </c>
      <c r="AN339" s="185" t="str">
        <f>_xlfn.IFNA(VLOOKUP($AH339,Programma!$F$3:$L$1101,7,0),"")</f>
        <v>_</v>
      </c>
      <c r="AO339" s="185" t="str">
        <f>_xlfn.IFNA(VLOOKUP($AH339,Programma!$F$3:$M$1101,8,0),"")</f>
        <v>_</v>
      </c>
      <c r="AP339" s="185" t="str">
        <f>_xlfn.IFNA(VLOOKUP($AH339,Programma!$F$3:$N$1101,9,0),"")</f>
        <v>_</v>
      </c>
      <c r="AQ339" s="185" t="str">
        <f>_xlfn.IFNA(VLOOKUP($AH339,Programma!$F$3:$O$1101,10,0),"")</f>
        <v>5w</v>
      </c>
      <c r="AR339" s="185" t="str">
        <f>_xlfn.IFNA(VLOOKUP($AH339,Programma!$F$3:$P$1101,11,0),"")</f>
        <v>5w</v>
      </c>
      <c r="AS339" s="185" t="str">
        <f>_xlfn.IFNA(VLOOKUP($AH339,Programma!$F$3:$Q$1101,12,0),"")</f>
        <v>1w</v>
      </c>
      <c r="AT339" s="185" t="str">
        <f>_xlfn.IFNA(VLOOKUP($AH339,Programma!$F$3:$R$1101,13,0),"")</f>
        <v>1w</v>
      </c>
      <c r="AU339" s="185" t="str">
        <f>_xlfn.IFNA(VLOOKUP($AH339,Programma!$F$3:$S$1101,14,0),"")</f>
        <v>1m</v>
      </c>
      <c r="AV339" s="185" t="str">
        <f>_xlfn.IFNA(VLOOKUP($AH339,Programma!$F$3:$T$1101,15,0),"")</f>
        <v>2j</v>
      </c>
      <c r="AW339" s="185" t="str">
        <f>_xlfn.IFNA(VLOOKUP($AH339,Programma!$F$3:$U$1101,16,0),"")</f>
        <v>1j</v>
      </c>
      <c r="AX339" s="185" t="str">
        <f>_xlfn.IFNA(VLOOKUP($AH339,Programma!$F$3:$V$1101,17,0),"")</f>
        <v>_</v>
      </c>
      <c r="AY339" s="185" t="str">
        <f>_xlfn.IFNA(VLOOKUP($AH339,Programma!$F$3:$W$1101,18,0),"")</f>
        <v>_</v>
      </c>
      <c r="AZ339" s="185" t="str">
        <f>_xlfn.IFNA(VLOOKUP($AH339,Programma!$F$3:$X$1101,19,0),"")</f>
        <v>_</v>
      </c>
      <c r="BA339" s="185" t="str">
        <f>_xlfn.IFNA(VLOOKUP($AH339,Programma!$F$3:$Y$1101,20,0),"")</f>
        <v>_</v>
      </c>
      <c r="BB339" s="182"/>
      <c r="BC339" s="181" t="str">
        <f>IF(Ruimtestaat[[#This Row],[Frequentie weekend]]="","",_xlfn.CONCAT(Ruimtestaat[[#This Row],[Ruimte code]],"-",Ruimtestaat[[#This Row],[Frequentie weekend]]," ",Ruimtestaat[[#This Row],[Vloer code]]))</f>
        <v/>
      </c>
      <c r="BD339" s="185" t="str">
        <f>_xlfn.IFNA(VLOOKUP($BC339,Programma!$F$3:$G$1101,2,0),"")</f>
        <v/>
      </c>
      <c r="BE339" s="185" t="str">
        <f>_xlfn.IFNA(VLOOKUP($BC339,Programma!$F$3:$H$1101,3,0),"")</f>
        <v/>
      </c>
      <c r="BF339" s="185" t="str">
        <f>_xlfn.IFNA(VLOOKUP($BC339,Programma!$F$3:$I$1101,4,0),"")</f>
        <v/>
      </c>
      <c r="BG339" s="185" t="str">
        <f>_xlfn.IFNA(VLOOKUP($BC339,Programma!$F$3:$J$1101,5,0),"")</f>
        <v/>
      </c>
      <c r="BH339" s="185" t="str">
        <f>_xlfn.IFNA(VLOOKUP($BC339,Programma!$F$3:$K$1101,6,0),"")</f>
        <v/>
      </c>
      <c r="BI339" s="185" t="str">
        <f>_xlfn.IFNA(VLOOKUP($BC339,Programma!$F$3:$L$1101,7,0),"")</f>
        <v/>
      </c>
      <c r="BJ339" s="185" t="str">
        <f>_xlfn.IFNA(VLOOKUP($BC339,Programma!$F$3:$M$1101,8,0),"")</f>
        <v/>
      </c>
      <c r="BK339" s="185" t="str">
        <f>_xlfn.IFNA(VLOOKUP($BC339,Programma!$F$3:$N$1101,9,0),"")</f>
        <v/>
      </c>
      <c r="BL339" s="185" t="str">
        <f>_xlfn.IFNA(VLOOKUP($BC339,Programma!$F$3:$O$1101,10,0),"")</f>
        <v/>
      </c>
      <c r="BM339" s="185" t="str">
        <f>_xlfn.IFNA(VLOOKUP($BC339,Programma!$F$3:$P$1101,11,0),"")</f>
        <v/>
      </c>
      <c r="BN339" s="185" t="str">
        <f>_xlfn.IFNA(VLOOKUP($BC339,Programma!$F$3:$Q$1101,12,0),"")</f>
        <v/>
      </c>
      <c r="BO339" s="185" t="str">
        <f>_xlfn.IFNA(VLOOKUP($BC339,Programma!$F$3:$R$1101,13,0),"")</f>
        <v/>
      </c>
      <c r="BP339" s="185" t="str">
        <f>_xlfn.IFNA(VLOOKUP($BC339,Programma!$F$3:$S$1101,14,0),"")</f>
        <v/>
      </c>
      <c r="BQ339" s="185" t="str">
        <f>_xlfn.IFNA(VLOOKUP($BC339,Programma!$F$3:$T$1101,15,0),"")</f>
        <v/>
      </c>
      <c r="BR339" s="185" t="str">
        <f>_xlfn.IFNA(VLOOKUP($BC339,Programma!$F$3:$U$1101,16,0),"")</f>
        <v/>
      </c>
      <c r="BS339" s="185" t="str">
        <f>_xlfn.IFNA(VLOOKUP($BC339,Programma!$F$3:$V$1101,17,0),"")</f>
        <v/>
      </c>
      <c r="BT339" s="185" t="str">
        <f>_xlfn.IFNA(VLOOKUP($BC339,Programma!$F$3:$W$1101,18,0),"")</f>
        <v/>
      </c>
      <c r="BU339" s="185" t="str">
        <f>_xlfn.IFNA(VLOOKUP($BC339,Programma!$F$3:$X$1101,19,0),"")</f>
        <v/>
      </c>
      <c r="BV339" s="185" t="str">
        <f>_xlfn.IFNA(VLOOKUP($BC339,Programma!$F$3:$Y$1101,20,0),"")</f>
        <v/>
      </c>
    </row>
    <row r="340" spans="1:74" s="78" customFormat="1" ht="15" customHeight="1">
      <c r="A340" s="99">
        <v>10</v>
      </c>
      <c r="B340" s="176" t="str">
        <f>VLOOKUP(Ruimtestaat[[#This Row],[Code]],Locaties[[Code]:[Locatie]],2,FALSE)</f>
        <v>OJBS Het Palet</v>
      </c>
      <c r="C340" s="176" t="str">
        <f>VLOOKUP(Ruimtestaat[[#This Row],[Code]],Locaties[[#All],[Code]:[Adres]],4,FALSE)</f>
        <v>Ger. Terborghstraat 9</v>
      </c>
      <c r="D340" s="176" t="str">
        <f>VLOOKUP(Ruimtestaat[[#This Row],[Code]],Locaties[[#All],[Code]:[Postcode]],5,FALSE)</f>
        <v>7545 BV</v>
      </c>
      <c r="E340" s="176" t="str">
        <f>VLOOKUP(Ruimtestaat[[#This Row],[Code]],Locaties[#All],6,FALSE)</f>
        <v>Enschede</v>
      </c>
      <c r="F340" s="149"/>
      <c r="G340" s="149" t="s">
        <v>1760</v>
      </c>
      <c r="H340" s="99" t="s">
        <v>1762</v>
      </c>
      <c r="I340" s="183" t="s">
        <v>1651</v>
      </c>
      <c r="J340" s="99">
        <v>16</v>
      </c>
      <c r="K340" s="183" t="str">
        <f>VLOOKUP(Ruimtestaat[[#This Row],[Ruimte code]],Ruimtegroepen[[#All],[Code]:[Ruimte omschrijving]],2,FALSE)</f>
        <v>Leslokalen</v>
      </c>
      <c r="L340" s="149" t="s">
        <v>102</v>
      </c>
      <c r="M340" s="301" t="s">
        <v>120</v>
      </c>
      <c r="N340" s="177">
        <v>77</v>
      </c>
      <c r="O340" s="177"/>
      <c r="P340" s="178" t="str">
        <f>VLOOKUP(Ruimtestaat[[#This Row],[Ruimte code]],Ruimtegroepen[],4,FALSE)</f>
        <v>Le</v>
      </c>
      <c r="Q340" s="149">
        <v>40</v>
      </c>
      <c r="R340" s="149" t="s">
        <v>2</v>
      </c>
      <c r="S340" s="149">
        <f>IF(Q340&gt;0,IF(RIGHT(Ruimtestaat[[#This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0" s="149">
        <f>IF(S340&gt;0,VLOOKUP($J340,Ruimtegroepen[],3,FALSE)*VLOOKUP($L340,Vloersoorten[],3,FALSE)*VLOOKUP($R340,Frequenties[],3,FALSE)*VLOOKUP($A340,Locaties[],3,FALSE),0)</f>
        <v>0</v>
      </c>
      <c r="U340" s="149">
        <f>Ruimtestaat[[#This Row],[Uitvoeringen werkdagen]]*Ruimtestaat[[#This Row],[Oppervlak (netto)]]</f>
        <v>15400</v>
      </c>
      <c r="V340" s="179">
        <f>IF(T340&gt;0,Ruimtestaat[[#This Row],[Prest. (m2 /jaar) werkdagen]]/Ruimtestaat[[#This Row],[Norm (m2/uur) werkdagen]],0)</f>
        <v>0</v>
      </c>
      <c r="W340" s="180">
        <f>Ruimtestaat[[#This Row],[uren / jaar werkdagen]]*Tariefsopbouw!$E$35</f>
        <v>0</v>
      </c>
      <c r="X340" s="149"/>
      <c r="Y340" s="149">
        <f>IF(Ruimtestaat[[#This Row],[Frequentie weekend]]&gt;0,VALUE(LEFT(X340,1))*Q340,0)</f>
        <v>0</v>
      </c>
      <c r="Z340" s="148">
        <f>IF($Y340&gt;0,VLOOKUP($J340,Ruimtegroepen[],3,FALSE)*VLOOKUP($L340,Vloersoorten[],3,FALSE)*VLOOKUP($X340,Frequenties[],3,FALSE)*VLOOKUP(Ruimtestaat[[#This Row],[Code]],Locaties[],3,FALSE),0)</f>
        <v>0</v>
      </c>
      <c r="AA340" s="148">
        <f>Ruimtestaat[[#This Row],[Uitvoeringen weekend]]*Ruimtestaat[[#This Row],[Oppervlak (netto)]]</f>
        <v>0</v>
      </c>
      <c r="AB340" s="148">
        <f>IF(Z340&gt;0,Ruimtestaat[[#This Row],[Prest. (m2 /jaar) weekend]]/Ruimtestaat[[#This Row],[Norm (m2/uur) weekend]],0)</f>
        <v>0</v>
      </c>
      <c r="AC340" s="180">
        <f>Ruimtestaat[[#This Row],[uren / jaar weekend]]*Tariefsopbouw!$D$40</f>
        <v>0</v>
      </c>
      <c r="AD340" s="179">
        <f>Ruimtestaat[[#This Row],[Prest. (m2 /jaar) weekend]]+Ruimtestaat[[#This Row],[Prest. (m2 /jaar) werkdagen]]</f>
        <v>15400</v>
      </c>
      <c r="AE340" s="179">
        <f>Ruimtestaat[[#This Row],[uren / jaar weekend]]+Ruimtestaat[[#This Row],[uren / jaar werkdagen]]</f>
        <v>0</v>
      </c>
      <c r="AF340" s="174">
        <f>Ruimtestaat[[#This Row],[kosten / jaar weekend]]+Ruimtestaat[[#This Row],[kosten / jaar werkdagen]]</f>
        <v>0</v>
      </c>
      <c r="AG340" s="174"/>
      <c r="AH340" s="181" t="str">
        <f>IF(Ruimtestaat[[#This Row],[Frequentie werkdagen]]="","",_xlfn.CONCAT(Ruimtestaat[[#This Row],[Ruimte code]],"-",Ruimtestaat[[#This Row],[Frequentie werkdagen]]," ",Ruimtestaat[[#This Row],[Vloer code]]))</f>
        <v>16-5w P</v>
      </c>
      <c r="AI340" s="185" t="str">
        <f>_xlfn.IFNA(VLOOKUP($AH340,Programma!$F$3:$G$1101,2,0),"")</f>
        <v>_</v>
      </c>
      <c r="AJ340" s="185" t="str">
        <f>_xlfn.IFNA(VLOOKUP($AH340,Programma!$F$3:$H$1101,3,0),"")</f>
        <v>_</v>
      </c>
      <c r="AK340" s="185" t="str">
        <f>_xlfn.IFNA(VLOOKUP($AH340,Programma!$F$3:$I$1101,4,0),"")</f>
        <v>4w</v>
      </c>
      <c r="AL340" s="185" t="str">
        <f>_xlfn.IFNA(VLOOKUP($AH340,Programma!$F$3:$J$1101,5,0),"")</f>
        <v>1w</v>
      </c>
      <c r="AM340" s="185" t="str">
        <f>_xlfn.IFNA(VLOOKUP($AH340,Programma!$F$3:$K$1101,6,0),"")</f>
        <v>1m</v>
      </c>
      <c r="AN340" s="185" t="str">
        <f>_xlfn.IFNA(VLOOKUP($AH340,Programma!$F$3:$L$1101,7,0),"")</f>
        <v>_</v>
      </c>
      <c r="AO340" s="185" t="str">
        <f>_xlfn.IFNA(VLOOKUP($AH340,Programma!$F$3:$M$1101,8,0),"")</f>
        <v>_</v>
      </c>
      <c r="AP340" s="185" t="str">
        <f>_xlfn.IFNA(VLOOKUP($AH340,Programma!$F$3:$N$1101,9,0),"")</f>
        <v>_</v>
      </c>
      <c r="AQ340" s="185" t="str">
        <f>_xlfn.IFNA(VLOOKUP($AH340,Programma!$F$3:$O$1101,10,0),"")</f>
        <v>5w</v>
      </c>
      <c r="AR340" s="185" t="str">
        <f>_xlfn.IFNA(VLOOKUP($AH340,Programma!$F$3:$P$1101,11,0),"")</f>
        <v>5w</v>
      </c>
      <c r="AS340" s="185" t="str">
        <f>_xlfn.IFNA(VLOOKUP($AH340,Programma!$F$3:$Q$1101,12,0),"")</f>
        <v>1w</v>
      </c>
      <c r="AT340" s="185" t="str">
        <f>_xlfn.IFNA(VLOOKUP($AH340,Programma!$F$3:$R$1101,13,0),"")</f>
        <v>1w</v>
      </c>
      <c r="AU340" s="185" t="str">
        <f>_xlfn.IFNA(VLOOKUP($AH340,Programma!$F$3:$S$1101,14,0),"")</f>
        <v>1m</v>
      </c>
      <c r="AV340" s="185" t="str">
        <f>_xlfn.IFNA(VLOOKUP($AH340,Programma!$F$3:$T$1101,15,0),"")</f>
        <v>2j</v>
      </c>
      <c r="AW340" s="185" t="str">
        <f>_xlfn.IFNA(VLOOKUP($AH340,Programma!$F$3:$U$1101,16,0),"")</f>
        <v>1j</v>
      </c>
      <c r="AX340" s="185" t="str">
        <f>_xlfn.IFNA(VLOOKUP($AH340,Programma!$F$3:$V$1101,17,0),"")</f>
        <v>_</v>
      </c>
      <c r="AY340" s="185" t="str">
        <f>_xlfn.IFNA(VLOOKUP($AH340,Programma!$F$3:$W$1101,18,0),"")</f>
        <v>_</v>
      </c>
      <c r="AZ340" s="185" t="str">
        <f>_xlfn.IFNA(VLOOKUP($AH340,Programma!$F$3:$X$1101,19,0),"")</f>
        <v>_</v>
      </c>
      <c r="BA340" s="185" t="str">
        <f>_xlfn.IFNA(VLOOKUP($AH340,Programma!$F$3:$Y$1101,20,0),"")</f>
        <v>_</v>
      </c>
      <c r="BB340" s="182"/>
      <c r="BC340" s="181" t="str">
        <f>IF(Ruimtestaat[[#This Row],[Frequentie weekend]]="","",_xlfn.CONCAT(Ruimtestaat[[#This Row],[Ruimte code]],"-",Ruimtestaat[[#This Row],[Frequentie weekend]]," ",Ruimtestaat[[#This Row],[Vloer code]]))</f>
        <v/>
      </c>
      <c r="BD340" s="185" t="str">
        <f>_xlfn.IFNA(VLOOKUP($BC340,Programma!$F$3:$G$1101,2,0),"")</f>
        <v/>
      </c>
      <c r="BE340" s="185" t="str">
        <f>_xlfn.IFNA(VLOOKUP($BC340,Programma!$F$3:$H$1101,3,0),"")</f>
        <v/>
      </c>
      <c r="BF340" s="185" t="str">
        <f>_xlfn.IFNA(VLOOKUP($BC340,Programma!$F$3:$I$1101,4,0),"")</f>
        <v/>
      </c>
      <c r="BG340" s="185" t="str">
        <f>_xlfn.IFNA(VLOOKUP($BC340,Programma!$F$3:$J$1101,5,0),"")</f>
        <v/>
      </c>
      <c r="BH340" s="185" t="str">
        <f>_xlfn.IFNA(VLOOKUP($BC340,Programma!$F$3:$K$1101,6,0),"")</f>
        <v/>
      </c>
      <c r="BI340" s="185" t="str">
        <f>_xlfn.IFNA(VLOOKUP($BC340,Programma!$F$3:$L$1101,7,0),"")</f>
        <v/>
      </c>
      <c r="BJ340" s="185" t="str">
        <f>_xlfn.IFNA(VLOOKUP($BC340,Programma!$F$3:$M$1101,8,0),"")</f>
        <v/>
      </c>
      <c r="BK340" s="185" t="str">
        <f>_xlfn.IFNA(VLOOKUP($BC340,Programma!$F$3:$N$1101,9,0),"")</f>
        <v/>
      </c>
      <c r="BL340" s="185" t="str">
        <f>_xlfn.IFNA(VLOOKUP($BC340,Programma!$F$3:$O$1101,10,0),"")</f>
        <v/>
      </c>
      <c r="BM340" s="185" t="str">
        <f>_xlfn.IFNA(VLOOKUP($BC340,Programma!$F$3:$P$1101,11,0),"")</f>
        <v/>
      </c>
      <c r="BN340" s="185" t="str">
        <f>_xlfn.IFNA(VLOOKUP($BC340,Programma!$F$3:$Q$1101,12,0),"")</f>
        <v/>
      </c>
      <c r="BO340" s="185" t="str">
        <f>_xlfn.IFNA(VLOOKUP($BC340,Programma!$F$3:$R$1101,13,0),"")</f>
        <v/>
      </c>
      <c r="BP340" s="185" t="str">
        <f>_xlfn.IFNA(VLOOKUP($BC340,Programma!$F$3:$S$1101,14,0),"")</f>
        <v/>
      </c>
      <c r="BQ340" s="185" t="str">
        <f>_xlfn.IFNA(VLOOKUP($BC340,Programma!$F$3:$T$1101,15,0),"")</f>
        <v/>
      </c>
      <c r="BR340" s="185" t="str">
        <f>_xlfn.IFNA(VLOOKUP($BC340,Programma!$F$3:$U$1101,16,0),"")</f>
        <v/>
      </c>
      <c r="BS340" s="185" t="str">
        <f>_xlfn.IFNA(VLOOKUP($BC340,Programma!$F$3:$V$1101,17,0),"")</f>
        <v/>
      </c>
      <c r="BT340" s="185" t="str">
        <f>_xlfn.IFNA(VLOOKUP($BC340,Programma!$F$3:$W$1101,18,0),"")</f>
        <v/>
      </c>
      <c r="BU340" s="185" t="str">
        <f>_xlfn.IFNA(VLOOKUP($BC340,Programma!$F$3:$X$1101,19,0),"")</f>
        <v/>
      </c>
      <c r="BV340" s="185" t="str">
        <f>_xlfn.IFNA(VLOOKUP($BC340,Programma!$F$3:$Y$1101,20,0),"")</f>
        <v/>
      </c>
    </row>
    <row r="341" spans="1:74" s="78" customFormat="1" ht="15" customHeight="1">
      <c r="A341" s="99">
        <v>10</v>
      </c>
      <c r="B341" s="176" t="str">
        <f>VLOOKUP(Ruimtestaat[[#This Row],[Code]],Locaties[[Code]:[Locatie]],2,FALSE)</f>
        <v>OJBS Het Palet</v>
      </c>
      <c r="C341" s="176" t="str">
        <f>VLOOKUP(Ruimtestaat[[#This Row],[Code]],Locaties[[#All],[Code]:[Adres]],4,FALSE)</f>
        <v>Ger. Terborghstraat 9</v>
      </c>
      <c r="D341" s="176" t="str">
        <f>VLOOKUP(Ruimtestaat[[#This Row],[Code]],Locaties[[#All],[Code]:[Postcode]],5,FALSE)</f>
        <v>7545 BV</v>
      </c>
      <c r="E341" s="176" t="str">
        <f>VLOOKUP(Ruimtestaat[[#This Row],[Code]],Locaties[#All],6,FALSE)</f>
        <v>Enschede</v>
      </c>
      <c r="F341" s="149"/>
      <c r="G341" s="149" t="s">
        <v>1760</v>
      </c>
      <c r="H341" s="99" t="s">
        <v>1763</v>
      </c>
      <c r="I341" s="183" t="s">
        <v>1655</v>
      </c>
      <c r="J341" s="99">
        <v>5</v>
      </c>
      <c r="K341" s="183" t="str">
        <f>VLOOKUP(Ruimtestaat[[#This Row],[Ruimte code]],Ruimtegroepen[[#All],[Code]:[Ruimte omschrijving]],2,FALSE)</f>
        <v>Sanitair</v>
      </c>
      <c r="L341" s="149" t="s">
        <v>101</v>
      </c>
      <c r="M341" s="301" t="s">
        <v>1682</v>
      </c>
      <c r="N341" s="177">
        <v>7.3</v>
      </c>
      <c r="O341" s="177"/>
      <c r="P341" s="178" t="str">
        <f>VLOOKUP(Ruimtestaat[[#This Row],[Ruimte code]],Ruimtegroepen[],4,FALSE)</f>
        <v>Sa</v>
      </c>
      <c r="Q341" s="149">
        <v>40</v>
      </c>
      <c r="R341" s="149" t="s">
        <v>2</v>
      </c>
      <c r="S341" s="149">
        <f>IF(Q341&gt;0,IF(RIGHT(Ruimtestaat[[#This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1" s="149">
        <f>IF(S341&gt;0,VLOOKUP($J341,Ruimtegroepen[],3,FALSE)*VLOOKUP($L341,Vloersoorten[],3,FALSE)*VLOOKUP($R341,Frequenties[],3,FALSE)*VLOOKUP($A341,Locaties[],3,FALSE),0)</f>
        <v>0</v>
      </c>
      <c r="U341" s="149">
        <f>Ruimtestaat[[#This Row],[Uitvoeringen werkdagen]]*Ruimtestaat[[#This Row],[Oppervlak (netto)]]</f>
        <v>1460</v>
      </c>
      <c r="V341" s="179">
        <f>IF(T341&gt;0,Ruimtestaat[[#This Row],[Prest. (m2 /jaar) werkdagen]]/Ruimtestaat[[#This Row],[Norm (m2/uur) werkdagen]],0)</f>
        <v>0</v>
      </c>
      <c r="W341" s="180">
        <f>Ruimtestaat[[#This Row],[uren / jaar werkdagen]]*Tariefsopbouw!$E$35</f>
        <v>0</v>
      </c>
      <c r="X341" s="149"/>
      <c r="Y341" s="149">
        <f>IF(Ruimtestaat[[#This Row],[Frequentie weekend]]&gt;0,VALUE(LEFT(X341,1))*Q341,0)</f>
        <v>0</v>
      </c>
      <c r="Z341" s="148">
        <f>IF($Y341&gt;0,VLOOKUP($J341,Ruimtegroepen[],3,FALSE)*VLOOKUP($L341,Vloersoorten[],3,FALSE)*VLOOKUP($X341,Frequenties[],3,FALSE)*VLOOKUP(Ruimtestaat[[#This Row],[Code]],Locaties[],3,FALSE),0)</f>
        <v>0</v>
      </c>
      <c r="AA341" s="148">
        <f>Ruimtestaat[[#This Row],[Uitvoeringen weekend]]*Ruimtestaat[[#This Row],[Oppervlak (netto)]]</f>
        <v>0</v>
      </c>
      <c r="AB341" s="148">
        <f>IF(Z341&gt;0,Ruimtestaat[[#This Row],[Prest. (m2 /jaar) weekend]]/Ruimtestaat[[#This Row],[Norm (m2/uur) weekend]],0)</f>
        <v>0</v>
      </c>
      <c r="AC341" s="180">
        <f>Ruimtestaat[[#This Row],[uren / jaar weekend]]*Tariefsopbouw!$D$40</f>
        <v>0</v>
      </c>
      <c r="AD341" s="179">
        <f>Ruimtestaat[[#This Row],[Prest. (m2 /jaar) weekend]]+Ruimtestaat[[#This Row],[Prest. (m2 /jaar) werkdagen]]</f>
        <v>1460</v>
      </c>
      <c r="AE341" s="179">
        <f>Ruimtestaat[[#This Row],[uren / jaar weekend]]+Ruimtestaat[[#This Row],[uren / jaar werkdagen]]</f>
        <v>0</v>
      </c>
      <c r="AF341" s="174">
        <f>Ruimtestaat[[#This Row],[kosten / jaar weekend]]+Ruimtestaat[[#This Row],[kosten / jaar werkdagen]]</f>
        <v>0</v>
      </c>
      <c r="AG341" s="174"/>
      <c r="AH341" s="181" t="str">
        <f>IF(Ruimtestaat[[#This Row],[Frequentie werkdagen]]="","",_xlfn.CONCAT(Ruimtestaat[[#This Row],[Ruimte code]],"-",Ruimtestaat[[#This Row],[Frequentie werkdagen]]," ",Ruimtestaat[[#This Row],[Vloer code]]))</f>
        <v>5-5w S</v>
      </c>
      <c r="AI341" s="185" t="str">
        <f>_xlfn.IFNA(VLOOKUP($AH341,Programma!$F$3:$G$1101,2,0),"")</f>
        <v>_</v>
      </c>
      <c r="AJ341" s="185" t="str">
        <f>_xlfn.IFNA(VLOOKUP($AH341,Programma!$F$3:$H$1101,3,0),"")</f>
        <v>_</v>
      </c>
      <c r="AK341" s="185" t="str">
        <f>_xlfn.IFNA(VLOOKUP($AH341,Programma!$F$3:$I$1101,4,0),"")</f>
        <v>_</v>
      </c>
      <c r="AL341" s="185" t="str">
        <f>_xlfn.IFNA(VLOOKUP($AH341,Programma!$F$3:$J$1101,5,0),"")</f>
        <v>4w</v>
      </c>
      <c r="AM341" s="185" t="str">
        <f>_xlfn.IFNA(VLOOKUP($AH341,Programma!$F$3:$K$1101,6,0),"")</f>
        <v>1w</v>
      </c>
      <c r="AN341" s="185" t="str">
        <f>_xlfn.IFNA(VLOOKUP($AH341,Programma!$F$3:$L$1101,7,0),"")</f>
        <v>_</v>
      </c>
      <c r="AO341" s="185" t="str">
        <f>_xlfn.IFNA(VLOOKUP($AH341,Programma!$F$3:$M$1101,8,0),"")</f>
        <v>_</v>
      </c>
      <c r="AP341" s="185" t="str">
        <f>_xlfn.IFNA(VLOOKUP($AH341,Programma!$F$3:$N$1101,9,0),"")</f>
        <v>_</v>
      </c>
      <c r="AQ341" s="185" t="str">
        <f>_xlfn.IFNA(VLOOKUP($AH341,Programma!$F$3:$O$1101,10,0),"")</f>
        <v>_</v>
      </c>
      <c r="AR341" s="185" t="str">
        <f>_xlfn.IFNA(VLOOKUP($AH341,Programma!$F$3:$P$1101,11,0),"")</f>
        <v>_</v>
      </c>
      <c r="AS341" s="185" t="str">
        <f>_xlfn.IFNA(VLOOKUP($AH341,Programma!$F$3:$Q$1101,12,0),"")</f>
        <v>_</v>
      </c>
      <c r="AT341" s="185" t="str">
        <f>_xlfn.IFNA(VLOOKUP($AH341,Programma!$F$3:$R$1101,13,0),"")</f>
        <v>_</v>
      </c>
      <c r="AU341" s="185" t="str">
        <f>_xlfn.IFNA(VLOOKUP($AH341,Programma!$F$3:$S$1101,14,0),"")</f>
        <v>_</v>
      </c>
      <c r="AV341" s="185" t="str">
        <f>_xlfn.IFNA(VLOOKUP($AH341,Programma!$F$3:$T$1101,15,0),"")</f>
        <v>_</v>
      </c>
      <c r="AW341" s="185" t="str">
        <f>_xlfn.IFNA(VLOOKUP($AH341,Programma!$F$3:$U$1101,16,0),"")</f>
        <v>_</v>
      </c>
      <c r="AX341" s="185" t="str">
        <f>_xlfn.IFNA(VLOOKUP($AH341,Programma!$F$3:$V$1101,17,0),"")</f>
        <v>_</v>
      </c>
      <c r="AY341" s="185" t="str">
        <f>_xlfn.IFNA(VLOOKUP($AH341,Programma!$F$3:$W$1101,18,0),"")</f>
        <v>4w</v>
      </c>
      <c r="AZ341" s="185" t="str">
        <f>_xlfn.IFNA(VLOOKUP($AH341,Programma!$F$3:$X$1101,19,0),"")</f>
        <v>1w</v>
      </c>
      <c r="BA341" s="185" t="str">
        <f>_xlfn.IFNA(VLOOKUP($AH341,Programma!$F$3:$Y$1101,20,0),"")</f>
        <v>_</v>
      </c>
      <c r="BB341" s="182"/>
      <c r="BC341" s="181" t="str">
        <f>IF(Ruimtestaat[[#This Row],[Frequentie weekend]]="","",_xlfn.CONCAT(Ruimtestaat[[#This Row],[Ruimte code]],"-",Ruimtestaat[[#This Row],[Frequentie weekend]]," ",Ruimtestaat[[#This Row],[Vloer code]]))</f>
        <v/>
      </c>
      <c r="BD341" s="185" t="str">
        <f>_xlfn.IFNA(VLOOKUP($BC341,Programma!$F$3:$G$1101,2,0),"")</f>
        <v/>
      </c>
      <c r="BE341" s="185" t="str">
        <f>_xlfn.IFNA(VLOOKUP($BC341,Programma!$F$3:$H$1101,3,0),"")</f>
        <v/>
      </c>
      <c r="BF341" s="185" t="str">
        <f>_xlfn.IFNA(VLOOKUP($BC341,Programma!$F$3:$I$1101,4,0),"")</f>
        <v/>
      </c>
      <c r="BG341" s="185" t="str">
        <f>_xlfn.IFNA(VLOOKUP($BC341,Programma!$F$3:$J$1101,5,0),"")</f>
        <v/>
      </c>
      <c r="BH341" s="185" t="str">
        <f>_xlfn.IFNA(VLOOKUP($BC341,Programma!$F$3:$K$1101,6,0),"")</f>
        <v/>
      </c>
      <c r="BI341" s="185" t="str">
        <f>_xlfn.IFNA(VLOOKUP($BC341,Programma!$F$3:$L$1101,7,0),"")</f>
        <v/>
      </c>
      <c r="BJ341" s="185" t="str">
        <f>_xlfn.IFNA(VLOOKUP($BC341,Programma!$F$3:$M$1101,8,0),"")</f>
        <v/>
      </c>
      <c r="BK341" s="185" t="str">
        <f>_xlfn.IFNA(VLOOKUP($BC341,Programma!$F$3:$N$1101,9,0),"")</f>
        <v/>
      </c>
      <c r="BL341" s="185" t="str">
        <f>_xlfn.IFNA(VLOOKUP($BC341,Programma!$F$3:$O$1101,10,0),"")</f>
        <v/>
      </c>
      <c r="BM341" s="185" t="str">
        <f>_xlfn.IFNA(VLOOKUP($BC341,Programma!$F$3:$P$1101,11,0),"")</f>
        <v/>
      </c>
      <c r="BN341" s="185" t="str">
        <f>_xlfn.IFNA(VLOOKUP($BC341,Programma!$F$3:$Q$1101,12,0),"")</f>
        <v/>
      </c>
      <c r="BO341" s="185" t="str">
        <f>_xlfn.IFNA(VLOOKUP($BC341,Programma!$F$3:$R$1101,13,0),"")</f>
        <v/>
      </c>
      <c r="BP341" s="185" t="str">
        <f>_xlfn.IFNA(VLOOKUP($BC341,Programma!$F$3:$S$1101,14,0),"")</f>
        <v/>
      </c>
      <c r="BQ341" s="185" t="str">
        <f>_xlfn.IFNA(VLOOKUP($BC341,Programma!$F$3:$T$1101,15,0),"")</f>
        <v/>
      </c>
      <c r="BR341" s="185" t="str">
        <f>_xlfn.IFNA(VLOOKUP($BC341,Programma!$F$3:$U$1101,16,0),"")</f>
        <v/>
      </c>
      <c r="BS341" s="185" t="str">
        <f>_xlfn.IFNA(VLOOKUP($BC341,Programma!$F$3:$V$1101,17,0),"")</f>
        <v/>
      </c>
      <c r="BT341" s="185" t="str">
        <f>_xlfn.IFNA(VLOOKUP($BC341,Programma!$F$3:$W$1101,18,0),"")</f>
        <v/>
      </c>
      <c r="BU341" s="185" t="str">
        <f>_xlfn.IFNA(VLOOKUP($BC341,Programma!$F$3:$X$1101,19,0),"")</f>
        <v/>
      </c>
      <c r="BV341" s="185" t="str">
        <f>_xlfn.IFNA(VLOOKUP($BC341,Programma!$F$3:$Y$1101,20,0),"")</f>
        <v/>
      </c>
    </row>
    <row r="342" spans="1:74" s="78" customFormat="1" ht="15" customHeight="1">
      <c r="A342" s="99">
        <v>10</v>
      </c>
      <c r="B342" s="176" t="str">
        <f>VLOOKUP(Ruimtestaat[[#This Row],[Code]],Locaties[[Code]:[Locatie]],2,FALSE)</f>
        <v>OJBS Het Palet</v>
      </c>
      <c r="C342" s="176" t="str">
        <f>VLOOKUP(Ruimtestaat[[#This Row],[Code]],Locaties[[#All],[Code]:[Adres]],4,FALSE)</f>
        <v>Ger. Terborghstraat 9</v>
      </c>
      <c r="D342" s="176" t="str">
        <f>VLOOKUP(Ruimtestaat[[#This Row],[Code]],Locaties[[#All],[Code]:[Postcode]],5,FALSE)</f>
        <v>7545 BV</v>
      </c>
      <c r="E342" s="176" t="str">
        <f>VLOOKUP(Ruimtestaat[[#This Row],[Code]],Locaties[#All],6,FALSE)</f>
        <v>Enschede</v>
      </c>
      <c r="F342" s="183"/>
      <c r="G342" s="99" t="s">
        <v>1760</v>
      </c>
      <c r="H342" s="99" t="s">
        <v>1764</v>
      </c>
      <c r="I342" s="183" t="s">
        <v>1658</v>
      </c>
      <c r="J342" s="99">
        <v>6</v>
      </c>
      <c r="K342" s="183" t="str">
        <f>VLOOKUP(Ruimtestaat[[#This Row],[Ruimte code]],Ruimtegroepen[[#All],[Code]:[Ruimte omschrijving]],2,FALSE)</f>
        <v>Gangen/hallen</v>
      </c>
      <c r="L342" s="149" t="s">
        <v>101</v>
      </c>
      <c r="M342" s="301" t="s">
        <v>1682</v>
      </c>
      <c r="N342" s="177">
        <v>30.1</v>
      </c>
      <c r="O342" s="177"/>
      <c r="P342" s="178" t="str">
        <f>VLOOKUP(Ruimtestaat[[#This Row],[Ruimte code]],Ruimtegroepen[],4,FALSE)</f>
        <v>Ve</v>
      </c>
      <c r="Q342" s="149">
        <v>40</v>
      </c>
      <c r="R342" s="149" t="s">
        <v>2</v>
      </c>
      <c r="S342" s="149">
        <f>IF(Q342&gt;0,IF(RIGHT(Ruimtestaat[[#This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2" s="149">
        <f>IF(S342&gt;0,VLOOKUP($J342,Ruimtegroepen[],3,FALSE)*VLOOKUP($L342,Vloersoorten[],3,FALSE)*VLOOKUP($R342,Frequenties[],3,FALSE)*VLOOKUP($A342,Locaties[],3,FALSE),0)</f>
        <v>0</v>
      </c>
      <c r="U342" s="149">
        <f>Ruimtestaat[[#This Row],[Uitvoeringen werkdagen]]*Ruimtestaat[[#This Row],[Oppervlak (netto)]]</f>
        <v>6020</v>
      </c>
      <c r="V342" s="179">
        <f>IF(T342&gt;0,Ruimtestaat[[#This Row],[Prest. (m2 /jaar) werkdagen]]/Ruimtestaat[[#This Row],[Norm (m2/uur) werkdagen]],0)</f>
        <v>0</v>
      </c>
      <c r="W342" s="180">
        <f>Ruimtestaat[[#This Row],[uren / jaar werkdagen]]*Tariefsopbouw!$E$35</f>
        <v>0</v>
      </c>
      <c r="X342" s="149"/>
      <c r="Y342" s="149">
        <f>IF(Ruimtestaat[[#This Row],[Frequentie weekend]]&gt;0,VALUE(LEFT(X342,1))*Q342,0)</f>
        <v>0</v>
      </c>
      <c r="Z342" s="148">
        <f>IF($Y342&gt;0,VLOOKUP($J342,Ruimtegroepen[],3,FALSE)*VLOOKUP($L342,Vloersoorten[],3,FALSE)*VLOOKUP($X342,Frequenties[],3,FALSE)*VLOOKUP(Ruimtestaat[[#This Row],[Code]],Locaties[],3,FALSE),0)</f>
        <v>0</v>
      </c>
      <c r="AA342" s="148">
        <f>Ruimtestaat[[#This Row],[Uitvoeringen weekend]]*Ruimtestaat[[#This Row],[Oppervlak (netto)]]</f>
        <v>0</v>
      </c>
      <c r="AB342" s="148">
        <f>IF(Z342&gt;0,Ruimtestaat[[#This Row],[Prest. (m2 /jaar) weekend]]/Ruimtestaat[[#This Row],[Norm (m2/uur) weekend]],0)</f>
        <v>0</v>
      </c>
      <c r="AC342" s="180">
        <f>Ruimtestaat[[#This Row],[uren / jaar weekend]]*Tariefsopbouw!$D$40</f>
        <v>0</v>
      </c>
      <c r="AD342" s="179">
        <f>Ruimtestaat[[#This Row],[Prest. (m2 /jaar) weekend]]+Ruimtestaat[[#This Row],[Prest. (m2 /jaar) werkdagen]]</f>
        <v>6020</v>
      </c>
      <c r="AE342" s="179">
        <f>Ruimtestaat[[#This Row],[uren / jaar weekend]]+Ruimtestaat[[#This Row],[uren / jaar werkdagen]]</f>
        <v>0</v>
      </c>
      <c r="AF342" s="174">
        <f>Ruimtestaat[[#This Row],[kosten / jaar weekend]]+Ruimtestaat[[#This Row],[kosten / jaar werkdagen]]</f>
        <v>0</v>
      </c>
      <c r="AG342" s="174"/>
      <c r="AH342" s="181" t="str">
        <f>IF(Ruimtestaat[[#This Row],[Frequentie werkdagen]]="","",_xlfn.CONCAT(Ruimtestaat[[#This Row],[Ruimte code]],"-",Ruimtestaat[[#This Row],[Frequentie werkdagen]]," ",Ruimtestaat[[#This Row],[Vloer code]]))</f>
        <v>6-5w S</v>
      </c>
      <c r="AI342" s="185" t="str">
        <f>_xlfn.IFNA(VLOOKUP($AH342,Programma!$F$3:$G$1101,2,0),"")</f>
        <v>_</v>
      </c>
      <c r="AJ342" s="185" t="str">
        <f>_xlfn.IFNA(VLOOKUP($AH342,Programma!$F$3:$H$1101,3,0),"")</f>
        <v>_</v>
      </c>
      <c r="AK342" s="185" t="str">
        <f>_xlfn.IFNA(VLOOKUP($AH342,Programma!$F$3:$I$1101,4,0),"")</f>
        <v>5w</v>
      </c>
      <c r="AL342" s="185" t="str">
        <f>_xlfn.IFNA(VLOOKUP($AH342,Programma!$F$3:$J$1101,5,0),"")</f>
        <v>_</v>
      </c>
      <c r="AM342" s="185" t="str">
        <f>_xlfn.IFNA(VLOOKUP($AH342,Programma!$F$3:$K$1101,6,0),"")</f>
        <v>5w</v>
      </c>
      <c r="AN342" s="185" t="str">
        <f>_xlfn.IFNA(VLOOKUP($AH342,Programma!$F$3:$L$1101,7,0),"")</f>
        <v>_</v>
      </c>
      <c r="AO342" s="185" t="str">
        <f>_xlfn.IFNA(VLOOKUP($AH342,Programma!$F$3:$M$1101,8,0),"")</f>
        <v>_</v>
      </c>
      <c r="AP342" s="185" t="str">
        <f>_xlfn.IFNA(VLOOKUP($AH342,Programma!$F$3:$N$1101,9,0),"")</f>
        <v>_</v>
      </c>
      <c r="AQ342" s="185" t="str">
        <f>_xlfn.IFNA(VLOOKUP($AH342,Programma!$F$3:$O$1101,10,0),"")</f>
        <v>5w</v>
      </c>
      <c r="AR342" s="185" t="str">
        <f>_xlfn.IFNA(VLOOKUP($AH342,Programma!$F$3:$P$1101,11,0),"")</f>
        <v>5w</v>
      </c>
      <c r="AS342" s="185" t="str">
        <f>_xlfn.IFNA(VLOOKUP($AH342,Programma!$F$3:$Q$1101,12,0),"")</f>
        <v>1w</v>
      </c>
      <c r="AT342" s="185" t="str">
        <f>_xlfn.IFNA(VLOOKUP($AH342,Programma!$F$3:$R$1101,13,0),"")</f>
        <v>1w</v>
      </c>
      <c r="AU342" s="185" t="str">
        <f>_xlfn.IFNA(VLOOKUP($AH342,Programma!$F$3:$S$1101,14,0),"")</f>
        <v>1m</v>
      </c>
      <c r="AV342" s="185" t="str">
        <f>_xlfn.IFNA(VLOOKUP($AH342,Programma!$F$3:$T$1101,15,0),"")</f>
        <v>2j</v>
      </c>
      <c r="AW342" s="185" t="str">
        <f>_xlfn.IFNA(VLOOKUP($AH342,Programma!$F$3:$U$1101,16,0),"")</f>
        <v>1j</v>
      </c>
      <c r="AX342" s="185" t="str">
        <f>_xlfn.IFNA(VLOOKUP($AH342,Programma!$F$3:$V$1101,17,0),"")</f>
        <v>_</v>
      </c>
      <c r="AY342" s="185" t="str">
        <f>_xlfn.IFNA(VLOOKUP($AH342,Programma!$F$3:$W$1101,18,0),"")</f>
        <v>_</v>
      </c>
      <c r="AZ342" s="185" t="str">
        <f>_xlfn.IFNA(VLOOKUP($AH342,Programma!$F$3:$X$1101,19,0),"")</f>
        <v>_</v>
      </c>
      <c r="BA342" s="185" t="str">
        <f>_xlfn.IFNA(VLOOKUP($AH342,Programma!$F$3:$Y$1101,20,0),"")</f>
        <v>_</v>
      </c>
      <c r="BB342" s="182"/>
      <c r="BC342" s="181" t="str">
        <f>IF(Ruimtestaat[[#This Row],[Frequentie weekend]]="","",_xlfn.CONCAT(Ruimtestaat[[#This Row],[Ruimte code]],"-",Ruimtestaat[[#This Row],[Frequentie weekend]]," ",Ruimtestaat[[#This Row],[Vloer code]]))</f>
        <v/>
      </c>
      <c r="BD342" s="185" t="str">
        <f>_xlfn.IFNA(VLOOKUP($BC342,Programma!$F$3:$G$1101,2,0),"")</f>
        <v/>
      </c>
      <c r="BE342" s="185" t="str">
        <f>_xlfn.IFNA(VLOOKUP($BC342,Programma!$F$3:$H$1101,3,0),"")</f>
        <v/>
      </c>
      <c r="BF342" s="185" t="str">
        <f>_xlfn.IFNA(VLOOKUP($BC342,Programma!$F$3:$I$1101,4,0),"")</f>
        <v/>
      </c>
      <c r="BG342" s="185" t="str">
        <f>_xlfn.IFNA(VLOOKUP($BC342,Programma!$F$3:$J$1101,5,0),"")</f>
        <v/>
      </c>
      <c r="BH342" s="185" t="str">
        <f>_xlfn.IFNA(VLOOKUP($BC342,Programma!$F$3:$K$1101,6,0),"")</f>
        <v/>
      </c>
      <c r="BI342" s="185" t="str">
        <f>_xlfn.IFNA(VLOOKUP($BC342,Programma!$F$3:$L$1101,7,0),"")</f>
        <v/>
      </c>
      <c r="BJ342" s="185" t="str">
        <f>_xlfn.IFNA(VLOOKUP($BC342,Programma!$F$3:$M$1101,8,0),"")</f>
        <v/>
      </c>
      <c r="BK342" s="185" t="str">
        <f>_xlfn.IFNA(VLOOKUP($BC342,Programma!$F$3:$N$1101,9,0),"")</f>
        <v/>
      </c>
      <c r="BL342" s="185" t="str">
        <f>_xlfn.IFNA(VLOOKUP($BC342,Programma!$F$3:$O$1101,10,0),"")</f>
        <v/>
      </c>
      <c r="BM342" s="185" t="str">
        <f>_xlfn.IFNA(VLOOKUP($BC342,Programma!$F$3:$P$1101,11,0),"")</f>
        <v/>
      </c>
      <c r="BN342" s="185" t="str">
        <f>_xlfn.IFNA(VLOOKUP($BC342,Programma!$F$3:$Q$1101,12,0),"")</f>
        <v/>
      </c>
      <c r="BO342" s="185" t="str">
        <f>_xlfn.IFNA(VLOOKUP($BC342,Programma!$F$3:$R$1101,13,0),"")</f>
        <v/>
      </c>
      <c r="BP342" s="185" t="str">
        <f>_xlfn.IFNA(VLOOKUP($BC342,Programma!$F$3:$S$1101,14,0),"")</f>
        <v/>
      </c>
      <c r="BQ342" s="185" t="str">
        <f>_xlfn.IFNA(VLOOKUP($BC342,Programma!$F$3:$T$1101,15,0),"")</f>
        <v/>
      </c>
      <c r="BR342" s="185" t="str">
        <f>_xlfn.IFNA(VLOOKUP($BC342,Programma!$F$3:$U$1101,16,0),"")</f>
        <v/>
      </c>
      <c r="BS342" s="185" t="str">
        <f>_xlfn.IFNA(VLOOKUP($BC342,Programma!$F$3:$V$1101,17,0),"")</f>
        <v/>
      </c>
      <c r="BT342" s="185" t="str">
        <f>_xlfn.IFNA(VLOOKUP($BC342,Programma!$F$3:$W$1101,18,0),"")</f>
        <v/>
      </c>
      <c r="BU342" s="185" t="str">
        <f>_xlfn.IFNA(VLOOKUP($BC342,Programma!$F$3:$X$1101,19,0),"")</f>
        <v/>
      </c>
      <c r="BV342" s="185" t="str">
        <f>_xlfn.IFNA(VLOOKUP($BC342,Programma!$F$3:$Y$1101,20,0),"")</f>
        <v/>
      </c>
    </row>
    <row r="343" spans="1:74" s="78" customFormat="1" ht="15" customHeight="1">
      <c r="A343" s="99">
        <v>11</v>
      </c>
      <c r="B343" s="176" t="str">
        <f>VLOOKUP(Ruimtestaat[[#This Row],[Code]],Locaties[[Code]:[Locatie]],2,FALSE)</f>
        <v>OMBS De Wielerbaan</v>
      </c>
      <c r="C343" s="176" t="str">
        <f>VLOOKUP(Ruimtestaat[[#This Row],[Code]],Locaties[[#All],[Code]:[Adres]],4,FALSE)</f>
        <v>Batshoek 5</v>
      </c>
      <c r="D343" s="176" t="str">
        <f>VLOOKUP(Ruimtestaat[[#This Row],[Code]],Locaties[[#All],[Code]:[Postcode]],5,FALSE)</f>
        <v>7546 LC</v>
      </c>
      <c r="E343" s="176" t="str">
        <f>VLOOKUP(Ruimtestaat[[#This Row],[Code]],Locaties[#All],6,FALSE)</f>
        <v>Enschede</v>
      </c>
      <c r="F343" s="183"/>
      <c r="G343" s="99" t="s">
        <v>1646</v>
      </c>
      <c r="H343" s="99" t="s">
        <v>1647</v>
      </c>
      <c r="I343" s="183" t="s">
        <v>38</v>
      </c>
      <c r="J343" s="99">
        <v>7</v>
      </c>
      <c r="K343" s="183" t="str">
        <f>VLOOKUP(Ruimtestaat[[#This Row],[Ruimte code]],Ruimtegroepen[[#All],[Code]:[Ruimte omschrijving]],2,FALSE)</f>
        <v>Entree</v>
      </c>
      <c r="L343" s="149" t="s">
        <v>99</v>
      </c>
      <c r="M343" s="301" t="s">
        <v>36</v>
      </c>
      <c r="N343" s="177">
        <v>15.1</v>
      </c>
      <c r="O343" s="177"/>
      <c r="P343" s="178" t="str">
        <f>VLOOKUP(Ruimtestaat[[#This Row],[Ruimte code]],Ruimtegroepen[],4,FALSE)</f>
        <v>Ve</v>
      </c>
      <c r="Q343" s="149">
        <v>40</v>
      </c>
      <c r="R343" s="149" t="s">
        <v>2</v>
      </c>
      <c r="S343" s="149">
        <f>IF(Q343&gt;0,IF(RIGHT(Ruimtestaat[[#This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3" s="149">
        <f>IF(S343&gt;0,VLOOKUP($J343,Ruimtegroepen[],3,FALSE)*VLOOKUP($L343,Vloersoorten[],3,FALSE)*VLOOKUP($R343,Frequenties[],3,FALSE)*VLOOKUP($A343,Locaties[],3,FALSE),0)</f>
        <v>0</v>
      </c>
      <c r="U343" s="149">
        <f>Ruimtestaat[[#This Row],[Uitvoeringen werkdagen]]*Ruimtestaat[[#This Row],[Oppervlak (netto)]]</f>
        <v>3020</v>
      </c>
      <c r="V343" s="179">
        <f>IF(T343&gt;0,Ruimtestaat[[#This Row],[Prest. (m2 /jaar) werkdagen]]/Ruimtestaat[[#This Row],[Norm (m2/uur) werkdagen]],0)</f>
        <v>0</v>
      </c>
      <c r="W343" s="180">
        <f>Ruimtestaat[[#This Row],[uren / jaar werkdagen]]*Tariefsopbouw!$E$35</f>
        <v>0</v>
      </c>
      <c r="X343" s="149"/>
      <c r="Y343" s="149">
        <f>IF(Ruimtestaat[[#This Row],[Frequentie weekend]]&gt;0,VALUE(LEFT(X343,1))*Q343,0)</f>
        <v>0</v>
      </c>
      <c r="Z343" s="148">
        <f>IF($Y343&gt;0,VLOOKUP($J343,Ruimtegroepen[],3,FALSE)*VLOOKUP($L343,Vloersoorten[],3,FALSE)*VLOOKUP($X343,Frequenties[],3,FALSE)*VLOOKUP(Ruimtestaat[[#This Row],[Code]],Locaties[],3,FALSE),0)</f>
        <v>0</v>
      </c>
      <c r="AA343" s="148">
        <f>Ruimtestaat[[#This Row],[Uitvoeringen weekend]]*Ruimtestaat[[#This Row],[Oppervlak (netto)]]</f>
        <v>0</v>
      </c>
      <c r="AB343" s="148">
        <f>IF(Z343&gt;0,Ruimtestaat[[#This Row],[Prest. (m2 /jaar) weekend]]/Ruimtestaat[[#This Row],[Norm (m2/uur) weekend]],0)</f>
        <v>0</v>
      </c>
      <c r="AC343" s="180">
        <f>Ruimtestaat[[#This Row],[uren / jaar weekend]]*Tariefsopbouw!$D$40</f>
        <v>0</v>
      </c>
      <c r="AD343" s="179">
        <f>Ruimtestaat[[#This Row],[Prest. (m2 /jaar) weekend]]+Ruimtestaat[[#This Row],[Prest. (m2 /jaar) werkdagen]]</f>
        <v>3020</v>
      </c>
      <c r="AE343" s="179">
        <f>Ruimtestaat[[#This Row],[uren / jaar weekend]]+Ruimtestaat[[#This Row],[uren / jaar werkdagen]]</f>
        <v>0</v>
      </c>
      <c r="AF343" s="174">
        <f>Ruimtestaat[[#This Row],[kosten / jaar weekend]]+Ruimtestaat[[#This Row],[kosten / jaar werkdagen]]</f>
        <v>0</v>
      </c>
      <c r="AG343" s="174"/>
      <c r="AH343" s="181" t="str">
        <f>IF(Ruimtestaat[[#This Row],[Frequentie werkdagen]]="","",_xlfn.CONCAT(Ruimtestaat[[#This Row],[Ruimte code]],"-",Ruimtestaat[[#This Row],[Frequentie werkdagen]]," ",Ruimtestaat[[#This Row],[Vloer code]]))</f>
        <v>7-5w T</v>
      </c>
      <c r="AI343" s="185" t="str">
        <f>_xlfn.IFNA(VLOOKUP($AH343,Programma!$F$3:$G$1101,2,0),"")</f>
        <v>_</v>
      </c>
      <c r="AJ343" s="185" t="str">
        <f>_xlfn.IFNA(VLOOKUP($AH343,Programma!$F$3:$H$1101,3,0),"")</f>
        <v>5w</v>
      </c>
      <c r="AK343" s="185" t="str">
        <f>_xlfn.IFNA(VLOOKUP($AH343,Programma!$F$3:$I$1101,4,0),"")</f>
        <v>_</v>
      </c>
      <c r="AL343" s="185" t="str">
        <f>_xlfn.IFNA(VLOOKUP($AH343,Programma!$F$3:$J$1101,5,0),"")</f>
        <v>_</v>
      </c>
      <c r="AM343" s="185" t="str">
        <f>_xlfn.IFNA(VLOOKUP($AH343,Programma!$F$3:$K$1101,6,0),"")</f>
        <v>_</v>
      </c>
      <c r="AN343" s="185" t="str">
        <f>_xlfn.IFNA(VLOOKUP($AH343,Programma!$F$3:$L$1101,7,0),"")</f>
        <v>_</v>
      </c>
      <c r="AO343" s="185" t="str">
        <f>_xlfn.IFNA(VLOOKUP($AH343,Programma!$F$3:$M$1101,8,0),"")</f>
        <v>_</v>
      </c>
      <c r="AP343" s="185" t="str">
        <f>_xlfn.IFNA(VLOOKUP($AH343,Programma!$F$3:$N$1101,9,0),"")</f>
        <v>_</v>
      </c>
      <c r="AQ343" s="185" t="str">
        <f>_xlfn.IFNA(VLOOKUP($AH343,Programma!$F$3:$O$1101,10,0),"")</f>
        <v>5w</v>
      </c>
      <c r="AR343" s="185" t="str">
        <f>_xlfn.IFNA(VLOOKUP($AH343,Programma!$F$3:$P$1101,11,0),"")</f>
        <v>5w</v>
      </c>
      <c r="AS343" s="185" t="str">
        <f>_xlfn.IFNA(VLOOKUP($AH343,Programma!$F$3:$Q$1101,12,0),"")</f>
        <v>1w</v>
      </c>
      <c r="AT343" s="185" t="str">
        <f>_xlfn.IFNA(VLOOKUP($AH343,Programma!$F$3:$R$1101,13,0),"")</f>
        <v>1w</v>
      </c>
      <c r="AU343" s="185" t="str">
        <f>_xlfn.IFNA(VLOOKUP($AH343,Programma!$F$3:$S$1101,14,0),"")</f>
        <v>1m</v>
      </c>
      <c r="AV343" s="185" t="str">
        <f>_xlfn.IFNA(VLOOKUP($AH343,Programma!$F$3:$T$1101,15,0),"")</f>
        <v>2j</v>
      </c>
      <c r="AW343" s="185" t="str">
        <f>_xlfn.IFNA(VLOOKUP($AH343,Programma!$F$3:$U$1101,16,0),"")</f>
        <v>1j</v>
      </c>
      <c r="AX343" s="185" t="str">
        <f>_xlfn.IFNA(VLOOKUP($AH343,Programma!$F$3:$V$1101,17,0),"")</f>
        <v>_</v>
      </c>
      <c r="AY343" s="185" t="str">
        <f>_xlfn.IFNA(VLOOKUP($AH343,Programma!$F$3:$W$1101,18,0),"")</f>
        <v>_</v>
      </c>
      <c r="AZ343" s="185" t="str">
        <f>_xlfn.IFNA(VLOOKUP($AH343,Programma!$F$3:$X$1101,19,0),"")</f>
        <v>_</v>
      </c>
      <c r="BA343" s="185" t="str">
        <f>_xlfn.IFNA(VLOOKUP($AH343,Programma!$F$3:$Y$1101,20,0),"")</f>
        <v>_</v>
      </c>
      <c r="BB343" s="182"/>
      <c r="BC343" s="181" t="str">
        <f>IF(Ruimtestaat[[#This Row],[Frequentie weekend]]="","",_xlfn.CONCAT(Ruimtestaat[[#This Row],[Ruimte code]],"-",Ruimtestaat[[#This Row],[Frequentie weekend]]," ",Ruimtestaat[[#This Row],[Vloer code]]))</f>
        <v/>
      </c>
      <c r="BD343" s="185" t="str">
        <f>_xlfn.IFNA(VLOOKUP($BC343,Programma!$F$3:$G$1101,2,0),"")</f>
        <v/>
      </c>
      <c r="BE343" s="185" t="str">
        <f>_xlfn.IFNA(VLOOKUP($BC343,Programma!$F$3:$H$1101,3,0),"")</f>
        <v/>
      </c>
      <c r="BF343" s="185" t="str">
        <f>_xlfn.IFNA(VLOOKUP($BC343,Programma!$F$3:$I$1101,4,0),"")</f>
        <v/>
      </c>
      <c r="BG343" s="185" t="str">
        <f>_xlfn.IFNA(VLOOKUP($BC343,Programma!$F$3:$J$1101,5,0),"")</f>
        <v/>
      </c>
      <c r="BH343" s="185" t="str">
        <f>_xlfn.IFNA(VLOOKUP($BC343,Programma!$F$3:$K$1101,6,0),"")</f>
        <v/>
      </c>
      <c r="BI343" s="185" t="str">
        <f>_xlfn.IFNA(VLOOKUP($BC343,Programma!$F$3:$L$1101,7,0),"")</f>
        <v/>
      </c>
      <c r="BJ343" s="185" t="str">
        <f>_xlfn.IFNA(VLOOKUP($BC343,Programma!$F$3:$M$1101,8,0),"")</f>
        <v/>
      </c>
      <c r="BK343" s="185" t="str">
        <f>_xlfn.IFNA(VLOOKUP($BC343,Programma!$F$3:$N$1101,9,0),"")</f>
        <v/>
      </c>
      <c r="BL343" s="185" t="str">
        <f>_xlfn.IFNA(VLOOKUP($BC343,Programma!$F$3:$O$1101,10,0),"")</f>
        <v/>
      </c>
      <c r="BM343" s="185" t="str">
        <f>_xlfn.IFNA(VLOOKUP($BC343,Programma!$F$3:$P$1101,11,0),"")</f>
        <v/>
      </c>
      <c r="BN343" s="185" t="str">
        <f>_xlfn.IFNA(VLOOKUP($BC343,Programma!$F$3:$Q$1101,12,0),"")</f>
        <v/>
      </c>
      <c r="BO343" s="185" t="str">
        <f>_xlfn.IFNA(VLOOKUP($BC343,Programma!$F$3:$R$1101,13,0),"")</f>
        <v/>
      </c>
      <c r="BP343" s="185" t="str">
        <f>_xlfn.IFNA(VLOOKUP($BC343,Programma!$F$3:$S$1101,14,0),"")</f>
        <v/>
      </c>
      <c r="BQ343" s="185" t="str">
        <f>_xlfn.IFNA(VLOOKUP($BC343,Programma!$F$3:$T$1101,15,0),"")</f>
        <v/>
      </c>
      <c r="BR343" s="185" t="str">
        <f>_xlfn.IFNA(VLOOKUP($BC343,Programma!$F$3:$U$1101,16,0),"")</f>
        <v/>
      </c>
      <c r="BS343" s="185" t="str">
        <f>_xlfn.IFNA(VLOOKUP($BC343,Programma!$F$3:$V$1101,17,0),"")</f>
        <v/>
      </c>
      <c r="BT343" s="185" t="str">
        <f>_xlfn.IFNA(VLOOKUP($BC343,Programma!$F$3:$W$1101,18,0),"")</f>
        <v/>
      </c>
      <c r="BU343" s="185" t="str">
        <f>_xlfn.IFNA(VLOOKUP($BC343,Programma!$F$3:$X$1101,19,0),"")</f>
        <v/>
      </c>
      <c r="BV343" s="185" t="str">
        <f>_xlfn.IFNA(VLOOKUP($BC343,Programma!$F$3:$Y$1101,20,0),"")</f>
        <v/>
      </c>
    </row>
    <row r="344" spans="1:74" s="78" customFormat="1" ht="15" customHeight="1">
      <c r="A344" s="99">
        <v>11</v>
      </c>
      <c r="B344" s="176" t="str">
        <f>VLOOKUP(Ruimtestaat[[#This Row],[Code]],Locaties[[Code]:[Locatie]],2,FALSE)</f>
        <v>OMBS De Wielerbaan</v>
      </c>
      <c r="C344" s="176" t="str">
        <f>VLOOKUP(Ruimtestaat[[#This Row],[Code]],Locaties[[#All],[Code]:[Adres]],4,FALSE)</f>
        <v>Batshoek 5</v>
      </c>
      <c r="D344" s="176" t="str">
        <f>VLOOKUP(Ruimtestaat[[#This Row],[Code]],Locaties[[#All],[Code]:[Postcode]],5,FALSE)</f>
        <v>7546 LC</v>
      </c>
      <c r="E344" s="176" t="str">
        <f>VLOOKUP(Ruimtestaat[[#This Row],[Code]],Locaties[#All],6,FALSE)</f>
        <v>Enschede</v>
      </c>
      <c r="F344" s="183"/>
      <c r="G344" s="99" t="s">
        <v>1646</v>
      </c>
      <c r="H344" s="99" t="s">
        <v>1648</v>
      </c>
      <c r="I344" s="183" t="s">
        <v>1655</v>
      </c>
      <c r="J344" s="99">
        <v>5</v>
      </c>
      <c r="K344" s="183" t="str">
        <f>VLOOKUP(Ruimtestaat[[#This Row],[Ruimte code]],Ruimtegroepen[[#All],[Code]:[Ruimte omschrijving]],2,FALSE)</f>
        <v>Sanitair</v>
      </c>
      <c r="L344" s="149" t="s">
        <v>100</v>
      </c>
      <c r="M344" s="301" t="s">
        <v>1697</v>
      </c>
      <c r="N344" s="177">
        <v>3.5</v>
      </c>
      <c r="O344" s="177"/>
      <c r="P344" s="178" t="str">
        <f>VLOOKUP(Ruimtestaat[[#This Row],[Ruimte code]],Ruimtegroepen[],4,FALSE)</f>
        <v>Sa</v>
      </c>
      <c r="Q344" s="149">
        <v>40</v>
      </c>
      <c r="R344" s="149" t="s">
        <v>2</v>
      </c>
      <c r="S344" s="149">
        <f>IF(Q344&gt;0,IF(RIGHT(Ruimtestaat[[#This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4" s="149">
        <f>IF(S344&gt;0,VLOOKUP($J344,Ruimtegroepen[],3,FALSE)*VLOOKUP($L344,Vloersoorten[],3,FALSE)*VLOOKUP($R344,Frequenties[],3,FALSE)*VLOOKUP($A344,Locaties[],3,FALSE),0)</f>
        <v>0</v>
      </c>
      <c r="U344" s="149">
        <f>Ruimtestaat[[#This Row],[Uitvoeringen werkdagen]]*Ruimtestaat[[#This Row],[Oppervlak (netto)]]</f>
        <v>700</v>
      </c>
      <c r="V344" s="179">
        <f>IF(T344&gt;0,Ruimtestaat[[#This Row],[Prest. (m2 /jaar) werkdagen]]/Ruimtestaat[[#This Row],[Norm (m2/uur) werkdagen]],0)</f>
        <v>0</v>
      </c>
      <c r="W344" s="180">
        <f>Ruimtestaat[[#This Row],[uren / jaar werkdagen]]*Tariefsopbouw!$E$35</f>
        <v>0</v>
      </c>
      <c r="X344" s="149"/>
      <c r="Y344" s="149">
        <f>IF(Ruimtestaat[[#This Row],[Frequentie weekend]]&gt;0,VALUE(LEFT(X344,1))*Q344,0)</f>
        <v>0</v>
      </c>
      <c r="Z344" s="148">
        <f>IF($Y344&gt;0,VLOOKUP($J344,Ruimtegroepen[],3,FALSE)*VLOOKUP($L344,Vloersoorten[],3,FALSE)*VLOOKUP($X344,Frequenties[],3,FALSE)*VLOOKUP(Ruimtestaat[[#This Row],[Code]],Locaties[],3,FALSE),0)</f>
        <v>0</v>
      </c>
      <c r="AA344" s="148">
        <f>Ruimtestaat[[#This Row],[Uitvoeringen weekend]]*Ruimtestaat[[#This Row],[Oppervlak (netto)]]</f>
        <v>0</v>
      </c>
      <c r="AB344" s="148">
        <f>IF(Z344&gt;0,Ruimtestaat[[#This Row],[Prest. (m2 /jaar) weekend]]/Ruimtestaat[[#This Row],[Norm (m2/uur) weekend]],0)</f>
        <v>0</v>
      </c>
      <c r="AC344" s="180">
        <f>Ruimtestaat[[#This Row],[uren / jaar weekend]]*Tariefsopbouw!$D$40</f>
        <v>0</v>
      </c>
      <c r="AD344" s="179">
        <f>Ruimtestaat[[#This Row],[Prest. (m2 /jaar) weekend]]+Ruimtestaat[[#This Row],[Prest. (m2 /jaar) werkdagen]]</f>
        <v>700</v>
      </c>
      <c r="AE344" s="179">
        <f>Ruimtestaat[[#This Row],[uren / jaar weekend]]+Ruimtestaat[[#This Row],[uren / jaar werkdagen]]</f>
        <v>0</v>
      </c>
      <c r="AF344" s="174">
        <f>Ruimtestaat[[#This Row],[kosten / jaar weekend]]+Ruimtestaat[[#This Row],[kosten / jaar werkdagen]]</f>
        <v>0</v>
      </c>
      <c r="AG344" s="174"/>
      <c r="AH344" s="181" t="str">
        <f>IF(Ruimtestaat[[#This Row],[Frequentie werkdagen]]="","",_xlfn.CONCAT(Ruimtestaat[[#This Row],[Ruimte code]],"-",Ruimtestaat[[#This Row],[Frequentie werkdagen]]," ",Ruimtestaat[[#This Row],[Vloer code]]))</f>
        <v>5-5w L</v>
      </c>
      <c r="AI344" s="185" t="str">
        <f>_xlfn.IFNA(VLOOKUP($AH344,Programma!$F$3:$G$1101,2,0),"")</f>
        <v>_</v>
      </c>
      <c r="AJ344" s="185" t="str">
        <f>_xlfn.IFNA(VLOOKUP($AH344,Programma!$F$3:$H$1101,3,0),"")</f>
        <v>_</v>
      </c>
      <c r="AK344" s="185" t="str">
        <f>_xlfn.IFNA(VLOOKUP($AH344,Programma!$F$3:$I$1101,4,0),"")</f>
        <v>_</v>
      </c>
      <c r="AL344" s="185" t="str">
        <f>_xlfn.IFNA(VLOOKUP($AH344,Programma!$F$3:$J$1101,5,0),"")</f>
        <v>4w</v>
      </c>
      <c r="AM344" s="185" t="str">
        <f>_xlfn.IFNA(VLOOKUP($AH344,Programma!$F$3:$K$1101,6,0),"")</f>
        <v>1w</v>
      </c>
      <c r="AN344" s="185" t="str">
        <f>_xlfn.IFNA(VLOOKUP($AH344,Programma!$F$3:$L$1101,7,0),"")</f>
        <v>_</v>
      </c>
      <c r="AO344" s="185" t="str">
        <f>_xlfn.IFNA(VLOOKUP($AH344,Programma!$F$3:$M$1101,8,0),"")</f>
        <v>_</v>
      </c>
      <c r="AP344" s="185" t="str">
        <f>_xlfn.IFNA(VLOOKUP($AH344,Programma!$F$3:$N$1101,9,0),"")</f>
        <v>_</v>
      </c>
      <c r="AQ344" s="185" t="str">
        <f>_xlfn.IFNA(VLOOKUP($AH344,Programma!$F$3:$O$1101,10,0),"")</f>
        <v>_</v>
      </c>
      <c r="AR344" s="185" t="str">
        <f>_xlfn.IFNA(VLOOKUP($AH344,Programma!$F$3:$P$1101,11,0),"")</f>
        <v>_</v>
      </c>
      <c r="AS344" s="185" t="str">
        <f>_xlfn.IFNA(VLOOKUP($AH344,Programma!$F$3:$Q$1101,12,0),"")</f>
        <v>_</v>
      </c>
      <c r="AT344" s="185" t="str">
        <f>_xlfn.IFNA(VLOOKUP($AH344,Programma!$F$3:$R$1101,13,0),"")</f>
        <v>_</v>
      </c>
      <c r="AU344" s="185" t="str">
        <f>_xlfn.IFNA(VLOOKUP($AH344,Programma!$F$3:$S$1101,14,0),"")</f>
        <v>_</v>
      </c>
      <c r="AV344" s="185" t="str">
        <f>_xlfn.IFNA(VLOOKUP($AH344,Programma!$F$3:$T$1101,15,0),"")</f>
        <v>_</v>
      </c>
      <c r="AW344" s="185" t="str">
        <f>_xlfn.IFNA(VLOOKUP($AH344,Programma!$F$3:$U$1101,16,0),"")</f>
        <v>_</v>
      </c>
      <c r="AX344" s="185" t="str">
        <f>_xlfn.IFNA(VLOOKUP($AH344,Programma!$F$3:$V$1101,17,0),"")</f>
        <v>_</v>
      </c>
      <c r="AY344" s="185" t="str">
        <f>_xlfn.IFNA(VLOOKUP($AH344,Programma!$F$3:$W$1101,18,0),"")</f>
        <v>4w</v>
      </c>
      <c r="AZ344" s="185" t="str">
        <f>_xlfn.IFNA(VLOOKUP($AH344,Programma!$F$3:$X$1101,19,0),"")</f>
        <v>1w</v>
      </c>
      <c r="BA344" s="185" t="str">
        <f>_xlfn.IFNA(VLOOKUP($AH344,Programma!$F$3:$Y$1101,20,0),"")</f>
        <v>_</v>
      </c>
      <c r="BB344" s="182"/>
      <c r="BC344" s="181" t="str">
        <f>IF(Ruimtestaat[[#This Row],[Frequentie weekend]]="","",_xlfn.CONCAT(Ruimtestaat[[#This Row],[Ruimte code]],"-",Ruimtestaat[[#This Row],[Frequentie weekend]]," ",Ruimtestaat[[#This Row],[Vloer code]]))</f>
        <v/>
      </c>
      <c r="BD344" s="185" t="str">
        <f>_xlfn.IFNA(VLOOKUP($BC344,Programma!$F$3:$G$1101,2,0),"")</f>
        <v/>
      </c>
      <c r="BE344" s="185" t="str">
        <f>_xlfn.IFNA(VLOOKUP($BC344,Programma!$F$3:$H$1101,3,0),"")</f>
        <v/>
      </c>
      <c r="BF344" s="185" t="str">
        <f>_xlfn.IFNA(VLOOKUP($BC344,Programma!$F$3:$I$1101,4,0),"")</f>
        <v/>
      </c>
      <c r="BG344" s="185" t="str">
        <f>_xlfn.IFNA(VLOOKUP($BC344,Programma!$F$3:$J$1101,5,0),"")</f>
        <v/>
      </c>
      <c r="BH344" s="185" t="str">
        <f>_xlfn.IFNA(VLOOKUP($BC344,Programma!$F$3:$K$1101,6,0),"")</f>
        <v/>
      </c>
      <c r="BI344" s="185" t="str">
        <f>_xlfn.IFNA(VLOOKUP($BC344,Programma!$F$3:$L$1101,7,0),"")</f>
        <v/>
      </c>
      <c r="BJ344" s="185" t="str">
        <f>_xlfn.IFNA(VLOOKUP($BC344,Programma!$F$3:$M$1101,8,0),"")</f>
        <v/>
      </c>
      <c r="BK344" s="185" t="str">
        <f>_xlfn.IFNA(VLOOKUP($BC344,Programma!$F$3:$N$1101,9,0),"")</f>
        <v/>
      </c>
      <c r="BL344" s="185" t="str">
        <f>_xlfn.IFNA(VLOOKUP($BC344,Programma!$F$3:$O$1101,10,0),"")</f>
        <v/>
      </c>
      <c r="BM344" s="185" t="str">
        <f>_xlfn.IFNA(VLOOKUP($BC344,Programma!$F$3:$P$1101,11,0),"")</f>
        <v/>
      </c>
      <c r="BN344" s="185" t="str">
        <f>_xlfn.IFNA(VLOOKUP($BC344,Programma!$F$3:$Q$1101,12,0),"")</f>
        <v/>
      </c>
      <c r="BO344" s="185" t="str">
        <f>_xlfn.IFNA(VLOOKUP($BC344,Programma!$F$3:$R$1101,13,0),"")</f>
        <v/>
      </c>
      <c r="BP344" s="185" t="str">
        <f>_xlfn.IFNA(VLOOKUP($BC344,Programma!$F$3:$S$1101,14,0),"")</f>
        <v/>
      </c>
      <c r="BQ344" s="185" t="str">
        <f>_xlfn.IFNA(VLOOKUP($BC344,Programma!$F$3:$T$1101,15,0),"")</f>
        <v/>
      </c>
      <c r="BR344" s="185" t="str">
        <f>_xlfn.IFNA(VLOOKUP($BC344,Programma!$F$3:$U$1101,16,0),"")</f>
        <v/>
      </c>
      <c r="BS344" s="185" t="str">
        <f>_xlfn.IFNA(VLOOKUP($BC344,Programma!$F$3:$V$1101,17,0),"")</f>
        <v/>
      </c>
      <c r="BT344" s="185" t="str">
        <f>_xlfn.IFNA(VLOOKUP($BC344,Programma!$F$3:$W$1101,18,0),"")</f>
        <v/>
      </c>
      <c r="BU344" s="185" t="str">
        <f>_xlfn.IFNA(VLOOKUP($BC344,Programma!$F$3:$X$1101,19,0),"")</f>
        <v/>
      </c>
      <c r="BV344" s="185" t="str">
        <f>_xlfn.IFNA(VLOOKUP($BC344,Programma!$F$3:$Y$1101,20,0),"")</f>
        <v/>
      </c>
    </row>
    <row r="345" spans="1:74" s="78" customFormat="1" ht="15" customHeight="1">
      <c r="A345" s="99">
        <v>11</v>
      </c>
      <c r="B345" s="176" t="str">
        <f>VLOOKUP(Ruimtestaat[[#This Row],[Code]],Locaties[[Code]:[Locatie]],2,FALSE)</f>
        <v>OMBS De Wielerbaan</v>
      </c>
      <c r="C345" s="176" t="str">
        <f>VLOOKUP(Ruimtestaat[[#This Row],[Code]],Locaties[[#All],[Code]:[Adres]],4,FALSE)</f>
        <v>Batshoek 5</v>
      </c>
      <c r="D345" s="176" t="str">
        <f>VLOOKUP(Ruimtestaat[[#This Row],[Code]],Locaties[[#All],[Code]:[Postcode]],5,FALSE)</f>
        <v>7546 LC</v>
      </c>
      <c r="E345" s="176" t="str">
        <f>VLOOKUP(Ruimtestaat[[#This Row],[Code]],Locaties[#All],6,FALSE)</f>
        <v>Enschede</v>
      </c>
      <c r="F345" s="183"/>
      <c r="G345" s="99" t="s">
        <v>1646</v>
      </c>
      <c r="H345" s="99" t="s">
        <v>1650</v>
      </c>
      <c r="I345" s="183" t="s">
        <v>1655</v>
      </c>
      <c r="J345" s="99">
        <v>5</v>
      </c>
      <c r="K345" s="183" t="str">
        <f>VLOOKUP(Ruimtestaat[[#This Row],[Ruimte code]],Ruimtegroepen[[#All],[Code]:[Ruimte omschrijving]],2,FALSE)</f>
        <v>Sanitair</v>
      </c>
      <c r="L345" s="149" t="s">
        <v>101</v>
      </c>
      <c r="M345" s="301" t="s">
        <v>1682</v>
      </c>
      <c r="N345" s="177">
        <v>3.5</v>
      </c>
      <c r="O345" s="177"/>
      <c r="P345" s="178" t="str">
        <f>VLOOKUP(Ruimtestaat[[#This Row],[Ruimte code]],Ruimtegroepen[],4,FALSE)</f>
        <v>Sa</v>
      </c>
      <c r="Q345" s="149">
        <v>40</v>
      </c>
      <c r="R345" s="149" t="s">
        <v>2</v>
      </c>
      <c r="S345" s="149">
        <f>IF(Q345&gt;0,IF(RIGHT(Ruimtestaat[[#This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5" s="149">
        <f>IF(S345&gt;0,VLOOKUP($J345,Ruimtegroepen[],3,FALSE)*VLOOKUP($L345,Vloersoorten[],3,FALSE)*VLOOKUP($R345,Frequenties[],3,FALSE)*VLOOKUP($A345,Locaties[],3,FALSE),0)</f>
        <v>0</v>
      </c>
      <c r="U345" s="149">
        <f>Ruimtestaat[[#This Row],[Uitvoeringen werkdagen]]*Ruimtestaat[[#This Row],[Oppervlak (netto)]]</f>
        <v>700</v>
      </c>
      <c r="V345" s="179">
        <f>IF(T345&gt;0,Ruimtestaat[[#This Row],[Prest. (m2 /jaar) werkdagen]]/Ruimtestaat[[#This Row],[Norm (m2/uur) werkdagen]],0)</f>
        <v>0</v>
      </c>
      <c r="W345" s="180">
        <f>Ruimtestaat[[#This Row],[uren / jaar werkdagen]]*Tariefsopbouw!$E$35</f>
        <v>0</v>
      </c>
      <c r="X345" s="149"/>
      <c r="Y345" s="149">
        <f>IF(Ruimtestaat[[#This Row],[Frequentie weekend]]&gt;0,VALUE(LEFT(X345,1))*Q345,0)</f>
        <v>0</v>
      </c>
      <c r="Z345" s="148">
        <f>IF($Y345&gt;0,VLOOKUP($J345,Ruimtegroepen[],3,FALSE)*VLOOKUP($L345,Vloersoorten[],3,FALSE)*VLOOKUP($X345,Frequenties[],3,FALSE)*VLOOKUP(Ruimtestaat[[#This Row],[Code]],Locaties[],3,FALSE),0)</f>
        <v>0</v>
      </c>
      <c r="AA345" s="148">
        <f>Ruimtestaat[[#This Row],[Uitvoeringen weekend]]*Ruimtestaat[[#This Row],[Oppervlak (netto)]]</f>
        <v>0</v>
      </c>
      <c r="AB345" s="148">
        <f>IF(Z345&gt;0,Ruimtestaat[[#This Row],[Prest. (m2 /jaar) weekend]]/Ruimtestaat[[#This Row],[Norm (m2/uur) weekend]],0)</f>
        <v>0</v>
      </c>
      <c r="AC345" s="180">
        <f>Ruimtestaat[[#This Row],[uren / jaar weekend]]*Tariefsopbouw!$D$40</f>
        <v>0</v>
      </c>
      <c r="AD345" s="179">
        <f>Ruimtestaat[[#This Row],[Prest. (m2 /jaar) weekend]]+Ruimtestaat[[#This Row],[Prest. (m2 /jaar) werkdagen]]</f>
        <v>700</v>
      </c>
      <c r="AE345" s="179">
        <f>Ruimtestaat[[#This Row],[uren / jaar weekend]]+Ruimtestaat[[#This Row],[uren / jaar werkdagen]]</f>
        <v>0</v>
      </c>
      <c r="AF345" s="174">
        <f>Ruimtestaat[[#This Row],[kosten / jaar weekend]]+Ruimtestaat[[#This Row],[kosten / jaar werkdagen]]</f>
        <v>0</v>
      </c>
      <c r="AG345" s="174"/>
      <c r="AH345" s="181" t="str">
        <f>IF(Ruimtestaat[[#This Row],[Frequentie werkdagen]]="","",_xlfn.CONCAT(Ruimtestaat[[#This Row],[Ruimte code]],"-",Ruimtestaat[[#This Row],[Frequentie werkdagen]]," ",Ruimtestaat[[#This Row],[Vloer code]]))</f>
        <v>5-5w S</v>
      </c>
      <c r="AI345" s="185" t="str">
        <f>_xlfn.IFNA(VLOOKUP($AH345,Programma!$F$3:$G$1101,2,0),"")</f>
        <v>_</v>
      </c>
      <c r="AJ345" s="185" t="str">
        <f>_xlfn.IFNA(VLOOKUP($AH345,Programma!$F$3:$H$1101,3,0),"")</f>
        <v>_</v>
      </c>
      <c r="AK345" s="185" t="str">
        <f>_xlfn.IFNA(VLOOKUP($AH345,Programma!$F$3:$I$1101,4,0),"")</f>
        <v>_</v>
      </c>
      <c r="AL345" s="185" t="str">
        <f>_xlfn.IFNA(VLOOKUP($AH345,Programma!$F$3:$J$1101,5,0),"")</f>
        <v>4w</v>
      </c>
      <c r="AM345" s="185" t="str">
        <f>_xlfn.IFNA(VLOOKUP($AH345,Programma!$F$3:$K$1101,6,0),"")</f>
        <v>1w</v>
      </c>
      <c r="AN345" s="185" t="str">
        <f>_xlfn.IFNA(VLOOKUP($AH345,Programma!$F$3:$L$1101,7,0),"")</f>
        <v>_</v>
      </c>
      <c r="AO345" s="185" t="str">
        <f>_xlfn.IFNA(VLOOKUP($AH345,Programma!$F$3:$M$1101,8,0),"")</f>
        <v>_</v>
      </c>
      <c r="AP345" s="185" t="str">
        <f>_xlfn.IFNA(VLOOKUP($AH345,Programma!$F$3:$N$1101,9,0),"")</f>
        <v>_</v>
      </c>
      <c r="AQ345" s="185" t="str">
        <f>_xlfn.IFNA(VLOOKUP($AH345,Programma!$F$3:$O$1101,10,0),"")</f>
        <v>_</v>
      </c>
      <c r="AR345" s="185" t="str">
        <f>_xlfn.IFNA(VLOOKUP($AH345,Programma!$F$3:$P$1101,11,0),"")</f>
        <v>_</v>
      </c>
      <c r="AS345" s="185" t="str">
        <f>_xlfn.IFNA(VLOOKUP($AH345,Programma!$F$3:$Q$1101,12,0),"")</f>
        <v>_</v>
      </c>
      <c r="AT345" s="185" t="str">
        <f>_xlfn.IFNA(VLOOKUP($AH345,Programma!$F$3:$R$1101,13,0),"")</f>
        <v>_</v>
      </c>
      <c r="AU345" s="185" t="str">
        <f>_xlfn.IFNA(VLOOKUP($AH345,Programma!$F$3:$S$1101,14,0),"")</f>
        <v>_</v>
      </c>
      <c r="AV345" s="185" t="str">
        <f>_xlfn.IFNA(VLOOKUP($AH345,Programma!$F$3:$T$1101,15,0),"")</f>
        <v>_</v>
      </c>
      <c r="AW345" s="185" t="str">
        <f>_xlfn.IFNA(VLOOKUP($AH345,Programma!$F$3:$U$1101,16,0),"")</f>
        <v>_</v>
      </c>
      <c r="AX345" s="185" t="str">
        <f>_xlfn.IFNA(VLOOKUP($AH345,Programma!$F$3:$V$1101,17,0),"")</f>
        <v>_</v>
      </c>
      <c r="AY345" s="185" t="str">
        <f>_xlfn.IFNA(VLOOKUP($AH345,Programma!$F$3:$W$1101,18,0),"")</f>
        <v>4w</v>
      </c>
      <c r="AZ345" s="185" t="str">
        <f>_xlfn.IFNA(VLOOKUP($AH345,Programma!$F$3:$X$1101,19,0),"")</f>
        <v>1w</v>
      </c>
      <c r="BA345" s="185" t="str">
        <f>_xlfn.IFNA(VLOOKUP($AH345,Programma!$F$3:$Y$1101,20,0),"")</f>
        <v>_</v>
      </c>
      <c r="BB345" s="182"/>
      <c r="BC345" s="181" t="str">
        <f>IF(Ruimtestaat[[#This Row],[Frequentie weekend]]="","",_xlfn.CONCAT(Ruimtestaat[[#This Row],[Ruimte code]],"-",Ruimtestaat[[#This Row],[Frequentie weekend]]," ",Ruimtestaat[[#This Row],[Vloer code]]))</f>
        <v/>
      </c>
      <c r="BD345" s="185" t="str">
        <f>_xlfn.IFNA(VLOOKUP($BC345,Programma!$F$3:$G$1101,2,0),"")</f>
        <v/>
      </c>
      <c r="BE345" s="185" t="str">
        <f>_xlfn.IFNA(VLOOKUP($BC345,Programma!$F$3:$H$1101,3,0),"")</f>
        <v/>
      </c>
      <c r="BF345" s="185" t="str">
        <f>_xlfn.IFNA(VLOOKUP($BC345,Programma!$F$3:$I$1101,4,0),"")</f>
        <v/>
      </c>
      <c r="BG345" s="185" t="str">
        <f>_xlfn.IFNA(VLOOKUP($BC345,Programma!$F$3:$J$1101,5,0),"")</f>
        <v/>
      </c>
      <c r="BH345" s="185" t="str">
        <f>_xlfn.IFNA(VLOOKUP($BC345,Programma!$F$3:$K$1101,6,0),"")</f>
        <v/>
      </c>
      <c r="BI345" s="185" t="str">
        <f>_xlfn.IFNA(VLOOKUP($BC345,Programma!$F$3:$L$1101,7,0),"")</f>
        <v/>
      </c>
      <c r="BJ345" s="185" t="str">
        <f>_xlfn.IFNA(VLOOKUP($BC345,Programma!$F$3:$M$1101,8,0),"")</f>
        <v/>
      </c>
      <c r="BK345" s="185" t="str">
        <f>_xlfn.IFNA(VLOOKUP($BC345,Programma!$F$3:$N$1101,9,0),"")</f>
        <v/>
      </c>
      <c r="BL345" s="185" t="str">
        <f>_xlfn.IFNA(VLOOKUP($BC345,Programma!$F$3:$O$1101,10,0),"")</f>
        <v/>
      </c>
      <c r="BM345" s="185" t="str">
        <f>_xlfn.IFNA(VLOOKUP($BC345,Programma!$F$3:$P$1101,11,0),"")</f>
        <v/>
      </c>
      <c r="BN345" s="185" t="str">
        <f>_xlfn.IFNA(VLOOKUP($BC345,Programma!$F$3:$Q$1101,12,0),"")</f>
        <v/>
      </c>
      <c r="BO345" s="185" t="str">
        <f>_xlfn.IFNA(VLOOKUP($BC345,Programma!$F$3:$R$1101,13,0),"")</f>
        <v/>
      </c>
      <c r="BP345" s="185" t="str">
        <f>_xlfn.IFNA(VLOOKUP($BC345,Programma!$F$3:$S$1101,14,0),"")</f>
        <v/>
      </c>
      <c r="BQ345" s="185" t="str">
        <f>_xlfn.IFNA(VLOOKUP($BC345,Programma!$F$3:$T$1101,15,0),"")</f>
        <v/>
      </c>
      <c r="BR345" s="185" t="str">
        <f>_xlfn.IFNA(VLOOKUP($BC345,Programma!$F$3:$U$1101,16,0),"")</f>
        <v/>
      </c>
      <c r="BS345" s="185" t="str">
        <f>_xlfn.IFNA(VLOOKUP($BC345,Programma!$F$3:$V$1101,17,0),"")</f>
        <v/>
      </c>
      <c r="BT345" s="185" t="str">
        <f>_xlfn.IFNA(VLOOKUP($BC345,Programma!$F$3:$W$1101,18,0),"")</f>
        <v/>
      </c>
      <c r="BU345" s="185" t="str">
        <f>_xlfn.IFNA(VLOOKUP($BC345,Programma!$F$3:$X$1101,19,0),"")</f>
        <v/>
      </c>
      <c r="BV345" s="185" t="str">
        <f>_xlfn.IFNA(VLOOKUP($BC345,Programma!$F$3:$Y$1101,20,0),"")</f>
        <v/>
      </c>
    </row>
    <row r="346" spans="1:74" s="78" customFormat="1" ht="15" customHeight="1">
      <c r="A346" s="99">
        <v>11</v>
      </c>
      <c r="B346" s="176" t="str">
        <f>VLOOKUP(Ruimtestaat[[#This Row],[Code]],Locaties[[Code]:[Locatie]],2,FALSE)</f>
        <v>OMBS De Wielerbaan</v>
      </c>
      <c r="C346" s="176" t="str">
        <f>VLOOKUP(Ruimtestaat[[#This Row],[Code]],Locaties[[#All],[Code]:[Adres]],4,FALSE)</f>
        <v>Batshoek 5</v>
      </c>
      <c r="D346" s="176" t="str">
        <f>VLOOKUP(Ruimtestaat[[#This Row],[Code]],Locaties[[#All],[Code]:[Postcode]],5,FALSE)</f>
        <v>7546 LC</v>
      </c>
      <c r="E346" s="176" t="str">
        <f>VLOOKUP(Ruimtestaat[[#This Row],[Code]],Locaties[#All],6,FALSE)</f>
        <v>Enschede</v>
      </c>
      <c r="F346" s="183"/>
      <c r="G346" s="99" t="s">
        <v>1646</v>
      </c>
      <c r="H346" s="99" t="s">
        <v>1652</v>
      </c>
      <c r="I346" s="183" t="s">
        <v>1649</v>
      </c>
      <c r="J346" s="99">
        <v>2</v>
      </c>
      <c r="K346" s="183" t="str">
        <f>VLOOKUP(Ruimtestaat[[#This Row],[Ruimte code]],Ruimtegroepen[[#All],[Code]:[Ruimte omschrijving]],2,FALSE)</f>
        <v>Kantoren</v>
      </c>
      <c r="L346" s="149" t="s">
        <v>101</v>
      </c>
      <c r="M346" s="301" t="s">
        <v>1682</v>
      </c>
      <c r="N346" s="177">
        <v>10.8</v>
      </c>
      <c r="O346" s="177"/>
      <c r="P346" s="178" t="str">
        <f>VLOOKUP(Ruimtestaat[[#This Row],[Ruimte code]],Ruimtegroepen[],4,FALSE)</f>
        <v>Bu</v>
      </c>
      <c r="Q346" s="149">
        <v>40</v>
      </c>
      <c r="R346" s="149" t="s">
        <v>18</v>
      </c>
      <c r="S346" s="149">
        <f>IF(Q346&gt;0,IF(RIGHT(Ruimtestaat[[#This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46" s="149">
        <f>IF(S346&gt;0,VLOOKUP($J346,Ruimtegroepen[],3,FALSE)*VLOOKUP($L346,Vloersoorten[],3,FALSE)*VLOOKUP($R346,Frequenties[],3,FALSE)*VLOOKUP($A346,Locaties[],3,FALSE),0)</f>
        <v>0</v>
      </c>
      <c r="U346" s="149">
        <f>Ruimtestaat[[#This Row],[Uitvoeringen werkdagen]]*Ruimtestaat[[#This Row],[Oppervlak (netto)]]</f>
        <v>1296</v>
      </c>
      <c r="V346" s="179">
        <f>IF(T346&gt;0,Ruimtestaat[[#This Row],[Prest. (m2 /jaar) werkdagen]]/Ruimtestaat[[#This Row],[Norm (m2/uur) werkdagen]],0)</f>
        <v>0</v>
      </c>
      <c r="W346" s="180">
        <f>Ruimtestaat[[#This Row],[uren / jaar werkdagen]]*Tariefsopbouw!$E$35</f>
        <v>0</v>
      </c>
      <c r="X346" s="149"/>
      <c r="Y346" s="149">
        <f>IF(Ruimtestaat[[#This Row],[Frequentie weekend]]&gt;0,VALUE(LEFT(X346,1))*Q346,0)</f>
        <v>0</v>
      </c>
      <c r="Z346" s="148">
        <f>IF($Y346&gt;0,VLOOKUP($J346,Ruimtegroepen[],3,FALSE)*VLOOKUP($L346,Vloersoorten[],3,FALSE)*VLOOKUP($X346,Frequenties[],3,FALSE)*VLOOKUP(Ruimtestaat[[#This Row],[Code]],Locaties[],3,FALSE),0)</f>
        <v>0</v>
      </c>
      <c r="AA346" s="148">
        <f>Ruimtestaat[[#This Row],[Uitvoeringen weekend]]*Ruimtestaat[[#This Row],[Oppervlak (netto)]]</f>
        <v>0</v>
      </c>
      <c r="AB346" s="148">
        <f>IF(Z346&gt;0,Ruimtestaat[[#This Row],[Prest. (m2 /jaar) weekend]]/Ruimtestaat[[#This Row],[Norm (m2/uur) weekend]],0)</f>
        <v>0</v>
      </c>
      <c r="AC346" s="180">
        <f>Ruimtestaat[[#This Row],[uren / jaar weekend]]*Tariefsopbouw!$D$40</f>
        <v>0</v>
      </c>
      <c r="AD346" s="179">
        <f>Ruimtestaat[[#This Row],[Prest. (m2 /jaar) weekend]]+Ruimtestaat[[#This Row],[Prest. (m2 /jaar) werkdagen]]</f>
        <v>1296</v>
      </c>
      <c r="AE346" s="179">
        <f>Ruimtestaat[[#This Row],[uren / jaar weekend]]+Ruimtestaat[[#This Row],[uren / jaar werkdagen]]</f>
        <v>0</v>
      </c>
      <c r="AF346" s="174">
        <f>Ruimtestaat[[#This Row],[kosten / jaar weekend]]+Ruimtestaat[[#This Row],[kosten / jaar werkdagen]]</f>
        <v>0</v>
      </c>
      <c r="AG346" s="174"/>
      <c r="AH346" s="181" t="str">
        <f>IF(Ruimtestaat[[#This Row],[Frequentie werkdagen]]="","",_xlfn.CONCAT(Ruimtestaat[[#This Row],[Ruimte code]],"-",Ruimtestaat[[#This Row],[Frequentie werkdagen]]," ",Ruimtestaat[[#This Row],[Vloer code]]))</f>
        <v>2-3w S</v>
      </c>
      <c r="AI346" s="185" t="str">
        <f>_xlfn.IFNA(VLOOKUP($AH346,Programma!$F$3:$G$1101,2,0),"")</f>
        <v>_</v>
      </c>
      <c r="AJ346" s="185" t="str">
        <f>_xlfn.IFNA(VLOOKUP($AH346,Programma!$F$3:$H$1101,3,0),"")</f>
        <v>_</v>
      </c>
      <c r="AK346" s="185" t="str">
        <f>_xlfn.IFNA(VLOOKUP($AH346,Programma!$F$3:$I$1101,4,0),"")</f>
        <v>2w</v>
      </c>
      <c r="AL346" s="185" t="str">
        <f>_xlfn.IFNA(VLOOKUP($AH346,Programma!$F$3:$J$1101,5,0),"")</f>
        <v>1w</v>
      </c>
      <c r="AM346" s="185" t="str">
        <f>_xlfn.IFNA(VLOOKUP($AH346,Programma!$F$3:$K$1101,6,0),"")</f>
        <v>1j</v>
      </c>
      <c r="AN346" s="185" t="str">
        <f>_xlfn.IFNA(VLOOKUP($AH346,Programma!$F$3:$L$1101,7,0),"")</f>
        <v>_</v>
      </c>
      <c r="AO346" s="185" t="str">
        <f>_xlfn.IFNA(VLOOKUP($AH346,Programma!$F$3:$M$1101,8,0),"")</f>
        <v>_</v>
      </c>
      <c r="AP346" s="185" t="str">
        <f>_xlfn.IFNA(VLOOKUP($AH346,Programma!$F$3:$N$1101,9,0),"")</f>
        <v>_</v>
      </c>
      <c r="AQ346" s="185" t="str">
        <f>_xlfn.IFNA(VLOOKUP($AH346,Programma!$F$3:$O$1101,10,0),"")</f>
        <v>3w</v>
      </c>
      <c r="AR346" s="185" t="str">
        <f>_xlfn.IFNA(VLOOKUP($AH346,Programma!$F$3:$P$1101,11,0),"")</f>
        <v>3w</v>
      </c>
      <c r="AS346" s="185" t="str">
        <f>_xlfn.IFNA(VLOOKUP($AH346,Programma!$F$3:$Q$1101,12,0),"")</f>
        <v>1w</v>
      </c>
      <c r="AT346" s="185" t="str">
        <f>_xlfn.IFNA(VLOOKUP($AH346,Programma!$F$3:$R$1101,13,0),"")</f>
        <v>1w</v>
      </c>
      <c r="AU346" s="185" t="str">
        <f>_xlfn.IFNA(VLOOKUP($AH346,Programma!$F$3:$S$1101,14,0),"")</f>
        <v>1m</v>
      </c>
      <c r="AV346" s="185" t="str">
        <f>_xlfn.IFNA(VLOOKUP($AH346,Programma!$F$3:$T$1101,15,0),"")</f>
        <v>2j</v>
      </c>
      <c r="AW346" s="185" t="str">
        <f>_xlfn.IFNA(VLOOKUP($AH346,Programma!$F$3:$U$1101,16,0),"")</f>
        <v>1j</v>
      </c>
      <c r="AX346" s="185" t="str">
        <f>_xlfn.IFNA(VLOOKUP($AH346,Programma!$F$3:$V$1101,17,0),"")</f>
        <v>_</v>
      </c>
      <c r="AY346" s="185" t="str">
        <f>_xlfn.IFNA(VLOOKUP($AH346,Programma!$F$3:$W$1101,18,0),"")</f>
        <v>_</v>
      </c>
      <c r="AZ346" s="185" t="str">
        <f>_xlfn.IFNA(VLOOKUP($AH346,Programma!$F$3:$X$1101,19,0),"")</f>
        <v>_</v>
      </c>
      <c r="BA346" s="185" t="str">
        <f>_xlfn.IFNA(VLOOKUP($AH346,Programma!$F$3:$Y$1101,20,0),"")</f>
        <v>_</v>
      </c>
      <c r="BB346" s="182"/>
      <c r="BC346" s="181" t="str">
        <f>IF(Ruimtestaat[[#This Row],[Frequentie weekend]]="","",_xlfn.CONCAT(Ruimtestaat[[#This Row],[Ruimte code]],"-",Ruimtestaat[[#This Row],[Frequentie weekend]]," ",Ruimtestaat[[#This Row],[Vloer code]]))</f>
        <v/>
      </c>
      <c r="BD346" s="185" t="str">
        <f>_xlfn.IFNA(VLOOKUP($BC346,Programma!$F$3:$G$1101,2,0),"")</f>
        <v/>
      </c>
      <c r="BE346" s="185" t="str">
        <f>_xlfn.IFNA(VLOOKUP($BC346,Programma!$F$3:$H$1101,3,0),"")</f>
        <v/>
      </c>
      <c r="BF346" s="185" t="str">
        <f>_xlfn.IFNA(VLOOKUP($BC346,Programma!$F$3:$I$1101,4,0),"")</f>
        <v/>
      </c>
      <c r="BG346" s="185" t="str">
        <f>_xlfn.IFNA(VLOOKUP($BC346,Programma!$F$3:$J$1101,5,0),"")</f>
        <v/>
      </c>
      <c r="BH346" s="185" t="str">
        <f>_xlfn.IFNA(VLOOKUP($BC346,Programma!$F$3:$K$1101,6,0),"")</f>
        <v/>
      </c>
      <c r="BI346" s="185" t="str">
        <f>_xlfn.IFNA(VLOOKUP($BC346,Programma!$F$3:$L$1101,7,0),"")</f>
        <v/>
      </c>
      <c r="BJ346" s="185" t="str">
        <f>_xlfn.IFNA(VLOOKUP($BC346,Programma!$F$3:$M$1101,8,0),"")</f>
        <v/>
      </c>
      <c r="BK346" s="185" t="str">
        <f>_xlfn.IFNA(VLOOKUP($BC346,Programma!$F$3:$N$1101,9,0),"")</f>
        <v/>
      </c>
      <c r="BL346" s="185" t="str">
        <f>_xlfn.IFNA(VLOOKUP($BC346,Programma!$F$3:$O$1101,10,0),"")</f>
        <v/>
      </c>
      <c r="BM346" s="185" t="str">
        <f>_xlfn.IFNA(VLOOKUP($BC346,Programma!$F$3:$P$1101,11,0),"")</f>
        <v/>
      </c>
      <c r="BN346" s="185" t="str">
        <f>_xlfn.IFNA(VLOOKUP($BC346,Programma!$F$3:$Q$1101,12,0),"")</f>
        <v/>
      </c>
      <c r="BO346" s="185" t="str">
        <f>_xlfn.IFNA(VLOOKUP($BC346,Programma!$F$3:$R$1101,13,0),"")</f>
        <v/>
      </c>
      <c r="BP346" s="185" t="str">
        <f>_xlfn.IFNA(VLOOKUP($BC346,Programma!$F$3:$S$1101,14,0),"")</f>
        <v/>
      </c>
      <c r="BQ346" s="185" t="str">
        <f>_xlfn.IFNA(VLOOKUP($BC346,Programma!$F$3:$T$1101,15,0),"")</f>
        <v/>
      </c>
      <c r="BR346" s="185" t="str">
        <f>_xlfn.IFNA(VLOOKUP($BC346,Programma!$F$3:$U$1101,16,0),"")</f>
        <v/>
      </c>
      <c r="BS346" s="185" t="str">
        <f>_xlfn.IFNA(VLOOKUP($BC346,Programma!$F$3:$V$1101,17,0),"")</f>
        <v/>
      </c>
      <c r="BT346" s="185" t="str">
        <f>_xlfn.IFNA(VLOOKUP($BC346,Programma!$F$3:$W$1101,18,0),"")</f>
        <v/>
      </c>
      <c r="BU346" s="185" t="str">
        <f>_xlfn.IFNA(VLOOKUP($BC346,Programma!$F$3:$X$1101,19,0),"")</f>
        <v/>
      </c>
      <c r="BV346" s="185" t="str">
        <f>_xlfn.IFNA(VLOOKUP($BC346,Programma!$F$3:$Y$1101,20,0),"")</f>
        <v/>
      </c>
    </row>
    <row r="347" spans="1:74" s="78" customFormat="1" ht="15" customHeight="1">
      <c r="A347" s="99">
        <v>11</v>
      </c>
      <c r="B347" s="176" t="str">
        <f>VLOOKUP(Ruimtestaat[[#This Row],[Code]],Locaties[[Code]:[Locatie]],2,FALSE)</f>
        <v>OMBS De Wielerbaan</v>
      </c>
      <c r="C347" s="176" t="str">
        <f>VLOOKUP(Ruimtestaat[[#This Row],[Code]],Locaties[[#All],[Code]:[Adres]],4,FALSE)</f>
        <v>Batshoek 5</v>
      </c>
      <c r="D347" s="176" t="str">
        <f>VLOOKUP(Ruimtestaat[[#This Row],[Code]],Locaties[[#All],[Code]:[Postcode]],5,FALSE)</f>
        <v>7546 LC</v>
      </c>
      <c r="E347" s="176" t="str">
        <f>VLOOKUP(Ruimtestaat[[#This Row],[Code]],Locaties[#All],6,FALSE)</f>
        <v>Enschede</v>
      </c>
      <c r="F347" s="183"/>
      <c r="G347" s="99" t="s">
        <v>1646</v>
      </c>
      <c r="H347" s="99" t="s">
        <v>1653</v>
      </c>
      <c r="I347" s="183" t="s">
        <v>1651</v>
      </c>
      <c r="J347" s="99">
        <v>16</v>
      </c>
      <c r="K347" s="183" t="str">
        <f>VLOOKUP(Ruimtestaat[[#This Row],[Ruimte code]],Ruimtegroepen[[#All],[Code]:[Ruimte omschrijving]],2,FALSE)</f>
        <v>Leslokalen</v>
      </c>
      <c r="L347" s="149" t="s">
        <v>99</v>
      </c>
      <c r="M347" s="301" t="s">
        <v>36</v>
      </c>
      <c r="N347" s="177">
        <v>54.6</v>
      </c>
      <c r="O347" s="177"/>
      <c r="P347" s="178" t="str">
        <f>VLOOKUP(Ruimtestaat[[#This Row],[Ruimte code]],Ruimtegroepen[],4,FALSE)</f>
        <v>Le</v>
      </c>
      <c r="Q347" s="149">
        <v>40</v>
      </c>
      <c r="R347" s="149" t="s">
        <v>2</v>
      </c>
      <c r="S347" s="149">
        <f>IF(Q347&gt;0,IF(RIGHT(Ruimtestaat[[#This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7" s="149">
        <f>IF(S347&gt;0,VLOOKUP($J347,Ruimtegroepen[],3,FALSE)*VLOOKUP($L347,Vloersoorten[],3,FALSE)*VLOOKUP($R347,Frequenties[],3,FALSE)*VLOOKUP($A347,Locaties[],3,FALSE),0)</f>
        <v>0</v>
      </c>
      <c r="U347" s="149">
        <f>Ruimtestaat[[#This Row],[Uitvoeringen werkdagen]]*Ruimtestaat[[#This Row],[Oppervlak (netto)]]</f>
        <v>10920</v>
      </c>
      <c r="V347" s="179">
        <f>IF(T347&gt;0,Ruimtestaat[[#This Row],[Prest. (m2 /jaar) werkdagen]]/Ruimtestaat[[#This Row],[Norm (m2/uur) werkdagen]],0)</f>
        <v>0</v>
      </c>
      <c r="W347" s="180">
        <f>Ruimtestaat[[#This Row],[uren / jaar werkdagen]]*Tariefsopbouw!$E$35</f>
        <v>0</v>
      </c>
      <c r="X347" s="149"/>
      <c r="Y347" s="149">
        <f>IF(Ruimtestaat[[#This Row],[Frequentie weekend]]&gt;0,VALUE(LEFT(X347,1))*Q347,0)</f>
        <v>0</v>
      </c>
      <c r="Z347" s="148">
        <f>IF($Y347&gt;0,VLOOKUP($J347,Ruimtegroepen[],3,FALSE)*VLOOKUP($L347,Vloersoorten[],3,FALSE)*VLOOKUP($X347,Frequenties[],3,FALSE)*VLOOKUP(Ruimtestaat[[#This Row],[Code]],Locaties[],3,FALSE),0)</f>
        <v>0</v>
      </c>
      <c r="AA347" s="148">
        <f>Ruimtestaat[[#This Row],[Uitvoeringen weekend]]*Ruimtestaat[[#This Row],[Oppervlak (netto)]]</f>
        <v>0</v>
      </c>
      <c r="AB347" s="148">
        <f>IF(Z347&gt;0,Ruimtestaat[[#This Row],[Prest. (m2 /jaar) weekend]]/Ruimtestaat[[#This Row],[Norm (m2/uur) weekend]],0)</f>
        <v>0</v>
      </c>
      <c r="AC347" s="180">
        <f>Ruimtestaat[[#This Row],[uren / jaar weekend]]*Tariefsopbouw!$D$40</f>
        <v>0</v>
      </c>
      <c r="AD347" s="179">
        <f>Ruimtestaat[[#This Row],[Prest. (m2 /jaar) weekend]]+Ruimtestaat[[#This Row],[Prest. (m2 /jaar) werkdagen]]</f>
        <v>10920</v>
      </c>
      <c r="AE347" s="179">
        <f>Ruimtestaat[[#This Row],[uren / jaar weekend]]+Ruimtestaat[[#This Row],[uren / jaar werkdagen]]</f>
        <v>0</v>
      </c>
      <c r="AF347" s="174">
        <f>Ruimtestaat[[#This Row],[kosten / jaar weekend]]+Ruimtestaat[[#This Row],[kosten / jaar werkdagen]]</f>
        <v>0</v>
      </c>
      <c r="AG347" s="174"/>
      <c r="AH347" s="181" t="str">
        <f>IF(Ruimtestaat[[#This Row],[Frequentie werkdagen]]="","",_xlfn.CONCAT(Ruimtestaat[[#This Row],[Ruimte code]],"-",Ruimtestaat[[#This Row],[Frequentie werkdagen]]," ",Ruimtestaat[[#This Row],[Vloer code]]))</f>
        <v>16-5w T</v>
      </c>
      <c r="AI347" s="185" t="str">
        <f>_xlfn.IFNA(VLOOKUP($AH347,Programma!$F$3:$G$1101,2,0),"")</f>
        <v>3w</v>
      </c>
      <c r="AJ347" s="185" t="str">
        <f>_xlfn.IFNA(VLOOKUP($AH347,Programma!$F$3:$H$1101,3,0),"")</f>
        <v>2w</v>
      </c>
      <c r="AK347" s="185" t="str">
        <f>_xlfn.IFNA(VLOOKUP($AH347,Programma!$F$3:$I$1101,4,0),"")</f>
        <v>_</v>
      </c>
      <c r="AL347" s="185" t="str">
        <f>_xlfn.IFNA(VLOOKUP($AH347,Programma!$F$3:$J$1101,5,0),"")</f>
        <v>_</v>
      </c>
      <c r="AM347" s="185" t="str">
        <f>_xlfn.IFNA(VLOOKUP($AH347,Programma!$F$3:$K$1101,6,0),"")</f>
        <v>_</v>
      </c>
      <c r="AN347" s="185" t="str">
        <f>_xlfn.IFNA(VLOOKUP($AH347,Programma!$F$3:$L$1101,7,0),"")</f>
        <v>_</v>
      </c>
      <c r="AO347" s="185" t="str">
        <f>_xlfn.IFNA(VLOOKUP($AH347,Programma!$F$3:$M$1101,8,0),"")</f>
        <v>_</v>
      </c>
      <c r="AP347" s="185" t="str">
        <f>_xlfn.IFNA(VLOOKUP($AH347,Programma!$F$3:$N$1101,9,0),"")</f>
        <v>_</v>
      </c>
      <c r="AQ347" s="185" t="str">
        <f>_xlfn.IFNA(VLOOKUP($AH347,Programma!$F$3:$O$1101,10,0),"")</f>
        <v>5w</v>
      </c>
      <c r="AR347" s="185" t="str">
        <f>_xlfn.IFNA(VLOOKUP($AH347,Programma!$F$3:$P$1101,11,0),"")</f>
        <v>5w</v>
      </c>
      <c r="AS347" s="185" t="str">
        <f>_xlfn.IFNA(VLOOKUP($AH347,Programma!$F$3:$Q$1101,12,0),"")</f>
        <v>1w</v>
      </c>
      <c r="AT347" s="185" t="str">
        <f>_xlfn.IFNA(VLOOKUP($AH347,Programma!$F$3:$R$1101,13,0),"")</f>
        <v>1w</v>
      </c>
      <c r="AU347" s="185" t="str">
        <f>_xlfn.IFNA(VLOOKUP($AH347,Programma!$F$3:$S$1101,14,0),"")</f>
        <v>1m</v>
      </c>
      <c r="AV347" s="185" t="str">
        <f>_xlfn.IFNA(VLOOKUP($AH347,Programma!$F$3:$T$1101,15,0),"")</f>
        <v>2j</v>
      </c>
      <c r="AW347" s="185" t="str">
        <f>_xlfn.IFNA(VLOOKUP($AH347,Programma!$F$3:$U$1101,16,0),"")</f>
        <v>1j</v>
      </c>
      <c r="AX347" s="185" t="str">
        <f>_xlfn.IFNA(VLOOKUP($AH347,Programma!$F$3:$V$1101,17,0),"")</f>
        <v>_</v>
      </c>
      <c r="AY347" s="185" t="str">
        <f>_xlfn.IFNA(VLOOKUP($AH347,Programma!$F$3:$W$1101,18,0),"")</f>
        <v>_</v>
      </c>
      <c r="AZ347" s="185" t="str">
        <f>_xlfn.IFNA(VLOOKUP($AH347,Programma!$F$3:$X$1101,19,0),"")</f>
        <v>_</v>
      </c>
      <c r="BA347" s="185" t="str">
        <f>_xlfn.IFNA(VLOOKUP($AH347,Programma!$F$3:$Y$1101,20,0),"")</f>
        <v>_</v>
      </c>
      <c r="BB347" s="182"/>
      <c r="BC347" s="181" t="str">
        <f>IF(Ruimtestaat[[#This Row],[Frequentie weekend]]="","",_xlfn.CONCAT(Ruimtestaat[[#This Row],[Ruimte code]],"-",Ruimtestaat[[#This Row],[Frequentie weekend]]," ",Ruimtestaat[[#This Row],[Vloer code]]))</f>
        <v/>
      </c>
      <c r="BD347" s="185" t="str">
        <f>_xlfn.IFNA(VLOOKUP($BC347,Programma!$F$3:$G$1101,2,0),"")</f>
        <v/>
      </c>
      <c r="BE347" s="185" t="str">
        <f>_xlfn.IFNA(VLOOKUP($BC347,Programma!$F$3:$H$1101,3,0),"")</f>
        <v/>
      </c>
      <c r="BF347" s="185" t="str">
        <f>_xlfn.IFNA(VLOOKUP($BC347,Programma!$F$3:$I$1101,4,0),"")</f>
        <v/>
      </c>
      <c r="BG347" s="185" t="str">
        <f>_xlfn.IFNA(VLOOKUP($BC347,Programma!$F$3:$J$1101,5,0),"")</f>
        <v/>
      </c>
      <c r="BH347" s="185" t="str">
        <f>_xlfn.IFNA(VLOOKUP($BC347,Programma!$F$3:$K$1101,6,0),"")</f>
        <v/>
      </c>
      <c r="BI347" s="185" t="str">
        <f>_xlfn.IFNA(VLOOKUP($BC347,Programma!$F$3:$L$1101,7,0),"")</f>
        <v/>
      </c>
      <c r="BJ347" s="185" t="str">
        <f>_xlfn.IFNA(VLOOKUP($BC347,Programma!$F$3:$M$1101,8,0),"")</f>
        <v/>
      </c>
      <c r="BK347" s="185" t="str">
        <f>_xlfn.IFNA(VLOOKUP($BC347,Programma!$F$3:$N$1101,9,0),"")</f>
        <v/>
      </c>
      <c r="BL347" s="185" t="str">
        <f>_xlfn.IFNA(VLOOKUP($BC347,Programma!$F$3:$O$1101,10,0),"")</f>
        <v/>
      </c>
      <c r="BM347" s="185" t="str">
        <f>_xlfn.IFNA(VLOOKUP($BC347,Programma!$F$3:$P$1101,11,0),"")</f>
        <v/>
      </c>
      <c r="BN347" s="185" t="str">
        <f>_xlfn.IFNA(VLOOKUP($BC347,Programma!$F$3:$Q$1101,12,0),"")</f>
        <v/>
      </c>
      <c r="BO347" s="185" t="str">
        <f>_xlfn.IFNA(VLOOKUP($BC347,Programma!$F$3:$R$1101,13,0),"")</f>
        <v/>
      </c>
      <c r="BP347" s="185" t="str">
        <f>_xlfn.IFNA(VLOOKUP($BC347,Programma!$F$3:$S$1101,14,0),"")</f>
        <v/>
      </c>
      <c r="BQ347" s="185" t="str">
        <f>_xlfn.IFNA(VLOOKUP($BC347,Programma!$F$3:$T$1101,15,0),"")</f>
        <v/>
      </c>
      <c r="BR347" s="185" t="str">
        <f>_xlfn.IFNA(VLOOKUP($BC347,Programma!$F$3:$U$1101,16,0),"")</f>
        <v/>
      </c>
      <c r="BS347" s="185" t="str">
        <f>_xlfn.IFNA(VLOOKUP($BC347,Programma!$F$3:$V$1101,17,0),"")</f>
        <v/>
      </c>
      <c r="BT347" s="185" t="str">
        <f>_xlfn.IFNA(VLOOKUP($BC347,Programma!$F$3:$W$1101,18,0),"")</f>
        <v/>
      </c>
      <c r="BU347" s="185" t="str">
        <f>_xlfn.IFNA(VLOOKUP($BC347,Programma!$F$3:$X$1101,19,0),"")</f>
        <v/>
      </c>
      <c r="BV347" s="185" t="str">
        <f>_xlfn.IFNA(VLOOKUP($BC347,Programma!$F$3:$Y$1101,20,0),"")</f>
        <v/>
      </c>
    </row>
    <row r="348" spans="1:74" s="78" customFormat="1" ht="15" customHeight="1">
      <c r="A348" s="99">
        <v>11</v>
      </c>
      <c r="B348" s="176" t="str">
        <f>VLOOKUP(Ruimtestaat[[#This Row],[Code]],Locaties[[Code]:[Locatie]],2,FALSE)</f>
        <v>OMBS De Wielerbaan</v>
      </c>
      <c r="C348" s="176" t="str">
        <f>VLOOKUP(Ruimtestaat[[#This Row],[Code]],Locaties[[#All],[Code]:[Adres]],4,FALSE)</f>
        <v>Batshoek 5</v>
      </c>
      <c r="D348" s="176" t="str">
        <f>VLOOKUP(Ruimtestaat[[#This Row],[Code]],Locaties[[#All],[Code]:[Postcode]],5,FALSE)</f>
        <v>7546 LC</v>
      </c>
      <c r="E348" s="176" t="str">
        <f>VLOOKUP(Ruimtestaat[[#This Row],[Code]],Locaties[#All],6,FALSE)</f>
        <v>Enschede</v>
      </c>
      <c r="F348" s="183"/>
      <c r="G348" s="99" t="s">
        <v>1646</v>
      </c>
      <c r="H348" s="99" t="s">
        <v>1654</v>
      </c>
      <c r="I348" s="183" t="s">
        <v>38</v>
      </c>
      <c r="J348" s="99">
        <v>7</v>
      </c>
      <c r="K348" s="183" t="str">
        <f>VLOOKUP(Ruimtestaat[[#This Row],[Ruimte code]],Ruimtegroepen[[#All],[Code]:[Ruimte omschrijving]],2,FALSE)</f>
        <v>Entree</v>
      </c>
      <c r="L348" s="149" t="s">
        <v>100</v>
      </c>
      <c r="M348" s="301" t="s">
        <v>1697</v>
      </c>
      <c r="N348" s="177">
        <v>5.5</v>
      </c>
      <c r="O348" s="177"/>
      <c r="P348" s="178" t="str">
        <f>VLOOKUP(Ruimtestaat[[#This Row],[Ruimte code]],Ruimtegroepen[],4,FALSE)</f>
        <v>Ve</v>
      </c>
      <c r="Q348" s="149">
        <v>40</v>
      </c>
      <c r="R348" s="149" t="s">
        <v>2</v>
      </c>
      <c r="S348" s="149">
        <f>IF(Q348&gt;0,IF(RIGHT(Ruimtestaat[[#This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8" s="149">
        <f>IF(S348&gt;0,VLOOKUP($J348,Ruimtegroepen[],3,FALSE)*VLOOKUP($L348,Vloersoorten[],3,FALSE)*VLOOKUP($R348,Frequenties[],3,FALSE)*VLOOKUP($A348,Locaties[],3,FALSE),0)</f>
        <v>0</v>
      </c>
      <c r="U348" s="149">
        <f>Ruimtestaat[[#This Row],[Uitvoeringen werkdagen]]*Ruimtestaat[[#This Row],[Oppervlak (netto)]]</f>
        <v>1100</v>
      </c>
      <c r="V348" s="179">
        <f>IF(T348&gt;0,Ruimtestaat[[#This Row],[Prest. (m2 /jaar) werkdagen]]/Ruimtestaat[[#This Row],[Norm (m2/uur) werkdagen]],0)</f>
        <v>0</v>
      </c>
      <c r="W348" s="180">
        <f>Ruimtestaat[[#This Row],[uren / jaar werkdagen]]*Tariefsopbouw!$E$35</f>
        <v>0</v>
      </c>
      <c r="X348" s="149"/>
      <c r="Y348" s="149">
        <f>IF(Ruimtestaat[[#This Row],[Frequentie weekend]]&gt;0,VALUE(LEFT(X348,1))*Q348,0)</f>
        <v>0</v>
      </c>
      <c r="Z348" s="148">
        <f>IF($Y348&gt;0,VLOOKUP($J348,Ruimtegroepen[],3,FALSE)*VLOOKUP($L348,Vloersoorten[],3,FALSE)*VLOOKUP($X348,Frequenties[],3,FALSE)*VLOOKUP(Ruimtestaat[[#This Row],[Code]],Locaties[],3,FALSE),0)</f>
        <v>0</v>
      </c>
      <c r="AA348" s="148">
        <f>Ruimtestaat[[#This Row],[Uitvoeringen weekend]]*Ruimtestaat[[#This Row],[Oppervlak (netto)]]</f>
        <v>0</v>
      </c>
      <c r="AB348" s="148">
        <f>IF(Z348&gt;0,Ruimtestaat[[#This Row],[Prest. (m2 /jaar) weekend]]/Ruimtestaat[[#This Row],[Norm (m2/uur) weekend]],0)</f>
        <v>0</v>
      </c>
      <c r="AC348" s="180">
        <f>Ruimtestaat[[#This Row],[uren / jaar weekend]]*Tariefsopbouw!$D$40</f>
        <v>0</v>
      </c>
      <c r="AD348" s="179">
        <f>Ruimtestaat[[#This Row],[Prest. (m2 /jaar) weekend]]+Ruimtestaat[[#This Row],[Prest. (m2 /jaar) werkdagen]]</f>
        <v>1100</v>
      </c>
      <c r="AE348" s="179">
        <f>Ruimtestaat[[#This Row],[uren / jaar weekend]]+Ruimtestaat[[#This Row],[uren / jaar werkdagen]]</f>
        <v>0</v>
      </c>
      <c r="AF348" s="174">
        <f>Ruimtestaat[[#This Row],[kosten / jaar weekend]]+Ruimtestaat[[#This Row],[kosten / jaar werkdagen]]</f>
        <v>0</v>
      </c>
      <c r="AG348" s="174"/>
      <c r="AH348" s="181" t="str">
        <f>IF(Ruimtestaat[[#This Row],[Frequentie werkdagen]]="","",_xlfn.CONCAT(Ruimtestaat[[#This Row],[Ruimte code]],"-",Ruimtestaat[[#This Row],[Frequentie werkdagen]]," ",Ruimtestaat[[#This Row],[Vloer code]]))</f>
        <v>7-5w L</v>
      </c>
      <c r="AI348" s="185" t="str">
        <f>_xlfn.IFNA(VLOOKUP($AH348,Programma!$F$3:$G$1101,2,0),"")</f>
        <v>_</v>
      </c>
      <c r="AJ348" s="185" t="str">
        <f>_xlfn.IFNA(VLOOKUP($AH348,Programma!$F$3:$H$1101,3,0),"")</f>
        <v>_</v>
      </c>
      <c r="AK348" s="185" t="str">
        <f>_xlfn.IFNA(VLOOKUP($AH348,Programma!$F$3:$I$1101,4,0),"")</f>
        <v>_</v>
      </c>
      <c r="AL348" s="185" t="str">
        <f>_xlfn.IFNA(VLOOKUP($AH348,Programma!$F$3:$J$1101,5,0),"")</f>
        <v>5w</v>
      </c>
      <c r="AM348" s="185" t="str">
        <f>_xlfn.IFNA(VLOOKUP($AH348,Programma!$F$3:$K$1101,6,0),"")</f>
        <v>_</v>
      </c>
      <c r="AN348" s="185" t="str">
        <f>_xlfn.IFNA(VLOOKUP($AH348,Programma!$F$3:$L$1101,7,0),"")</f>
        <v>_</v>
      </c>
      <c r="AO348" s="185" t="str">
        <f>_xlfn.IFNA(VLOOKUP($AH348,Programma!$F$3:$M$1101,8,0),"")</f>
        <v>_</v>
      </c>
      <c r="AP348" s="185" t="str">
        <f>_xlfn.IFNA(VLOOKUP($AH348,Programma!$F$3:$N$1101,9,0),"")</f>
        <v>_</v>
      </c>
      <c r="AQ348" s="185" t="str">
        <f>_xlfn.IFNA(VLOOKUP($AH348,Programma!$F$3:$O$1101,10,0),"")</f>
        <v>5w</v>
      </c>
      <c r="AR348" s="185" t="str">
        <f>_xlfn.IFNA(VLOOKUP($AH348,Programma!$F$3:$P$1101,11,0),"")</f>
        <v>5w</v>
      </c>
      <c r="AS348" s="185" t="str">
        <f>_xlfn.IFNA(VLOOKUP($AH348,Programma!$F$3:$Q$1101,12,0),"")</f>
        <v>1w</v>
      </c>
      <c r="AT348" s="185" t="str">
        <f>_xlfn.IFNA(VLOOKUP($AH348,Programma!$F$3:$R$1101,13,0),"")</f>
        <v>1w</v>
      </c>
      <c r="AU348" s="185" t="str">
        <f>_xlfn.IFNA(VLOOKUP($AH348,Programma!$F$3:$S$1101,14,0),"")</f>
        <v>1m</v>
      </c>
      <c r="AV348" s="185" t="str">
        <f>_xlfn.IFNA(VLOOKUP($AH348,Programma!$F$3:$T$1101,15,0),"")</f>
        <v>2j</v>
      </c>
      <c r="AW348" s="185" t="str">
        <f>_xlfn.IFNA(VLOOKUP($AH348,Programma!$F$3:$U$1101,16,0),"")</f>
        <v>1j</v>
      </c>
      <c r="AX348" s="185" t="str">
        <f>_xlfn.IFNA(VLOOKUP($AH348,Programma!$F$3:$V$1101,17,0),"")</f>
        <v>_</v>
      </c>
      <c r="AY348" s="185" t="str">
        <f>_xlfn.IFNA(VLOOKUP($AH348,Programma!$F$3:$W$1101,18,0),"")</f>
        <v>_</v>
      </c>
      <c r="AZ348" s="185" t="str">
        <f>_xlfn.IFNA(VLOOKUP($AH348,Programma!$F$3:$X$1101,19,0),"")</f>
        <v>_</v>
      </c>
      <c r="BA348" s="185" t="str">
        <f>_xlfn.IFNA(VLOOKUP($AH348,Programma!$F$3:$Y$1101,20,0),"")</f>
        <v>_</v>
      </c>
      <c r="BB348" s="182"/>
      <c r="BC348" s="181" t="str">
        <f>IF(Ruimtestaat[[#This Row],[Frequentie weekend]]="","",_xlfn.CONCAT(Ruimtestaat[[#This Row],[Ruimte code]],"-",Ruimtestaat[[#This Row],[Frequentie weekend]]," ",Ruimtestaat[[#This Row],[Vloer code]]))</f>
        <v/>
      </c>
      <c r="BD348" s="185" t="str">
        <f>_xlfn.IFNA(VLOOKUP($BC348,Programma!$F$3:$G$1101,2,0),"")</f>
        <v/>
      </c>
      <c r="BE348" s="185" t="str">
        <f>_xlfn.IFNA(VLOOKUP($BC348,Programma!$F$3:$H$1101,3,0),"")</f>
        <v/>
      </c>
      <c r="BF348" s="185" t="str">
        <f>_xlfn.IFNA(VLOOKUP($BC348,Programma!$F$3:$I$1101,4,0),"")</f>
        <v/>
      </c>
      <c r="BG348" s="185" t="str">
        <f>_xlfn.IFNA(VLOOKUP($BC348,Programma!$F$3:$J$1101,5,0),"")</f>
        <v/>
      </c>
      <c r="BH348" s="185" t="str">
        <f>_xlfn.IFNA(VLOOKUP($BC348,Programma!$F$3:$K$1101,6,0),"")</f>
        <v/>
      </c>
      <c r="BI348" s="185" t="str">
        <f>_xlfn.IFNA(VLOOKUP($BC348,Programma!$F$3:$L$1101,7,0),"")</f>
        <v/>
      </c>
      <c r="BJ348" s="185" t="str">
        <f>_xlfn.IFNA(VLOOKUP($BC348,Programma!$F$3:$M$1101,8,0),"")</f>
        <v/>
      </c>
      <c r="BK348" s="185" t="str">
        <f>_xlfn.IFNA(VLOOKUP($BC348,Programma!$F$3:$N$1101,9,0),"")</f>
        <v/>
      </c>
      <c r="BL348" s="185" t="str">
        <f>_xlfn.IFNA(VLOOKUP($BC348,Programma!$F$3:$O$1101,10,0),"")</f>
        <v/>
      </c>
      <c r="BM348" s="185" t="str">
        <f>_xlfn.IFNA(VLOOKUP($BC348,Programma!$F$3:$P$1101,11,0),"")</f>
        <v/>
      </c>
      <c r="BN348" s="185" t="str">
        <f>_xlfn.IFNA(VLOOKUP($BC348,Programma!$F$3:$Q$1101,12,0),"")</f>
        <v/>
      </c>
      <c r="BO348" s="185" t="str">
        <f>_xlfn.IFNA(VLOOKUP($BC348,Programma!$F$3:$R$1101,13,0),"")</f>
        <v/>
      </c>
      <c r="BP348" s="185" t="str">
        <f>_xlfn.IFNA(VLOOKUP($BC348,Programma!$F$3:$S$1101,14,0),"")</f>
        <v/>
      </c>
      <c r="BQ348" s="185" t="str">
        <f>_xlfn.IFNA(VLOOKUP($BC348,Programma!$F$3:$T$1101,15,0),"")</f>
        <v/>
      </c>
      <c r="BR348" s="185" t="str">
        <f>_xlfn.IFNA(VLOOKUP($BC348,Programma!$F$3:$U$1101,16,0),"")</f>
        <v/>
      </c>
      <c r="BS348" s="185" t="str">
        <f>_xlfn.IFNA(VLOOKUP($BC348,Programma!$F$3:$V$1101,17,0),"")</f>
        <v/>
      </c>
      <c r="BT348" s="185" t="str">
        <f>_xlfn.IFNA(VLOOKUP($BC348,Programma!$F$3:$W$1101,18,0),"")</f>
        <v/>
      </c>
      <c r="BU348" s="185" t="str">
        <f>_xlfn.IFNA(VLOOKUP($BC348,Programma!$F$3:$X$1101,19,0),"")</f>
        <v/>
      </c>
      <c r="BV348" s="185" t="str">
        <f>_xlfn.IFNA(VLOOKUP($BC348,Programma!$F$3:$Y$1101,20,0),"")</f>
        <v/>
      </c>
    </row>
    <row r="349" spans="1:74" s="78" customFormat="1" ht="15" customHeight="1">
      <c r="A349" s="99">
        <v>11</v>
      </c>
      <c r="B349" s="176" t="str">
        <f>VLOOKUP(Ruimtestaat[[#This Row],[Code]],Locaties[[Code]:[Locatie]],2,FALSE)</f>
        <v>OMBS De Wielerbaan</v>
      </c>
      <c r="C349" s="176" t="str">
        <f>VLOOKUP(Ruimtestaat[[#This Row],[Code]],Locaties[[#All],[Code]:[Adres]],4,FALSE)</f>
        <v>Batshoek 5</v>
      </c>
      <c r="D349" s="176" t="str">
        <f>VLOOKUP(Ruimtestaat[[#This Row],[Code]],Locaties[[#All],[Code]:[Postcode]],5,FALSE)</f>
        <v>7546 LC</v>
      </c>
      <c r="E349" s="176" t="str">
        <f>VLOOKUP(Ruimtestaat[[#This Row],[Code]],Locaties[#All],6,FALSE)</f>
        <v>Enschede</v>
      </c>
      <c r="F349" s="183"/>
      <c r="G349" s="99" t="s">
        <v>1646</v>
      </c>
      <c r="H349" s="99" t="s">
        <v>1656</v>
      </c>
      <c r="I349" s="183" t="s">
        <v>1649</v>
      </c>
      <c r="J349" s="99">
        <v>2</v>
      </c>
      <c r="K349" s="183" t="str">
        <f>VLOOKUP(Ruimtestaat[[#This Row],[Ruimte code]],Ruimtegroepen[[#All],[Code]:[Ruimte omschrijving]],2,FALSE)</f>
        <v>Kantoren</v>
      </c>
      <c r="L349" s="149" t="s">
        <v>99</v>
      </c>
      <c r="M349" s="301" t="s">
        <v>36</v>
      </c>
      <c r="N349" s="177">
        <v>18.7</v>
      </c>
      <c r="O349" s="177"/>
      <c r="P349" s="178" t="str">
        <f>VLOOKUP(Ruimtestaat[[#This Row],[Ruimte code]],Ruimtegroepen[],4,FALSE)</f>
        <v>Bu</v>
      </c>
      <c r="Q349" s="149">
        <v>40</v>
      </c>
      <c r="R349" s="149" t="s">
        <v>18</v>
      </c>
      <c r="S349" s="149">
        <f>IF(Q349&gt;0,IF(RIGHT(Ruimtestaat[[#This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49" s="149">
        <f>IF(S349&gt;0,VLOOKUP($J349,Ruimtegroepen[],3,FALSE)*VLOOKUP($L349,Vloersoorten[],3,FALSE)*VLOOKUP($R349,Frequenties[],3,FALSE)*VLOOKUP($A349,Locaties[],3,FALSE),0)</f>
        <v>0</v>
      </c>
      <c r="U349" s="149">
        <f>Ruimtestaat[[#This Row],[Uitvoeringen werkdagen]]*Ruimtestaat[[#This Row],[Oppervlak (netto)]]</f>
        <v>2244</v>
      </c>
      <c r="V349" s="179">
        <f>IF(T349&gt;0,Ruimtestaat[[#This Row],[Prest. (m2 /jaar) werkdagen]]/Ruimtestaat[[#This Row],[Norm (m2/uur) werkdagen]],0)</f>
        <v>0</v>
      </c>
      <c r="W349" s="180">
        <f>Ruimtestaat[[#This Row],[uren / jaar werkdagen]]*Tariefsopbouw!$E$35</f>
        <v>0</v>
      </c>
      <c r="X349" s="149"/>
      <c r="Y349" s="149">
        <f>IF(Ruimtestaat[[#This Row],[Frequentie weekend]]&gt;0,VALUE(LEFT(X349,1))*Q349,0)</f>
        <v>0</v>
      </c>
      <c r="Z349" s="148">
        <f>IF($Y349&gt;0,VLOOKUP($J349,Ruimtegroepen[],3,FALSE)*VLOOKUP($L349,Vloersoorten[],3,FALSE)*VLOOKUP($X349,Frequenties[],3,FALSE)*VLOOKUP(Ruimtestaat[[#This Row],[Code]],Locaties[],3,FALSE),0)</f>
        <v>0</v>
      </c>
      <c r="AA349" s="148">
        <f>Ruimtestaat[[#This Row],[Uitvoeringen weekend]]*Ruimtestaat[[#This Row],[Oppervlak (netto)]]</f>
        <v>0</v>
      </c>
      <c r="AB349" s="148">
        <f>IF(Z349&gt;0,Ruimtestaat[[#This Row],[Prest. (m2 /jaar) weekend]]/Ruimtestaat[[#This Row],[Norm (m2/uur) weekend]],0)</f>
        <v>0</v>
      </c>
      <c r="AC349" s="180">
        <f>Ruimtestaat[[#This Row],[uren / jaar weekend]]*Tariefsopbouw!$D$40</f>
        <v>0</v>
      </c>
      <c r="AD349" s="179">
        <f>Ruimtestaat[[#This Row],[Prest. (m2 /jaar) weekend]]+Ruimtestaat[[#This Row],[Prest. (m2 /jaar) werkdagen]]</f>
        <v>2244</v>
      </c>
      <c r="AE349" s="179">
        <f>Ruimtestaat[[#This Row],[uren / jaar weekend]]+Ruimtestaat[[#This Row],[uren / jaar werkdagen]]</f>
        <v>0</v>
      </c>
      <c r="AF349" s="174">
        <f>Ruimtestaat[[#This Row],[kosten / jaar weekend]]+Ruimtestaat[[#This Row],[kosten / jaar werkdagen]]</f>
        <v>0</v>
      </c>
      <c r="AG349" s="174"/>
      <c r="AH349" s="181" t="str">
        <f>IF(Ruimtestaat[[#This Row],[Frequentie werkdagen]]="","",_xlfn.CONCAT(Ruimtestaat[[#This Row],[Ruimte code]],"-",Ruimtestaat[[#This Row],[Frequentie werkdagen]]," ",Ruimtestaat[[#This Row],[Vloer code]]))</f>
        <v>2-3w T</v>
      </c>
      <c r="AI349" s="185" t="str">
        <f>_xlfn.IFNA(VLOOKUP($AH349,Programma!$F$3:$G$1101,2,0),"")</f>
        <v>2w</v>
      </c>
      <c r="AJ349" s="185" t="str">
        <f>_xlfn.IFNA(VLOOKUP($AH349,Programma!$F$3:$H$1101,3,0),"")</f>
        <v>1w</v>
      </c>
      <c r="AK349" s="185" t="str">
        <f>_xlfn.IFNA(VLOOKUP($AH349,Programma!$F$3:$I$1101,4,0),"")</f>
        <v>_</v>
      </c>
      <c r="AL349" s="185" t="str">
        <f>_xlfn.IFNA(VLOOKUP($AH349,Programma!$F$3:$J$1101,5,0),"")</f>
        <v>_</v>
      </c>
      <c r="AM349" s="185" t="str">
        <f>_xlfn.IFNA(VLOOKUP($AH349,Programma!$F$3:$K$1101,6,0),"")</f>
        <v>_</v>
      </c>
      <c r="AN349" s="185" t="str">
        <f>_xlfn.IFNA(VLOOKUP($AH349,Programma!$F$3:$L$1101,7,0),"")</f>
        <v>_</v>
      </c>
      <c r="AO349" s="185" t="str">
        <f>_xlfn.IFNA(VLOOKUP($AH349,Programma!$F$3:$M$1101,8,0),"")</f>
        <v>_</v>
      </c>
      <c r="AP349" s="185" t="str">
        <f>_xlfn.IFNA(VLOOKUP($AH349,Programma!$F$3:$N$1101,9,0),"")</f>
        <v>_</v>
      </c>
      <c r="AQ349" s="185" t="str">
        <f>_xlfn.IFNA(VLOOKUP($AH349,Programma!$F$3:$O$1101,10,0),"")</f>
        <v>3w</v>
      </c>
      <c r="AR349" s="185" t="str">
        <f>_xlfn.IFNA(VLOOKUP($AH349,Programma!$F$3:$P$1101,11,0),"")</f>
        <v>3w</v>
      </c>
      <c r="AS349" s="185" t="str">
        <f>_xlfn.IFNA(VLOOKUP($AH349,Programma!$F$3:$Q$1101,12,0),"")</f>
        <v>1w</v>
      </c>
      <c r="AT349" s="185" t="str">
        <f>_xlfn.IFNA(VLOOKUP($AH349,Programma!$F$3:$R$1101,13,0),"")</f>
        <v>1w</v>
      </c>
      <c r="AU349" s="185" t="str">
        <f>_xlfn.IFNA(VLOOKUP($AH349,Programma!$F$3:$S$1101,14,0),"")</f>
        <v>1m</v>
      </c>
      <c r="AV349" s="185" t="str">
        <f>_xlfn.IFNA(VLOOKUP($AH349,Programma!$F$3:$T$1101,15,0),"")</f>
        <v>2j</v>
      </c>
      <c r="AW349" s="185" t="str">
        <f>_xlfn.IFNA(VLOOKUP($AH349,Programma!$F$3:$U$1101,16,0),"")</f>
        <v>1j</v>
      </c>
      <c r="AX349" s="185" t="str">
        <f>_xlfn.IFNA(VLOOKUP($AH349,Programma!$F$3:$V$1101,17,0),"")</f>
        <v>_</v>
      </c>
      <c r="AY349" s="185" t="str">
        <f>_xlfn.IFNA(VLOOKUP($AH349,Programma!$F$3:$W$1101,18,0),"")</f>
        <v>_</v>
      </c>
      <c r="AZ349" s="185" t="str">
        <f>_xlfn.IFNA(VLOOKUP($AH349,Programma!$F$3:$X$1101,19,0),"")</f>
        <v>_</v>
      </c>
      <c r="BA349" s="185" t="str">
        <f>_xlfn.IFNA(VLOOKUP($AH349,Programma!$F$3:$Y$1101,20,0),"")</f>
        <v>_</v>
      </c>
      <c r="BB349" s="182"/>
      <c r="BC349" s="181" t="str">
        <f>IF(Ruimtestaat[[#This Row],[Frequentie weekend]]="","",_xlfn.CONCAT(Ruimtestaat[[#This Row],[Ruimte code]],"-",Ruimtestaat[[#This Row],[Frequentie weekend]]," ",Ruimtestaat[[#This Row],[Vloer code]]))</f>
        <v/>
      </c>
      <c r="BD349" s="185" t="str">
        <f>_xlfn.IFNA(VLOOKUP($BC349,Programma!$F$3:$G$1101,2,0),"")</f>
        <v/>
      </c>
      <c r="BE349" s="185" t="str">
        <f>_xlfn.IFNA(VLOOKUP($BC349,Programma!$F$3:$H$1101,3,0),"")</f>
        <v/>
      </c>
      <c r="BF349" s="185" t="str">
        <f>_xlfn.IFNA(VLOOKUP($BC349,Programma!$F$3:$I$1101,4,0),"")</f>
        <v/>
      </c>
      <c r="BG349" s="185" t="str">
        <f>_xlfn.IFNA(VLOOKUP($BC349,Programma!$F$3:$J$1101,5,0),"")</f>
        <v/>
      </c>
      <c r="BH349" s="185" t="str">
        <f>_xlfn.IFNA(VLOOKUP($BC349,Programma!$F$3:$K$1101,6,0),"")</f>
        <v/>
      </c>
      <c r="BI349" s="185" t="str">
        <f>_xlfn.IFNA(VLOOKUP($BC349,Programma!$F$3:$L$1101,7,0),"")</f>
        <v/>
      </c>
      <c r="BJ349" s="185" t="str">
        <f>_xlfn.IFNA(VLOOKUP($BC349,Programma!$F$3:$M$1101,8,0),"")</f>
        <v/>
      </c>
      <c r="BK349" s="185" t="str">
        <f>_xlfn.IFNA(VLOOKUP($BC349,Programma!$F$3:$N$1101,9,0),"")</f>
        <v/>
      </c>
      <c r="BL349" s="185" t="str">
        <f>_xlfn.IFNA(VLOOKUP($BC349,Programma!$F$3:$O$1101,10,0),"")</f>
        <v/>
      </c>
      <c r="BM349" s="185" t="str">
        <f>_xlfn.IFNA(VLOOKUP($BC349,Programma!$F$3:$P$1101,11,0),"")</f>
        <v/>
      </c>
      <c r="BN349" s="185" t="str">
        <f>_xlfn.IFNA(VLOOKUP($BC349,Programma!$F$3:$Q$1101,12,0),"")</f>
        <v/>
      </c>
      <c r="BO349" s="185" t="str">
        <f>_xlfn.IFNA(VLOOKUP($BC349,Programma!$F$3:$R$1101,13,0),"")</f>
        <v/>
      </c>
      <c r="BP349" s="185" t="str">
        <f>_xlfn.IFNA(VLOOKUP($BC349,Programma!$F$3:$S$1101,14,0),"")</f>
        <v/>
      </c>
      <c r="BQ349" s="185" t="str">
        <f>_xlfn.IFNA(VLOOKUP($BC349,Programma!$F$3:$T$1101,15,0),"")</f>
        <v/>
      </c>
      <c r="BR349" s="185" t="str">
        <f>_xlfn.IFNA(VLOOKUP($BC349,Programma!$F$3:$U$1101,16,0),"")</f>
        <v/>
      </c>
      <c r="BS349" s="185" t="str">
        <f>_xlfn.IFNA(VLOOKUP($BC349,Programma!$F$3:$V$1101,17,0),"")</f>
        <v/>
      </c>
      <c r="BT349" s="185" t="str">
        <f>_xlfn.IFNA(VLOOKUP($BC349,Programma!$F$3:$W$1101,18,0),"")</f>
        <v/>
      </c>
      <c r="BU349" s="185" t="str">
        <f>_xlfn.IFNA(VLOOKUP($BC349,Programma!$F$3:$X$1101,19,0),"")</f>
        <v/>
      </c>
      <c r="BV349" s="185" t="str">
        <f>_xlfn.IFNA(VLOOKUP($BC349,Programma!$F$3:$Y$1101,20,0),"")</f>
        <v/>
      </c>
    </row>
    <row r="350" spans="1:74" s="78" customFormat="1" ht="15" customHeight="1">
      <c r="A350" s="99">
        <v>11</v>
      </c>
      <c r="B350" s="176" t="str">
        <f>VLOOKUP(Ruimtestaat[[#This Row],[Code]],Locaties[[Code]:[Locatie]],2,FALSE)</f>
        <v>OMBS De Wielerbaan</v>
      </c>
      <c r="C350" s="176" t="str">
        <f>VLOOKUP(Ruimtestaat[[#This Row],[Code]],Locaties[[#All],[Code]:[Adres]],4,FALSE)</f>
        <v>Batshoek 5</v>
      </c>
      <c r="D350" s="176" t="str">
        <f>VLOOKUP(Ruimtestaat[[#This Row],[Code]],Locaties[[#All],[Code]:[Postcode]],5,FALSE)</f>
        <v>7546 LC</v>
      </c>
      <c r="E350" s="176" t="str">
        <f>VLOOKUP(Ruimtestaat[[#This Row],[Code]],Locaties[#All],6,FALSE)</f>
        <v>Enschede</v>
      </c>
      <c r="F350" s="183"/>
      <c r="G350" s="99" t="s">
        <v>1646</v>
      </c>
      <c r="H350" s="99" t="s">
        <v>1657</v>
      </c>
      <c r="I350" s="183" t="s">
        <v>1683</v>
      </c>
      <c r="J350" s="99">
        <v>20</v>
      </c>
      <c r="K350" s="183" t="str">
        <f>VLOOKUP(Ruimtestaat[[#This Row],[Ruimte code]],Ruimtegroepen[[#All],[Code]:[Ruimte omschrijving]],2,FALSE)</f>
        <v>Niet in Onderhoud</v>
      </c>
      <c r="L350" s="149"/>
      <c r="M350" s="301"/>
      <c r="N350" s="177"/>
      <c r="O350" s="177"/>
      <c r="P350" s="178">
        <f>VLOOKUP(Ruimtestaat[[#This Row],[Ruimte code]],Ruimtegroepen[],4,FALSE)</f>
        <v>0</v>
      </c>
      <c r="Q350" s="149"/>
      <c r="R350" s="149"/>
      <c r="S350" s="149">
        <f>IF(Q350&gt;0,IF(RIGHT(Ruimtestaat[[#This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0" s="149">
        <f>IF(S350&gt;0,VLOOKUP($J350,Ruimtegroepen[],3,FALSE)*VLOOKUP($L350,Vloersoorten[],3,FALSE)*VLOOKUP($R350,Frequenties[],3,FALSE)*VLOOKUP($A350,Locaties[],3,FALSE),0)</f>
        <v>0</v>
      </c>
      <c r="U350" s="149">
        <f>Ruimtestaat[[#This Row],[Uitvoeringen werkdagen]]*Ruimtestaat[[#This Row],[Oppervlak (netto)]]</f>
        <v>0</v>
      </c>
      <c r="V350" s="179">
        <f>IF(T350&gt;0,Ruimtestaat[[#This Row],[Prest. (m2 /jaar) werkdagen]]/Ruimtestaat[[#This Row],[Norm (m2/uur) werkdagen]],0)</f>
        <v>0</v>
      </c>
      <c r="W350" s="180">
        <f>Ruimtestaat[[#This Row],[uren / jaar werkdagen]]*Tariefsopbouw!$E$35</f>
        <v>0</v>
      </c>
      <c r="X350" s="149"/>
      <c r="Y350" s="149">
        <f>IF(Ruimtestaat[[#This Row],[Frequentie weekend]]&gt;0,VALUE(LEFT(X350,1))*Q350,0)</f>
        <v>0</v>
      </c>
      <c r="Z350" s="148">
        <f>IF($Y350&gt;0,VLOOKUP($J350,Ruimtegroepen[],3,FALSE)*VLOOKUP($L350,Vloersoorten[],3,FALSE)*VLOOKUP($X350,Frequenties[],3,FALSE)*VLOOKUP(Ruimtestaat[[#This Row],[Code]],Locaties[],3,FALSE),0)</f>
        <v>0</v>
      </c>
      <c r="AA350" s="148">
        <f>Ruimtestaat[[#This Row],[Uitvoeringen weekend]]*Ruimtestaat[[#This Row],[Oppervlak (netto)]]</f>
        <v>0</v>
      </c>
      <c r="AB350" s="148">
        <f>IF(Z350&gt;0,Ruimtestaat[[#This Row],[Prest. (m2 /jaar) weekend]]/Ruimtestaat[[#This Row],[Norm (m2/uur) weekend]],0)</f>
        <v>0</v>
      </c>
      <c r="AC350" s="180">
        <f>Ruimtestaat[[#This Row],[uren / jaar weekend]]*Tariefsopbouw!$D$40</f>
        <v>0</v>
      </c>
      <c r="AD350" s="179">
        <f>Ruimtestaat[[#This Row],[Prest. (m2 /jaar) weekend]]+Ruimtestaat[[#This Row],[Prest. (m2 /jaar) werkdagen]]</f>
        <v>0</v>
      </c>
      <c r="AE350" s="179">
        <f>Ruimtestaat[[#This Row],[uren / jaar weekend]]+Ruimtestaat[[#This Row],[uren / jaar werkdagen]]</f>
        <v>0</v>
      </c>
      <c r="AF350" s="174">
        <f>Ruimtestaat[[#This Row],[kosten / jaar weekend]]+Ruimtestaat[[#This Row],[kosten / jaar werkdagen]]</f>
        <v>0</v>
      </c>
      <c r="AG350" s="174"/>
      <c r="AH350" s="181" t="str">
        <f>IF(Ruimtestaat[[#This Row],[Frequentie werkdagen]]="","",_xlfn.CONCAT(Ruimtestaat[[#This Row],[Ruimte code]],"-",Ruimtestaat[[#This Row],[Frequentie werkdagen]]," ",Ruimtestaat[[#This Row],[Vloer code]]))</f>
        <v/>
      </c>
      <c r="AI350" s="185" t="str">
        <f>_xlfn.IFNA(VLOOKUP($AH350,Programma!$F$3:$G$1101,2,0),"")</f>
        <v/>
      </c>
      <c r="AJ350" s="185" t="str">
        <f>_xlfn.IFNA(VLOOKUP($AH350,Programma!$F$3:$H$1101,3,0),"")</f>
        <v/>
      </c>
      <c r="AK350" s="185" t="str">
        <f>_xlfn.IFNA(VLOOKUP($AH350,Programma!$F$3:$I$1101,4,0),"")</f>
        <v/>
      </c>
      <c r="AL350" s="185" t="str">
        <f>_xlfn.IFNA(VLOOKUP($AH350,Programma!$F$3:$J$1101,5,0),"")</f>
        <v/>
      </c>
      <c r="AM350" s="185" t="str">
        <f>_xlfn.IFNA(VLOOKUP($AH350,Programma!$F$3:$K$1101,6,0),"")</f>
        <v/>
      </c>
      <c r="AN350" s="185" t="str">
        <f>_xlfn.IFNA(VLOOKUP($AH350,Programma!$F$3:$L$1101,7,0),"")</f>
        <v/>
      </c>
      <c r="AO350" s="185" t="str">
        <f>_xlfn.IFNA(VLOOKUP($AH350,Programma!$F$3:$M$1101,8,0),"")</f>
        <v/>
      </c>
      <c r="AP350" s="185" t="str">
        <f>_xlfn.IFNA(VLOOKUP($AH350,Programma!$F$3:$N$1101,9,0),"")</f>
        <v/>
      </c>
      <c r="AQ350" s="185" t="str">
        <f>_xlfn.IFNA(VLOOKUP($AH350,Programma!$F$3:$O$1101,10,0),"")</f>
        <v/>
      </c>
      <c r="AR350" s="185" t="str">
        <f>_xlfn.IFNA(VLOOKUP($AH350,Programma!$F$3:$P$1101,11,0),"")</f>
        <v/>
      </c>
      <c r="AS350" s="185" t="str">
        <f>_xlfn.IFNA(VLOOKUP($AH350,Programma!$F$3:$Q$1101,12,0),"")</f>
        <v/>
      </c>
      <c r="AT350" s="185" t="str">
        <f>_xlfn.IFNA(VLOOKUP($AH350,Programma!$F$3:$R$1101,13,0),"")</f>
        <v/>
      </c>
      <c r="AU350" s="185" t="str">
        <f>_xlfn.IFNA(VLOOKUP($AH350,Programma!$F$3:$S$1101,14,0),"")</f>
        <v/>
      </c>
      <c r="AV350" s="185" t="str">
        <f>_xlfn.IFNA(VLOOKUP($AH350,Programma!$F$3:$T$1101,15,0),"")</f>
        <v/>
      </c>
      <c r="AW350" s="185" t="str">
        <f>_xlfn.IFNA(VLOOKUP($AH350,Programma!$F$3:$U$1101,16,0),"")</f>
        <v/>
      </c>
      <c r="AX350" s="185" t="str">
        <f>_xlfn.IFNA(VLOOKUP($AH350,Programma!$F$3:$V$1101,17,0),"")</f>
        <v/>
      </c>
      <c r="AY350" s="185" t="str">
        <f>_xlfn.IFNA(VLOOKUP($AH350,Programma!$F$3:$W$1101,18,0),"")</f>
        <v/>
      </c>
      <c r="AZ350" s="185" t="str">
        <f>_xlfn.IFNA(VLOOKUP($AH350,Programma!$F$3:$X$1101,19,0),"")</f>
        <v/>
      </c>
      <c r="BA350" s="185" t="str">
        <f>_xlfn.IFNA(VLOOKUP($AH350,Programma!$F$3:$Y$1101,20,0),"")</f>
        <v/>
      </c>
      <c r="BB350" s="182"/>
      <c r="BC350" s="181" t="str">
        <f>IF(Ruimtestaat[[#This Row],[Frequentie weekend]]="","",_xlfn.CONCAT(Ruimtestaat[[#This Row],[Ruimte code]],"-",Ruimtestaat[[#This Row],[Frequentie weekend]]," ",Ruimtestaat[[#This Row],[Vloer code]]))</f>
        <v/>
      </c>
      <c r="BD350" s="185" t="str">
        <f>_xlfn.IFNA(VLOOKUP($BC350,Programma!$F$3:$G$1101,2,0),"")</f>
        <v/>
      </c>
      <c r="BE350" s="185" t="str">
        <f>_xlfn.IFNA(VLOOKUP($BC350,Programma!$F$3:$H$1101,3,0),"")</f>
        <v/>
      </c>
      <c r="BF350" s="185" t="str">
        <f>_xlfn.IFNA(VLOOKUP($BC350,Programma!$F$3:$I$1101,4,0),"")</f>
        <v/>
      </c>
      <c r="BG350" s="185" t="str">
        <f>_xlfn.IFNA(VLOOKUP($BC350,Programma!$F$3:$J$1101,5,0),"")</f>
        <v/>
      </c>
      <c r="BH350" s="185" t="str">
        <f>_xlfn.IFNA(VLOOKUP($BC350,Programma!$F$3:$K$1101,6,0),"")</f>
        <v/>
      </c>
      <c r="BI350" s="185" t="str">
        <f>_xlfn.IFNA(VLOOKUP($BC350,Programma!$F$3:$L$1101,7,0),"")</f>
        <v/>
      </c>
      <c r="BJ350" s="185" t="str">
        <f>_xlfn.IFNA(VLOOKUP($BC350,Programma!$F$3:$M$1101,8,0),"")</f>
        <v/>
      </c>
      <c r="BK350" s="185" t="str">
        <f>_xlfn.IFNA(VLOOKUP($BC350,Programma!$F$3:$N$1101,9,0),"")</f>
        <v/>
      </c>
      <c r="BL350" s="185" t="str">
        <f>_xlfn.IFNA(VLOOKUP($BC350,Programma!$F$3:$O$1101,10,0),"")</f>
        <v/>
      </c>
      <c r="BM350" s="185" t="str">
        <f>_xlfn.IFNA(VLOOKUP($BC350,Programma!$F$3:$P$1101,11,0),"")</f>
        <v/>
      </c>
      <c r="BN350" s="185" t="str">
        <f>_xlfn.IFNA(VLOOKUP($BC350,Programma!$F$3:$Q$1101,12,0),"")</f>
        <v/>
      </c>
      <c r="BO350" s="185" t="str">
        <f>_xlfn.IFNA(VLOOKUP($BC350,Programma!$F$3:$R$1101,13,0),"")</f>
        <v/>
      </c>
      <c r="BP350" s="185" t="str">
        <f>_xlfn.IFNA(VLOOKUP($BC350,Programma!$F$3:$S$1101,14,0),"")</f>
        <v/>
      </c>
      <c r="BQ350" s="185" t="str">
        <f>_xlfn.IFNA(VLOOKUP($BC350,Programma!$F$3:$T$1101,15,0),"")</f>
        <v/>
      </c>
      <c r="BR350" s="185" t="str">
        <f>_xlfn.IFNA(VLOOKUP($BC350,Programma!$F$3:$U$1101,16,0),"")</f>
        <v/>
      </c>
      <c r="BS350" s="185" t="str">
        <f>_xlfn.IFNA(VLOOKUP($BC350,Programma!$F$3:$V$1101,17,0),"")</f>
        <v/>
      </c>
      <c r="BT350" s="185" t="str">
        <f>_xlfn.IFNA(VLOOKUP($BC350,Programma!$F$3:$W$1101,18,0),"")</f>
        <v/>
      </c>
      <c r="BU350" s="185" t="str">
        <f>_xlfn.IFNA(VLOOKUP($BC350,Programma!$F$3:$X$1101,19,0),"")</f>
        <v/>
      </c>
      <c r="BV350" s="185" t="str">
        <f>_xlfn.IFNA(VLOOKUP($BC350,Programma!$F$3:$Y$1101,20,0),"")</f>
        <v/>
      </c>
    </row>
    <row r="351" spans="1:74" s="78" customFormat="1" ht="15" customHeight="1">
      <c r="A351" s="99">
        <v>11</v>
      </c>
      <c r="B351" s="176" t="str">
        <f>VLOOKUP(Ruimtestaat[[#This Row],[Code]],Locaties[[Code]:[Locatie]],2,FALSE)</f>
        <v>OMBS De Wielerbaan</v>
      </c>
      <c r="C351" s="176" t="str">
        <f>VLOOKUP(Ruimtestaat[[#This Row],[Code]],Locaties[[#All],[Code]:[Adres]],4,FALSE)</f>
        <v>Batshoek 5</v>
      </c>
      <c r="D351" s="176" t="str">
        <f>VLOOKUP(Ruimtestaat[[#This Row],[Code]],Locaties[[#All],[Code]:[Postcode]],5,FALSE)</f>
        <v>7546 LC</v>
      </c>
      <c r="E351" s="176" t="str">
        <f>VLOOKUP(Ruimtestaat[[#This Row],[Code]],Locaties[#All],6,FALSE)</f>
        <v>Enschede</v>
      </c>
      <c r="F351" s="183"/>
      <c r="G351" s="99" t="s">
        <v>1646</v>
      </c>
      <c r="H351" s="99" t="s">
        <v>1659</v>
      </c>
      <c r="I351" s="183" t="s">
        <v>1722</v>
      </c>
      <c r="J351" s="99">
        <v>20</v>
      </c>
      <c r="K351" s="183" t="str">
        <f>VLOOKUP(Ruimtestaat[[#This Row],[Ruimte code]],Ruimtegroepen[[#All],[Code]:[Ruimte omschrijving]],2,FALSE)</f>
        <v>Niet in Onderhoud</v>
      </c>
      <c r="L351" s="149"/>
      <c r="M351" s="301"/>
      <c r="N351" s="177"/>
      <c r="O351" s="177"/>
      <c r="P351" s="178">
        <f>VLOOKUP(Ruimtestaat[[#This Row],[Ruimte code]],Ruimtegroepen[],4,FALSE)</f>
        <v>0</v>
      </c>
      <c r="Q351" s="149"/>
      <c r="R351" s="149"/>
      <c r="S351" s="149">
        <f>IF(Q351&gt;0,IF(RIGHT(Ruimtestaat[[#This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51" s="149">
        <f>IF(S351&gt;0,VLOOKUP($J351,Ruimtegroepen[],3,FALSE)*VLOOKUP($L351,Vloersoorten[],3,FALSE)*VLOOKUP($R351,Frequenties[],3,FALSE)*VLOOKUP($A351,Locaties[],3,FALSE),0)</f>
        <v>0</v>
      </c>
      <c r="U351" s="149">
        <f>Ruimtestaat[[#This Row],[Uitvoeringen werkdagen]]*Ruimtestaat[[#This Row],[Oppervlak (netto)]]</f>
        <v>0</v>
      </c>
      <c r="V351" s="179">
        <f>IF(T351&gt;0,Ruimtestaat[[#This Row],[Prest. (m2 /jaar) werkdagen]]/Ruimtestaat[[#This Row],[Norm (m2/uur) werkdagen]],0)</f>
        <v>0</v>
      </c>
      <c r="W351" s="180">
        <f>Ruimtestaat[[#This Row],[uren / jaar werkdagen]]*Tariefsopbouw!$E$35</f>
        <v>0</v>
      </c>
      <c r="X351" s="149"/>
      <c r="Y351" s="149">
        <f>IF(Ruimtestaat[[#This Row],[Frequentie weekend]]&gt;0,VALUE(LEFT(X351,1))*Q351,0)</f>
        <v>0</v>
      </c>
      <c r="Z351" s="148">
        <f>IF($Y351&gt;0,VLOOKUP($J351,Ruimtegroepen[],3,FALSE)*VLOOKUP($L351,Vloersoorten[],3,FALSE)*VLOOKUP($X351,Frequenties[],3,FALSE)*VLOOKUP(Ruimtestaat[[#This Row],[Code]],Locaties[],3,FALSE),0)</f>
        <v>0</v>
      </c>
      <c r="AA351" s="148">
        <f>Ruimtestaat[[#This Row],[Uitvoeringen weekend]]*Ruimtestaat[[#This Row],[Oppervlak (netto)]]</f>
        <v>0</v>
      </c>
      <c r="AB351" s="148">
        <f>IF(Z351&gt;0,Ruimtestaat[[#This Row],[Prest. (m2 /jaar) weekend]]/Ruimtestaat[[#This Row],[Norm (m2/uur) weekend]],0)</f>
        <v>0</v>
      </c>
      <c r="AC351" s="180">
        <f>Ruimtestaat[[#This Row],[uren / jaar weekend]]*Tariefsopbouw!$D$40</f>
        <v>0</v>
      </c>
      <c r="AD351" s="179">
        <f>Ruimtestaat[[#This Row],[Prest. (m2 /jaar) weekend]]+Ruimtestaat[[#This Row],[Prest. (m2 /jaar) werkdagen]]</f>
        <v>0</v>
      </c>
      <c r="AE351" s="179">
        <f>Ruimtestaat[[#This Row],[uren / jaar weekend]]+Ruimtestaat[[#This Row],[uren / jaar werkdagen]]</f>
        <v>0</v>
      </c>
      <c r="AF351" s="174">
        <f>Ruimtestaat[[#This Row],[kosten / jaar weekend]]+Ruimtestaat[[#This Row],[kosten / jaar werkdagen]]</f>
        <v>0</v>
      </c>
      <c r="AG351" s="174"/>
      <c r="AH351" s="181" t="str">
        <f>IF(Ruimtestaat[[#This Row],[Frequentie werkdagen]]="","",_xlfn.CONCAT(Ruimtestaat[[#This Row],[Ruimte code]],"-",Ruimtestaat[[#This Row],[Frequentie werkdagen]]," ",Ruimtestaat[[#This Row],[Vloer code]]))</f>
        <v/>
      </c>
      <c r="AI351" s="185" t="str">
        <f>_xlfn.IFNA(VLOOKUP($AH351,Programma!$F$3:$G$1101,2,0),"")</f>
        <v/>
      </c>
      <c r="AJ351" s="185" t="str">
        <f>_xlfn.IFNA(VLOOKUP($AH351,Programma!$F$3:$H$1101,3,0),"")</f>
        <v/>
      </c>
      <c r="AK351" s="185" t="str">
        <f>_xlfn.IFNA(VLOOKUP($AH351,Programma!$F$3:$I$1101,4,0),"")</f>
        <v/>
      </c>
      <c r="AL351" s="185" t="str">
        <f>_xlfn.IFNA(VLOOKUP($AH351,Programma!$F$3:$J$1101,5,0),"")</f>
        <v/>
      </c>
      <c r="AM351" s="185" t="str">
        <f>_xlfn.IFNA(VLOOKUP($AH351,Programma!$F$3:$K$1101,6,0),"")</f>
        <v/>
      </c>
      <c r="AN351" s="185" t="str">
        <f>_xlfn.IFNA(VLOOKUP($AH351,Programma!$F$3:$L$1101,7,0),"")</f>
        <v/>
      </c>
      <c r="AO351" s="185" t="str">
        <f>_xlfn.IFNA(VLOOKUP($AH351,Programma!$F$3:$M$1101,8,0),"")</f>
        <v/>
      </c>
      <c r="AP351" s="185" t="str">
        <f>_xlfn.IFNA(VLOOKUP($AH351,Programma!$F$3:$N$1101,9,0),"")</f>
        <v/>
      </c>
      <c r="AQ351" s="185" t="str">
        <f>_xlfn.IFNA(VLOOKUP($AH351,Programma!$F$3:$O$1101,10,0),"")</f>
        <v/>
      </c>
      <c r="AR351" s="185" t="str">
        <f>_xlfn.IFNA(VLOOKUP($AH351,Programma!$F$3:$P$1101,11,0),"")</f>
        <v/>
      </c>
      <c r="AS351" s="185" t="str">
        <f>_xlfn.IFNA(VLOOKUP($AH351,Programma!$F$3:$Q$1101,12,0),"")</f>
        <v/>
      </c>
      <c r="AT351" s="185" t="str">
        <f>_xlfn.IFNA(VLOOKUP($AH351,Programma!$F$3:$R$1101,13,0),"")</f>
        <v/>
      </c>
      <c r="AU351" s="185" t="str">
        <f>_xlfn.IFNA(VLOOKUP($AH351,Programma!$F$3:$S$1101,14,0),"")</f>
        <v/>
      </c>
      <c r="AV351" s="185" t="str">
        <f>_xlfn.IFNA(VLOOKUP($AH351,Programma!$F$3:$T$1101,15,0),"")</f>
        <v/>
      </c>
      <c r="AW351" s="185" t="str">
        <f>_xlfn.IFNA(VLOOKUP($AH351,Programma!$F$3:$U$1101,16,0),"")</f>
        <v/>
      </c>
      <c r="AX351" s="185" t="str">
        <f>_xlfn.IFNA(VLOOKUP($AH351,Programma!$F$3:$V$1101,17,0),"")</f>
        <v/>
      </c>
      <c r="AY351" s="185" t="str">
        <f>_xlfn.IFNA(VLOOKUP($AH351,Programma!$F$3:$W$1101,18,0),"")</f>
        <v/>
      </c>
      <c r="AZ351" s="185" t="str">
        <f>_xlfn.IFNA(VLOOKUP($AH351,Programma!$F$3:$X$1101,19,0),"")</f>
        <v/>
      </c>
      <c r="BA351" s="185" t="str">
        <f>_xlfn.IFNA(VLOOKUP($AH351,Programma!$F$3:$Y$1101,20,0),"")</f>
        <v/>
      </c>
      <c r="BB351" s="182"/>
      <c r="BC351" s="181" t="str">
        <f>IF(Ruimtestaat[[#This Row],[Frequentie weekend]]="","",_xlfn.CONCAT(Ruimtestaat[[#This Row],[Ruimte code]],"-",Ruimtestaat[[#This Row],[Frequentie weekend]]," ",Ruimtestaat[[#This Row],[Vloer code]]))</f>
        <v/>
      </c>
      <c r="BD351" s="185" t="str">
        <f>_xlfn.IFNA(VLOOKUP($BC351,Programma!$F$3:$G$1101,2,0),"")</f>
        <v/>
      </c>
      <c r="BE351" s="185" t="str">
        <f>_xlfn.IFNA(VLOOKUP($BC351,Programma!$F$3:$H$1101,3,0),"")</f>
        <v/>
      </c>
      <c r="BF351" s="185" t="str">
        <f>_xlfn.IFNA(VLOOKUP($BC351,Programma!$F$3:$I$1101,4,0),"")</f>
        <v/>
      </c>
      <c r="BG351" s="185" t="str">
        <f>_xlfn.IFNA(VLOOKUP($BC351,Programma!$F$3:$J$1101,5,0),"")</f>
        <v/>
      </c>
      <c r="BH351" s="185" t="str">
        <f>_xlfn.IFNA(VLOOKUP($BC351,Programma!$F$3:$K$1101,6,0),"")</f>
        <v/>
      </c>
      <c r="BI351" s="185" t="str">
        <f>_xlfn.IFNA(VLOOKUP($BC351,Programma!$F$3:$L$1101,7,0),"")</f>
        <v/>
      </c>
      <c r="BJ351" s="185" t="str">
        <f>_xlfn.IFNA(VLOOKUP($BC351,Programma!$F$3:$M$1101,8,0),"")</f>
        <v/>
      </c>
      <c r="BK351" s="185" t="str">
        <f>_xlfn.IFNA(VLOOKUP($BC351,Programma!$F$3:$N$1101,9,0),"")</f>
        <v/>
      </c>
      <c r="BL351" s="185" t="str">
        <f>_xlfn.IFNA(VLOOKUP($BC351,Programma!$F$3:$O$1101,10,0),"")</f>
        <v/>
      </c>
      <c r="BM351" s="185" t="str">
        <f>_xlfn.IFNA(VLOOKUP($BC351,Programma!$F$3:$P$1101,11,0),"")</f>
        <v/>
      </c>
      <c r="BN351" s="185" t="str">
        <f>_xlfn.IFNA(VLOOKUP($BC351,Programma!$F$3:$Q$1101,12,0),"")</f>
        <v/>
      </c>
      <c r="BO351" s="185" t="str">
        <f>_xlfn.IFNA(VLOOKUP($BC351,Programma!$F$3:$R$1101,13,0),"")</f>
        <v/>
      </c>
      <c r="BP351" s="185" t="str">
        <f>_xlfn.IFNA(VLOOKUP($BC351,Programma!$F$3:$S$1101,14,0),"")</f>
        <v/>
      </c>
      <c r="BQ351" s="185" t="str">
        <f>_xlfn.IFNA(VLOOKUP($BC351,Programma!$F$3:$T$1101,15,0),"")</f>
        <v/>
      </c>
      <c r="BR351" s="185" t="str">
        <f>_xlfn.IFNA(VLOOKUP($BC351,Programma!$F$3:$U$1101,16,0),"")</f>
        <v/>
      </c>
      <c r="BS351" s="185" t="str">
        <f>_xlfn.IFNA(VLOOKUP($BC351,Programma!$F$3:$V$1101,17,0),"")</f>
        <v/>
      </c>
      <c r="BT351" s="185" t="str">
        <f>_xlfn.IFNA(VLOOKUP($BC351,Programma!$F$3:$W$1101,18,0),"")</f>
        <v/>
      </c>
      <c r="BU351" s="185" t="str">
        <f>_xlfn.IFNA(VLOOKUP($BC351,Programma!$F$3:$X$1101,19,0),"")</f>
        <v/>
      </c>
      <c r="BV351" s="185" t="str">
        <f>_xlfn.IFNA(VLOOKUP($BC351,Programma!$F$3:$Y$1101,20,0),"")</f>
        <v/>
      </c>
    </row>
    <row r="352" spans="1:74" s="78" customFormat="1" ht="15" customHeight="1">
      <c r="A352" s="99">
        <v>11</v>
      </c>
      <c r="B352" s="176" t="str">
        <f>VLOOKUP(Ruimtestaat[[#This Row],[Code]],Locaties[[Code]:[Locatie]],2,FALSE)</f>
        <v>OMBS De Wielerbaan</v>
      </c>
      <c r="C352" s="176" t="str">
        <f>VLOOKUP(Ruimtestaat[[#This Row],[Code]],Locaties[[#All],[Code]:[Adres]],4,FALSE)</f>
        <v>Batshoek 5</v>
      </c>
      <c r="D352" s="176" t="str">
        <f>VLOOKUP(Ruimtestaat[[#This Row],[Code]],Locaties[[#All],[Code]:[Postcode]],5,FALSE)</f>
        <v>7546 LC</v>
      </c>
      <c r="E352" s="176" t="str">
        <f>VLOOKUP(Ruimtestaat[[#This Row],[Code]],Locaties[#All],6,FALSE)</f>
        <v>Enschede</v>
      </c>
      <c r="F352" s="183"/>
      <c r="G352" s="99" t="s">
        <v>1646</v>
      </c>
      <c r="H352" s="99" t="s">
        <v>1660</v>
      </c>
      <c r="I352" s="183" t="s">
        <v>1655</v>
      </c>
      <c r="J352" s="99">
        <v>5</v>
      </c>
      <c r="K352" s="183" t="str">
        <f>VLOOKUP(Ruimtestaat[[#This Row],[Ruimte code]],Ruimtegroepen[[#All],[Code]:[Ruimte omschrijving]],2,FALSE)</f>
        <v>Sanitair</v>
      </c>
      <c r="L352" s="149" t="s">
        <v>101</v>
      </c>
      <c r="M352" s="301" t="s">
        <v>1682</v>
      </c>
      <c r="N352" s="177">
        <v>3.8</v>
      </c>
      <c r="O352" s="177"/>
      <c r="P352" s="178" t="str">
        <f>VLOOKUP(Ruimtestaat[[#This Row],[Ruimte code]],Ruimtegroepen[],4,FALSE)</f>
        <v>Sa</v>
      </c>
      <c r="Q352" s="149">
        <v>40</v>
      </c>
      <c r="R352" s="149" t="s">
        <v>2</v>
      </c>
      <c r="S352" s="149">
        <f>IF(Q352&gt;0,IF(RIGHT(Ruimtestaat[[#This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2" s="149">
        <f>IF(S352&gt;0,VLOOKUP($J352,Ruimtegroepen[],3,FALSE)*VLOOKUP($L352,Vloersoorten[],3,FALSE)*VLOOKUP($R352,Frequenties[],3,FALSE)*VLOOKUP($A352,Locaties[],3,FALSE),0)</f>
        <v>0</v>
      </c>
      <c r="U352" s="149">
        <f>Ruimtestaat[[#This Row],[Uitvoeringen werkdagen]]*Ruimtestaat[[#This Row],[Oppervlak (netto)]]</f>
        <v>760</v>
      </c>
      <c r="V352" s="179">
        <f>IF(T352&gt;0,Ruimtestaat[[#This Row],[Prest. (m2 /jaar) werkdagen]]/Ruimtestaat[[#This Row],[Norm (m2/uur) werkdagen]],0)</f>
        <v>0</v>
      </c>
      <c r="W352" s="180">
        <f>Ruimtestaat[[#This Row],[uren / jaar werkdagen]]*Tariefsopbouw!$E$35</f>
        <v>0</v>
      </c>
      <c r="X352" s="149"/>
      <c r="Y352" s="149">
        <f>IF(Ruimtestaat[[#This Row],[Frequentie weekend]]&gt;0,VALUE(LEFT(X352,1))*Q352,0)</f>
        <v>0</v>
      </c>
      <c r="Z352" s="148">
        <f>IF($Y352&gt;0,VLOOKUP($J352,Ruimtegroepen[],3,FALSE)*VLOOKUP($L352,Vloersoorten[],3,FALSE)*VLOOKUP($X352,Frequenties[],3,FALSE)*VLOOKUP(Ruimtestaat[[#This Row],[Code]],Locaties[],3,FALSE),0)</f>
        <v>0</v>
      </c>
      <c r="AA352" s="148">
        <f>Ruimtestaat[[#This Row],[Uitvoeringen weekend]]*Ruimtestaat[[#This Row],[Oppervlak (netto)]]</f>
        <v>0</v>
      </c>
      <c r="AB352" s="148">
        <f>IF(Z352&gt;0,Ruimtestaat[[#This Row],[Prest. (m2 /jaar) weekend]]/Ruimtestaat[[#This Row],[Norm (m2/uur) weekend]],0)</f>
        <v>0</v>
      </c>
      <c r="AC352" s="180">
        <f>Ruimtestaat[[#This Row],[uren / jaar weekend]]*Tariefsopbouw!$D$40</f>
        <v>0</v>
      </c>
      <c r="AD352" s="179">
        <f>Ruimtestaat[[#This Row],[Prest. (m2 /jaar) weekend]]+Ruimtestaat[[#This Row],[Prest. (m2 /jaar) werkdagen]]</f>
        <v>760</v>
      </c>
      <c r="AE352" s="179">
        <f>Ruimtestaat[[#This Row],[uren / jaar weekend]]+Ruimtestaat[[#This Row],[uren / jaar werkdagen]]</f>
        <v>0</v>
      </c>
      <c r="AF352" s="174">
        <f>Ruimtestaat[[#This Row],[kosten / jaar weekend]]+Ruimtestaat[[#This Row],[kosten / jaar werkdagen]]</f>
        <v>0</v>
      </c>
      <c r="AG352" s="174"/>
      <c r="AH352" s="181" t="str">
        <f>IF(Ruimtestaat[[#This Row],[Frequentie werkdagen]]="","",_xlfn.CONCAT(Ruimtestaat[[#This Row],[Ruimte code]],"-",Ruimtestaat[[#This Row],[Frequentie werkdagen]]," ",Ruimtestaat[[#This Row],[Vloer code]]))</f>
        <v>5-5w S</v>
      </c>
      <c r="AI352" s="185" t="str">
        <f>_xlfn.IFNA(VLOOKUP($AH352,Programma!$F$3:$G$1101,2,0),"")</f>
        <v>_</v>
      </c>
      <c r="AJ352" s="185" t="str">
        <f>_xlfn.IFNA(VLOOKUP($AH352,Programma!$F$3:$H$1101,3,0),"")</f>
        <v>_</v>
      </c>
      <c r="AK352" s="185" t="str">
        <f>_xlfn.IFNA(VLOOKUP($AH352,Programma!$F$3:$I$1101,4,0),"")</f>
        <v>_</v>
      </c>
      <c r="AL352" s="185" t="str">
        <f>_xlfn.IFNA(VLOOKUP($AH352,Programma!$F$3:$J$1101,5,0),"")</f>
        <v>4w</v>
      </c>
      <c r="AM352" s="185" t="str">
        <f>_xlfn.IFNA(VLOOKUP($AH352,Programma!$F$3:$K$1101,6,0),"")</f>
        <v>1w</v>
      </c>
      <c r="AN352" s="185" t="str">
        <f>_xlfn.IFNA(VLOOKUP($AH352,Programma!$F$3:$L$1101,7,0),"")</f>
        <v>_</v>
      </c>
      <c r="AO352" s="185" t="str">
        <f>_xlfn.IFNA(VLOOKUP($AH352,Programma!$F$3:$M$1101,8,0),"")</f>
        <v>_</v>
      </c>
      <c r="AP352" s="185" t="str">
        <f>_xlfn.IFNA(VLOOKUP($AH352,Programma!$F$3:$N$1101,9,0),"")</f>
        <v>_</v>
      </c>
      <c r="AQ352" s="185" t="str">
        <f>_xlfn.IFNA(VLOOKUP($AH352,Programma!$F$3:$O$1101,10,0),"")</f>
        <v>_</v>
      </c>
      <c r="AR352" s="185" t="str">
        <f>_xlfn.IFNA(VLOOKUP($AH352,Programma!$F$3:$P$1101,11,0),"")</f>
        <v>_</v>
      </c>
      <c r="AS352" s="185" t="str">
        <f>_xlfn.IFNA(VLOOKUP($AH352,Programma!$F$3:$Q$1101,12,0),"")</f>
        <v>_</v>
      </c>
      <c r="AT352" s="185" t="str">
        <f>_xlfn.IFNA(VLOOKUP($AH352,Programma!$F$3:$R$1101,13,0),"")</f>
        <v>_</v>
      </c>
      <c r="AU352" s="185" t="str">
        <f>_xlfn.IFNA(VLOOKUP($AH352,Programma!$F$3:$S$1101,14,0),"")</f>
        <v>_</v>
      </c>
      <c r="AV352" s="185" t="str">
        <f>_xlfn.IFNA(VLOOKUP($AH352,Programma!$F$3:$T$1101,15,0),"")</f>
        <v>_</v>
      </c>
      <c r="AW352" s="185" t="str">
        <f>_xlfn.IFNA(VLOOKUP($AH352,Programma!$F$3:$U$1101,16,0),"")</f>
        <v>_</v>
      </c>
      <c r="AX352" s="185" t="str">
        <f>_xlfn.IFNA(VLOOKUP($AH352,Programma!$F$3:$V$1101,17,0),"")</f>
        <v>_</v>
      </c>
      <c r="AY352" s="185" t="str">
        <f>_xlfn.IFNA(VLOOKUP($AH352,Programma!$F$3:$W$1101,18,0),"")</f>
        <v>4w</v>
      </c>
      <c r="AZ352" s="185" t="str">
        <f>_xlfn.IFNA(VLOOKUP($AH352,Programma!$F$3:$X$1101,19,0),"")</f>
        <v>1w</v>
      </c>
      <c r="BA352" s="185" t="str">
        <f>_xlfn.IFNA(VLOOKUP($AH352,Programma!$F$3:$Y$1101,20,0),"")</f>
        <v>_</v>
      </c>
      <c r="BB352" s="182"/>
      <c r="BC352" s="181" t="str">
        <f>IF(Ruimtestaat[[#This Row],[Frequentie weekend]]="","",_xlfn.CONCAT(Ruimtestaat[[#This Row],[Ruimte code]],"-",Ruimtestaat[[#This Row],[Frequentie weekend]]," ",Ruimtestaat[[#This Row],[Vloer code]]))</f>
        <v/>
      </c>
      <c r="BD352" s="185" t="str">
        <f>_xlfn.IFNA(VLOOKUP($BC352,Programma!$F$3:$G$1101,2,0),"")</f>
        <v/>
      </c>
      <c r="BE352" s="185" t="str">
        <f>_xlfn.IFNA(VLOOKUP($BC352,Programma!$F$3:$H$1101,3,0),"")</f>
        <v/>
      </c>
      <c r="BF352" s="185" t="str">
        <f>_xlfn.IFNA(VLOOKUP($BC352,Programma!$F$3:$I$1101,4,0),"")</f>
        <v/>
      </c>
      <c r="BG352" s="185" t="str">
        <f>_xlfn.IFNA(VLOOKUP($BC352,Programma!$F$3:$J$1101,5,0),"")</f>
        <v/>
      </c>
      <c r="BH352" s="185" t="str">
        <f>_xlfn.IFNA(VLOOKUP($BC352,Programma!$F$3:$K$1101,6,0),"")</f>
        <v/>
      </c>
      <c r="BI352" s="185" t="str">
        <f>_xlfn.IFNA(VLOOKUP($BC352,Programma!$F$3:$L$1101,7,0),"")</f>
        <v/>
      </c>
      <c r="BJ352" s="185" t="str">
        <f>_xlfn.IFNA(VLOOKUP($BC352,Programma!$F$3:$M$1101,8,0),"")</f>
        <v/>
      </c>
      <c r="BK352" s="185" t="str">
        <f>_xlfn.IFNA(VLOOKUP($BC352,Programma!$F$3:$N$1101,9,0),"")</f>
        <v/>
      </c>
      <c r="BL352" s="185" t="str">
        <f>_xlfn.IFNA(VLOOKUP($BC352,Programma!$F$3:$O$1101,10,0),"")</f>
        <v/>
      </c>
      <c r="BM352" s="185" t="str">
        <f>_xlfn.IFNA(VLOOKUP($BC352,Programma!$F$3:$P$1101,11,0),"")</f>
        <v/>
      </c>
      <c r="BN352" s="185" t="str">
        <f>_xlfn.IFNA(VLOOKUP($BC352,Programma!$F$3:$Q$1101,12,0),"")</f>
        <v/>
      </c>
      <c r="BO352" s="185" t="str">
        <f>_xlfn.IFNA(VLOOKUP($BC352,Programma!$F$3:$R$1101,13,0),"")</f>
        <v/>
      </c>
      <c r="BP352" s="185" t="str">
        <f>_xlfn.IFNA(VLOOKUP($BC352,Programma!$F$3:$S$1101,14,0),"")</f>
        <v/>
      </c>
      <c r="BQ352" s="185" t="str">
        <f>_xlfn.IFNA(VLOOKUP($BC352,Programma!$F$3:$T$1101,15,0),"")</f>
        <v/>
      </c>
      <c r="BR352" s="185" t="str">
        <f>_xlfn.IFNA(VLOOKUP($BC352,Programma!$F$3:$U$1101,16,0),"")</f>
        <v/>
      </c>
      <c r="BS352" s="185" t="str">
        <f>_xlfn.IFNA(VLOOKUP($BC352,Programma!$F$3:$V$1101,17,0),"")</f>
        <v/>
      </c>
      <c r="BT352" s="185" t="str">
        <f>_xlfn.IFNA(VLOOKUP($BC352,Programma!$F$3:$W$1101,18,0),"")</f>
        <v/>
      </c>
      <c r="BU352" s="185" t="str">
        <f>_xlfn.IFNA(VLOOKUP($BC352,Programma!$F$3:$X$1101,19,0),"")</f>
        <v/>
      </c>
      <c r="BV352" s="185" t="str">
        <f>_xlfn.IFNA(VLOOKUP($BC352,Programma!$F$3:$Y$1101,20,0),"")</f>
        <v/>
      </c>
    </row>
    <row r="353" spans="1:74" s="78" customFormat="1" ht="15" customHeight="1">
      <c r="A353" s="99">
        <v>11</v>
      </c>
      <c r="B353" s="176" t="str">
        <f>VLOOKUP(Ruimtestaat[[#This Row],[Code]],Locaties[[Code]:[Locatie]],2,FALSE)</f>
        <v>OMBS De Wielerbaan</v>
      </c>
      <c r="C353" s="176" t="str">
        <f>VLOOKUP(Ruimtestaat[[#This Row],[Code]],Locaties[[#All],[Code]:[Adres]],4,FALSE)</f>
        <v>Batshoek 5</v>
      </c>
      <c r="D353" s="176" t="str">
        <f>VLOOKUP(Ruimtestaat[[#This Row],[Code]],Locaties[[#All],[Code]:[Postcode]],5,FALSE)</f>
        <v>7546 LC</v>
      </c>
      <c r="E353" s="176" t="str">
        <f>VLOOKUP(Ruimtestaat[[#This Row],[Code]],Locaties[#All],6,FALSE)</f>
        <v>Enschede</v>
      </c>
      <c r="F353" s="183"/>
      <c r="G353" s="99" t="s">
        <v>1646</v>
      </c>
      <c r="H353" s="99" t="s">
        <v>1661</v>
      </c>
      <c r="I353" s="183" t="s">
        <v>1651</v>
      </c>
      <c r="J353" s="99">
        <v>16</v>
      </c>
      <c r="K353" s="183" t="str">
        <f>VLOOKUP(Ruimtestaat[[#This Row],[Ruimte code]],Ruimtegroepen[[#All],[Code]:[Ruimte omschrijving]],2,FALSE)</f>
        <v>Leslokalen</v>
      </c>
      <c r="L353" s="149" t="s">
        <v>100</v>
      </c>
      <c r="M353" s="301" t="s">
        <v>1697</v>
      </c>
      <c r="N353" s="177">
        <v>52.2</v>
      </c>
      <c r="O353" s="177"/>
      <c r="P353" s="178" t="str">
        <f>VLOOKUP(Ruimtestaat[[#This Row],[Ruimte code]],Ruimtegroepen[],4,FALSE)</f>
        <v>Le</v>
      </c>
      <c r="Q353" s="149">
        <v>40</v>
      </c>
      <c r="R353" s="149" t="s">
        <v>2</v>
      </c>
      <c r="S353" s="149">
        <f>IF(Q353&gt;0,IF(RIGHT(Ruimtestaat[[#This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3" s="149">
        <f>IF(S353&gt;0,VLOOKUP($J353,Ruimtegroepen[],3,FALSE)*VLOOKUP($L353,Vloersoorten[],3,FALSE)*VLOOKUP($R353,Frequenties[],3,FALSE)*VLOOKUP($A353,Locaties[],3,FALSE),0)</f>
        <v>0</v>
      </c>
      <c r="U353" s="149">
        <f>Ruimtestaat[[#This Row],[Uitvoeringen werkdagen]]*Ruimtestaat[[#This Row],[Oppervlak (netto)]]</f>
        <v>10440</v>
      </c>
      <c r="V353" s="179">
        <f>IF(T353&gt;0,Ruimtestaat[[#This Row],[Prest. (m2 /jaar) werkdagen]]/Ruimtestaat[[#This Row],[Norm (m2/uur) werkdagen]],0)</f>
        <v>0</v>
      </c>
      <c r="W353" s="180">
        <f>Ruimtestaat[[#This Row],[uren / jaar werkdagen]]*Tariefsopbouw!$E$35</f>
        <v>0</v>
      </c>
      <c r="X353" s="149"/>
      <c r="Y353" s="149">
        <f>IF(Ruimtestaat[[#This Row],[Frequentie weekend]]&gt;0,VALUE(LEFT(X353,1))*Q353,0)</f>
        <v>0</v>
      </c>
      <c r="Z353" s="148">
        <f>IF($Y353&gt;0,VLOOKUP($J353,Ruimtegroepen[],3,FALSE)*VLOOKUP($L353,Vloersoorten[],3,FALSE)*VLOOKUP($X353,Frequenties[],3,FALSE)*VLOOKUP(Ruimtestaat[[#This Row],[Code]],Locaties[],3,FALSE),0)</f>
        <v>0</v>
      </c>
      <c r="AA353" s="148">
        <f>Ruimtestaat[[#This Row],[Uitvoeringen weekend]]*Ruimtestaat[[#This Row],[Oppervlak (netto)]]</f>
        <v>0</v>
      </c>
      <c r="AB353" s="148">
        <f>IF(Z353&gt;0,Ruimtestaat[[#This Row],[Prest. (m2 /jaar) weekend]]/Ruimtestaat[[#This Row],[Norm (m2/uur) weekend]],0)</f>
        <v>0</v>
      </c>
      <c r="AC353" s="180">
        <f>Ruimtestaat[[#This Row],[uren / jaar weekend]]*Tariefsopbouw!$D$40</f>
        <v>0</v>
      </c>
      <c r="AD353" s="179">
        <f>Ruimtestaat[[#This Row],[Prest. (m2 /jaar) weekend]]+Ruimtestaat[[#This Row],[Prest. (m2 /jaar) werkdagen]]</f>
        <v>10440</v>
      </c>
      <c r="AE353" s="179">
        <f>Ruimtestaat[[#This Row],[uren / jaar weekend]]+Ruimtestaat[[#This Row],[uren / jaar werkdagen]]</f>
        <v>0</v>
      </c>
      <c r="AF353" s="174">
        <f>Ruimtestaat[[#This Row],[kosten / jaar weekend]]+Ruimtestaat[[#This Row],[kosten / jaar werkdagen]]</f>
        <v>0</v>
      </c>
      <c r="AG353" s="174"/>
      <c r="AH353" s="181" t="str">
        <f>IF(Ruimtestaat[[#This Row],[Frequentie werkdagen]]="","",_xlfn.CONCAT(Ruimtestaat[[#This Row],[Ruimte code]],"-",Ruimtestaat[[#This Row],[Frequentie werkdagen]]," ",Ruimtestaat[[#This Row],[Vloer code]]))</f>
        <v>16-5w L</v>
      </c>
      <c r="AI353" s="185" t="str">
        <f>_xlfn.IFNA(VLOOKUP($AH353,Programma!$F$3:$G$1101,2,0),"")</f>
        <v>_</v>
      </c>
      <c r="AJ353" s="185" t="str">
        <f>_xlfn.IFNA(VLOOKUP($AH353,Programma!$F$3:$H$1101,3,0),"")</f>
        <v>_</v>
      </c>
      <c r="AK353" s="185" t="str">
        <f>_xlfn.IFNA(VLOOKUP($AH353,Programma!$F$3:$I$1101,4,0),"")</f>
        <v>4w</v>
      </c>
      <c r="AL353" s="185" t="str">
        <f>_xlfn.IFNA(VLOOKUP($AH353,Programma!$F$3:$J$1101,5,0),"")</f>
        <v>1w</v>
      </c>
      <c r="AM353" s="185" t="str">
        <f>_xlfn.IFNA(VLOOKUP($AH353,Programma!$F$3:$K$1101,6,0),"")</f>
        <v>_</v>
      </c>
      <c r="AN353" s="185" t="str">
        <f>_xlfn.IFNA(VLOOKUP($AH353,Programma!$F$3:$L$1101,7,0),"")</f>
        <v>_</v>
      </c>
      <c r="AO353" s="185" t="str">
        <f>_xlfn.IFNA(VLOOKUP($AH353,Programma!$F$3:$M$1101,8,0),"")</f>
        <v>_</v>
      </c>
      <c r="AP353" s="185" t="str">
        <f>_xlfn.IFNA(VLOOKUP($AH353,Programma!$F$3:$N$1101,9,0),"")</f>
        <v>_</v>
      </c>
      <c r="AQ353" s="185" t="str">
        <f>_xlfn.IFNA(VLOOKUP($AH353,Programma!$F$3:$O$1101,10,0),"")</f>
        <v>5w</v>
      </c>
      <c r="AR353" s="185" t="str">
        <f>_xlfn.IFNA(VLOOKUP($AH353,Programma!$F$3:$P$1101,11,0),"")</f>
        <v>5w</v>
      </c>
      <c r="AS353" s="185" t="str">
        <f>_xlfn.IFNA(VLOOKUP($AH353,Programma!$F$3:$Q$1101,12,0),"")</f>
        <v>1w</v>
      </c>
      <c r="AT353" s="185" t="str">
        <f>_xlfn.IFNA(VLOOKUP($AH353,Programma!$F$3:$R$1101,13,0),"")</f>
        <v>1w</v>
      </c>
      <c r="AU353" s="185" t="str">
        <f>_xlfn.IFNA(VLOOKUP($AH353,Programma!$F$3:$S$1101,14,0),"")</f>
        <v>1m</v>
      </c>
      <c r="AV353" s="185" t="str">
        <f>_xlfn.IFNA(VLOOKUP($AH353,Programma!$F$3:$T$1101,15,0),"")</f>
        <v>2j</v>
      </c>
      <c r="AW353" s="185" t="str">
        <f>_xlfn.IFNA(VLOOKUP($AH353,Programma!$F$3:$U$1101,16,0),"")</f>
        <v>1j</v>
      </c>
      <c r="AX353" s="185" t="str">
        <f>_xlfn.IFNA(VLOOKUP($AH353,Programma!$F$3:$V$1101,17,0),"")</f>
        <v>_</v>
      </c>
      <c r="AY353" s="185" t="str">
        <f>_xlfn.IFNA(VLOOKUP($AH353,Programma!$F$3:$W$1101,18,0),"")</f>
        <v>_</v>
      </c>
      <c r="AZ353" s="185" t="str">
        <f>_xlfn.IFNA(VLOOKUP($AH353,Programma!$F$3:$X$1101,19,0),"")</f>
        <v>_</v>
      </c>
      <c r="BA353" s="185" t="str">
        <f>_xlfn.IFNA(VLOOKUP($AH353,Programma!$F$3:$Y$1101,20,0),"")</f>
        <v>_</v>
      </c>
      <c r="BB353" s="182"/>
      <c r="BC353" s="181" t="str">
        <f>IF(Ruimtestaat[[#This Row],[Frequentie weekend]]="","",_xlfn.CONCAT(Ruimtestaat[[#This Row],[Ruimte code]],"-",Ruimtestaat[[#This Row],[Frequentie weekend]]," ",Ruimtestaat[[#This Row],[Vloer code]]))</f>
        <v/>
      </c>
      <c r="BD353" s="185" t="str">
        <f>_xlfn.IFNA(VLOOKUP($BC353,Programma!$F$3:$G$1101,2,0),"")</f>
        <v/>
      </c>
      <c r="BE353" s="185" t="str">
        <f>_xlfn.IFNA(VLOOKUP($BC353,Programma!$F$3:$H$1101,3,0),"")</f>
        <v/>
      </c>
      <c r="BF353" s="185" t="str">
        <f>_xlfn.IFNA(VLOOKUP($BC353,Programma!$F$3:$I$1101,4,0),"")</f>
        <v/>
      </c>
      <c r="BG353" s="185" t="str">
        <f>_xlfn.IFNA(VLOOKUP($BC353,Programma!$F$3:$J$1101,5,0),"")</f>
        <v/>
      </c>
      <c r="BH353" s="185" t="str">
        <f>_xlfn.IFNA(VLOOKUP($BC353,Programma!$F$3:$K$1101,6,0),"")</f>
        <v/>
      </c>
      <c r="BI353" s="185" t="str">
        <f>_xlfn.IFNA(VLOOKUP($BC353,Programma!$F$3:$L$1101,7,0),"")</f>
        <v/>
      </c>
      <c r="BJ353" s="185" t="str">
        <f>_xlfn.IFNA(VLOOKUP($BC353,Programma!$F$3:$M$1101,8,0),"")</f>
        <v/>
      </c>
      <c r="BK353" s="185" t="str">
        <f>_xlfn.IFNA(VLOOKUP($BC353,Programma!$F$3:$N$1101,9,0),"")</f>
        <v/>
      </c>
      <c r="BL353" s="185" t="str">
        <f>_xlfn.IFNA(VLOOKUP($BC353,Programma!$F$3:$O$1101,10,0),"")</f>
        <v/>
      </c>
      <c r="BM353" s="185" t="str">
        <f>_xlfn.IFNA(VLOOKUP($BC353,Programma!$F$3:$P$1101,11,0),"")</f>
        <v/>
      </c>
      <c r="BN353" s="185" t="str">
        <f>_xlfn.IFNA(VLOOKUP($BC353,Programma!$F$3:$Q$1101,12,0),"")</f>
        <v/>
      </c>
      <c r="BO353" s="185" t="str">
        <f>_xlfn.IFNA(VLOOKUP($BC353,Programma!$F$3:$R$1101,13,0),"")</f>
        <v/>
      </c>
      <c r="BP353" s="185" t="str">
        <f>_xlfn.IFNA(VLOOKUP($BC353,Programma!$F$3:$S$1101,14,0),"")</f>
        <v/>
      </c>
      <c r="BQ353" s="185" t="str">
        <f>_xlfn.IFNA(VLOOKUP($BC353,Programma!$F$3:$T$1101,15,0),"")</f>
        <v/>
      </c>
      <c r="BR353" s="185" t="str">
        <f>_xlfn.IFNA(VLOOKUP($BC353,Programma!$F$3:$U$1101,16,0),"")</f>
        <v/>
      </c>
      <c r="BS353" s="185" t="str">
        <f>_xlfn.IFNA(VLOOKUP($BC353,Programma!$F$3:$V$1101,17,0),"")</f>
        <v/>
      </c>
      <c r="BT353" s="185" t="str">
        <f>_xlfn.IFNA(VLOOKUP($BC353,Programma!$F$3:$W$1101,18,0),"")</f>
        <v/>
      </c>
      <c r="BU353" s="185" t="str">
        <f>_xlfn.IFNA(VLOOKUP($BC353,Programma!$F$3:$X$1101,19,0),"")</f>
        <v/>
      </c>
      <c r="BV353" s="185" t="str">
        <f>_xlfn.IFNA(VLOOKUP($BC353,Programma!$F$3:$Y$1101,20,0),"")</f>
        <v/>
      </c>
    </row>
    <row r="354" spans="1:74" s="78" customFormat="1" ht="15" customHeight="1">
      <c r="A354" s="99">
        <v>11</v>
      </c>
      <c r="B354" s="176" t="str">
        <f>VLOOKUP(Ruimtestaat[[#This Row],[Code]],Locaties[[Code]:[Locatie]],2,FALSE)</f>
        <v>OMBS De Wielerbaan</v>
      </c>
      <c r="C354" s="176" t="str">
        <f>VLOOKUP(Ruimtestaat[[#This Row],[Code]],Locaties[[#All],[Code]:[Adres]],4,FALSE)</f>
        <v>Batshoek 5</v>
      </c>
      <c r="D354" s="176" t="str">
        <f>VLOOKUP(Ruimtestaat[[#This Row],[Code]],Locaties[[#All],[Code]:[Postcode]],5,FALSE)</f>
        <v>7546 LC</v>
      </c>
      <c r="E354" s="176" t="str">
        <f>VLOOKUP(Ruimtestaat[[#This Row],[Code]],Locaties[#All],6,FALSE)</f>
        <v>Enschede</v>
      </c>
      <c r="F354" s="183"/>
      <c r="G354" s="99" t="s">
        <v>1646</v>
      </c>
      <c r="H354" s="99" t="s">
        <v>1662</v>
      </c>
      <c r="I354" s="183" t="s">
        <v>1651</v>
      </c>
      <c r="J354" s="99">
        <v>16</v>
      </c>
      <c r="K354" s="183" t="str">
        <f>VLOOKUP(Ruimtestaat[[#This Row],[Ruimte code]],Ruimtegroepen[[#All],[Code]:[Ruimte omschrijving]],2,FALSE)</f>
        <v>Leslokalen</v>
      </c>
      <c r="L354" s="149" t="s">
        <v>100</v>
      </c>
      <c r="M354" s="301" t="s">
        <v>1697</v>
      </c>
      <c r="N354" s="177">
        <v>52.2</v>
      </c>
      <c r="O354" s="177"/>
      <c r="P354" s="178" t="str">
        <f>VLOOKUP(Ruimtestaat[[#This Row],[Ruimte code]],Ruimtegroepen[],4,FALSE)</f>
        <v>Le</v>
      </c>
      <c r="Q354" s="149">
        <v>40</v>
      </c>
      <c r="R354" s="149" t="s">
        <v>2</v>
      </c>
      <c r="S354" s="149">
        <f>IF(Q354&gt;0,IF(RIGHT(Ruimtestaat[[#This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4" s="149">
        <f>IF(S354&gt;0,VLOOKUP($J354,Ruimtegroepen[],3,FALSE)*VLOOKUP($L354,Vloersoorten[],3,FALSE)*VLOOKUP($R354,Frequenties[],3,FALSE)*VLOOKUP($A354,Locaties[],3,FALSE),0)</f>
        <v>0</v>
      </c>
      <c r="U354" s="149">
        <f>Ruimtestaat[[#This Row],[Uitvoeringen werkdagen]]*Ruimtestaat[[#This Row],[Oppervlak (netto)]]</f>
        <v>10440</v>
      </c>
      <c r="V354" s="179">
        <f>IF(T354&gt;0,Ruimtestaat[[#This Row],[Prest. (m2 /jaar) werkdagen]]/Ruimtestaat[[#This Row],[Norm (m2/uur) werkdagen]],0)</f>
        <v>0</v>
      </c>
      <c r="W354" s="180">
        <f>Ruimtestaat[[#This Row],[uren / jaar werkdagen]]*Tariefsopbouw!$E$35</f>
        <v>0</v>
      </c>
      <c r="X354" s="149"/>
      <c r="Y354" s="149">
        <f>IF(Ruimtestaat[[#This Row],[Frequentie weekend]]&gt;0,VALUE(LEFT(X354,1))*Q354,0)</f>
        <v>0</v>
      </c>
      <c r="Z354" s="148">
        <f>IF($Y354&gt;0,VLOOKUP($J354,Ruimtegroepen[],3,FALSE)*VLOOKUP($L354,Vloersoorten[],3,FALSE)*VLOOKUP($X354,Frequenties[],3,FALSE)*VLOOKUP(Ruimtestaat[[#This Row],[Code]],Locaties[],3,FALSE),0)</f>
        <v>0</v>
      </c>
      <c r="AA354" s="148">
        <f>Ruimtestaat[[#This Row],[Uitvoeringen weekend]]*Ruimtestaat[[#This Row],[Oppervlak (netto)]]</f>
        <v>0</v>
      </c>
      <c r="AB354" s="148">
        <f>IF(Z354&gt;0,Ruimtestaat[[#This Row],[Prest. (m2 /jaar) weekend]]/Ruimtestaat[[#This Row],[Norm (m2/uur) weekend]],0)</f>
        <v>0</v>
      </c>
      <c r="AC354" s="180">
        <f>Ruimtestaat[[#This Row],[uren / jaar weekend]]*Tariefsopbouw!$D$40</f>
        <v>0</v>
      </c>
      <c r="AD354" s="179">
        <f>Ruimtestaat[[#This Row],[Prest. (m2 /jaar) weekend]]+Ruimtestaat[[#This Row],[Prest. (m2 /jaar) werkdagen]]</f>
        <v>10440</v>
      </c>
      <c r="AE354" s="179">
        <f>Ruimtestaat[[#This Row],[uren / jaar weekend]]+Ruimtestaat[[#This Row],[uren / jaar werkdagen]]</f>
        <v>0</v>
      </c>
      <c r="AF354" s="174">
        <f>Ruimtestaat[[#This Row],[kosten / jaar weekend]]+Ruimtestaat[[#This Row],[kosten / jaar werkdagen]]</f>
        <v>0</v>
      </c>
      <c r="AG354" s="174"/>
      <c r="AH354" s="181" t="str">
        <f>IF(Ruimtestaat[[#This Row],[Frequentie werkdagen]]="","",_xlfn.CONCAT(Ruimtestaat[[#This Row],[Ruimte code]],"-",Ruimtestaat[[#This Row],[Frequentie werkdagen]]," ",Ruimtestaat[[#This Row],[Vloer code]]))</f>
        <v>16-5w L</v>
      </c>
      <c r="AI354" s="185" t="str">
        <f>_xlfn.IFNA(VLOOKUP($AH354,Programma!$F$3:$G$1101,2,0),"")</f>
        <v>_</v>
      </c>
      <c r="AJ354" s="185" t="str">
        <f>_xlfn.IFNA(VLOOKUP($AH354,Programma!$F$3:$H$1101,3,0),"")</f>
        <v>_</v>
      </c>
      <c r="AK354" s="185" t="str">
        <f>_xlfn.IFNA(VLOOKUP($AH354,Programma!$F$3:$I$1101,4,0),"")</f>
        <v>4w</v>
      </c>
      <c r="AL354" s="185" t="str">
        <f>_xlfn.IFNA(VLOOKUP($AH354,Programma!$F$3:$J$1101,5,0),"")</f>
        <v>1w</v>
      </c>
      <c r="AM354" s="185" t="str">
        <f>_xlfn.IFNA(VLOOKUP($AH354,Programma!$F$3:$K$1101,6,0),"")</f>
        <v>_</v>
      </c>
      <c r="AN354" s="185" t="str">
        <f>_xlfn.IFNA(VLOOKUP($AH354,Programma!$F$3:$L$1101,7,0),"")</f>
        <v>_</v>
      </c>
      <c r="AO354" s="185" t="str">
        <f>_xlfn.IFNA(VLOOKUP($AH354,Programma!$F$3:$M$1101,8,0),"")</f>
        <v>_</v>
      </c>
      <c r="AP354" s="185" t="str">
        <f>_xlfn.IFNA(VLOOKUP($AH354,Programma!$F$3:$N$1101,9,0),"")</f>
        <v>_</v>
      </c>
      <c r="AQ354" s="185" t="str">
        <f>_xlfn.IFNA(VLOOKUP($AH354,Programma!$F$3:$O$1101,10,0),"")</f>
        <v>5w</v>
      </c>
      <c r="AR354" s="185" t="str">
        <f>_xlfn.IFNA(VLOOKUP($AH354,Programma!$F$3:$P$1101,11,0),"")</f>
        <v>5w</v>
      </c>
      <c r="AS354" s="185" t="str">
        <f>_xlfn.IFNA(VLOOKUP($AH354,Programma!$F$3:$Q$1101,12,0),"")</f>
        <v>1w</v>
      </c>
      <c r="AT354" s="185" t="str">
        <f>_xlfn.IFNA(VLOOKUP($AH354,Programma!$F$3:$R$1101,13,0),"")</f>
        <v>1w</v>
      </c>
      <c r="AU354" s="185" t="str">
        <f>_xlfn.IFNA(VLOOKUP($AH354,Programma!$F$3:$S$1101,14,0),"")</f>
        <v>1m</v>
      </c>
      <c r="AV354" s="185" t="str">
        <f>_xlfn.IFNA(VLOOKUP($AH354,Programma!$F$3:$T$1101,15,0),"")</f>
        <v>2j</v>
      </c>
      <c r="AW354" s="185" t="str">
        <f>_xlfn.IFNA(VLOOKUP($AH354,Programma!$F$3:$U$1101,16,0),"")</f>
        <v>1j</v>
      </c>
      <c r="AX354" s="185" t="str">
        <f>_xlfn.IFNA(VLOOKUP($AH354,Programma!$F$3:$V$1101,17,0),"")</f>
        <v>_</v>
      </c>
      <c r="AY354" s="185" t="str">
        <f>_xlfn.IFNA(VLOOKUP($AH354,Programma!$F$3:$W$1101,18,0),"")</f>
        <v>_</v>
      </c>
      <c r="AZ354" s="185" t="str">
        <f>_xlfn.IFNA(VLOOKUP($AH354,Programma!$F$3:$X$1101,19,0),"")</f>
        <v>_</v>
      </c>
      <c r="BA354" s="185" t="str">
        <f>_xlfn.IFNA(VLOOKUP($AH354,Programma!$F$3:$Y$1101,20,0),"")</f>
        <v>_</v>
      </c>
      <c r="BB354" s="182"/>
      <c r="BC354" s="181" t="str">
        <f>IF(Ruimtestaat[[#This Row],[Frequentie weekend]]="","",_xlfn.CONCAT(Ruimtestaat[[#This Row],[Ruimte code]],"-",Ruimtestaat[[#This Row],[Frequentie weekend]]," ",Ruimtestaat[[#This Row],[Vloer code]]))</f>
        <v/>
      </c>
      <c r="BD354" s="185" t="str">
        <f>_xlfn.IFNA(VLOOKUP($BC354,Programma!$F$3:$G$1101,2,0),"")</f>
        <v/>
      </c>
      <c r="BE354" s="185" t="str">
        <f>_xlfn.IFNA(VLOOKUP($BC354,Programma!$F$3:$H$1101,3,0),"")</f>
        <v/>
      </c>
      <c r="BF354" s="185" t="str">
        <f>_xlfn.IFNA(VLOOKUP($BC354,Programma!$F$3:$I$1101,4,0),"")</f>
        <v/>
      </c>
      <c r="BG354" s="185" t="str">
        <f>_xlfn.IFNA(VLOOKUP($BC354,Programma!$F$3:$J$1101,5,0),"")</f>
        <v/>
      </c>
      <c r="BH354" s="185" t="str">
        <f>_xlfn.IFNA(VLOOKUP($BC354,Programma!$F$3:$K$1101,6,0),"")</f>
        <v/>
      </c>
      <c r="BI354" s="185" t="str">
        <f>_xlfn.IFNA(VLOOKUP($BC354,Programma!$F$3:$L$1101,7,0),"")</f>
        <v/>
      </c>
      <c r="BJ354" s="185" t="str">
        <f>_xlfn.IFNA(VLOOKUP($BC354,Programma!$F$3:$M$1101,8,0),"")</f>
        <v/>
      </c>
      <c r="BK354" s="185" t="str">
        <f>_xlfn.IFNA(VLOOKUP($BC354,Programma!$F$3:$N$1101,9,0),"")</f>
        <v/>
      </c>
      <c r="BL354" s="185" t="str">
        <f>_xlfn.IFNA(VLOOKUP($BC354,Programma!$F$3:$O$1101,10,0),"")</f>
        <v/>
      </c>
      <c r="BM354" s="185" t="str">
        <f>_xlfn.IFNA(VLOOKUP($BC354,Programma!$F$3:$P$1101,11,0),"")</f>
        <v/>
      </c>
      <c r="BN354" s="185" t="str">
        <f>_xlfn.IFNA(VLOOKUP($BC354,Programma!$F$3:$Q$1101,12,0),"")</f>
        <v/>
      </c>
      <c r="BO354" s="185" t="str">
        <f>_xlfn.IFNA(VLOOKUP($BC354,Programma!$F$3:$R$1101,13,0),"")</f>
        <v/>
      </c>
      <c r="BP354" s="185" t="str">
        <f>_xlfn.IFNA(VLOOKUP($BC354,Programma!$F$3:$S$1101,14,0),"")</f>
        <v/>
      </c>
      <c r="BQ354" s="185" t="str">
        <f>_xlfn.IFNA(VLOOKUP($BC354,Programma!$F$3:$T$1101,15,0),"")</f>
        <v/>
      </c>
      <c r="BR354" s="185" t="str">
        <f>_xlfn.IFNA(VLOOKUP($BC354,Programma!$F$3:$U$1101,16,0),"")</f>
        <v/>
      </c>
      <c r="BS354" s="185" t="str">
        <f>_xlfn.IFNA(VLOOKUP($BC354,Programma!$F$3:$V$1101,17,0),"")</f>
        <v/>
      </c>
      <c r="BT354" s="185" t="str">
        <f>_xlfn.IFNA(VLOOKUP($BC354,Programma!$F$3:$W$1101,18,0),"")</f>
        <v/>
      </c>
      <c r="BU354" s="185" t="str">
        <f>_xlfn.IFNA(VLOOKUP($BC354,Programma!$F$3:$X$1101,19,0),"")</f>
        <v/>
      </c>
      <c r="BV354" s="185" t="str">
        <f>_xlfn.IFNA(VLOOKUP($BC354,Programma!$F$3:$Y$1101,20,0),"")</f>
        <v/>
      </c>
    </row>
    <row r="355" spans="1:74" s="78" customFormat="1" ht="15" customHeight="1">
      <c r="A355" s="99">
        <v>11</v>
      </c>
      <c r="B355" s="176" t="str">
        <f>VLOOKUP(Ruimtestaat[[#This Row],[Code]],Locaties[[Code]:[Locatie]],2,FALSE)</f>
        <v>OMBS De Wielerbaan</v>
      </c>
      <c r="C355" s="176" t="str">
        <f>VLOOKUP(Ruimtestaat[[#This Row],[Code]],Locaties[[#All],[Code]:[Adres]],4,FALSE)</f>
        <v>Batshoek 5</v>
      </c>
      <c r="D355" s="176" t="str">
        <f>VLOOKUP(Ruimtestaat[[#This Row],[Code]],Locaties[[#All],[Code]:[Postcode]],5,FALSE)</f>
        <v>7546 LC</v>
      </c>
      <c r="E355" s="176" t="str">
        <f>VLOOKUP(Ruimtestaat[[#This Row],[Code]],Locaties[#All],6,FALSE)</f>
        <v>Enschede</v>
      </c>
      <c r="F355" s="183"/>
      <c r="G355" s="99" t="s">
        <v>1646</v>
      </c>
      <c r="H355" s="99" t="s">
        <v>1663</v>
      </c>
      <c r="I355" s="183" t="s">
        <v>1655</v>
      </c>
      <c r="J355" s="99">
        <v>5</v>
      </c>
      <c r="K355" s="183" t="str">
        <f>VLOOKUP(Ruimtestaat[[#This Row],[Ruimte code]],Ruimtegroepen[[#All],[Code]:[Ruimte omschrijving]],2,FALSE)</f>
        <v>Sanitair</v>
      </c>
      <c r="L355" s="149" t="s">
        <v>101</v>
      </c>
      <c r="M355" s="301" t="s">
        <v>1682</v>
      </c>
      <c r="N355" s="177">
        <v>10.6</v>
      </c>
      <c r="O355" s="177"/>
      <c r="P355" s="178" t="str">
        <f>VLOOKUP(Ruimtestaat[[#This Row],[Ruimte code]],Ruimtegroepen[],4,FALSE)</f>
        <v>Sa</v>
      </c>
      <c r="Q355" s="149">
        <v>40</v>
      </c>
      <c r="R355" s="149" t="s">
        <v>2</v>
      </c>
      <c r="S355" s="149">
        <f>IF(Q355&gt;0,IF(RIGHT(Ruimtestaat[[#This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5" s="149">
        <f>IF(S355&gt;0,VLOOKUP($J355,Ruimtegroepen[],3,FALSE)*VLOOKUP($L355,Vloersoorten[],3,FALSE)*VLOOKUP($R355,Frequenties[],3,FALSE)*VLOOKUP($A355,Locaties[],3,FALSE),0)</f>
        <v>0</v>
      </c>
      <c r="U355" s="149">
        <f>Ruimtestaat[[#This Row],[Uitvoeringen werkdagen]]*Ruimtestaat[[#This Row],[Oppervlak (netto)]]</f>
        <v>2120</v>
      </c>
      <c r="V355" s="179">
        <f>IF(T355&gt;0,Ruimtestaat[[#This Row],[Prest. (m2 /jaar) werkdagen]]/Ruimtestaat[[#This Row],[Norm (m2/uur) werkdagen]],0)</f>
        <v>0</v>
      </c>
      <c r="W355" s="180">
        <f>Ruimtestaat[[#This Row],[uren / jaar werkdagen]]*Tariefsopbouw!$E$35</f>
        <v>0</v>
      </c>
      <c r="X355" s="149"/>
      <c r="Y355" s="149">
        <f>IF(Ruimtestaat[[#This Row],[Frequentie weekend]]&gt;0,VALUE(LEFT(X355,1))*Q355,0)</f>
        <v>0</v>
      </c>
      <c r="Z355" s="148">
        <f>IF($Y355&gt;0,VLOOKUP($J355,Ruimtegroepen[],3,FALSE)*VLOOKUP($L355,Vloersoorten[],3,FALSE)*VLOOKUP($X355,Frequenties[],3,FALSE)*VLOOKUP(Ruimtestaat[[#This Row],[Code]],Locaties[],3,FALSE),0)</f>
        <v>0</v>
      </c>
      <c r="AA355" s="148">
        <f>Ruimtestaat[[#This Row],[Uitvoeringen weekend]]*Ruimtestaat[[#This Row],[Oppervlak (netto)]]</f>
        <v>0</v>
      </c>
      <c r="AB355" s="148">
        <f>IF(Z355&gt;0,Ruimtestaat[[#This Row],[Prest. (m2 /jaar) weekend]]/Ruimtestaat[[#This Row],[Norm (m2/uur) weekend]],0)</f>
        <v>0</v>
      </c>
      <c r="AC355" s="180">
        <f>Ruimtestaat[[#This Row],[uren / jaar weekend]]*Tariefsopbouw!$D$40</f>
        <v>0</v>
      </c>
      <c r="AD355" s="179">
        <f>Ruimtestaat[[#This Row],[Prest. (m2 /jaar) weekend]]+Ruimtestaat[[#This Row],[Prest. (m2 /jaar) werkdagen]]</f>
        <v>2120</v>
      </c>
      <c r="AE355" s="179">
        <f>Ruimtestaat[[#This Row],[uren / jaar weekend]]+Ruimtestaat[[#This Row],[uren / jaar werkdagen]]</f>
        <v>0</v>
      </c>
      <c r="AF355" s="174">
        <f>Ruimtestaat[[#This Row],[kosten / jaar weekend]]+Ruimtestaat[[#This Row],[kosten / jaar werkdagen]]</f>
        <v>0</v>
      </c>
      <c r="AG355" s="174"/>
      <c r="AH355" s="181" t="str">
        <f>IF(Ruimtestaat[[#This Row],[Frequentie werkdagen]]="","",_xlfn.CONCAT(Ruimtestaat[[#This Row],[Ruimte code]],"-",Ruimtestaat[[#This Row],[Frequentie werkdagen]]," ",Ruimtestaat[[#This Row],[Vloer code]]))</f>
        <v>5-5w S</v>
      </c>
      <c r="AI355" s="185" t="str">
        <f>_xlfn.IFNA(VLOOKUP($AH355,Programma!$F$3:$G$1101,2,0),"")</f>
        <v>_</v>
      </c>
      <c r="AJ355" s="185" t="str">
        <f>_xlfn.IFNA(VLOOKUP($AH355,Programma!$F$3:$H$1101,3,0),"")</f>
        <v>_</v>
      </c>
      <c r="AK355" s="185" t="str">
        <f>_xlfn.IFNA(VLOOKUP($AH355,Programma!$F$3:$I$1101,4,0),"")</f>
        <v>_</v>
      </c>
      <c r="AL355" s="185" t="str">
        <f>_xlfn.IFNA(VLOOKUP($AH355,Programma!$F$3:$J$1101,5,0),"")</f>
        <v>4w</v>
      </c>
      <c r="AM355" s="185" t="str">
        <f>_xlfn.IFNA(VLOOKUP($AH355,Programma!$F$3:$K$1101,6,0),"")</f>
        <v>1w</v>
      </c>
      <c r="AN355" s="185" t="str">
        <f>_xlfn.IFNA(VLOOKUP($AH355,Programma!$F$3:$L$1101,7,0),"")</f>
        <v>_</v>
      </c>
      <c r="AO355" s="185" t="str">
        <f>_xlfn.IFNA(VLOOKUP($AH355,Programma!$F$3:$M$1101,8,0),"")</f>
        <v>_</v>
      </c>
      <c r="AP355" s="185" t="str">
        <f>_xlfn.IFNA(VLOOKUP($AH355,Programma!$F$3:$N$1101,9,0),"")</f>
        <v>_</v>
      </c>
      <c r="AQ355" s="185" t="str">
        <f>_xlfn.IFNA(VLOOKUP($AH355,Programma!$F$3:$O$1101,10,0),"")</f>
        <v>_</v>
      </c>
      <c r="AR355" s="185" t="str">
        <f>_xlfn.IFNA(VLOOKUP($AH355,Programma!$F$3:$P$1101,11,0),"")</f>
        <v>_</v>
      </c>
      <c r="AS355" s="185" t="str">
        <f>_xlfn.IFNA(VLOOKUP($AH355,Programma!$F$3:$Q$1101,12,0),"")</f>
        <v>_</v>
      </c>
      <c r="AT355" s="185" t="str">
        <f>_xlfn.IFNA(VLOOKUP($AH355,Programma!$F$3:$R$1101,13,0),"")</f>
        <v>_</v>
      </c>
      <c r="AU355" s="185" t="str">
        <f>_xlfn.IFNA(VLOOKUP($AH355,Programma!$F$3:$S$1101,14,0),"")</f>
        <v>_</v>
      </c>
      <c r="AV355" s="185" t="str">
        <f>_xlfn.IFNA(VLOOKUP($AH355,Programma!$F$3:$T$1101,15,0),"")</f>
        <v>_</v>
      </c>
      <c r="AW355" s="185" t="str">
        <f>_xlfn.IFNA(VLOOKUP($AH355,Programma!$F$3:$U$1101,16,0),"")</f>
        <v>_</v>
      </c>
      <c r="AX355" s="185" t="str">
        <f>_xlfn.IFNA(VLOOKUP($AH355,Programma!$F$3:$V$1101,17,0),"")</f>
        <v>_</v>
      </c>
      <c r="AY355" s="185" t="str">
        <f>_xlfn.IFNA(VLOOKUP($AH355,Programma!$F$3:$W$1101,18,0),"")</f>
        <v>4w</v>
      </c>
      <c r="AZ355" s="185" t="str">
        <f>_xlfn.IFNA(VLOOKUP($AH355,Programma!$F$3:$X$1101,19,0),"")</f>
        <v>1w</v>
      </c>
      <c r="BA355" s="185" t="str">
        <f>_xlfn.IFNA(VLOOKUP($AH355,Programma!$F$3:$Y$1101,20,0),"")</f>
        <v>_</v>
      </c>
      <c r="BB355" s="182"/>
      <c r="BC355" s="181" t="str">
        <f>IF(Ruimtestaat[[#This Row],[Frequentie weekend]]="","",_xlfn.CONCAT(Ruimtestaat[[#This Row],[Ruimte code]],"-",Ruimtestaat[[#This Row],[Frequentie weekend]]," ",Ruimtestaat[[#This Row],[Vloer code]]))</f>
        <v/>
      </c>
      <c r="BD355" s="185" t="str">
        <f>_xlfn.IFNA(VLOOKUP($BC355,Programma!$F$3:$G$1101,2,0),"")</f>
        <v/>
      </c>
      <c r="BE355" s="185" t="str">
        <f>_xlfn.IFNA(VLOOKUP($BC355,Programma!$F$3:$H$1101,3,0),"")</f>
        <v/>
      </c>
      <c r="BF355" s="185" t="str">
        <f>_xlfn.IFNA(VLOOKUP($BC355,Programma!$F$3:$I$1101,4,0),"")</f>
        <v/>
      </c>
      <c r="BG355" s="185" t="str">
        <f>_xlfn.IFNA(VLOOKUP($BC355,Programma!$F$3:$J$1101,5,0),"")</f>
        <v/>
      </c>
      <c r="BH355" s="185" t="str">
        <f>_xlfn.IFNA(VLOOKUP($BC355,Programma!$F$3:$K$1101,6,0),"")</f>
        <v/>
      </c>
      <c r="BI355" s="185" t="str">
        <f>_xlfn.IFNA(VLOOKUP($BC355,Programma!$F$3:$L$1101,7,0),"")</f>
        <v/>
      </c>
      <c r="BJ355" s="185" t="str">
        <f>_xlfn.IFNA(VLOOKUP($BC355,Programma!$F$3:$M$1101,8,0),"")</f>
        <v/>
      </c>
      <c r="BK355" s="185" t="str">
        <f>_xlfn.IFNA(VLOOKUP($BC355,Programma!$F$3:$N$1101,9,0),"")</f>
        <v/>
      </c>
      <c r="BL355" s="185" t="str">
        <f>_xlfn.IFNA(VLOOKUP($BC355,Programma!$F$3:$O$1101,10,0),"")</f>
        <v/>
      </c>
      <c r="BM355" s="185" t="str">
        <f>_xlfn.IFNA(VLOOKUP($BC355,Programma!$F$3:$P$1101,11,0),"")</f>
        <v/>
      </c>
      <c r="BN355" s="185" t="str">
        <f>_xlfn.IFNA(VLOOKUP($BC355,Programma!$F$3:$Q$1101,12,0),"")</f>
        <v/>
      </c>
      <c r="BO355" s="185" t="str">
        <f>_xlfn.IFNA(VLOOKUP($BC355,Programma!$F$3:$R$1101,13,0),"")</f>
        <v/>
      </c>
      <c r="BP355" s="185" t="str">
        <f>_xlfn.IFNA(VLOOKUP($BC355,Programma!$F$3:$S$1101,14,0),"")</f>
        <v/>
      </c>
      <c r="BQ355" s="185" t="str">
        <f>_xlfn.IFNA(VLOOKUP($BC355,Programma!$F$3:$T$1101,15,0),"")</f>
        <v/>
      </c>
      <c r="BR355" s="185" t="str">
        <f>_xlfn.IFNA(VLOOKUP($BC355,Programma!$F$3:$U$1101,16,0),"")</f>
        <v/>
      </c>
      <c r="BS355" s="185" t="str">
        <f>_xlfn.IFNA(VLOOKUP($BC355,Programma!$F$3:$V$1101,17,0),"")</f>
        <v/>
      </c>
      <c r="BT355" s="185" t="str">
        <f>_xlfn.IFNA(VLOOKUP($BC355,Programma!$F$3:$W$1101,18,0),"")</f>
        <v/>
      </c>
      <c r="BU355" s="185" t="str">
        <f>_xlfn.IFNA(VLOOKUP($BC355,Programma!$F$3:$X$1101,19,0),"")</f>
        <v/>
      </c>
      <c r="BV355" s="185" t="str">
        <f>_xlfn.IFNA(VLOOKUP($BC355,Programma!$F$3:$Y$1101,20,0),"")</f>
        <v/>
      </c>
    </row>
    <row r="356" spans="1:74" s="78" customFormat="1" ht="15" customHeight="1">
      <c r="A356" s="99">
        <v>11</v>
      </c>
      <c r="B356" s="176" t="str">
        <f>VLOOKUP(Ruimtestaat[[#This Row],[Code]],Locaties[[Code]:[Locatie]],2,FALSE)</f>
        <v>OMBS De Wielerbaan</v>
      </c>
      <c r="C356" s="176" t="str">
        <f>VLOOKUP(Ruimtestaat[[#This Row],[Code]],Locaties[[#All],[Code]:[Adres]],4,FALSE)</f>
        <v>Batshoek 5</v>
      </c>
      <c r="D356" s="176" t="str">
        <f>VLOOKUP(Ruimtestaat[[#This Row],[Code]],Locaties[[#All],[Code]:[Postcode]],5,FALSE)</f>
        <v>7546 LC</v>
      </c>
      <c r="E356" s="176" t="str">
        <f>VLOOKUP(Ruimtestaat[[#This Row],[Code]],Locaties[#All],6,FALSE)</f>
        <v>Enschede</v>
      </c>
      <c r="F356" s="183"/>
      <c r="G356" s="99" t="s">
        <v>1646</v>
      </c>
      <c r="H356" s="99" t="s">
        <v>1664</v>
      </c>
      <c r="I356" s="183" t="s">
        <v>1651</v>
      </c>
      <c r="J356" s="99">
        <v>16</v>
      </c>
      <c r="K356" s="183" t="str">
        <f>VLOOKUP(Ruimtestaat[[#This Row],[Ruimte code]],Ruimtegroepen[[#All],[Code]:[Ruimte omschrijving]],2,FALSE)</f>
        <v>Leslokalen</v>
      </c>
      <c r="L356" s="149" t="s">
        <v>100</v>
      </c>
      <c r="M356" s="301" t="s">
        <v>1697</v>
      </c>
      <c r="N356" s="177">
        <v>52.2</v>
      </c>
      <c r="O356" s="177"/>
      <c r="P356" s="178" t="str">
        <f>VLOOKUP(Ruimtestaat[[#This Row],[Ruimte code]],Ruimtegroepen[],4,FALSE)</f>
        <v>Le</v>
      </c>
      <c r="Q356" s="149">
        <v>40</v>
      </c>
      <c r="R356" s="149" t="s">
        <v>2</v>
      </c>
      <c r="S356" s="149">
        <f>IF(Q356&gt;0,IF(RIGHT(Ruimtestaat[[#This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6" s="149">
        <f>IF(S356&gt;0,VLOOKUP($J356,Ruimtegroepen[],3,FALSE)*VLOOKUP($L356,Vloersoorten[],3,FALSE)*VLOOKUP($R356,Frequenties[],3,FALSE)*VLOOKUP($A356,Locaties[],3,FALSE),0)</f>
        <v>0</v>
      </c>
      <c r="U356" s="149">
        <f>Ruimtestaat[[#This Row],[Uitvoeringen werkdagen]]*Ruimtestaat[[#This Row],[Oppervlak (netto)]]</f>
        <v>10440</v>
      </c>
      <c r="V356" s="179">
        <f>IF(T356&gt;0,Ruimtestaat[[#This Row],[Prest. (m2 /jaar) werkdagen]]/Ruimtestaat[[#This Row],[Norm (m2/uur) werkdagen]],0)</f>
        <v>0</v>
      </c>
      <c r="W356" s="180">
        <f>Ruimtestaat[[#This Row],[uren / jaar werkdagen]]*Tariefsopbouw!$E$35</f>
        <v>0</v>
      </c>
      <c r="X356" s="149"/>
      <c r="Y356" s="149">
        <f>IF(Ruimtestaat[[#This Row],[Frequentie weekend]]&gt;0,VALUE(LEFT(X356,1))*Q356,0)</f>
        <v>0</v>
      </c>
      <c r="Z356" s="148">
        <f>IF($Y356&gt;0,VLOOKUP($J356,Ruimtegroepen[],3,FALSE)*VLOOKUP($L356,Vloersoorten[],3,FALSE)*VLOOKUP($X356,Frequenties[],3,FALSE)*VLOOKUP(Ruimtestaat[[#This Row],[Code]],Locaties[],3,FALSE),0)</f>
        <v>0</v>
      </c>
      <c r="AA356" s="148">
        <f>Ruimtestaat[[#This Row],[Uitvoeringen weekend]]*Ruimtestaat[[#This Row],[Oppervlak (netto)]]</f>
        <v>0</v>
      </c>
      <c r="AB356" s="148">
        <f>IF(Z356&gt;0,Ruimtestaat[[#This Row],[Prest. (m2 /jaar) weekend]]/Ruimtestaat[[#This Row],[Norm (m2/uur) weekend]],0)</f>
        <v>0</v>
      </c>
      <c r="AC356" s="180">
        <f>Ruimtestaat[[#This Row],[uren / jaar weekend]]*Tariefsopbouw!$D$40</f>
        <v>0</v>
      </c>
      <c r="AD356" s="179">
        <f>Ruimtestaat[[#This Row],[Prest. (m2 /jaar) weekend]]+Ruimtestaat[[#This Row],[Prest. (m2 /jaar) werkdagen]]</f>
        <v>10440</v>
      </c>
      <c r="AE356" s="179">
        <f>Ruimtestaat[[#This Row],[uren / jaar weekend]]+Ruimtestaat[[#This Row],[uren / jaar werkdagen]]</f>
        <v>0</v>
      </c>
      <c r="AF356" s="174">
        <f>Ruimtestaat[[#This Row],[kosten / jaar weekend]]+Ruimtestaat[[#This Row],[kosten / jaar werkdagen]]</f>
        <v>0</v>
      </c>
      <c r="AG356" s="174"/>
      <c r="AH356" s="181" t="str">
        <f>IF(Ruimtestaat[[#This Row],[Frequentie werkdagen]]="","",_xlfn.CONCAT(Ruimtestaat[[#This Row],[Ruimte code]],"-",Ruimtestaat[[#This Row],[Frequentie werkdagen]]," ",Ruimtestaat[[#This Row],[Vloer code]]))</f>
        <v>16-5w L</v>
      </c>
      <c r="AI356" s="185" t="str">
        <f>_xlfn.IFNA(VLOOKUP($AH356,Programma!$F$3:$G$1101,2,0),"")</f>
        <v>_</v>
      </c>
      <c r="AJ356" s="185" t="str">
        <f>_xlfn.IFNA(VLOOKUP($AH356,Programma!$F$3:$H$1101,3,0),"")</f>
        <v>_</v>
      </c>
      <c r="AK356" s="185" t="str">
        <f>_xlfn.IFNA(VLOOKUP($AH356,Programma!$F$3:$I$1101,4,0),"")</f>
        <v>4w</v>
      </c>
      <c r="AL356" s="185" t="str">
        <f>_xlfn.IFNA(VLOOKUP($AH356,Programma!$F$3:$J$1101,5,0),"")</f>
        <v>1w</v>
      </c>
      <c r="AM356" s="185" t="str">
        <f>_xlfn.IFNA(VLOOKUP($AH356,Programma!$F$3:$K$1101,6,0),"")</f>
        <v>_</v>
      </c>
      <c r="AN356" s="185" t="str">
        <f>_xlfn.IFNA(VLOOKUP($AH356,Programma!$F$3:$L$1101,7,0),"")</f>
        <v>_</v>
      </c>
      <c r="AO356" s="185" t="str">
        <f>_xlfn.IFNA(VLOOKUP($AH356,Programma!$F$3:$M$1101,8,0),"")</f>
        <v>_</v>
      </c>
      <c r="AP356" s="185" t="str">
        <f>_xlfn.IFNA(VLOOKUP($AH356,Programma!$F$3:$N$1101,9,0),"")</f>
        <v>_</v>
      </c>
      <c r="AQ356" s="185" t="str">
        <f>_xlfn.IFNA(VLOOKUP($AH356,Programma!$F$3:$O$1101,10,0),"")</f>
        <v>5w</v>
      </c>
      <c r="AR356" s="185" t="str">
        <f>_xlfn.IFNA(VLOOKUP($AH356,Programma!$F$3:$P$1101,11,0),"")</f>
        <v>5w</v>
      </c>
      <c r="AS356" s="185" t="str">
        <f>_xlfn.IFNA(VLOOKUP($AH356,Programma!$F$3:$Q$1101,12,0),"")</f>
        <v>1w</v>
      </c>
      <c r="AT356" s="185" t="str">
        <f>_xlfn.IFNA(VLOOKUP($AH356,Programma!$F$3:$R$1101,13,0),"")</f>
        <v>1w</v>
      </c>
      <c r="AU356" s="185" t="str">
        <f>_xlfn.IFNA(VLOOKUP($AH356,Programma!$F$3:$S$1101,14,0),"")</f>
        <v>1m</v>
      </c>
      <c r="AV356" s="185" t="str">
        <f>_xlfn.IFNA(VLOOKUP($AH356,Programma!$F$3:$T$1101,15,0),"")</f>
        <v>2j</v>
      </c>
      <c r="AW356" s="185" t="str">
        <f>_xlfn.IFNA(VLOOKUP($AH356,Programma!$F$3:$U$1101,16,0),"")</f>
        <v>1j</v>
      </c>
      <c r="AX356" s="185" t="str">
        <f>_xlfn.IFNA(VLOOKUP($AH356,Programma!$F$3:$V$1101,17,0),"")</f>
        <v>_</v>
      </c>
      <c r="AY356" s="185" t="str">
        <f>_xlfn.IFNA(VLOOKUP($AH356,Programma!$F$3:$W$1101,18,0),"")</f>
        <v>_</v>
      </c>
      <c r="AZ356" s="185" t="str">
        <f>_xlfn.IFNA(VLOOKUP($AH356,Programma!$F$3:$X$1101,19,0),"")</f>
        <v>_</v>
      </c>
      <c r="BA356" s="185" t="str">
        <f>_xlfn.IFNA(VLOOKUP($AH356,Programma!$F$3:$Y$1101,20,0),"")</f>
        <v>_</v>
      </c>
      <c r="BB356" s="182"/>
      <c r="BC356" s="181" t="str">
        <f>IF(Ruimtestaat[[#This Row],[Frequentie weekend]]="","",_xlfn.CONCAT(Ruimtestaat[[#This Row],[Ruimte code]],"-",Ruimtestaat[[#This Row],[Frequentie weekend]]," ",Ruimtestaat[[#This Row],[Vloer code]]))</f>
        <v/>
      </c>
      <c r="BD356" s="185" t="str">
        <f>_xlfn.IFNA(VLOOKUP($BC356,Programma!$F$3:$G$1101,2,0),"")</f>
        <v/>
      </c>
      <c r="BE356" s="185" t="str">
        <f>_xlfn.IFNA(VLOOKUP($BC356,Programma!$F$3:$H$1101,3,0),"")</f>
        <v/>
      </c>
      <c r="BF356" s="185" t="str">
        <f>_xlfn.IFNA(VLOOKUP($BC356,Programma!$F$3:$I$1101,4,0),"")</f>
        <v/>
      </c>
      <c r="BG356" s="185" t="str">
        <f>_xlfn.IFNA(VLOOKUP($BC356,Programma!$F$3:$J$1101,5,0),"")</f>
        <v/>
      </c>
      <c r="BH356" s="185" t="str">
        <f>_xlfn.IFNA(VLOOKUP($BC356,Programma!$F$3:$K$1101,6,0),"")</f>
        <v/>
      </c>
      <c r="BI356" s="185" t="str">
        <f>_xlfn.IFNA(VLOOKUP($BC356,Programma!$F$3:$L$1101,7,0),"")</f>
        <v/>
      </c>
      <c r="BJ356" s="185" t="str">
        <f>_xlfn.IFNA(VLOOKUP($BC356,Programma!$F$3:$M$1101,8,0),"")</f>
        <v/>
      </c>
      <c r="BK356" s="185" t="str">
        <f>_xlfn.IFNA(VLOOKUP($BC356,Programma!$F$3:$N$1101,9,0),"")</f>
        <v/>
      </c>
      <c r="BL356" s="185" t="str">
        <f>_xlfn.IFNA(VLOOKUP($BC356,Programma!$F$3:$O$1101,10,0),"")</f>
        <v/>
      </c>
      <c r="BM356" s="185" t="str">
        <f>_xlfn.IFNA(VLOOKUP($BC356,Programma!$F$3:$P$1101,11,0),"")</f>
        <v/>
      </c>
      <c r="BN356" s="185" t="str">
        <f>_xlfn.IFNA(VLOOKUP($BC356,Programma!$F$3:$Q$1101,12,0),"")</f>
        <v/>
      </c>
      <c r="BO356" s="185" t="str">
        <f>_xlfn.IFNA(VLOOKUP($BC356,Programma!$F$3:$R$1101,13,0),"")</f>
        <v/>
      </c>
      <c r="BP356" s="185" t="str">
        <f>_xlfn.IFNA(VLOOKUP($BC356,Programma!$F$3:$S$1101,14,0),"")</f>
        <v/>
      </c>
      <c r="BQ356" s="185" t="str">
        <f>_xlfn.IFNA(VLOOKUP($BC356,Programma!$F$3:$T$1101,15,0),"")</f>
        <v/>
      </c>
      <c r="BR356" s="185" t="str">
        <f>_xlfn.IFNA(VLOOKUP($BC356,Programma!$F$3:$U$1101,16,0),"")</f>
        <v/>
      </c>
      <c r="BS356" s="185" t="str">
        <f>_xlfn.IFNA(VLOOKUP($BC356,Programma!$F$3:$V$1101,17,0),"")</f>
        <v/>
      </c>
      <c r="BT356" s="185" t="str">
        <f>_xlfn.IFNA(VLOOKUP($BC356,Programma!$F$3:$W$1101,18,0),"")</f>
        <v/>
      </c>
      <c r="BU356" s="185" t="str">
        <f>_xlfn.IFNA(VLOOKUP($BC356,Programma!$F$3:$X$1101,19,0),"")</f>
        <v/>
      </c>
      <c r="BV356" s="185" t="str">
        <f>_xlfn.IFNA(VLOOKUP($BC356,Programma!$F$3:$Y$1101,20,0),"")</f>
        <v/>
      </c>
    </row>
    <row r="357" spans="1:74" s="78" customFormat="1" ht="15" customHeight="1">
      <c r="A357" s="99">
        <v>11</v>
      </c>
      <c r="B357" s="176" t="str">
        <f>VLOOKUP(Ruimtestaat[[#This Row],[Code]],Locaties[[Code]:[Locatie]],2,FALSE)</f>
        <v>OMBS De Wielerbaan</v>
      </c>
      <c r="C357" s="176" t="str">
        <f>VLOOKUP(Ruimtestaat[[#This Row],[Code]],Locaties[[#All],[Code]:[Adres]],4,FALSE)</f>
        <v>Batshoek 5</v>
      </c>
      <c r="D357" s="176" t="str">
        <f>VLOOKUP(Ruimtestaat[[#This Row],[Code]],Locaties[[#All],[Code]:[Postcode]],5,FALSE)</f>
        <v>7546 LC</v>
      </c>
      <c r="E357" s="176" t="str">
        <f>VLOOKUP(Ruimtestaat[[#This Row],[Code]],Locaties[#All],6,FALSE)</f>
        <v>Enschede</v>
      </c>
      <c r="F357" s="183"/>
      <c r="G357" s="99" t="s">
        <v>1646</v>
      </c>
      <c r="H357" s="99" t="s">
        <v>1666</v>
      </c>
      <c r="I357" s="183" t="s">
        <v>1651</v>
      </c>
      <c r="J357" s="99">
        <v>16</v>
      </c>
      <c r="K357" s="183" t="str">
        <f>VLOOKUP(Ruimtestaat[[#This Row],[Ruimte code]],Ruimtegroepen[[#All],[Code]:[Ruimte omschrijving]],2,FALSE)</f>
        <v>Leslokalen</v>
      </c>
      <c r="L357" s="149" t="s">
        <v>100</v>
      </c>
      <c r="M357" s="301" t="s">
        <v>1697</v>
      </c>
      <c r="N357" s="177">
        <v>52.2</v>
      </c>
      <c r="O357" s="177"/>
      <c r="P357" s="178" t="str">
        <f>VLOOKUP(Ruimtestaat[[#This Row],[Ruimte code]],Ruimtegroepen[],4,FALSE)</f>
        <v>Le</v>
      </c>
      <c r="Q357" s="149">
        <v>40</v>
      </c>
      <c r="R357" s="149" t="s">
        <v>2</v>
      </c>
      <c r="S357" s="149">
        <f>IF(Q357&gt;0,IF(RIGHT(Ruimtestaat[[#This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7" s="149">
        <f>IF(S357&gt;0,VLOOKUP($J357,Ruimtegroepen[],3,FALSE)*VLOOKUP($L357,Vloersoorten[],3,FALSE)*VLOOKUP($R357,Frequenties[],3,FALSE)*VLOOKUP($A357,Locaties[],3,FALSE),0)</f>
        <v>0</v>
      </c>
      <c r="U357" s="149">
        <f>Ruimtestaat[[#This Row],[Uitvoeringen werkdagen]]*Ruimtestaat[[#This Row],[Oppervlak (netto)]]</f>
        <v>10440</v>
      </c>
      <c r="V357" s="179">
        <f>IF(T357&gt;0,Ruimtestaat[[#This Row],[Prest. (m2 /jaar) werkdagen]]/Ruimtestaat[[#This Row],[Norm (m2/uur) werkdagen]],0)</f>
        <v>0</v>
      </c>
      <c r="W357" s="180">
        <f>Ruimtestaat[[#This Row],[uren / jaar werkdagen]]*Tariefsopbouw!$E$35</f>
        <v>0</v>
      </c>
      <c r="X357" s="149"/>
      <c r="Y357" s="149">
        <f>IF(Ruimtestaat[[#This Row],[Frequentie weekend]]&gt;0,VALUE(LEFT(X357,1))*Q357,0)</f>
        <v>0</v>
      </c>
      <c r="Z357" s="148">
        <f>IF($Y357&gt;0,VLOOKUP($J357,Ruimtegroepen[],3,FALSE)*VLOOKUP($L357,Vloersoorten[],3,FALSE)*VLOOKUP($X357,Frequenties[],3,FALSE)*VLOOKUP(Ruimtestaat[[#This Row],[Code]],Locaties[],3,FALSE),0)</f>
        <v>0</v>
      </c>
      <c r="AA357" s="148">
        <f>Ruimtestaat[[#This Row],[Uitvoeringen weekend]]*Ruimtestaat[[#This Row],[Oppervlak (netto)]]</f>
        <v>0</v>
      </c>
      <c r="AB357" s="148">
        <f>IF(Z357&gt;0,Ruimtestaat[[#This Row],[Prest. (m2 /jaar) weekend]]/Ruimtestaat[[#This Row],[Norm (m2/uur) weekend]],0)</f>
        <v>0</v>
      </c>
      <c r="AC357" s="180">
        <f>Ruimtestaat[[#This Row],[uren / jaar weekend]]*Tariefsopbouw!$D$40</f>
        <v>0</v>
      </c>
      <c r="AD357" s="179">
        <f>Ruimtestaat[[#This Row],[Prest. (m2 /jaar) weekend]]+Ruimtestaat[[#This Row],[Prest. (m2 /jaar) werkdagen]]</f>
        <v>10440</v>
      </c>
      <c r="AE357" s="179">
        <f>Ruimtestaat[[#This Row],[uren / jaar weekend]]+Ruimtestaat[[#This Row],[uren / jaar werkdagen]]</f>
        <v>0</v>
      </c>
      <c r="AF357" s="174">
        <f>Ruimtestaat[[#This Row],[kosten / jaar weekend]]+Ruimtestaat[[#This Row],[kosten / jaar werkdagen]]</f>
        <v>0</v>
      </c>
      <c r="AG357" s="174"/>
      <c r="AH357" s="181" t="str">
        <f>IF(Ruimtestaat[[#This Row],[Frequentie werkdagen]]="","",_xlfn.CONCAT(Ruimtestaat[[#This Row],[Ruimte code]],"-",Ruimtestaat[[#This Row],[Frequentie werkdagen]]," ",Ruimtestaat[[#This Row],[Vloer code]]))</f>
        <v>16-5w L</v>
      </c>
      <c r="AI357" s="185" t="str">
        <f>_xlfn.IFNA(VLOOKUP($AH357,Programma!$F$3:$G$1101,2,0),"")</f>
        <v>_</v>
      </c>
      <c r="AJ357" s="185" t="str">
        <f>_xlfn.IFNA(VLOOKUP($AH357,Programma!$F$3:$H$1101,3,0),"")</f>
        <v>_</v>
      </c>
      <c r="AK357" s="185" t="str">
        <f>_xlfn.IFNA(VLOOKUP($AH357,Programma!$F$3:$I$1101,4,0),"")</f>
        <v>4w</v>
      </c>
      <c r="AL357" s="185" t="str">
        <f>_xlfn.IFNA(VLOOKUP($AH357,Programma!$F$3:$J$1101,5,0),"")</f>
        <v>1w</v>
      </c>
      <c r="AM357" s="185" t="str">
        <f>_xlfn.IFNA(VLOOKUP($AH357,Programma!$F$3:$K$1101,6,0),"")</f>
        <v>_</v>
      </c>
      <c r="AN357" s="185" t="str">
        <f>_xlfn.IFNA(VLOOKUP($AH357,Programma!$F$3:$L$1101,7,0),"")</f>
        <v>_</v>
      </c>
      <c r="AO357" s="185" t="str">
        <f>_xlfn.IFNA(VLOOKUP($AH357,Programma!$F$3:$M$1101,8,0),"")</f>
        <v>_</v>
      </c>
      <c r="AP357" s="185" t="str">
        <f>_xlfn.IFNA(VLOOKUP($AH357,Programma!$F$3:$N$1101,9,0),"")</f>
        <v>_</v>
      </c>
      <c r="AQ357" s="185" t="str">
        <f>_xlfn.IFNA(VLOOKUP($AH357,Programma!$F$3:$O$1101,10,0),"")</f>
        <v>5w</v>
      </c>
      <c r="AR357" s="185" t="str">
        <f>_xlfn.IFNA(VLOOKUP($AH357,Programma!$F$3:$P$1101,11,0),"")</f>
        <v>5w</v>
      </c>
      <c r="AS357" s="185" t="str">
        <f>_xlfn.IFNA(VLOOKUP($AH357,Programma!$F$3:$Q$1101,12,0),"")</f>
        <v>1w</v>
      </c>
      <c r="AT357" s="185" t="str">
        <f>_xlfn.IFNA(VLOOKUP($AH357,Programma!$F$3:$R$1101,13,0),"")</f>
        <v>1w</v>
      </c>
      <c r="AU357" s="185" t="str">
        <f>_xlfn.IFNA(VLOOKUP($AH357,Programma!$F$3:$S$1101,14,0),"")</f>
        <v>1m</v>
      </c>
      <c r="AV357" s="185" t="str">
        <f>_xlfn.IFNA(VLOOKUP($AH357,Programma!$F$3:$T$1101,15,0),"")</f>
        <v>2j</v>
      </c>
      <c r="AW357" s="185" t="str">
        <f>_xlfn.IFNA(VLOOKUP($AH357,Programma!$F$3:$U$1101,16,0),"")</f>
        <v>1j</v>
      </c>
      <c r="AX357" s="185" t="str">
        <f>_xlfn.IFNA(VLOOKUP($AH357,Programma!$F$3:$V$1101,17,0),"")</f>
        <v>_</v>
      </c>
      <c r="AY357" s="185" t="str">
        <f>_xlfn.IFNA(VLOOKUP($AH357,Programma!$F$3:$W$1101,18,0),"")</f>
        <v>_</v>
      </c>
      <c r="AZ357" s="185" t="str">
        <f>_xlfn.IFNA(VLOOKUP($AH357,Programma!$F$3:$X$1101,19,0),"")</f>
        <v>_</v>
      </c>
      <c r="BA357" s="185" t="str">
        <f>_xlfn.IFNA(VLOOKUP($AH357,Programma!$F$3:$Y$1101,20,0),"")</f>
        <v>_</v>
      </c>
      <c r="BB357" s="182"/>
      <c r="BC357" s="181" t="str">
        <f>IF(Ruimtestaat[[#This Row],[Frequentie weekend]]="","",_xlfn.CONCAT(Ruimtestaat[[#This Row],[Ruimte code]],"-",Ruimtestaat[[#This Row],[Frequentie weekend]]," ",Ruimtestaat[[#This Row],[Vloer code]]))</f>
        <v/>
      </c>
      <c r="BD357" s="185" t="str">
        <f>_xlfn.IFNA(VLOOKUP($BC357,Programma!$F$3:$G$1101,2,0),"")</f>
        <v/>
      </c>
      <c r="BE357" s="185" t="str">
        <f>_xlfn.IFNA(VLOOKUP($BC357,Programma!$F$3:$H$1101,3,0),"")</f>
        <v/>
      </c>
      <c r="BF357" s="185" t="str">
        <f>_xlfn.IFNA(VLOOKUP($BC357,Programma!$F$3:$I$1101,4,0),"")</f>
        <v/>
      </c>
      <c r="BG357" s="185" t="str">
        <f>_xlfn.IFNA(VLOOKUP($BC357,Programma!$F$3:$J$1101,5,0),"")</f>
        <v/>
      </c>
      <c r="BH357" s="185" t="str">
        <f>_xlfn.IFNA(VLOOKUP($BC357,Programma!$F$3:$K$1101,6,0),"")</f>
        <v/>
      </c>
      <c r="BI357" s="185" t="str">
        <f>_xlfn.IFNA(VLOOKUP($BC357,Programma!$F$3:$L$1101,7,0),"")</f>
        <v/>
      </c>
      <c r="BJ357" s="185" t="str">
        <f>_xlfn.IFNA(VLOOKUP($BC357,Programma!$F$3:$M$1101,8,0),"")</f>
        <v/>
      </c>
      <c r="BK357" s="185" t="str">
        <f>_xlfn.IFNA(VLOOKUP($BC357,Programma!$F$3:$N$1101,9,0),"")</f>
        <v/>
      </c>
      <c r="BL357" s="185" t="str">
        <f>_xlfn.IFNA(VLOOKUP($BC357,Programma!$F$3:$O$1101,10,0),"")</f>
        <v/>
      </c>
      <c r="BM357" s="185" t="str">
        <f>_xlfn.IFNA(VLOOKUP($BC357,Programma!$F$3:$P$1101,11,0),"")</f>
        <v/>
      </c>
      <c r="BN357" s="185" t="str">
        <f>_xlfn.IFNA(VLOOKUP($BC357,Programma!$F$3:$Q$1101,12,0),"")</f>
        <v/>
      </c>
      <c r="BO357" s="185" t="str">
        <f>_xlfn.IFNA(VLOOKUP($BC357,Programma!$F$3:$R$1101,13,0),"")</f>
        <v/>
      </c>
      <c r="BP357" s="185" t="str">
        <f>_xlfn.IFNA(VLOOKUP($BC357,Programma!$F$3:$S$1101,14,0),"")</f>
        <v/>
      </c>
      <c r="BQ357" s="185" t="str">
        <f>_xlfn.IFNA(VLOOKUP($BC357,Programma!$F$3:$T$1101,15,0),"")</f>
        <v/>
      </c>
      <c r="BR357" s="185" t="str">
        <f>_xlfn.IFNA(VLOOKUP($BC357,Programma!$F$3:$U$1101,16,0),"")</f>
        <v/>
      </c>
      <c r="BS357" s="185" t="str">
        <f>_xlfn.IFNA(VLOOKUP($BC357,Programma!$F$3:$V$1101,17,0),"")</f>
        <v/>
      </c>
      <c r="BT357" s="185" t="str">
        <f>_xlfn.IFNA(VLOOKUP($BC357,Programma!$F$3:$W$1101,18,0),"")</f>
        <v/>
      </c>
      <c r="BU357" s="185" t="str">
        <f>_xlfn.IFNA(VLOOKUP($BC357,Programma!$F$3:$X$1101,19,0),"")</f>
        <v/>
      </c>
      <c r="BV357" s="185" t="str">
        <f>_xlfn.IFNA(VLOOKUP($BC357,Programma!$F$3:$Y$1101,20,0),"")</f>
        <v/>
      </c>
    </row>
    <row r="358" spans="1:74" s="78" customFormat="1" ht="15" customHeight="1">
      <c r="A358" s="99">
        <v>11</v>
      </c>
      <c r="B358" s="176" t="str">
        <f>VLOOKUP(Ruimtestaat[[#This Row],[Code]],Locaties[[Code]:[Locatie]],2,FALSE)</f>
        <v>OMBS De Wielerbaan</v>
      </c>
      <c r="C358" s="176" t="str">
        <f>VLOOKUP(Ruimtestaat[[#This Row],[Code]],Locaties[[#All],[Code]:[Adres]],4,FALSE)</f>
        <v>Batshoek 5</v>
      </c>
      <c r="D358" s="176" t="str">
        <f>VLOOKUP(Ruimtestaat[[#This Row],[Code]],Locaties[[#All],[Code]:[Postcode]],5,FALSE)</f>
        <v>7546 LC</v>
      </c>
      <c r="E358" s="176" t="str">
        <f>VLOOKUP(Ruimtestaat[[#This Row],[Code]],Locaties[#All],6,FALSE)</f>
        <v>Enschede</v>
      </c>
      <c r="F358" s="183"/>
      <c r="G358" s="99" t="s">
        <v>1646</v>
      </c>
      <c r="H358" s="99" t="s">
        <v>1668</v>
      </c>
      <c r="I358" s="183" t="s">
        <v>1649</v>
      </c>
      <c r="J358" s="99">
        <v>2</v>
      </c>
      <c r="K358" s="183" t="str">
        <f>VLOOKUP(Ruimtestaat[[#This Row],[Ruimte code]],Ruimtegroepen[[#All],[Code]:[Ruimte omschrijving]],2,FALSE)</f>
        <v>Kantoren</v>
      </c>
      <c r="L358" s="149" t="s">
        <v>99</v>
      </c>
      <c r="M358" s="301" t="s">
        <v>36</v>
      </c>
      <c r="N358" s="177">
        <v>8.3000000000000007</v>
      </c>
      <c r="O358" s="177"/>
      <c r="P358" s="178" t="str">
        <f>VLOOKUP(Ruimtestaat[[#This Row],[Ruimte code]],Ruimtegroepen[],4,FALSE)</f>
        <v>Bu</v>
      </c>
      <c r="Q358" s="149">
        <v>40</v>
      </c>
      <c r="R358" s="149" t="s">
        <v>18</v>
      </c>
      <c r="S358" s="149">
        <f>IF(Q358&gt;0,IF(RIGHT(Ruimtestaat[[#This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58" s="149">
        <f>IF(S358&gt;0,VLOOKUP($J358,Ruimtegroepen[],3,FALSE)*VLOOKUP($L358,Vloersoorten[],3,FALSE)*VLOOKUP($R358,Frequenties[],3,FALSE)*VLOOKUP($A358,Locaties[],3,FALSE),0)</f>
        <v>0</v>
      </c>
      <c r="U358" s="149">
        <f>Ruimtestaat[[#This Row],[Uitvoeringen werkdagen]]*Ruimtestaat[[#This Row],[Oppervlak (netto)]]</f>
        <v>996.00000000000011</v>
      </c>
      <c r="V358" s="179">
        <f>IF(T358&gt;0,Ruimtestaat[[#This Row],[Prest. (m2 /jaar) werkdagen]]/Ruimtestaat[[#This Row],[Norm (m2/uur) werkdagen]],0)</f>
        <v>0</v>
      </c>
      <c r="W358" s="180">
        <f>Ruimtestaat[[#This Row],[uren / jaar werkdagen]]*Tariefsopbouw!$E$35</f>
        <v>0</v>
      </c>
      <c r="X358" s="149"/>
      <c r="Y358" s="149">
        <f>IF(Ruimtestaat[[#This Row],[Frequentie weekend]]&gt;0,VALUE(LEFT(X358,1))*Q358,0)</f>
        <v>0</v>
      </c>
      <c r="Z358" s="148">
        <f>IF($Y358&gt;0,VLOOKUP($J358,Ruimtegroepen[],3,FALSE)*VLOOKUP($L358,Vloersoorten[],3,FALSE)*VLOOKUP($X358,Frequenties[],3,FALSE)*VLOOKUP(Ruimtestaat[[#This Row],[Code]],Locaties[],3,FALSE),0)</f>
        <v>0</v>
      </c>
      <c r="AA358" s="148">
        <f>Ruimtestaat[[#This Row],[Uitvoeringen weekend]]*Ruimtestaat[[#This Row],[Oppervlak (netto)]]</f>
        <v>0</v>
      </c>
      <c r="AB358" s="148">
        <f>IF(Z358&gt;0,Ruimtestaat[[#This Row],[Prest. (m2 /jaar) weekend]]/Ruimtestaat[[#This Row],[Norm (m2/uur) weekend]],0)</f>
        <v>0</v>
      </c>
      <c r="AC358" s="180">
        <f>Ruimtestaat[[#This Row],[uren / jaar weekend]]*Tariefsopbouw!$D$40</f>
        <v>0</v>
      </c>
      <c r="AD358" s="179">
        <f>Ruimtestaat[[#This Row],[Prest. (m2 /jaar) weekend]]+Ruimtestaat[[#This Row],[Prest. (m2 /jaar) werkdagen]]</f>
        <v>996.00000000000011</v>
      </c>
      <c r="AE358" s="179">
        <f>Ruimtestaat[[#This Row],[uren / jaar weekend]]+Ruimtestaat[[#This Row],[uren / jaar werkdagen]]</f>
        <v>0</v>
      </c>
      <c r="AF358" s="174">
        <f>Ruimtestaat[[#This Row],[kosten / jaar weekend]]+Ruimtestaat[[#This Row],[kosten / jaar werkdagen]]</f>
        <v>0</v>
      </c>
      <c r="AG358" s="174"/>
      <c r="AH358" s="181" t="str">
        <f>IF(Ruimtestaat[[#This Row],[Frequentie werkdagen]]="","",_xlfn.CONCAT(Ruimtestaat[[#This Row],[Ruimte code]],"-",Ruimtestaat[[#This Row],[Frequentie werkdagen]]," ",Ruimtestaat[[#This Row],[Vloer code]]))</f>
        <v>2-3w T</v>
      </c>
      <c r="AI358" s="185" t="str">
        <f>_xlfn.IFNA(VLOOKUP($AH358,Programma!$F$3:$G$1101,2,0),"")</f>
        <v>2w</v>
      </c>
      <c r="AJ358" s="185" t="str">
        <f>_xlfn.IFNA(VLOOKUP($AH358,Programma!$F$3:$H$1101,3,0),"")</f>
        <v>1w</v>
      </c>
      <c r="AK358" s="185" t="str">
        <f>_xlfn.IFNA(VLOOKUP($AH358,Programma!$F$3:$I$1101,4,0),"")</f>
        <v>_</v>
      </c>
      <c r="AL358" s="185" t="str">
        <f>_xlfn.IFNA(VLOOKUP($AH358,Programma!$F$3:$J$1101,5,0),"")</f>
        <v>_</v>
      </c>
      <c r="AM358" s="185" t="str">
        <f>_xlfn.IFNA(VLOOKUP($AH358,Programma!$F$3:$K$1101,6,0),"")</f>
        <v>_</v>
      </c>
      <c r="AN358" s="185" t="str">
        <f>_xlfn.IFNA(VLOOKUP($AH358,Programma!$F$3:$L$1101,7,0),"")</f>
        <v>_</v>
      </c>
      <c r="AO358" s="185" t="str">
        <f>_xlfn.IFNA(VLOOKUP($AH358,Programma!$F$3:$M$1101,8,0),"")</f>
        <v>_</v>
      </c>
      <c r="AP358" s="185" t="str">
        <f>_xlfn.IFNA(VLOOKUP($AH358,Programma!$F$3:$N$1101,9,0),"")</f>
        <v>_</v>
      </c>
      <c r="AQ358" s="185" t="str">
        <f>_xlfn.IFNA(VLOOKUP($AH358,Programma!$F$3:$O$1101,10,0),"")</f>
        <v>3w</v>
      </c>
      <c r="AR358" s="185" t="str">
        <f>_xlfn.IFNA(VLOOKUP($AH358,Programma!$F$3:$P$1101,11,0),"")</f>
        <v>3w</v>
      </c>
      <c r="AS358" s="185" t="str">
        <f>_xlfn.IFNA(VLOOKUP($AH358,Programma!$F$3:$Q$1101,12,0),"")</f>
        <v>1w</v>
      </c>
      <c r="AT358" s="185" t="str">
        <f>_xlfn.IFNA(VLOOKUP($AH358,Programma!$F$3:$R$1101,13,0),"")</f>
        <v>1w</v>
      </c>
      <c r="AU358" s="185" t="str">
        <f>_xlfn.IFNA(VLOOKUP($AH358,Programma!$F$3:$S$1101,14,0),"")</f>
        <v>1m</v>
      </c>
      <c r="AV358" s="185" t="str">
        <f>_xlfn.IFNA(VLOOKUP($AH358,Programma!$F$3:$T$1101,15,0),"")</f>
        <v>2j</v>
      </c>
      <c r="AW358" s="185" t="str">
        <f>_xlfn.IFNA(VLOOKUP($AH358,Programma!$F$3:$U$1101,16,0),"")</f>
        <v>1j</v>
      </c>
      <c r="AX358" s="185" t="str">
        <f>_xlfn.IFNA(VLOOKUP($AH358,Programma!$F$3:$V$1101,17,0),"")</f>
        <v>_</v>
      </c>
      <c r="AY358" s="185" t="str">
        <f>_xlfn.IFNA(VLOOKUP($AH358,Programma!$F$3:$W$1101,18,0),"")</f>
        <v>_</v>
      </c>
      <c r="AZ358" s="185" t="str">
        <f>_xlfn.IFNA(VLOOKUP($AH358,Programma!$F$3:$X$1101,19,0),"")</f>
        <v>_</v>
      </c>
      <c r="BA358" s="185" t="str">
        <f>_xlfn.IFNA(VLOOKUP($AH358,Programma!$F$3:$Y$1101,20,0),"")</f>
        <v>_</v>
      </c>
      <c r="BB358" s="182"/>
      <c r="BC358" s="181" t="str">
        <f>IF(Ruimtestaat[[#This Row],[Frequentie weekend]]="","",_xlfn.CONCAT(Ruimtestaat[[#This Row],[Ruimte code]],"-",Ruimtestaat[[#This Row],[Frequentie weekend]]," ",Ruimtestaat[[#This Row],[Vloer code]]))</f>
        <v/>
      </c>
      <c r="BD358" s="185" t="str">
        <f>_xlfn.IFNA(VLOOKUP($BC358,Programma!$F$3:$G$1101,2,0),"")</f>
        <v/>
      </c>
      <c r="BE358" s="185" t="str">
        <f>_xlfn.IFNA(VLOOKUP($BC358,Programma!$F$3:$H$1101,3,0),"")</f>
        <v/>
      </c>
      <c r="BF358" s="185" t="str">
        <f>_xlfn.IFNA(VLOOKUP($BC358,Programma!$F$3:$I$1101,4,0),"")</f>
        <v/>
      </c>
      <c r="BG358" s="185" t="str">
        <f>_xlfn.IFNA(VLOOKUP($BC358,Programma!$F$3:$J$1101,5,0),"")</f>
        <v/>
      </c>
      <c r="BH358" s="185" t="str">
        <f>_xlfn.IFNA(VLOOKUP($BC358,Programma!$F$3:$K$1101,6,0),"")</f>
        <v/>
      </c>
      <c r="BI358" s="185" t="str">
        <f>_xlfn.IFNA(VLOOKUP($BC358,Programma!$F$3:$L$1101,7,0),"")</f>
        <v/>
      </c>
      <c r="BJ358" s="185" t="str">
        <f>_xlfn.IFNA(VLOOKUP($BC358,Programma!$F$3:$M$1101,8,0),"")</f>
        <v/>
      </c>
      <c r="BK358" s="185" t="str">
        <f>_xlfn.IFNA(VLOOKUP($BC358,Programma!$F$3:$N$1101,9,0),"")</f>
        <v/>
      </c>
      <c r="BL358" s="185" t="str">
        <f>_xlfn.IFNA(VLOOKUP($BC358,Programma!$F$3:$O$1101,10,0),"")</f>
        <v/>
      </c>
      <c r="BM358" s="185" t="str">
        <f>_xlfn.IFNA(VLOOKUP($BC358,Programma!$F$3:$P$1101,11,0),"")</f>
        <v/>
      </c>
      <c r="BN358" s="185" t="str">
        <f>_xlfn.IFNA(VLOOKUP($BC358,Programma!$F$3:$Q$1101,12,0),"")</f>
        <v/>
      </c>
      <c r="BO358" s="185" t="str">
        <f>_xlfn.IFNA(VLOOKUP($BC358,Programma!$F$3:$R$1101,13,0),"")</f>
        <v/>
      </c>
      <c r="BP358" s="185" t="str">
        <f>_xlfn.IFNA(VLOOKUP($BC358,Programma!$F$3:$S$1101,14,0),"")</f>
        <v/>
      </c>
      <c r="BQ358" s="185" t="str">
        <f>_xlfn.IFNA(VLOOKUP($BC358,Programma!$F$3:$T$1101,15,0),"")</f>
        <v/>
      </c>
      <c r="BR358" s="185" t="str">
        <f>_xlfn.IFNA(VLOOKUP($BC358,Programma!$F$3:$U$1101,16,0),"")</f>
        <v/>
      </c>
      <c r="BS358" s="185" t="str">
        <f>_xlfn.IFNA(VLOOKUP($BC358,Programma!$F$3:$V$1101,17,0),"")</f>
        <v/>
      </c>
      <c r="BT358" s="185" t="str">
        <f>_xlfn.IFNA(VLOOKUP($BC358,Programma!$F$3:$W$1101,18,0),"")</f>
        <v/>
      </c>
      <c r="BU358" s="185" t="str">
        <f>_xlfn.IFNA(VLOOKUP($BC358,Programma!$F$3:$X$1101,19,0),"")</f>
        <v/>
      </c>
      <c r="BV358" s="185" t="str">
        <f>_xlfn.IFNA(VLOOKUP($BC358,Programma!$F$3:$Y$1101,20,0),"")</f>
        <v/>
      </c>
    </row>
    <row r="359" spans="1:74" s="78" customFormat="1" ht="15" customHeight="1">
      <c r="A359" s="99">
        <v>11</v>
      </c>
      <c r="B359" s="176" t="str">
        <f>VLOOKUP(Ruimtestaat[[#This Row],[Code]],Locaties[[Code]:[Locatie]],2,FALSE)</f>
        <v>OMBS De Wielerbaan</v>
      </c>
      <c r="C359" s="176" t="str">
        <f>VLOOKUP(Ruimtestaat[[#This Row],[Code]],Locaties[[#All],[Code]:[Adres]],4,FALSE)</f>
        <v>Batshoek 5</v>
      </c>
      <c r="D359" s="176" t="str">
        <f>VLOOKUP(Ruimtestaat[[#This Row],[Code]],Locaties[[#All],[Code]:[Postcode]],5,FALSE)</f>
        <v>7546 LC</v>
      </c>
      <c r="E359" s="176" t="str">
        <f>VLOOKUP(Ruimtestaat[[#This Row],[Code]],Locaties[#All],6,FALSE)</f>
        <v>Enschede</v>
      </c>
      <c r="F359" s="183"/>
      <c r="G359" s="99" t="s">
        <v>1646</v>
      </c>
      <c r="H359" s="99" t="s">
        <v>1669</v>
      </c>
      <c r="I359" s="183" t="s">
        <v>38</v>
      </c>
      <c r="J359" s="99">
        <v>7</v>
      </c>
      <c r="K359" s="183" t="str">
        <f>VLOOKUP(Ruimtestaat[[#This Row],[Ruimte code]],Ruimtegroepen[[#All],[Code]:[Ruimte omschrijving]],2,FALSE)</f>
        <v>Entree</v>
      </c>
      <c r="L359" s="149" t="s">
        <v>99</v>
      </c>
      <c r="M359" s="301" t="s">
        <v>36</v>
      </c>
      <c r="N359" s="177">
        <v>4</v>
      </c>
      <c r="O359" s="177"/>
      <c r="P359" s="178" t="str">
        <f>VLOOKUP(Ruimtestaat[[#This Row],[Ruimte code]],Ruimtegroepen[],4,FALSE)</f>
        <v>Ve</v>
      </c>
      <c r="Q359" s="149">
        <v>40</v>
      </c>
      <c r="R359" s="149" t="s">
        <v>2</v>
      </c>
      <c r="S359" s="149">
        <f>IF(Q359&gt;0,IF(RIGHT(Ruimtestaat[[#This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59" s="149">
        <f>IF(S359&gt;0,VLOOKUP($J359,Ruimtegroepen[],3,FALSE)*VLOOKUP($L359,Vloersoorten[],3,FALSE)*VLOOKUP($R359,Frequenties[],3,FALSE)*VLOOKUP($A359,Locaties[],3,FALSE),0)</f>
        <v>0</v>
      </c>
      <c r="U359" s="149">
        <f>Ruimtestaat[[#This Row],[Uitvoeringen werkdagen]]*Ruimtestaat[[#This Row],[Oppervlak (netto)]]</f>
        <v>800</v>
      </c>
      <c r="V359" s="179">
        <f>IF(T359&gt;0,Ruimtestaat[[#This Row],[Prest. (m2 /jaar) werkdagen]]/Ruimtestaat[[#This Row],[Norm (m2/uur) werkdagen]],0)</f>
        <v>0</v>
      </c>
      <c r="W359" s="180">
        <f>Ruimtestaat[[#This Row],[uren / jaar werkdagen]]*Tariefsopbouw!$E$35</f>
        <v>0</v>
      </c>
      <c r="X359" s="149"/>
      <c r="Y359" s="149">
        <f>IF(Ruimtestaat[[#This Row],[Frequentie weekend]]&gt;0,VALUE(LEFT(X359,1))*Q359,0)</f>
        <v>0</v>
      </c>
      <c r="Z359" s="148">
        <f>IF($Y359&gt;0,VLOOKUP($J359,Ruimtegroepen[],3,FALSE)*VLOOKUP($L359,Vloersoorten[],3,FALSE)*VLOOKUP($X359,Frequenties[],3,FALSE)*VLOOKUP(Ruimtestaat[[#This Row],[Code]],Locaties[],3,FALSE),0)</f>
        <v>0</v>
      </c>
      <c r="AA359" s="148">
        <f>Ruimtestaat[[#This Row],[Uitvoeringen weekend]]*Ruimtestaat[[#This Row],[Oppervlak (netto)]]</f>
        <v>0</v>
      </c>
      <c r="AB359" s="148">
        <f>IF(Z359&gt;0,Ruimtestaat[[#This Row],[Prest. (m2 /jaar) weekend]]/Ruimtestaat[[#This Row],[Norm (m2/uur) weekend]],0)</f>
        <v>0</v>
      </c>
      <c r="AC359" s="180">
        <f>Ruimtestaat[[#This Row],[uren / jaar weekend]]*Tariefsopbouw!$D$40</f>
        <v>0</v>
      </c>
      <c r="AD359" s="179">
        <f>Ruimtestaat[[#This Row],[Prest. (m2 /jaar) weekend]]+Ruimtestaat[[#This Row],[Prest. (m2 /jaar) werkdagen]]</f>
        <v>800</v>
      </c>
      <c r="AE359" s="179">
        <f>Ruimtestaat[[#This Row],[uren / jaar weekend]]+Ruimtestaat[[#This Row],[uren / jaar werkdagen]]</f>
        <v>0</v>
      </c>
      <c r="AF359" s="174">
        <f>Ruimtestaat[[#This Row],[kosten / jaar weekend]]+Ruimtestaat[[#This Row],[kosten / jaar werkdagen]]</f>
        <v>0</v>
      </c>
      <c r="AG359" s="174"/>
      <c r="AH359" s="181" t="str">
        <f>IF(Ruimtestaat[[#This Row],[Frequentie werkdagen]]="","",_xlfn.CONCAT(Ruimtestaat[[#This Row],[Ruimte code]],"-",Ruimtestaat[[#This Row],[Frequentie werkdagen]]," ",Ruimtestaat[[#This Row],[Vloer code]]))</f>
        <v>7-5w T</v>
      </c>
      <c r="AI359" s="185" t="str">
        <f>_xlfn.IFNA(VLOOKUP($AH359,Programma!$F$3:$G$1101,2,0),"")</f>
        <v>_</v>
      </c>
      <c r="AJ359" s="185" t="str">
        <f>_xlfn.IFNA(VLOOKUP($AH359,Programma!$F$3:$H$1101,3,0),"")</f>
        <v>5w</v>
      </c>
      <c r="AK359" s="185" t="str">
        <f>_xlfn.IFNA(VLOOKUP($AH359,Programma!$F$3:$I$1101,4,0),"")</f>
        <v>_</v>
      </c>
      <c r="AL359" s="185" t="str">
        <f>_xlfn.IFNA(VLOOKUP($AH359,Programma!$F$3:$J$1101,5,0),"")</f>
        <v>_</v>
      </c>
      <c r="AM359" s="185" t="str">
        <f>_xlfn.IFNA(VLOOKUP($AH359,Programma!$F$3:$K$1101,6,0),"")</f>
        <v>_</v>
      </c>
      <c r="AN359" s="185" t="str">
        <f>_xlfn.IFNA(VLOOKUP($AH359,Programma!$F$3:$L$1101,7,0),"")</f>
        <v>_</v>
      </c>
      <c r="AO359" s="185" t="str">
        <f>_xlfn.IFNA(VLOOKUP($AH359,Programma!$F$3:$M$1101,8,0),"")</f>
        <v>_</v>
      </c>
      <c r="AP359" s="185" t="str">
        <f>_xlfn.IFNA(VLOOKUP($AH359,Programma!$F$3:$N$1101,9,0),"")</f>
        <v>_</v>
      </c>
      <c r="AQ359" s="185" t="str">
        <f>_xlfn.IFNA(VLOOKUP($AH359,Programma!$F$3:$O$1101,10,0),"")</f>
        <v>5w</v>
      </c>
      <c r="AR359" s="185" t="str">
        <f>_xlfn.IFNA(VLOOKUP($AH359,Programma!$F$3:$P$1101,11,0),"")</f>
        <v>5w</v>
      </c>
      <c r="AS359" s="185" t="str">
        <f>_xlfn.IFNA(VLOOKUP($AH359,Programma!$F$3:$Q$1101,12,0),"")</f>
        <v>1w</v>
      </c>
      <c r="AT359" s="185" t="str">
        <f>_xlfn.IFNA(VLOOKUP($AH359,Programma!$F$3:$R$1101,13,0),"")</f>
        <v>1w</v>
      </c>
      <c r="AU359" s="185" t="str">
        <f>_xlfn.IFNA(VLOOKUP($AH359,Programma!$F$3:$S$1101,14,0),"")</f>
        <v>1m</v>
      </c>
      <c r="AV359" s="185" t="str">
        <f>_xlfn.IFNA(VLOOKUP($AH359,Programma!$F$3:$T$1101,15,0),"")</f>
        <v>2j</v>
      </c>
      <c r="AW359" s="185" t="str">
        <f>_xlfn.IFNA(VLOOKUP($AH359,Programma!$F$3:$U$1101,16,0),"")</f>
        <v>1j</v>
      </c>
      <c r="AX359" s="185" t="str">
        <f>_xlfn.IFNA(VLOOKUP($AH359,Programma!$F$3:$V$1101,17,0),"")</f>
        <v>_</v>
      </c>
      <c r="AY359" s="185" t="str">
        <f>_xlfn.IFNA(VLOOKUP($AH359,Programma!$F$3:$W$1101,18,0),"")</f>
        <v>_</v>
      </c>
      <c r="AZ359" s="185" t="str">
        <f>_xlfn.IFNA(VLOOKUP($AH359,Programma!$F$3:$X$1101,19,0),"")</f>
        <v>_</v>
      </c>
      <c r="BA359" s="185" t="str">
        <f>_xlfn.IFNA(VLOOKUP($AH359,Programma!$F$3:$Y$1101,20,0),"")</f>
        <v>_</v>
      </c>
      <c r="BB359" s="182"/>
      <c r="BC359" s="181" t="str">
        <f>IF(Ruimtestaat[[#This Row],[Frequentie weekend]]="","",_xlfn.CONCAT(Ruimtestaat[[#This Row],[Ruimte code]],"-",Ruimtestaat[[#This Row],[Frequentie weekend]]," ",Ruimtestaat[[#This Row],[Vloer code]]))</f>
        <v/>
      </c>
      <c r="BD359" s="185" t="str">
        <f>_xlfn.IFNA(VLOOKUP($BC359,Programma!$F$3:$G$1101,2,0),"")</f>
        <v/>
      </c>
      <c r="BE359" s="185" t="str">
        <f>_xlfn.IFNA(VLOOKUP($BC359,Programma!$F$3:$H$1101,3,0),"")</f>
        <v/>
      </c>
      <c r="BF359" s="185" t="str">
        <f>_xlfn.IFNA(VLOOKUP($BC359,Programma!$F$3:$I$1101,4,0),"")</f>
        <v/>
      </c>
      <c r="BG359" s="185" t="str">
        <f>_xlfn.IFNA(VLOOKUP($BC359,Programma!$F$3:$J$1101,5,0),"")</f>
        <v/>
      </c>
      <c r="BH359" s="185" t="str">
        <f>_xlfn.IFNA(VLOOKUP($BC359,Programma!$F$3:$K$1101,6,0),"")</f>
        <v/>
      </c>
      <c r="BI359" s="185" t="str">
        <f>_xlfn.IFNA(VLOOKUP($BC359,Programma!$F$3:$L$1101,7,0),"")</f>
        <v/>
      </c>
      <c r="BJ359" s="185" t="str">
        <f>_xlfn.IFNA(VLOOKUP($BC359,Programma!$F$3:$M$1101,8,0),"")</f>
        <v/>
      </c>
      <c r="BK359" s="185" t="str">
        <f>_xlfn.IFNA(VLOOKUP($BC359,Programma!$F$3:$N$1101,9,0),"")</f>
        <v/>
      </c>
      <c r="BL359" s="185" t="str">
        <f>_xlfn.IFNA(VLOOKUP($BC359,Programma!$F$3:$O$1101,10,0),"")</f>
        <v/>
      </c>
      <c r="BM359" s="185" t="str">
        <f>_xlfn.IFNA(VLOOKUP($BC359,Programma!$F$3:$P$1101,11,0),"")</f>
        <v/>
      </c>
      <c r="BN359" s="185" t="str">
        <f>_xlfn.IFNA(VLOOKUP($BC359,Programma!$F$3:$Q$1101,12,0),"")</f>
        <v/>
      </c>
      <c r="BO359" s="185" t="str">
        <f>_xlfn.IFNA(VLOOKUP($BC359,Programma!$F$3:$R$1101,13,0),"")</f>
        <v/>
      </c>
      <c r="BP359" s="185" t="str">
        <f>_xlfn.IFNA(VLOOKUP($BC359,Programma!$F$3:$S$1101,14,0),"")</f>
        <v/>
      </c>
      <c r="BQ359" s="185" t="str">
        <f>_xlfn.IFNA(VLOOKUP($BC359,Programma!$F$3:$T$1101,15,0),"")</f>
        <v/>
      </c>
      <c r="BR359" s="185" t="str">
        <f>_xlfn.IFNA(VLOOKUP($BC359,Programma!$F$3:$U$1101,16,0),"")</f>
        <v/>
      </c>
      <c r="BS359" s="185" t="str">
        <f>_xlfn.IFNA(VLOOKUP($BC359,Programma!$F$3:$V$1101,17,0),"")</f>
        <v/>
      </c>
      <c r="BT359" s="185" t="str">
        <f>_xlfn.IFNA(VLOOKUP($BC359,Programma!$F$3:$W$1101,18,0),"")</f>
        <v/>
      </c>
      <c r="BU359" s="185" t="str">
        <f>_xlfn.IFNA(VLOOKUP($BC359,Programma!$F$3:$X$1101,19,0),"")</f>
        <v/>
      </c>
      <c r="BV359" s="185" t="str">
        <f>_xlfn.IFNA(VLOOKUP($BC359,Programma!$F$3:$Y$1101,20,0),"")</f>
        <v/>
      </c>
    </row>
    <row r="360" spans="1:74" s="78" customFormat="1" ht="15" customHeight="1">
      <c r="A360" s="99">
        <v>11</v>
      </c>
      <c r="B360" s="176" t="str">
        <f>VLOOKUP(Ruimtestaat[[#This Row],[Code]],Locaties[[Code]:[Locatie]],2,FALSE)</f>
        <v>OMBS De Wielerbaan</v>
      </c>
      <c r="C360" s="176" t="str">
        <f>VLOOKUP(Ruimtestaat[[#This Row],[Code]],Locaties[[#All],[Code]:[Adres]],4,FALSE)</f>
        <v>Batshoek 5</v>
      </c>
      <c r="D360" s="176" t="str">
        <f>VLOOKUP(Ruimtestaat[[#This Row],[Code]],Locaties[[#All],[Code]:[Postcode]],5,FALSE)</f>
        <v>7546 LC</v>
      </c>
      <c r="E360" s="176" t="str">
        <f>VLOOKUP(Ruimtestaat[[#This Row],[Code]],Locaties[#All],6,FALSE)</f>
        <v>Enschede</v>
      </c>
      <c r="F360" s="183"/>
      <c r="G360" s="99" t="s">
        <v>1646</v>
      </c>
      <c r="H360" s="99" t="s">
        <v>1670</v>
      </c>
      <c r="I360" s="183" t="s">
        <v>1655</v>
      </c>
      <c r="J360" s="99">
        <v>5</v>
      </c>
      <c r="K360" s="183" t="str">
        <f>VLOOKUP(Ruimtestaat[[#This Row],[Ruimte code]],Ruimtegroepen[[#All],[Code]:[Ruimte omschrijving]],2,FALSE)</f>
        <v>Sanitair</v>
      </c>
      <c r="L360" s="149" t="s">
        <v>101</v>
      </c>
      <c r="M360" s="301" t="s">
        <v>1682</v>
      </c>
      <c r="N360" s="177">
        <v>5.0999999999999996</v>
      </c>
      <c r="O360" s="177"/>
      <c r="P360" s="178" t="str">
        <f>VLOOKUP(Ruimtestaat[[#This Row],[Ruimte code]],Ruimtegroepen[],4,FALSE)</f>
        <v>Sa</v>
      </c>
      <c r="Q360" s="149">
        <v>40</v>
      </c>
      <c r="R360" s="149" t="s">
        <v>2</v>
      </c>
      <c r="S360" s="149">
        <f>IF(Q360&gt;0,IF(RIGHT(Ruimtestaat[[#This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0" s="149">
        <f>IF(S360&gt;0,VLOOKUP($J360,Ruimtegroepen[],3,FALSE)*VLOOKUP($L360,Vloersoorten[],3,FALSE)*VLOOKUP($R360,Frequenties[],3,FALSE)*VLOOKUP($A360,Locaties[],3,FALSE),0)</f>
        <v>0</v>
      </c>
      <c r="U360" s="149">
        <f>Ruimtestaat[[#This Row],[Uitvoeringen werkdagen]]*Ruimtestaat[[#This Row],[Oppervlak (netto)]]</f>
        <v>1019.9999999999999</v>
      </c>
      <c r="V360" s="179">
        <f>IF(T360&gt;0,Ruimtestaat[[#This Row],[Prest. (m2 /jaar) werkdagen]]/Ruimtestaat[[#This Row],[Norm (m2/uur) werkdagen]],0)</f>
        <v>0</v>
      </c>
      <c r="W360" s="180">
        <f>Ruimtestaat[[#This Row],[uren / jaar werkdagen]]*Tariefsopbouw!$E$35</f>
        <v>0</v>
      </c>
      <c r="X360" s="149"/>
      <c r="Y360" s="149">
        <f>IF(Ruimtestaat[[#This Row],[Frequentie weekend]]&gt;0,VALUE(LEFT(X360,1))*Q360,0)</f>
        <v>0</v>
      </c>
      <c r="Z360" s="148">
        <f>IF($Y360&gt;0,VLOOKUP($J360,Ruimtegroepen[],3,FALSE)*VLOOKUP($L360,Vloersoorten[],3,FALSE)*VLOOKUP($X360,Frequenties[],3,FALSE)*VLOOKUP(Ruimtestaat[[#This Row],[Code]],Locaties[],3,FALSE),0)</f>
        <v>0</v>
      </c>
      <c r="AA360" s="148">
        <f>Ruimtestaat[[#This Row],[Uitvoeringen weekend]]*Ruimtestaat[[#This Row],[Oppervlak (netto)]]</f>
        <v>0</v>
      </c>
      <c r="AB360" s="148">
        <f>IF(Z360&gt;0,Ruimtestaat[[#This Row],[Prest. (m2 /jaar) weekend]]/Ruimtestaat[[#This Row],[Norm (m2/uur) weekend]],0)</f>
        <v>0</v>
      </c>
      <c r="AC360" s="180">
        <f>Ruimtestaat[[#This Row],[uren / jaar weekend]]*Tariefsopbouw!$D$40</f>
        <v>0</v>
      </c>
      <c r="AD360" s="179">
        <f>Ruimtestaat[[#This Row],[Prest. (m2 /jaar) weekend]]+Ruimtestaat[[#This Row],[Prest. (m2 /jaar) werkdagen]]</f>
        <v>1019.9999999999999</v>
      </c>
      <c r="AE360" s="179">
        <f>Ruimtestaat[[#This Row],[uren / jaar weekend]]+Ruimtestaat[[#This Row],[uren / jaar werkdagen]]</f>
        <v>0</v>
      </c>
      <c r="AF360" s="174">
        <f>Ruimtestaat[[#This Row],[kosten / jaar weekend]]+Ruimtestaat[[#This Row],[kosten / jaar werkdagen]]</f>
        <v>0</v>
      </c>
      <c r="AG360" s="174"/>
      <c r="AH360" s="181" t="str">
        <f>IF(Ruimtestaat[[#This Row],[Frequentie werkdagen]]="","",_xlfn.CONCAT(Ruimtestaat[[#This Row],[Ruimte code]],"-",Ruimtestaat[[#This Row],[Frequentie werkdagen]]," ",Ruimtestaat[[#This Row],[Vloer code]]))</f>
        <v>5-5w S</v>
      </c>
      <c r="AI360" s="185" t="str">
        <f>_xlfn.IFNA(VLOOKUP($AH360,Programma!$F$3:$G$1101,2,0),"")</f>
        <v>_</v>
      </c>
      <c r="AJ360" s="185" t="str">
        <f>_xlfn.IFNA(VLOOKUP($AH360,Programma!$F$3:$H$1101,3,0),"")</f>
        <v>_</v>
      </c>
      <c r="AK360" s="185" t="str">
        <f>_xlfn.IFNA(VLOOKUP($AH360,Programma!$F$3:$I$1101,4,0),"")</f>
        <v>_</v>
      </c>
      <c r="AL360" s="185" t="str">
        <f>_xlfn.IFNA(VLOOKUP($AH360,Programma!$F$3:$J$1101,5,0),"")</f>
        <v>4w</v>
      </c>
      <c r="AM360" s="185" t="str">
        <f>_xlfn.IFNA(VLOOKUP($AH360,Programma!$F$3:$K$1101,6,0),"")</f>
        <v>1w</v>
      </c>
      <c r="AN360" s="185" t="str">
        <f>_xlfn.IFNA(VLOOKUP($AH360,Programma!$F$3:$L$1101,7,0),"")</f>
        <v>_</v>
      </c>
      <c r="AO360" s="185" t="str">
        <f>_xlfn.IFNA(VLOOKUP($AH360,Programma!$F$3:$M$1101,8,0),"")</f>
        <v>_</v>
      </c>
      <c r="AP360" s="185" t="str">
        <f>_xlfn.IFNA(VLOOKUP($AH360,Programma!$F$3:$N$1101,9,0),"")</f>
        <v>_</v>
      </c>
      <c r="AQ360" s="185" t="str">
        <f>_xlfn.IFNA(VLOOKUP($AH360,Programma!$F$3:$O$1101,10,0),"")</f>
        <v>_</v>
      </c>
      <c r="AR360" s="185" t="str">
        <f>_xlfn.IFNA(VLOOKUP($AH360,Programma!$F$3:$P$1101,11,0),"")</f>
        <v>_</v>
      </c>
      <c r="AS360" s="185" t="str">
        <f>_xlfn.IFNA(VLOOKUP($AH360,Programma!$F$3:$Q$1101,12,0),"")</f>
        <v>_</v>
      </c>
      <c r="AT360" s="185" t="str">
        <f>_xlfn.IFNA(VLOOKUP($AH360,Programma!$F$3:$R$1101,13,0),"")</f>
        <v>_</v>
      </c>
      <c r="AU360" s="185" t="str">
        <f>_xlfn.IFNA(VLOOKUP($AH360,Programma!$F$3:$S$1101,14,0),"")</f>
        <v>_</v>
      </c>
      <c r="AV360" s="185" t="str">
        <f>_xlfn.IFNA(VLOOKUP($AH360,Programma!$F$3:$T$1101,15,0),"")</f>
        <v>_</v>
      </c>
      <c r="AW360" s="185" t="str">
        <f>_xlfn.IFNA(VLOOKUP($AH360,Programma!$F$3:$U$1101,16,0),"")</f>
        <v>_</v>
      </c>
      <c r="AX360" s="185" t="str">
        <f>_xlfn.IFNA(VLOOKUP($AH360,Programma!$F$3:$V$1101,17,0),"")</f>
        <v>_</v>
      </c>
      <c r="AY360" s="185" t="str">
        <f>_xlfn.IFNA(VLOOKUP($AH360,Programma!$F$3:$W$1101,18,0),"")</f>
        <v>4w</v>
      </c>
      <c r="AZ360" s="185" t="str">
        <f>_xlfn.IFNA(VLOOKUP($AH360,Programma!$F$3:$X$1101,19,0),"")</f>
        <v>1w</v>
      </c>
      <c r="BA360" s="185" t="str">
        <f>_xlfn.IFNA(VLOOKUP($AH360,Programma!$F$3:$Y$1101,20,0),"")</f>
        <v>_</v>
      </c>
      <c r="BB360" s="182"/>
      <c r="BC360" s="181" t="str">
        <f>IF(Ruimtestaat[[#This Row],[Frequentie weekend]]="","",_xlfn.CONCAT(Ruimtestaat[[#This Row],[Ruimte code]],"-",Ruimtestaat[[#This Row],[Frequentie weekend]]," ",Ruimtestaat[[#This Row],[Vloer code]]))</f>
        <v/>
      </c>
      <c r="BD360" s="185" t="str">
        <f>_xlfn.IFNA(VLOOKUP($BC360,Programma!$F$3:$G$1101,2,0),"")</f>
        <v/>
      </c>
      <c r="BE360" s="185" t="str">
        <f>_xlfn.IFNA(VLOOKUP($BC360,Programma!$F$3:$H$1101,3,0),"")</f>
        <v/>
      </c>
      <c r="BF360" s="185" t="str">
        <f>_xlfn.IFNA(VLOOKUP($BC360,Programma!$F$3:$I$1101,4,0),"")</f>
        <v/>
      </c>
      <c r="BG360" s="185" t="str">
        <f>_xlfn.IFNA(VLOOKUP($BC360,Programma!$F$3:$J$1101,5,0),"")</f>
        <v/>
      </c>
      <c r="BH360" s="185" t="str">
        <f>_xlfn.IFNA(VLOOKUP($BC360,Programma!$F$3:$K$1101,6,0),"")</f>
        <v/>
      </c>
      <c r="BI360" s="185" t="str">
        <f>_xlfn.IFNA(VLOOKUP($BC360,Programma!$F$3:$L$1101,7,0),"")</f>
        <v/>
      </c>
      <c r="BJ360" s="185" t="str">
        <f>_xlfn.IFNA(VLOOKUP($BC360,Programma!$F$3:$M$1101,8,0),"")</f>
        <v/>
      </c>
      <c r="BK360" s="185" t="str">
        <f>_xlfn.IFNA(VLOOKUP($BC360,Programma!$F$3:$N$1101,9,0),"")</f>
        <v/>
      </c>
      <c r="BL360" s="185" t="str">
        <f>_xlfn.IFNA(VLOOKUP($BC360,Programma!$F$3:$O$1101,10,0),"")</f>
        <v/>
      </c>
      <c r="BM360" s="185" t="str">
        <f>_xlfn.IFNA(VLOOKUP($BC360,Programma!$F$3:$P$1101,11,0),"")</f>
        <v/>
      </c>
      <c r="BN360" s="185" t="str">
        <f>_xlfn.IFNA(VLOOKUP($BC360,Programma!$F$3:$Q$1101,12,0),"")</f>
        <v/>
      </c>
      <c r="BO360" s="185" t="str">
        <f>_xlfn.IFNA(VLOOKUP($BC360,Programma!$F$3:$R$1101,13,0),"")</f>
        <v/>
      </c>
      <c r="BP360" s="185" t="str">
        <f>_xlfn.IFNA(VLOOKUP($BC360,Programma!$F$3:$S$1101,14,0),"")</f>
        <v/>
      </c>
      <c r="BQ360" s="185" t="str">
        <f>_xlfn.IFNA(VLOOKUP($BC360,Programma!$F$3:$T$1101,15,0),"")</f>
        <v/>
      </c>
      <c r="BR360" s="185" t="str">
        <f>_xlfn.IFNA(VLOOKUP($BC360,Programma!$F$3:$U$1101,16,0),"")</f>
        <v/>
      </c>
      <c r="BS360" s="185" t="str">
        <f>_xlfn.IFNA(VLOOKUP($BC360,Programma!$F$3:$V$1101,17,0),"")</f>
        <v/>
      </c>
      <c r="BT360" s="185" t="str">
        <f>_xlfn.IFNA(VLOOKUP($BC360,Programma!$F$3:$W$1101,18,0),"")</f>
        <v/>
      </c>
      <c r="BU360" s="185" t="str">
        <f>_xlfn.IFNA(VLOOKUP($BC360,Programma!$F$3:$X$1101,19,0),"")</f>
        <v/>
      </c>
      <c r="BV360" s="185" t="str">
        <f>_xlfn.IFNA(VLOOKUP($BC360,Programma!$F$3:$Y$1101,20,0),"")</f>
        <v/>
      </c>
    </row>
    <row r="361" spans="1:74" s="78" customFormat="1" ht="15" customHeight="1">
      <c r="A361" s="99">
        <v>11</v>
      </c>
      <c r="B361" s="176" t="str">
        <f>VLOOKUP(Ruimtestaat[[#This Row],[Code]],Locaties[[Code]:[Locatie]],2,FALSE)</f>
        <v>OMBS De Wielerbaan</v>
      </c>
      <c r="C361" s="176" t="str">
        <f>VLOOKUP(Ruimtestaat[[#This Row],[Code]],Locaties[[#All],[Code]:[Adres]],4,FALSE)</f>
        <v>Batshoek 5</v>
      </c>
      <c r="D361" s="176" t="str">
        <f>VLOOKUP(Ruimtestaat[[#This Row],[Code]],Locaties[[#All],[Code]:[Postcode]],5,FALSE)</f>
        <v>7546 LC</v>
      </c>
      <c r="E361" s="176" t="str">
        <f>VLOOKUP(Ruimtestaat[[#This Row],[Code]],Locaties[#All],6,FALSE)</f>
        <v>Enschede</v>
      </c>
      <c r="F361" s="183"/>
      <c r="G361" s="99" t="s">
        <v>1646</v>
      </c>
      <c r="H361" s="99" t="s">
        <v>1671</v>
      </c>
      <c r="I361" s="183" t="s">
        <v>1651</v>
      </c>
      <c r="J361" s="99">
        <v>16</v>
      </c>
      <c r="K361" s="183" t="str">
        <f>VLOOKUP(Ruimtestaat[[#This Row],[Ruimte code]],Ruimtegroepen[[#All],[Code]:[Ruimte omschrijving]],2,FALSE)</f>
        <v>Leslokalen</v>
      </c>
      <c r="L361" s="149" t="s">
        <v>100</v>
      </c>
      <c r="M361" s="301" t="s">
        <v>1697</v>
      </c>
      <c r="N361" s="177">
        <v>52.2</v>
      </c>
      <c r="O361" s="177"/>
      <c r="P361" s="178" t="str">
        <f>VLOOKUP(Ruimtestaat[[#This Row],[Ruimte code]],Ruimtegroepen[],4,FALSE)</f>
        <v>Le</v>
      </c>
      <c r="Q361" s="149">
        <v>40</v>
      </c>
      <c r="R361" s="149" t="s">
        <v>2</v>
      </c>
      <c r="S361" s="149">
        <f>IF(Q361&gt;0,IF(RIGHT(Ruimtestaat[[#This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1" s="149">
        <f>IF(S361&gt;0,VLOOKUP($J361,Ruimtegroepen[],3,FALSE)*VLOOKUP($L361,Vloersoorten[],3,FALSE)*VLOOKUP($R361,Frequenties[],3,FALSE)*VLOOKUP($A361,Locaties[],3,FALSE),0)</f>
        <v>0</v>
      </c>
      <c r="U361" s="149">
        <f>Ruimtestaat[[#This Row],[Uitvoeringen werkdagen]]*Ruimtestaat[[#This Row],[Oppervlak (netto)]]</f>
        <v>10440</v>
      </c>
      <c r="V361" s="179">
        <f>IF(T361&gt;0,Ruimtestaat[[#This Row],[Prest. (m2 /jaar) werkdagen]]/Ruimtestaat[[#This Row],[Norm (m2/uur) werkdagen]],0)</f>
        <v>0</v>
      </c>
      <c r="W361" s="180">
        <f>Ruimtestaat[[#This Row],[uren / jaar werkdagen]]*Tariefsopbouw!$E$35</f>
        <v>0</v>
      </c>
      <c r="X361" s="149"/>
      <c r="Y361" s="149">
        <f>IF(Ruimtestaat[[#This Row],[Frequentie weekend]]&gt;0,VALUE(LEFT(X361,1))*Q361,0)</f>
        <v>0</v>
      </c>
      <c r="Z361" s="148">
        <f>IF($Y361&gt;0,VLOOKUP($J361,Ruimtegroepen[],3,FALSE)*VLOOKUP($L361,Vloersoorten[],3,FALSE)*VLOOKUP($X361,Frequenties[],3,FALSE)*VLOOKUP(Ruimtestaat[[#This Row],[Code]],Locaties[],3,FALSE),0)</f>
        <v>0</v>
      </c>
      <c r="AA361" s="148">
        <f>Ruimtestaat[[#This Row],[Uitvoeringen weekend]]*Ruimtestaat[[#This Row],[Oppervlak (netto)]]</f>
        <v>0</v>
      </c>
      <c r="AB361" s="148">
        <f>IF(Z361&gt;0,Ruimtestaat[[#This Row],[Prest. (m2 /jaar) weekend]]/Ruimtestaat[[#This Row],[Norm (m2/uur) weekend]],0)</f>
        <v>0</v>
      </c>
      <c r="AC361" s="180">
        <f>Ruimtestaat[[#This Row],[uren / jaar weekend]]*Tariefsopbouw!$D$40</f>
        <v>0</v>
      </c>
      <c r="AD361" s="179">
        <f>Ruimtestaat[[#This Row],[Prest. (m2 /jaar) weekend]]+Ruimtestaat[[#This Row],[Prest. (m2 /jaar) werkdagen]]</f>
        <v>10440</v>
      </c>
      <c r="AE361" s="179">
        <f>Ruimtestaat[[#This Row],[uren / jaar weekend]]+Ruimtestaat[[#This Row],[uren / jaar werkdagen]]</f>
        <v>0</v>
      </c>
      <c r="AF361" s="174">
        <f>Ruimtestaat[[#This Row],[kosten / jaar weekend]]+Ruimtestaat[[#This Row],[kosten / jaar werkdagen]]</f>
        <v>0</v>
      </c>
      <c r="AG361" s="174"/>
      <c r="AH361" s="181" t="str">
        <f>IF(Ruimtestaat[[#This Row],[Frequentie werkdagen]]="","",_xlfn.CONCAT(Ruimtestaat[[#This Row],[Ruimte code]],"-",Ruimtestaat[[#This Row],[Frequentie werkdagen]]," ",Ruimtestaat[[#This Row],[Vloer code]]))</f>
        <v>16-5w L</v>
      </c>
      <c r="AI361" s="185" t="str">
        <f>_xlfn.IFNA(VLOOKUP($AH361,Programma!$F$3:$G$1101,2,0),"")</f>
        <v>_</v>
      </c>
      <c r="AJ361" s="185" t="str">
        <f>_xlfn.IFNA(VLOOKUP($AH361,Programma!$F$3:$H$1101,3,0),"")</f>
        <v>_</v>
      </c>
      <c r="AK361" s="185" t="str">
        <f>_xlfn.IFNA(VLOOKUP($AH361,Programma!$F$3:$I$1101,4,0),"")</f>
        <v>4w</v>
      </c>
      <c r="AL361" s="185" t="str">
        <f>_xlfn.IFNA(VLOOKUP($AH361,Programma!$F$3:$J$1101,5,0),"")</f>
        <v>1w</v>
      </c>
      <c r="AM361" s="185" t="str">
        <f>_xlfn.IFNA(VLOOKUP($AH361,Programma!$F$3:$K$1101,6,0),"")</f>
        <v>_</v>
      </c>
      <c r="AN361" s="185" t="str">
        <f>_xlfn.IFNA(VLOOKUP($AH361,Programma!$F$3:$L$1101,7,0),"")</f>
        <v>_</v>
      </c>
      <c r="AO361" s="185" t="str">
        <f>_xlfn.IFNA(VLOOKUP($AH361,Programma!$F$3:$M$1101,8,0),"")</f>
        <v>_</v>
      </c>
      <c r="AP361" s="185" t="str">
        <f>_xlfn.IFNA(VLOOKUP($AH361,Programma!$F$3:$N$1101,9,0),"")</f>
        <v>_</v>
      </c>
      <c r="AQ361" s="185" t="str">
        <f>_xlfn.IFNA(VLOOKUP($AH361,Programma!$F$3:$O$1101,10,0),"")</f>
        <v>5w</v>
      </c>
      <c r="AR361" s="185" t="str">
        <f>_xlfn.IFNA(VLOOKUP($AH361,Programma!$F$3:$P$1101,11,0),"")</f>
        <v>5w</v>
      </c>
      <c r="AS361" s="185" t="str">
        <f>_xlfn.IFNA(VLOOKUP($AH361,Programma!$F$3:$Q$1101,12,0),"")</f>
        <v>1w</v>
      </c>
      <c r="AT361" s="185" t="str">
        <f>_xlfn.IFNA(VLOOKUP($AH361,Programma!$F$3:$R$1101,13,0),"")</f>
        <v>1w</v>
      </c>
      <c r="AU361" s="185" t="str">
        <f>_xlfn.IFNA(VLOOKUP($AH361,Programma!$F$3:$S$1101,14,0),"")</f>
        <v>1m</v>
      </c>
      <c r="AV361" s="185" t="str">
        <f>_xlfn.IFNA(VLOOKUP($AH361,Programma!$F$3:$T$1101,15,0),"")</f>
        <v>2j</v>
      </c>
      <c r="AW361" s="185" t="str">
        <f>_xlfn.IFNA(VLOOKUP($AH361,Programma!$F$3:$U$1101,16,0),"")</f>
        <v>1j</v>
      </c>
      <c r="AX361" s="185" t="str">
        <f>_xlfn.IFNA(VLOOKUP($AH361,Programma!$F$3:$V$1101,17,0),"")</f>
        <v>_</v>
      </c>
      <c r="AY361" s="185" t="str">
        <f>_xlfn.IFNA(VLOOKUP($AH361,Programma!$F$3:$W$1101,18,0),"")</f>
        <v>_</v>
      </c>
      <c r="AZ361" s="185" t="str">
        <f>_xlfn.IFNA(VLOOKUP($AH361,Programma!$F$3:$X$1101,19,0),"")</f>
        <v>_</v>
      </c>
      <c r="BA361" s="185" t="str">
        <f>_xlfn.IFNA(VLOOKUP($AH361,Programma!$F$3:$Y$1101,20,0),"")</f>
        <v>_</v>
      </c>
      <c r="BB361" s="182"/>
      <c r="BC361" s="181" t="str">
        <f>IF(Ruimtestaat[[#This Row],[Frequentie weekend]]="","",_xlfn.CONCAT(Ruimtestaat[[#This Row],[Ruimte code]],"-",Ruimtestaat[[#This Row],[Frequentie weekend]]," ",Ruimtestaat[[#This Row],[Vloer code]]))</f>
        <v/>
      </c>
      <c r="BD361" s="185" t="str">
        <f>_xlfn.IFNA(VLOOKUP($BC361,Programma!$F$3:$G$1101,2,0),"")</f>
        <v/>
      </c>
      <c r="BE361" s="185" t="str">
        <f>_xlfn.IFNA(VLOOKUP($BC361,Programma!$F$3:$H$1101,3,0),"")</f>
        <v/>
      </c>
      <c r="BF361" s="185" t="str">
        <f>_xlfn.IFNA(VLOOKUP($BC361,Programma!$F$3:$I$1101,4,0),"")</f>
        <v/>
      </c>
      <c r="BG361" s="185" t="str">
        <f>_xlfn.IFNA(VLOOKUP($BC361,Programma!$F$3:$J$1101,5,0),"")</f>
        <v/>
      </c>
      <c r="BH361" s="185" t="str">
        <f>_xlfn.IFNA(VLOOKUP($BC361,Programma!$F$3:$K$1101,6,0),"")</f>
        <v/>
      </c>
      <c r="BI361" s="185" t="str">
        <f>_xlfn.IFNA(VLOOKUP($BC361,Programma!$F$3:$L$1101,7,0),"")</f>
        <v/>
      </c>
      <c r="BJ361" s="185" t="str">
        <f>_xlfn.IFNA(VLOOKUP($BC361,Programma!$F$3:$M$1101,8,0),"")</f>
        <v/>
      </c>
      <c r="BK361" s="185" t="str">
        <f>_xlfn.IFNA(VLOOKUP($BC361,Programma!$F$3:$N$1101,9,0),"")</f>
        <v/>
      </c>
      <c r="BL361" s="185" t="str">
        <f>_xlfn.IFNA(VLOOKUP($BC361,Programma!$F$3:$O$1101,10,0),"")</f>
        <v/>
      </c>
      <c r="BM361" s="185" t="str">
        <f>_xlfn.IFNA(VLOOKUP($BC361,Programma!$F$3:$P$1101,11,0),"")</f>
        <v/>
      </c>
      <c r="BN361" s="185" t="str">
        <f>_xlfn.IFNA(VLOOKUP($BC361,Programma!$F$3:$Q$1101,12,0),"")</f>
        <v/>
      </c>
      <c r="BO361" s="185" t="str">
        <f>_xlfn.IFNA(VLOOKUP($BC361,Programma!$F$3:$R$1101,13,0),"")</f>
        <v/>
      </c>
      <c r="BP361" s="185" t="str">
        <f>_xlfn.IFNA(VLOOKUP($BC361,Programma!$F$3:$S$1101,14,0),"")</f>
        <v/>
      </c>
      <c r="BQ361" s="185" t="str">
        <f>_xlfn.IFNA(VLOOKUP($BC361,Programma!$F$3:$T$1101,15,0),"")</f>
        <v/>
      </c>
      <c r="BR361" s="185" t="str">
        <f>_xlfn.IFNA(VLOOKUP($BC361,Programma!$F$3:$U$1101,16,0),"")</f>
        <v/>
      </c>
      <c r="BS361" s="185" t="str">
        <f>_xlfn.IFNA(VLOOKUP($BC361,Programma!$F$3:$V$1101,17,0),"")</f>
        <v/>
      </c>
      <c r="BT361" s="185" t="str">
        <f>_xlfn.IFNA(VLOOKUP($BC361,Programma!$F$3:$W$1101,18,0),"")</f>
        <v/>
      </c>
      <c r="BU361" s="185" t="str">
        <f>_xlfn.IFNA(VLOOKUP($BC361,Programma!$F$3:$X$1101,19,0),"")</f>
        <v/>
      </c>
      <c r="BV361" s="185" t="str">
        <f>_xlfn.IFNA(VLOOKUP($BC361,Programma!$F$3:$Y$1101,20,0),"")</f>
        <v/>
      </c>
    </row>
    <row r="362" spans="1:74" s="78" customFormat="1" ht="15" customHeight="1">
      <c r="A362" s="99">
        <v>11</v>
      </c>
      <c r="B362" s="176" t="str">
        <f>VLOOKUP(Ruimtestaat[[#This Row],[Code]],Locaties[[Code]:[Locatie]],2,FALSE)</f>
        <v>OMBS De Wielerbaan</v>
      </c>
      <c r="C362" s="176" t="str">
        <f>VLOOKUP(Ruimtestaat[[#This Row],[Code]],Locaties[[#All],[Code]:[Adres]],4,FALSE)</f>
        <v>Batshoek 5</v>
      </c>
      <c r="D362" s="176" t="str">
        <f>VLOOKUP(Ruimtestaat[[#This Row],[Code]],Locaties[[#All],[Code]:[Postcode]],5,FALSE)</f>
        <v>7546 LC</v>
      </c>
      <c r="E362" s="176" t="str">
        <f>VLOOKUP(Ruimtestaat[[#This Row],[Code]],Locaties[#All],6,FALSE)</f>
        <v>Enschede</v>
      </c>
      <c r="F362" s="183"/>
      <c r="G362" s="99" t="s">
        <v>1646</v>
      </c>
      <c r="H362" s="99" t="s">
        <v>1672</v>
      </c>
      <c r="I362" s="183" t="s">
        <v>1651</v>
      </c>
      <c r="J362" s="99">
        <v>16</v>
      </c>
      <c r="K362" s="183" t="str">
        <f>VLOOKUP(Ruimtestaat[[#This Row],[Ruimte code]],Ruimtegroepen[[#All],[Code]:[Ruimte omschrijving]],2,FALSE)</f>
        <v>Leslokalen</v>
      </c>
      <c r="L362" s="149" t="s">
        <v>100</v>
      </c>
      <c r="M362" s="301" t="s">
        <v>1697</v>
      </c>
      <c r="N362" s="177">
        <v>52.2</v>
      </c>
      <c r="O362" s="177"/>
      <c r="P362" s="178" t="str">
        <f>VLOOKUP(Ruimtestaat[[#This Row],[Ruimte code]],Ruimtegroepen[],4,FALSE)</f>
        <v>Le</v>
      </c>
      <c r="Q362" s="149">
        <v>40</v>
      </c>
      <c r="R362" s="149" t="s">
        <v>2</v>
      </c>
      <c r="S362" s="149">
        <f>IF(Q362&gt;0,IF(RIGHT(Ruimtestaat[[#This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2" s="149">
        <f>IF(S362&gt;0,VLOOKUP($J362,Ruimtegroepen[],3,FALSE)*VLOOKUP($L362,Vloersoorten[],3,FALSE)*VLOOKUP($R362,Frequenties[],3,FALSE)*VLOOKUP($A362,Locaties[],3,FALSE),0)</f>
        <v>0</v>
      </c>
      <c r="U362" s="149">
        <f>Ruimtestaat[[#This Row],[Uitvoeringen werkdagen]]*Ruimtestaat[[#This Row],[Oppervlak (netto)]]</f>
        <v>10440</v>
      </c>
      <c r="V362" s="179">
        <f>IF(T362&gt;0,Ruimtestaat[[#This Row],[Prest. (m2 /jaar) werkdagen]]/Ruimtestaat[[#This Row],[Norm (m2/uur) werkdagen]],0)</f>
        <v>0</v>
      </c>
      <c r="W362" s="180">
        <f>Ruimtestaat[[#This Row],[uren / jaar werkdagen]]*Tariefsopbouw!$E$35</f>
        <v>0</v>
      </c>
      <c r="X362" s="149"/>
      <c r="Y362" s="149">
        <f>IF(Ruimtestaat[[#This Row],[Frequentie weekend]]&gt;0,VALUE(LEFT(X362,1))*Q362,0)</f>
        <v>0</v>
      </c>
      <c r="Z362" s="148">
        <f>IF($Y362&gt;0,VLOOKUP($J362,Ruimtegroepen[],3,FALSE)*VLOOKUP($L362,Vloersoorten[],3,FALSE)*VLOOKUP($X362,Frequenties[],3,FALSE)*VLOOKUP(Ruimtestaat[[#This Row],[Code]],Locaties[],3,FALSE),0)</f>
        <v>0</v>
      </c>
      <c r="AA362" s="148">
        <f>Ruimtestaat[[#This Row],[Uitvoeringen weekend]]*Ruimtestaat[[#This Row],[Oppervlak (netto)]]</f>
        <v>0</v>
      </c>
      <c r="AB362" s="148">
        <f>IF(Z362&gt;0,Ruimtestaat[[#This Row],[Prest. (m2 /jaar) weekend]]/Ruimtestaat[[#This Row],[Norm (m2/uur) weekend]],0)</f>
        <v>0</v>
      </c>
      <c r="AC362" s="180">
        <f>Ruimtestaat[[#This Row],[uren / jaar weekend]]*Tariefsopbouw!$D$40</f>
        <v>0</v>
      </c>
      <c r="AD362" s="179">
        <f>Ruimtestaat[[#This Row],[Prest. (m2 /jaar) weekend]]+Ruimtestaat[[#This Row],[Prest. (m2 /jaar) werkdagen]]</f>
        <v>10440</v>
      </c>
      <c r="AE362" s="179">
        <f>Ruimtestaat[[#This Row],[uren / jaar weekend]]+Ruimtestaat[[#This Row],[uren / jaar werkdagen]]</f>
        <v>0</v>
      </c>
      <c r="AF362" s="174">
        <f>Ruimtestaat[[#This Row],[kosten / jaar weekend]]+Ruimtestaat[[#This Row],[kosten / jaar werkdagen]]</f>
        <v>0</v>
      </c>
      <c r="AG362" s="174"/>
      <c r="AH362" s="181" t="str">
        <f>IF(Ruimtestaat[[#This Row],[Frequentie werkdagen]]="","",_xlfn.CONCAT(Ruimtestaat[[#This Row],[Ruimte code]],"-",Ruimtestaat[[#This Row],[Frequentie werkdagen]]," ",Ruimtestaat[[#This Row],[Vloer code]]))</f>
        <v>16-5w L</v>
      </c>
      <c r="AI362" s="185" t="str">
        <f>_xlfn.IFNA(VLOOKUP($AH362,Programma!$F$3:$G$1101,2,0),"")</f>
        <v>_</v>
      </c>
      <c r="AJ362" s="185" t="str">
        <f>_xlfn.IFNA(VLOOKUP($AH362,Programma!$F$3:$H$1101,3,0),"")</f>
        <v>_</v>
      </c>
      <c r="AK362" s="185" t="str">
        <f>_xlfn.IFNA(VLOOKUP($AH362,Programma!$F$3:$I$1101,4,0),"")</f>
        <v>4w</v>
      </c>
      <c r="AL362" s="185" t="str">
        <f>_xlfn.IFNA(VLOOKUP($AH362,Programma!$F$3:$J$1101,5,0),"")</f>
        <v>1w</v>
      </c>
      <c r="AM362" s="185" t="str">
        <f>_xlfn.IFNA(VLOOKUP($AH362,Programma!$F$3:$K$1101,6,0),"")</f>
        <v>_</v>
      </c>
      <c r="AN362" s="185" t="str">
        <f>_xlfn.IFNA(VLOOKUP($AH362,Programma!$F$3:$L$1101,7,0),"")</f>
        <v>_</v>
      </c>
      <c r="AO362" s="185" t="str">
        <f>_xlfn.IFNA(VLOOKUP($AH362,Programma!$F$3:$M$1101,8,0),"")</f>
        <v>_</v>
      </c>
      <c r="AP362" s="185" t="str">
        <f>_xlfn.IFNA(VLOOKUP($AH362,Programma!$F$3:$N$1101,9,0),"")</f>
        <v>_</v>
      </c>
      <c r="AQ362" s="185" t="str">
        <f>_xlfn.IFNA(VLOOKUP($AH362,Programma!$F$3:$O$1101,10,0),"")</f>
        <v>5w</v>
      </c>
      <c r="AR362" s="185" t="str">
        <f>_xlfn.IFNA(VLOOKUP($AH362,Programma!$F$3:$P$1101,11,0),"")</f>
        <v>5w</v>
      </c>
      <c r="AS362" s="185" t="str">
        <f>_xlfn.IFNA(VLOOKUP($AH362,Programma!$F$3:$Q$1101,12,0),"")</f>
        <v>1w</v>
      </c>
      <c r="AT362" s="185" t="str">
        <f>_xlfn.IFNA(VLOOKUP($AH362,Programma!$F$3:$R$1101,13,0),"")</f>
        <v>1w</v>
      </c>
      <c r="AU362" s="185" t="str">
        <f>_xlfn.IFNA(VLOOKUP($AH362,Programma!$F$3:$S$1101,14,0),"")</f>
        <v>1m</v>
      </c>
      <c r="AV362" s="185" t="str">
        <f>_xlfn.IFNA(VLOOKUP($AH362,Programma!$F$3:$T$1101,15,0),"")</f>
        <v>2j</v>
      </c>
      <c r="AW362" s="185" t="str">
        <f>_xlfn.IFNA(VLOOKUP($AH362,Programma!$F$3:$U$1101,16,0),"")</f>
        <v>1j</v>
      </c>
      <c r="AX362" s="185" t="str">
        <f>_xlfn.IFNA(VLOOKUP($AH362,Programma!$F$3:$V$1101,17,0),"")</f>
        <v>_</v>
      </c>
      <c r="AY362" s="185" t="str">
        <f>_xlfn.IFNA(VLOOKUP($AH362,Programma!$F$3:$W$1101,18,0),"")</f>
        <v>_</v>
      </c>
      <c r="AZ362" s="185" t="str">
        <f>_xlfn.IFNA(VLOOKUP($AH362,Programma!$F$3:$X$1101,19,0),"")</f>
        <v>_</v>
      </c>
      <c r="BA362" s="185" t="str">
        <f>_xlfn.IFNA(VLOOKUP($AH362,Programma!$F$3:$Y$1101,20,0),"")</f>
        <v>_</v>
      </c>
      <c r="BB362" s="182"/>
      <c r="BC362" s="181" t="str">
        <f>IF(Ruimtestaat[[#This Row],[Frequentie weekend]]="","",_xlfn.CONCAT(Ruimtestaat[[#This Row],[Ruimte code]],"-",Ruimtestaat[[#This Row],[Frequentie weekend]]," ",Ruimtestaat[[#This Row],[Vloer code]]))</f>
        <v/>
      </c>
      <c r="BD362" s="185" t="str">
        <f>_xlfn.IFNA(VLOOKUP($BC362,Programma!$F$3:$G$1101,2,0),"")</f>
        <v/>
      </c>
      <c r="BE362" s="185" t="str">
        <f>_xlfn.IFNA(VLOOKUP($BC362,Programma!$F$3:$H$1101,3,0),"")</f>
        <v/>
      </c>
      <c r="BF362" s="185" t="str">
        <f>_xlfn.IFNA(VLOOKUP($BC362,Programma!$F$3:$I$1101,4,0),"")</f>
        <v/>
      </c>
      <c r="BG362" s="185" t="str">
        <f>_xlfn.IFNA(VLOOKUP($BC362,Programma!$F$3:$J$1101,5,0),"")</f>
        <v/>
      </c>
      <c r="BH362" s="185" t="str">
        <f>_xlfn.IFNA(VLOOKUP($BC362,Programma!$F$3:$K$1101,6,0),"")</f>
        <v/>
      </c>
      <c r="BI362" s="185" t="str">
        <f>_xlfn.IFNA(VLOOKUP($BC362,Programma!$F$3:$L$1101,7,0),"")</f>
        <v/>
      </c>
      <c r="BJ362" s="185" t="str">
        <f>_xlfn.IFNA(VLOOKUP($BC362,Programma!$F$3:$M$1101,8,0),"")</f>
        <v/>
      </c>
      <c r="BK362" s="185" t="str">
        <f>_xlfn.IFNA(VLOOKUP($BC362,Programma!$F$3:$N$1101,9,0),"")</f>
        <v/>
      </c>
      <c r="BL362" s="185" t="str">
        <f>_xlfn.IFNA(VLOOKUP($BC362,Programma!$F$3:$O$1101,10,0),"")</f>
        <v/>
      </c>
      <c r="BM362" s="185" t="str">
        <f>_xlfn.IFNA(VLOOKUP($BC362,Programma!$F$3:$P$1101,11,0),"")</f>
        <v/>
      </c>
      <c r="BN362" s="185" t="str">
        <f>_xlfn.IFNA(VLOOKUP($BC362,Programma!$F$3:$Q$1101,12,0),"")</f>
        <v/>
      </c>
      <c r="BO362" s="185" t="str">
        <f>_xlfn.IFNA(VLOOKUP($BC362,Programma!$F$3:$R$1101,13,0),"")</f>
        <v/>
      </c>
      <c r="BP362" s="185" t="str">
        <f>_xlfn.IFNA(VLOOKUP($BC362,Programma!$F$3:$S$1101,14,0),"")</f>
        <v/>
      </c>
      <c r="BQ362" s="185" t="str">
        <f>_xlfn.IFNA(VLOOKUP($BC362,Programma!$F$3:$T$1101,15,0),"")</f>
        <v/>
      </c>
      <c r="BR362" s="185" t="str">
        <f>_xlfn.IFNA(VLOOKUP($BC362,Programma!$F$3:$U$1101,16,0),"")</f>
        <v/>
      </c>
      <c r="BS362" s="185" t="str">
        <f>_xlfn.IFNA(VLOOKUP($BC362,Programma!$F$3:$V$1101,17,0),"")</f>
        <v/>
      </c>
      <c r="BT362" s="185" t="str">
        <f>_xlfn.IFNA(VLOOKUP($BC362,Programma!$F$3:$W$1101,18,0),"")</f>
        <v/>
      </c>
      <c r="BU362" s="185" t="str">
        <f>_xlfn.IFNA(VLOOKUP($BC362,Programma!$F$3:$X$1101,19,0),"")</f>
        <v/>
      </c>
      <c r="BV362" s="185" t="str">
        <f>_xlfn.IFNA(VLOOKUP($BC362,Programma!$F$3:$Y$1101,20,0),"")</f>
        <v/>
      </c>
    </row>
    <row r="363" spans="1:74" s="78" customFormat="1" ht="15" customHeight="1">
      <c r="A363" s="99">
        <v>11</v>
      </c>
      <c r="B363" s="176" t="str">
        <f>VLOOKUP(Ruimtestaat[[#This Row],[Code]],Locaties[[Code]:[Locatie]],2,FALSE)</f>
        <v>OMBS De Wielerbaan</v>
      </c>
      <c r="C363" s="176" t="str">
        <f>VLOOKUP(Ruimtestaat[[#This Row],[Code]],Locaties[[#All],[Code]:[Adres]],4,FALSE)</f>
        <v>Batshoek 5</v>
      </c>
      <c r="D363" s="176" t="str">
        <f>VLOOKUP(Ruimtestaat[[#This Row],[Code]],Locaties[[#All],[Code]:[Postcode]],5,FALSE)</f>
        <v>7546 LC</v>
      </c>
      <c r="E363" s="176" t="str">
        <f>VLOOKUP(Ruimtestaat[[#This Row],[Code]],Locaties[#All],6,FALSE)</f>
        <v>Enschede</v>
      </c>
      <c r="F363" s="183"/>
      <c r="G363" s="99" t="s">
        <v>1646</v>
      </c>
      <c r="H363" s="99" t="s">
        <v>1673</v>
      </c>
      <c r="I363" s="183" t="s">
        <v>1655</v>
      </c>
      <c r="J363" s="99">
        <v>5</v>
      </c>
      <c r="K363" s="183" t="str">
        <f>VLOOKUP(Ruimtestaat[[#This Row],[Ruimte code]],Ruimtegroepen[[#All],[Code]:[Ruimte omschrijving]],2,FALSE)</f>
        <v>Sanitair</v>
      </c>
      <c r="L363" s="149" t="s">
        <v>101</v>
      </c>
      <c r="M363" s="301" t="s">
        <v>1682</v>
      </c>
      <c r="N363" s="177">
        <v>5</v>
      </c>
      <c r="O363" s="177"/>
      <c r="P363" s="178" t="str">
        <f>VLOOKUP(Ruimtestaat[[#This Row],[Ruimte code]],Ruimtegroepen[],4,FALSE)</f>
        <v>Sa</v>
      </c>
      <c r="Q363" s="149">
        <v>40</v>
      </c>
      <c r="R363" s="149" t="s">
        <v>2</v>
      </c>
      <c r="S363" s="149">
        <f>IF(Q363&gt;0,IF(RIGHT(Ruimtestaat[[#This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3" s="149">
        <f>IF(S363&gt;0,VLOOKUP($J363,Ruimtegroepen[],3,FALSE)*VLOOKUP($L363,Vloersoorten[],3,FALSE)*VLOOKUP($R363,Frequenties[],3,FALSE)*VLOOKUP($A363,Locaties[],3,FALSE),0)</f>
        <v>0</v>
      </c>
      <c r="U363" s="149">
        <f>Ruimtestaat[[#This Row],[Uitvoeringen werkdagen]]*Ruimtestaat[[#This Row],[Oppervlak (netto)]]</f>
        <v>1000</v>
      </c>
      <c r="V363" s="179">
        <f>IF(T363&gt;0,Ruimtestaat[[#This Row],[Prest. (m2 /jaar) werkdagen]]/Ruimtestaat[[#This Row],[Norm (m2/uur) werkdagen]],0)</f>
        <v>0</v>
      </c>
      <c r="W363" s="180">
        <f>Ruimtestaat[[#This Row],[uren / jaar werkdagen]]*Tariefsopbouw!$E$35</f>
        <v>0</v>
      </c>
      <c r="X363" s="149"/>
      <c r="Y363" s="149">
        <f>IF(Ruimtestaat[[#This Row],[Frequentie weekend]]&gt;0,VALUE(LEFT(X363,1))*Q363,0)</f>
        <v>0</v>
      </c>
      <c r="Z363" s="148">
        <f>IF($Y363&gt;0,VLOOKUP($J363,Ruimtegroepen[],3,FALSE)*VLOOKUP($L363,Vloersoorten[],3,FALSE)*VLOOKUP($X363,Frequenties[],3,FALSE)*VLOOKUP(Ruimtestaat[[#This Row],[Code]],Locaties[],3,FALSE),0)</f>
        <v>0</v>
      </c>
      <c r="AA363" s="148">
        <f>Ruimtestaat[[#This Row],[Uitvoeringen weekend]]*Ruimtestaat[[#This Row],[Oppervlak (netto)]]</f>
        <v>0</v>
      </c>
      <c r="AB363" s="148">
        <f>IF(Z363&gt;0,Ruimtestaat[[#This Row],[Prest. (m2 /jaar) weekend]]/Ruimtestaat[[#This Row],[Norm (m2/uur) weekend]],0)</f>
        <v>0</v>
      </c>
      <c r="AC363" s="180">
        <f>Ruimtestaat[[#This Row],[uren / jaar weekend]]*Tariefsopbouw!$D$40</f>
        <v>0</v>
      </c>
      <c r="AD363" s="179">
        <f>Ruimtestaat[[#This Row],[Prest. (m2 /jaar) weekend]]+Ruimtestaat[[#This Row],[Prest. (m2 /jaar) werkdagen]]</f>
        <v>1000</v>
      </c>
      <c r="AE363" s="179">
        <f>Ruimtestaat[[#This Row],[uren / jaar weekend]]+Ruimtestaat[[#This Row],[uren / jaar werkdagen]]</f>
        <v>0</v>
      </c>
      <c r="AF363" s="174">
        <f>Ruimtestaat[[#This Row],[kosten / jaar weekend]]+Ruimtestaat[[#This Row],[kosten / jaar werkdagen]]</f>
        <v>0</v>
      </c>
      <c r="AG363" s="174"/>
      <c r="AH363" s="181" t="str">
        <f>IF(Ruimtestaat[[#This Row],[Frequentie werkdagen]]="","",_xlfn.CONCAT(Ruimtestaat[[#This Row],[Ruimte code]],"-",Ruimtestaat[[#This Row],[Frequentie werkdagen]]," ",Ruimtestaat[[#This Row],[Vloer code]]))</f>
        <v>5-5w S</v>
      </c>
      <c r="AI363" s="185" t="str">
        <f>_xlfn.IFNA(VLOOKUP($AH363,Programma!$F$3:$G$1101,2,0),"")</f>
        <v>_</v>
      </c>
      <c r="AJ363" s="185" t="str">
        <f>_xlfn.IFNA(VLOOKUP($AH363,Programma!$F$3:$H$1101,3,0),"")</f>
        <v>_</v>
      </c>
      <c r="AK363" s="185" t="str">
        <f>_xlfn.IFNA(VLOOKUP($AH363,Programma!$F$3:$I$1101,4,0),"")</f>
        <v>_</v>
      </c>
      <c r="AL363" s="185" t="str">
        <f>_xlfn.IFNA(VLOOKUP($AH363,Programma!$F$3:$J$1101,5,0),"")</f>
        <v>4w</v>
      </c>
      <c r="AM363" s="185" t="str">
        <f>_xlfn.IFNA(VLOOKUP($AH363,Programma!$F$3:$K$1101,6,0),"")</f>
        <v>1w</v>
      </c>
      <c r="AN363" s="185" t="str">
        <f>_xlfn.IFNA(VLOOKUP($AH363,Programma!$F$3:$L$1101,7,0),"")</f>
        <v>_</v>
      </c>
      <c r="AO363" s="185" t="str">
        <f>_xlfn.IFNA(VLOOKUP($AH363,Programma!$F$3:$M$1101,8,0),"")</f>
        <v>_</v>
      </c>
      <c r="AP363" s="185" t="str">
        <f>_xlfn.IFNA(VLOOKUP($AH363,Programma!$F$3:$N$1101,9,0),"")</f>
        <v>_</v>
      </c>
      <c r="AQ363" s="185" t="str">
        <f>_xlfn.IFNA(VLOOKUP($AH363,Programma!$F$3:$O$1101,10,0),"")</f>
        <v>_</v>
      </c>
      <c r="AR363" s="185" t="str">
        <f>_xlfn.IFNA(VLOOKUP($AH363,Programma!$F$3:$P$1101,11,0),"")</f>
        <v>_</v>
      </c>
      <c r="AS363" s="185" t="str">
        <f>_xlfn.IFNA(VLOOKUP($AH363,Programma!$F$3:$Q$1101,12,0),"")</f>
        <v>_</v>
      </c>
      <c r="AT363" s="185" t="str">
        <f>_xlfn.IFNA(VLOOKUP($AH363,Programma!$F$3:$R$1101,13,0),"")</f>
        <v>_</v>
      </c>
      <c r="AU363" s="185" t="str">
        <f>_xlfn.IFNA(VLOOKUP($AH363,Programma!$F$3:$S$1101,14,0),"")</f>
        <v>_</v>
      </c>
      <c r="AV363" s="185" t="str">
        <f>_xlfn.IFNA(VLOOKUP($AH363,Programma!$F$3:$T$1101,15,0),"")</f>
        <v>_</v>
      </c>
      <c r="AW363" s="185" t="str">
        <f>_xlfn.IFNA(VLOOKUP($AH363,Programma!$F$3:$U$1101,16,0),"")</f>
        <v>_</v>
      </c>
      <c r="AX363" s="185" t="str">
        <f>_xlfn.IFNA(VLOOKUP($AH363,Programma!$F$3:$V$1101,17,0),"")</f>
        <v>_</v>
      </c>
      <c r="AY363" s="185" t="str">
        <f>_xlfn.IFNA(VLOOKUP($AH363,Programma!$F$3:$W$1101,18,0),"")</f>
        <v>4w</v>
      </c>
      <c r="AZ363" s="185" t="str">
        <f>_xlfn.IFNA(VLOOKUP($AH363,Programma!$F$3:$X$1101,19,0),"")</f>
        <v>1w</v>
      </c>
      <c r="BA363" s="185" t="str">
        <f>_xlfn.IFNA(VLOOKUP($AH363,Programma!$F$3:$Y$1101,20,0),"")</f>
        <v>_</v>
      </c>
      <c r="BB363" s="182"/>
      <c r="BC363" s="181" t="str">
        <f>IF(Ruimtestaat[[#This Row],[Frequentie weekend]]="","",_xlfn.CONCAT(Ruimtestaat[[#This Row],[Ruimte code]],"-",Ruimtestaat[[#This Row],[Frequentie weekend]]," ",Ruimtestaat[[#This Row],[Vloer code]]))</f>
        <v/>
      </c>
      <c r="BD363" s="185" t="str">
        <f>_xlfn.IFNA(VLOOKUP($BC363,Programma!$F$3:$G$1101,2,0),"")</f>
        <v/>
      </c>
      <c r="BE363" s="185" t="str">
        <f>_xlfn.IFNA(VLOOKUP($BC363,Programma!$F$3:$H$1101,3,0),"")</f>
        <v/>
      </c>
      <c r="BF363" s="185" t="str">
        <f>_xlfn.IFNA(VLOOKUP($BC363,Programma!$F$3:$I$1101,4,0),"")</f>
        <v/>
      </c>
      <c r="BG363" s="185" t="str">
        <f>_xlfn.IFNA(VLOOKUP($BC363,Programma!$F$3:$J$1101,5,0),"")</f>
        <v/>
      </c>
      <c r="BH363" s="185" t="str">
        <f>_xlfn.IFNA(VLOOKUP($BC363,Programma!$F$3:$K$1101,6,0),"")</f>
        <v/>
      </c>
      <c r="BI363" s="185" t="str">
        <f>_xlfn.IFNA(VLOOKUP($BC363,Programma!$F$3:$L$1101,7,0),"")</f>
        <v/>
      </c>
      <c r="BJ363" s="185" t="str">
        <f>_xlfn.IFNA(VLOOKUP($BC363,Programma!$F$3:$M$1101,8,0),"")</f>
        <v/>
      </c>
      <c r="BK363" s="185" t="str">
        <f>_xlfn.IFNA(VLOOKUP($BC363,Programma!$F$3:$N$1101,9,0),"")</f>
        <v/>
      </c>
      <c r="BL363" s="185" t="str">
        <f>_xlfn.IFNA(VLOOKUP($BC363,Programma!$F$3:$O$1101,10,0),"")</f>
        <v/>
      </c>
      <c r="BM363" s="185" t="str">
        <f>_xlfn.IFNA(VLOOKUP($BC363,Programma!$F$3:$P$1101,11,0),"")</f>
        <v/>
      </c>
      <c r="BN363" s="185" t="str">
        <f>_xlfn.IFNA(VLOOKUP($BC363,Programma!$F$3:$Q$1101,12,0),"")</f>
        <v/>
      </c>
      <c r="BO363" s="185" t="str">
        <f>_xlfn.IFNA(VLOOKUP($BC363,Programma!$F$3:$R$1101,13,0),"")</f>
        <v/>
      </c>
      <c r="BP363" s="185" t="str">
        <f>_xlfn.IFNA(VLOOKUP($BC363,Programma!$F$3:$S$1101,14,0),"")</f>
        <v/>
      </c>
      <c r="BQ363" s="185" t="str">
        <f>_xlfn.IFNA(VLOOKUP($BC363,Programma!$F$3:$T$1101,15,0),"")</f>
        <v/>
      </c>
      <c r="BR363" s="185" t="str">
        <f>_xlfn.IFNA(VLOOKUP($BC363,Programma!$F$3:$U$1101,16,0),"")</f>
        <v/>
      </c>
      <c r="BS363" s="185" t="str">
        <f>_xlfn.IFNA(VLOOKUP($BC363,Programma!$F$3:$V$1101,17,0),"")</f>
        <v/>
      </c>
      <c r="BT363" s="185" t="str">
        <f>_xlfn.IFNA(VLOOKUP($BC363,Programma!$F$3:$W$1101,18,0),"")</f>
        <v/>
      </c>
      <c r="BU363" s="185" t="str">
        <f>_xlfn.IFNA(VLOOKUP($BC363,Programma!$F$3:$X$1101,19,0),"")</f>
        <v/>
      </c>
      <c r="BV363" s="185" t="str">
        <f>_xlfn.IFNA(VLOOKUP($BC363,Programma!$F$3:$Y$1101,20,0),"")</f>
        <v/>
      </c>
    </row>
    <row r="364" spans="1:74" s="78" customFormat="1" ht="15" customHeight="1">
      <c r="A364" s="99">
        <v>11</v>
      </c>
      <c r="B364" s="176" t="str">
        <f>VLOOKUP(Ruimtestaat[[#This Row],[Code]],Locaties[[Code]:[Locatie]],2,FALSE)</f>
        <v>OMBS De Wielerbaan</v>
      </c>
      <c r="C364" s="176" t="str">
        <f>VLOOKUP(Ruimtestaat[[#This Row],[Code]],Locaties[[#All],[Code]:[Adres]],4,FALSE)</f>
        <v>Batshoek 5</v>
      </c>
      <c r="D364" s="176" t="str">
        <f>VLOOKUP(Ruimtestaat[[#This Row],[Code]],Locaties[[#All],[Code]:[Postcode]],5,FALSE)</f>
        <v>7546 LC</v>
      </c>
      <c r="E364" s="176" t="str">
        <f>VLOOKUP(Ruimtestaat[[#This Row],[Code]],Locaties[#All],6,FALSE)</f>
        <v>Enschede</v>
      </c>
      <c r="F364" s="183"/>
      <c r="G364" s="99" t="s">
        <v>1646</v>
      </c>
      <c r="H364" s="99" t="s">
        <v>1674</v>
      </c>
      <c r="I364" s="183" t="s">
        <v>1655</v>
      </c>
      <c r="J364" s="99">
        <v>5</v>
      </c>
      <c r="K364" s="183" t="str">
        <f>VLOOKUP(Ruimtestaat[[#This Row],[Ruimte code]],Ruimtegroepen[[#All],[Code]:[Ruimte omschrijving]],2,FALSE)</f>
        <v>Sanitair</v>
      </c>
      <c r="L364" s="149" t="s">
        <v>101</v>
      </c>
      <c r="M364" s="301" t="s">
        <v>1682</v>
      </c>
      <c r="N364" s="177">
        <v>2.1</v>
      </c>
      <c r="O364" s="177"/>
      <c r="P364" s="178" t="str">
        <f>VLOOKUP(Ruimtestaat[[#This Row],[Ruimte code]],Ruimtegroepen[],4,FALSE)</f>
        <v>Sa</v>
      </c>
      <c r="Q364" s="149">
        <v>40</v>
      </c>
      <c r="R364" s="149" t="s">
        <v>2</v>
      </c>
      <c r="S364" s="149">
        <f>IF(Q364&gt;0,IF(RIGHT(Ruimtestaat[[#This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4" s="149">
        <f>IF(S364&gt;0,VLOOKUP($J364,Ruimtegroepen[],3,FALSE)*VLOOKUP($L364,Vloersoorten[],3,FALSE)*VLOOKUP($R364,Frequenties[],3,FALSE)*VLOOKUP($A364,Locaties[],3,FALSE),0)</f>
        <v>0</v>
      </c>
      <c r="U364" s="149">
        <f>Ruimtestaat[[#This Row],[Uitvoeringen werkdagen]]*Ruimtestaat[[#This Row],[Oppervlak (netto)]]</f>
        <v>420</v>
      </c>
      <c r="V364" s="179">
        <f>IF(T364&gt;0,Ruimtestaat[[#This Row],[Prest. (m2 /jaar) werkdagen]]/Ruimtestaat[[#This Row],[Norm (m2/uur) werkdagen]],0)</f>
        <v>0</v>
      </c>
      <c r="W364" s="180">
        <f>Ruimtestaat[[#This Row],[uren / jaar werkdagen]]*Tariefsopbouw!$E$35</f>
        <v>0</v>
      </c>
      <c r="X364" s="149"/>
      <c r="Y364" s="149">
        <f>IF(Ruimtestaat[[#This Row],[Frequentie weekend]]&gt;0,VALUE(LEFT(X364,1))*Q364,0)</f>
        <v>0</v>
      </c>
      <c r="Z364" s="148">
        <f>IF($Y364&gt;0,VLOOKUP($J364,Ruimtegroepen[],3,FALSE)*VLOOKUP($L364,Vloersoorten[],3,FALSE)*VLOOKUP($X364,Frequenties[],3,FALSE)*VLOOKUP(Ruimtestaat[[#This Row],[Code]],Locaties[],3,FALSE),0)</f>
        <v>0</v>
      </c>
      <c r="AA364" s="148">
        <f>Ruimtestaat[[#This Row],[Uitvoeringen weekend]]*Ruimtestaat[[#This Row],[Oppervlak (netto)]]</f>
        <v>0</v>
      </c>
      <c r="AB364" s="148">
        <f>IF(Z364&gt;0,Ruimtestaat[[#This Row],[Prest. (m2 /jaar) weekend]]/Ruimtestaat[[#This Row],[Norm (m2/uur) weekend]],0)</f>
        <v>0</v>
      </c>
      <c r="AC364" s="180">
        <f>Ruimtestaat[[#This Row],[uren / jaar weekend]]*Tariefsopbouw!$D$40</f>
        <v>0</v>
      </c>
      <c r="AD364" s="179">
        <f>Ruimtestaat[[#This Row],[Prest. (m2 /jaar) weekend]]+Ruimtestaat[[#This Row],[Prest. (m2 /jaar) werkdagen]]</f>
        <v>420</v>
      </c>
      <c r="AE364" s="179">
        <f>Ruimtestaat[[#This Row],[uren / jaar weekend]]+Ruimtestaat[[#This Row],[uren / jaar werkdagen]]</f>
        <v>0</v>
      </c>
      <c r="AF364" s="174">
        <f>Ruimtestaat[[#This Row],[kosten / jaar weekend]]+Ruimtestaat[[#This Row],[kosten / jaar werkdagen]]</f>
        <v>0</v>
      </c>
      <c r="AG364" s="174"/>
      <c r="AH364" s="181" t="str">
        <f>IF(Ruimtestaat[[#This Row],[Frequentie werkdagen]]="","",_xlfn.CONCAT(Ruimtestaat[[#This Row],[Ruimte code]],"-",Ruimtestaat[[#This Row],[Frequentie werkdagen]]," ",Ruimtestaat[[#This Row],[Vloer code]]))</f>
        <v>5-5w S</v>
      </c>
      <c r="AI364" s="185" t="str">
        <f>_xlfn.IFNA(VLOOKUP($AH364,Programma!$F$3:$G$1101,2,0),"")</f>
        <v>_</v>
      </c>
      <c r="AJ364" s="185" t="str">
        <f>_xlfn.IFNA(VLOOKUP($AH364,Programma!$F$3:$H$1101,3,0),"")</f>
        <v>_</v>
      </c>
      <c r="AK364" s="185" t="str">
        <f>_xlfn.IFNA(VLOOKUP($AH364,Programma!$F$3:$I$1101,4,0),"")</f>
        <v>_</v>
      </c>
      <c r="AL364" s="185" t="str">
        <f>_xlfn.IFNA(VLOOKUP($AH364,Programma!$F$3:$J$1101,5,0),"")</f>
        <v>4w</v>
      </c>
      <c r="AM364" s="185" t="str">
        <f>_xlfn.IFNA(VLOOKUP($AH364,Programma!$F$3:$K$1101,6,0),"")</f>
        <v>1w</v>
      </c>
      <c r="AN364" s="185" t="str">
        <f>_xlfn.IFNA(VLOOKUP($AH364,Programma!$F$3:$L$1101,7,0),"")</f>
        <v>_</v>
      </c>
      <c r="AO364" s="185" t="str">
        <f>_xlfn.IFNA(VLOOKUP($AH364,Programma!$F$3:$M$1101,8,0),"")</f>
        <v>_</v>
      </c>
      <c r="AP364" s="185" t="str">
        <f>_xlfn.IFNA(VLOOKUP($AH364,Programma!$F$3:$N$1101,9,0),"")</f>
        <v>_</v>
      </c>
      <c r="AQ364" s="185" t="str">
        <f>_xlfn.IFNA(VLOOKUP($AH364,Programma!$F$3:$O$1101,10,0),"")</f>
        <v>_</v>
      </c>
      <c r="AR364" s="185" t="str">
        <f>_xlfn.IFNA(VLOOKUP($AH364,Programma!$F$3:$P$1101,11,0),"")</f>
        <v>_</v>
      </c>
      <c r="AS364" s="185" t="str">
        <f>_xlfn.IFNA(VLOOKUP($AH364,Programma!$F$3:$Q$1101,12,0),"")</f>
        <v>_</v>
      </c>
      <c r="AT364" s="185" t="str">
        <f>_xlfn.IFNA(VLOOKUP($AH364,Programma!$F$3:$R$1101,13,0),"")</f>
        <v>_</v>
      </c>
      <c r="AU364" s="185" t="str">
        <f>_xlfn.IFNA(VLOOKUP($AH364,Programma!$F$3:$S$1101,14,0),"")</f>
        <v>_</v>
      </c>
      <c r="AV364" s="185" t="str">
        <f>_xlfn.IFNA(VLOOKUP($AH364,Programma!$F$3:$T$1101,15,0),"")</f>
        <v>_</v>
      </c>
      <c r="AW364" s="185" t="str">
        <f>_xlfn.IFNA(VLOOKUP($AH364,Programma!$F$3:$U$1101,16,0),"")</f>
        <v>_</v>
      </c>
      <c r="AX364" s="185" t="str">
        <f>_xlfn.IFNA(VLOOKUP($AH364,Programma!$F$3:$V$1101,17,0),"")</f>
        <v>_</v>
      </c>
      <c r="AY364" s="185" t="str">
        <f>_xlfn.IFNA(VLOOKUP($AH364,Programma!$F$3:$W$1101,18,0),"")</f>
        <v>4w</v>
      </c>
      <c r="AZ364" s="185" t="str">
        <f>_xlfn.IFNA(VLOOKUP($AH364,Programma!$F$3:$X$1101,19,0),"")</f>
        <v>1w</v>
      </c>
      <c r="BA364" s="185" t="str">
        <f>_xlfn.IFNA(VLOOKUP($AH364,Programma!$F$3:$Y$1101,20,0),"")</f>
        <v>_</v>
      </c>
      <c r="BB364" s="182"/>
      <c r="BC364" s="181" t="str">
        <f>IF(Ruimtestaat[[#This Row],[Frequentie weekend]]="","",_xlfn.CONCAT(Ruimtestaat[[#This Row],[Ruimte code]],"-",Ruimtestaat[[#This Row],[Frequentie weekend]]," ",Ruimtestaat[[#This Row],[Vloer code]]))</f>
        <v/>
      </c>
      <c r="BD364" s="185" t="str">
        <f>_xlfn.IFNA(VLOOKUP($BC364,Programma!$F$3:$G$1101,2,0),"")</f>
        <v/>
      </c>
      <c r="BE364" s="185" t="str">
        <f>_xlfn.IFNA(VLOOKUP($BC364,Programma!$F$3:$H$1101,3,0),"")</f>
        <v/>
      </c>
      <c r="BF364" s="185" t="str">
        <f>_xlfn.IFNA(VLOOKUP($BC364,Programma!$F$3:$I$1101,4,0),"")</f>
        <v/>
      </c>
      <c r="BG364" s="185" t="str">
        <f>_xlfn.IFNA(VLOOKUP($BC364,Programma!$F$3:$J$1101,5,0),"")</f>
        <v/>
      </c>
      <c r="BH364" s="185" t="str">
        <f>_xlfn.IFNA(VLOOKUP($BC364,Programma!$F$3:$K$1101,6,0),"")</f>
        <v/>
      </c>
      <c r="BI364" s="185" t="str">
        <f>_xlfn.IFNA(VLOOKUP($BC364,Programma!$F$3:$L$1101,7,0),"")</f>
        <v/>
      </c>
      <c r="BJ364" s="185" t="str">
        <f>_xlfn.IFNA(VLOOKUP($BC364,Programma!$F$3:$M$1101,8,0),"")</f>
        <v/>
      </c>
      <c r="BK364" s="185" t="str">
        <f>_xlfn.IFNA(VLOOKUP($BC364,Programma!$F$3:$N$1101,9,0),"")</f>
        <v/>
      </c>
      <c r="BL364" s="185" t="str">
        <f>_xlfn.IFNA(VLOOKUP($BC364,Programma!$F$3:$O$1101,10,0),"")</f>
        <v/>
      </c>
      <c r="BM364" s="185" t="str">
        <f>_xlfn.IFNA(VLOOKUP($BC364,Programma!$F$3:$P$1101,11,0),"")</f>
        <v/>
      </c>
      <c r="BN364" s="185" t="str">
        <f>_xlfn.IFNA(VLOOKUP($BC364,Programma!$F$3:$Q$1101,12,0),"")</f>
        <v/>
      </c>
      <c r="BO364" s="185" t="str">
        <f>_xlfn.IFNA(VLOOKUP($BC364,Programma!$F$3:$R$1101,13,0),"")</f>
        <v/>
      </c>
      <c r="BP364" s="185" t="str">
        <f>_xlfn.IFNA(VLOOKUP($BC364,Programma!$F$3:$S$1101,14,0),"")</f>
        <v/>
      </c>
      <c r="BQ364" s="185" t="str">
        <f>_xlfn.IFNA(VLOOKUP($BC364,Programma!$F$3:$T$1101,15,0),"")</f>
        <v/>
      </c>
      <c r="BR364" s="185" t="str">
        <f>_xlfn.IFNA(VLOOKUP($BC364,Programma!$F$3:$U$1101,16,0),"")</f>
        <v/>
      </c>
      <c r="BS364" s="185" t="str">
        <f>_xlfn.IFNA(VLOOKUP($BC364,Programma!$F$3:$V$1101,17,0),"")</f>
        <v/>
      </c>
      <c r="BT364" s="185" t="str">
        <f>_xlfn.IFNA(VLOOKUP($BC364,Programma!$F$3:$W$1101,18,0),"")</f>
        <v/>
      </c>
      <c r="BU364" s="185" t="str">
        <f>_xlfn.IFNA(VLOOKUP($BC364,Programma!$F$3:$X$1101,19,0),"")</f>
        <v/>
      </c>
      <c r="BV364" s="185" t="str">
        <f>_xlfn.IFNA(VLOOKUP($BC364,Programma!$F$3:$Y$1101,20,0),"")</f>
        <v/>
      </c>
    </row>
    <row r="365" spans="1:74" s="78" customFormat="1" ht="15" customHeight="1">
      <c r="A365" s="99">
        <v>11</v>
      </c>
      <c r="B365" s="176" t="str">
        <f>VLOOKUP(Ruimtestaat[[#This Row],[Code]],Locaties[[Code]:[Locatie]],2,FALSE)</f>
        <v>OMBS De Wielerbaan</v>
      </c>
      <c r="C365" s="176" t="str">
        <f>VLOOKUP(Ruimtestaat[[#This Row],[Code]],Locaties[[#All],[Code]:[Adres]],4,FALSE)</f>
        <v>Batshoek 5</v>
      </c>
      <c r="D365" s="176" t="str">
        <f>VLOOKUP(Ruimtestaat[[#This Row],[Code]],Locaties[[#All],[Code]:[Postcode]],5,FALSE)</f>
        <v>7546 LC</v>
      </c>
      <c r="E365" s="176" t="str">
        <f>VLOOKUP(Ruimtestaat[[#This Row],[Code]],Locaties[#All],6,FALSE)</f>
        <v>Enschede</v>
      </c>
      <c r="F365" s="183"/>
      <c r="G365" s="99" t="s">
        <v>1646</v>
      </c>
      <c r="H365" s="99" t="s">
        <v>1675</v>
      </c>
      <c r="I365" s="183" t="s">
        <v>1272</v>
      </c>
      <c r="J365" s="99">
        <v>18</v>
      </c>
      <c r="K365" s="183" t="str">
        <f>VLOOKUP(Ruimtestaat[[#This Row],[Ruimte code]],Ruimtegroepen[[#All],[Code]:[Ruimte omschrijving]],2,FALSE)</f>
        <v>Gymzaal</v>
      </c>
      <c r="L365" s="149" t="s">
        <v>102</v>
      </c>
      <c r="M365" s="301" t="s">
        <v>1727</v>
      </c>
      <c r="N365" s="177">
        <v>97.5</v>
      </c>
      <c r="O365" s="177"/>
      <c r="P365" s="178" t="str">
        <f>VLOOKUP(Ruimtestaat[[#This Row],[Ruimte code]],Ruimtegroepen[],4,FALSE)</f>
        <v>Sp</v>
      </c>
      <c r="Q365" s="149">
        <v>40</v>
      </c>
      <c r="R365" s="149" t="s">
        <v>2</v>
      </c>
      <c r="S365" s="149">
        <f>IF(Q365&gt;0,IF(RIGHT(Ruimtestaat[[#This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5" s="149">
        <f>IF(S365&gt;0,VLOOKUP($J365,Ruimtegroepen[],3,FALSE)*VLOOKUP($L365,Vloersoorten[],3,FALSE)*VLOOKUP($R365,Frequenties[],3,FALSE)*VLOOKUP($A365,Locaties[],3,FALSE),0)</f>
        <v>0</v>
      </c>
      <c r="U365" s="149">
        <f>Ruimtestaat[[#This Row],[Uitvoeringen werkdagen]]*Ruimtestaat[[#This Row],[Oppervlak (netto)]]</f>
        <v>19500</v>
      </c>
      <c r="V365" s="179">
        <f>IF(T365&gt;0,Ruimtestaat[[#This Row],[Prest. (m2 /jaar) werkdagen]]/Ruimtestaat[[#This Row],[Norm (m2/uur) werkdagen]],0)</f>
        <v>0</v>
      </c>
      <c r="W365" s="180">
        <f>Ruimtestaat[[#This Row],[uren / jaar werkdagen]]*Tariefsopbouw!$E$35</f>
        <v>0</v>
      </c>
      <c r="X365" s="149"/>
      <c r="Y365" s="149">
        <f>IF(Ruimtestaat[[#This Row],[Frequentie weekend]]&gt;0,VALUE(LEFT(X365,1))*Q365,0)</f>
        <v>0</v>
      </c>
      <c r="Z365" s="148">
        <f>IF($Y365&gt;0,VLOOKUP($J365,Ruimtegroepen[],3,FALSE)*VLOOKUP($L365,Vloersoorten[],3,FALSE)*VLOOKUP($X365,Frequenties[],3,FALSE)*VLOOKUP(Ruimtestaat[[#This Row],[Code]],Locaties[],3,FALSE),0)</f>
        <v>0</v>
      </c>
      <c r="AA365" s="148">
        <f>Ruimtestaat[[#This Row],[Uitvoeringen weekend]]*Ruimtestaat[[#This Row],[Oppervlak (netto)]]</f>
        <v>0</v>
      </c>
      <c r="AB365" s="148">
        <f>IF(Z365&gt;0,Ruimtestaat[[#This Row],[Prest. (m2 /jaar) weekend]]/Ruimtestaat[[#This Row],[Norm (m2/uur) weekend]],0)</f>
        <v>0</v>
      </c>
      <c r="AC365" s="180">
        <f>Ruimtestaat[[#This Row],[uren / jaar weekend]]*Tariefsopbouw!$D$40</f>
        <v>0</v>
      </c>
      <c r="AD365" s="179">
        <f>Ruimtestaat[[#This Row],[Prest. (m2 /jaar) weekend]]+Ruimtestaat[[#This Row],[Prest. (m2 /jaar) werkdagen]]</f>
        <v>19500</v>
      </c>
      <c r="AE365" s="179">
        <f>Ruimtestaat[[#This Row],[uren / jaar weekend]]+Ruimtestaat[[#This Row],[uren / jaar werkdagen]]</f>
        <v>0</v>
      </c>
      <c r="AF365" s="174">
        <f>Ruimtestaat[[#This Row],[kosten / jaar weekend]]+Ruimtestaat[[#This Row],[kosten / jaar werkdagen]]</f>
        <v>0</v>
      </c>
      <c r="AG365" s="174"/>
      <c r="AH365" s="181" t="str">
        <f>IF(Ruimtestaat[[#This Row],[Frequentie werkdagen]]="","",_xlfn.CONCAT(Ruimtestaat[[#This Row],[Ruimte code]],"-",Ruimtestaat[[#This Row],[Frequentie werkdagen]]," ",Ruimtestaat[[#This Row],[Vloer code]]))</f>
        <v>18-5w P</v>
      </c>
      <c r="AI365" s="185" t="str">
        <f>_xlfn.IFNA(VLOOKUP($AH365,Programma!$F$3:$G$1101,2,0),"")</f>
        <v>_</v>
      </c>
      <c r="AJ365" s="185" t="str">
        <f>_xlfn.IFNA(VLOOKUP($AH365,Programma!$F$3:$H$1101,3,0),"")</f>
        <v>_</v>
      </c>
      <c r="AK365" s="185" t="str">
        <f>_xlfn.IFNA(VLOOKUP($AH365,Programma!$F$3:$I$1101,4,0),"")</f>
        <v>4w</v>
      </c>
      <c r="AL365" s="185" t="str">
        <f>_xlfn.IFNA(VLOOKUP($AH365,Programma!$F$3:$J$1101,5,0),"")</f>
        <v>1w</v>
      </c>
      <c r="AM365" s="185" t="str">
        <f>_xlfn.IFNA(VLOOKUP($AH365,Programma!$F$3:$K$1101,6,0),"")</f>
        <v>4j</v>
      </c>
      <c r="AN365" s="185" t="str">
        <f>_xlfn.IFNA(VLOOKUP($AH365,Programma!$F$3:$L$1101,7,0),"")</f>
        <v>_</v>
      </c>
      <c r="AO365" s="185" t="str">
        <f>_xlfn.IFNA(VLOOKUP($AH365,Programma!$F$3:$M$1101,8,0),"")</f>
        <v>_</v>
      </c>
      <c r="AP365" s="185" t="str">
        <f>_xlfn.IFNA(VLOOKUP($AH365,Programma!$F$3:$N$1101,9,0),"")</f>
        <v>_</v>
      </c>
      <c r="AQ365" s="185" t="str">
        <f>_xlfn.IFNA(VLOOKUP($AH365,Programma!$F$3:$O$1101,10,0),"")</f>
        <v>5w</v>
      </c>
      <c r="AR365" s="185" t="str">
        <f>_xlfn.IFNA(VLOOKUP($AH365,Programma!$F$3:$P$1101,11,0),"")</f>
        <v>5w</v>
      </c>
      <c r="AS365" s="185" t="str">
        <f>_xlfn.IFNA(VLOOKUP($AH365,Programma!$F$3:$Q$1101,12,0),"")</f>
        <v>5w</v>
      </c>
      <c r="AT365" s="185" t="str">
        <f>_xlfn.IFNA(VLOOKUP($AH365,Programma!$F$3:$R$1101,13,0),"")</f>
        <v>5w</v>
      </c>
      <c r="AU365" s="185" t="str">
        <f>_xlfn.IFNA(VLOOKUP($AH365,Programma!$F$3:$S$1101,14,0),"")</f>
        <v>1m</v>
      </c>
      <c r="AV365" s="185" t="str">
        <f>_xlfn.IFNA(VLOOKUP($AH365,Programma!$F$3:$T$1101,15,0),"")</f>
        <v>2j</v>
      </c>
      <c r="AW365" s="185" t="str">
        <f>_xlfn.IFNA(VLOOKUP($AH365,Programma!$F$3:$U$1101,16,0),"")</f>
        <v>1j</v>
      </c>
      <c r="AX365" s="185" t="str">
        <f>_xlfn.IFNA(VLOOKUP($AH365,Programma!$F$3:$V$1101,17,0),"")</f>
        <v>_</v>
      </c>
      <c r="AY365" s="185" t="str">
        <f>_xlfn.IFNA(VLOOKUP($AH365,Programma!$F$3:$W$1101,18,0),"")</f>
        <v>_</v>
      </c>
      <c r="AZ365" s="185" t="str">
        <f>_xlfn.IFNA(VLOOKUP($AH365,Programma!$F$3:$X$1101,19,0),"")</f>
        <v>_</v>
      </c>
      <c r="BA365" s="185" t="str">
        <f>_xlfn.IFNA(VLOOKUP($AH365,Programma!$F$3:$Y$1101,20,0),"")</f>
        <v>_</v>
      </c>
      <c r="BB365" s="182"/>
      <c r="BC365" s="181" t="str">
        <f>IF(Ruimtestaat[[#This Row],[Frequentie weekend]]="","",_xlfn.CONCAT(Ruimtestaat[[#This Row],[Ruimte code]],"-",Ruimtestaat[[#This Row],[Frequentie weekend]]," ",Ruimtestaat[[#This Row],[Vloer code]]))</f>
        <v/>
      </c>
      <c r="BD365" s="185" t="str">
        <f>_xlfn.IFNA(VLOOKUP($BC365,Programma!$F$3:$G$1101,2,0),"")</f>
        <v/>
      </c>
      <c r="BE365" s="185" t="str">
        <f>_xlfn.IFNA(VLOOKUP($BC365,Programma!$F$3:$H$1101,3,0),"")</f>
        <v/>
      </c>
      <c r="BF365" s="185" t="str">
        <f>_xlfn.IFNA(VLOOKUP($BC365,Programma!$F$3:$I$1101,4,0),"")</f>
        <v/>
      </c>
      <c r="BG365" s="185" t="str">
        <f>_xlfn.IFNA(VLOOKUP($BC365,Programma!$F$3:$J$1101,5,0),"")</f>
        <v/>
      </c>
      <c r="BH365" s="185" t="str">
        <f>_xlfn.IFNA(VLOOKUP($BC365,Programma!$F$3:$K$1101,6,0),"")</f>
        <v/>
      </c>
      <c r="BI365" s="185" t="str">
        <f>_xlfn.IFNA(VLOOKUP($BC365,Programma!$F$3:$L$1101,7,0),"")</f>
        <v/>
      </c>
      <c r="BJ365" s="185" t="str">
        <f>_xlfn.IFNA(VLOOKUP($BC365,Programma!$F$3:$M$1101,8,0),"")</f>
        <v/>
      </c>
      <c r="BK365" s="185" t="str">
        <f>_xlfn.IFNA(VLOOKUP($BC365,Programma!$F$3:$N$1101,9,0),"")</f>
        <v/>
      </c>
      <c r="BL365" s="185" t="str">
        <f>_xlfn.IFNA(VLOOKUP($BC365,Programma!$F$3:$O$1101,10,0),"")</f>
        <v/>
      </c>
      <c r="BM365" s="185" t="str">
        <f>_xlfn.IFNA(VLOOKUP($BC365,Programma!$F$3:$P$1101,11,0),"")</f>
        <v/>
      </c>
      <c r="BN365" s="185" t="str">
        <f>_xlfn.IFNA(VLOOKUP($BC365,Programma!$F$3:$Q$1101,12,0),"")</f>
        <v/>
      </c>
      <c r="BO365" s="185" t="str">
        <f>_xlfn.IFNA(VLOOKUP($BC365,Programma!$F$3:$R$1101,13,0),"")</f>
        <v/>
      </c>
      <c r="BP365" s="185" t="str">
        <f>_xlfn.IFNA(VLOOKUP($BC365,Programma!$F$3:$S$1101,14,0),"")</f>
        <v/>
      </c>
      <c r="BQ365" s="185" t="str">
        <f>_xlfn.IFNA(VLOOKUP($BC365,Programma!$F$3:$T$1101,15,0),"")</f>
        <v/>
      </c>
      <c r="BR365" s="185" t="str">
        <f>_xlfn.IFNA(VLOOKUP($BC365,Programma!$F$3:$U$1101,16,0),"")</f>
        <v/>
      </c>
      <c r="BS365" s="185" t="str">
        <f>_xlfn.IFNA(VLOOKUP($BC365,Programma!$F$3:$V$1101,17,0),"")</f>
        <v/>
      </c>
      <c r="BT365" s="185" t="str">
        <f>_xlfn.IFNA(VLOOKUP($BC365,Programma!$F$3:$W$1101,18,0),"")</f>
        <v/>
      </c>
      <c r="BU365" s="185" t="str">
        <f>_xlfn.IFNA(VLOOKUP($BC365,Programma!$F$3:$X$1101,19,0),"")</f>
        <v/>
      </c>
      <c r="BV365" s="185" t="str">
        <f>_xlfn.IFNA(VLOOKUP($BC365,Programma!$F$3:$Y$1101,20,0),"")</f>
        <v/>
      </c>
    </row>
    <row r="366" spans="1:74" s="78" customFormat="1" ht="15" customHeight="1">
      <c r="A366" s="99">
        <v>11</v>
      </c>
      <c r="B366" s="176" t="str">
        <f>VLOOKUP(Ruimtestaat[[#This Row],[Code]],Locaties[[Code]:[Locatie]],2,FALSE)</f>
        <v>OMBS De Wielerbaan</v>
      </c>
      <c r="C366" s="176" t="str">
        <f>VLOOKUP(Ruimtestaat[[#This Row],[Code]],Locaties[[#All],[Code]:[Adres]],4,FALSE)</f>
        <v>Batshoek 5</v>
      </c>
      <c r="D366" s="176" t="str">
        <f>VLOOKUP(Ruimtestaat[[#This Row],[Code]],Locaties[[#All],[Code]:[Postcode]],5,FALSE)</f>
        <v>7546 LC</v>
      </c>
      <c r="E366" s="176" t="str">
        <f>VLOOKUP(Ruimtestaat[[#This Row],[Code]],Locaties[#All],6,FALSE)</f>
        <v>Enschede</v>
      </c>
      <c r="F366" s="183"/>
      <c r="G366" s="99" t="s">
        <v>1646</v>
      </c>
      <c r="H366" s="99" t="s">
        <v>1676</v>
      </c>
      <c r="I366" s="183" t="s">
        <v>1585</v>
      </c>
      <c r="J366" s="99">
        <v>13</v>
      </c>
      <c r="K366" s="183" t="str">
        <f>VLOOKUP(Ruimtestaat[[#This Row],[Ruimte code]],Ruimtegroepen[[#All],[Code]:[Ruimte omschrijving]],2,FALSE)</f>
        <v>Personeelskamer</v>
      </c>
      <c r="L366" s="149" t="s">
        <v>99</v>
      </c>
      <c r="M366" s="301" t="s">
        <v>36</v>
      </c>
      <c r="N366" s="177">
        <v>9.8000000000000007</v>
      </c>
      <c r="O366" s="177"/>
      <c r="P366" s="178" t="str">
        <f>VLOOKUP(Ruimtestaat[[#This Row],[Ruimte code]],Ruimtegroepen[],4,FALSE)</f>
        <v>Ve</v>
      </c>
      <c r="Q366" s="149">
        <v>40</v>
      </c>
      <c r="R366" s="149" t="s">
        <v>18</v>
      </c>
      <c r="S366" s="149">
        <f>IF(Q366&gt;0,IF(RIGHT(Ruimtestaat[[#This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66" s="149">
        <f>IF(S366&gt;0,VLOOKUP($J366,Ruimtegroepen[],3,FALSE)*VLOOKUP($L366,Vloersoorten[],3,FALSE)*VLOOKUP($R366,Frequenties[],3,FALSE)*VLOOKUP($A366,Locaties[],3,FALSE),0)</f>
        <v>0</v>
      </c>
      <c r="U366" s="149">
        <f>Ruimtestaat[[#This Row],[Uitvoeringen werkdagen]]*Ruimtestaat[[#This Row],[Oppervlak (netto)]]</f>
        <v>1176</v>
      </c>
      <c r="V366" s="179">
        <f>IF(T366&gt;0,Ruimtestaat[[#This Row],[Prest. (m2 /jaar) werkdagen]]/Ruimtestaat[[#This Row],[Norm (m2/uur) werkdagen]],0)</f>
        <v>0</v>
      </c>
      <c r="W366" s="180">
        <f>Ruimtestaat[[#This Row],[uren / jaar werkdagen]]*Tariefsopbouw!$E$35</f>
        <v>0</v>
      </c>
      <c r="X366" s="149"/>
      <c r="Y366" s="149">
        <f>IF(Ruimtestaat[[#This Row],[Frequentie weekend]]&gt;0,VALUE(LEFT(X366,1))*Q366,0)</f>
        <v>0</v>
      </c>
      <c r="Z366" s="148">
        <f>IF($Y366&gt;0,VLOOKUP($J366,Ruimtegroepen[],3,FALSE)*VLOOKUP($L366,Vloersoorten[],3,FALSE)*VLOOKUP($X366,Frequenties[],3,FALSE)*VLOOKUP(Ruimtestaat[[#This Row],[Code]],Locaties[],3,FALSE),0)</f>
        <v>0</v>
      </c>
      <c r="AA366" s="148">
        <f>Ruimtestaat[[#This Row],[Uitvoeringen weekend]]*Ruimtestaat[[#This Row],[Oppervlak (netto)]]</f>
        <v>0</v>
      </c>
      <c r="AB366" s="148">
        <f>IF(Z366&gt;0,Ruimtestaat[[#This Row],[Prest. (m2 /jaar) weekend]]/Ruimtestaat[[#This Row],[Norm (m2/uur) weekend]],0)</f>
        <v>0</v>
      </c>
      <c r="AC366" s="180">
        <f>Ruimtestaat[[#This Row],[uren / jaar weekend]]*Tariefsopbouw!$D$40</f>
        <v>0</v>
      </c>
      <c r="AD366" s="179">
        <f>Ruimtestaat[[#This Row],[Prest. (m2 /jaar) weekend]]+Ruimtestaat[[#This Row],[Prest. (m2 /jaar) werkdagen]]</f>
        <v>1176</v>
      </c>
      <c r="AE366" s="179">
        <f>Ruimtestaat[[#This Row],[uren / jaar weekend]]+Ruimtestaat[[#This Row],[uren / jaar werkdagen]]</f>
        <v>0</v>
      </c>
      <c r="AF366" s="174">
        <f>Ruimtestaat[[#This Row],[kosten / jaar weekend]]+Ruimtestaat[[#This Row],[kosten / jaar werkdagen]]</f>
        <v>0</v>
      </c>
      <c r="AG366" s="174"/>
      <c r="AH366" s="181" t="str">
        <f>IF(Ruimtestaat[[#This Row],[Frequentie werkdagen]]="","",_xlfn.CONCAT(Ruimtestaat[[#This Row],[Ruimte code]],"-",Ruimtestaat[[#This Row],[Frequentie werkdagen]]," ",Ruimtestaat[[#This Row],[Vloer code]]))</f>
        <v>13-3w T</v>
      </c>
      <c r="AI366" s="185" t="str">
        <f>_xlfn.IFNA(VLOOKUP($AH366,Programma!$F$3:$G$1101,2,0),"")</f>
        <v>2w</v>
      </c>
      <c r="AJ366" s="185" t="str">
        <f>_xlfn.IFNA(VLOOKUP($AH366,Programma!$F$3:$H$1101,3,0),"")</f>
        <v>1w</v>
      </c>
      <c r="AK366" s="185" t="str">
        <f>_xlfn.IFNA(VLOOKUP($AH366,Programma!$F$3:$I$1101,4,0),"")</f>
        <v>_</v>
      </c>
      <c r="AL366" s="185" t="str">
        <f>_xlfn.IFNA(VLOOKUP($AH366,Programma!$F$3:$J$1101,5,0),"")</f>
        <v>_</v>
      </c>
      <c r="AM366" s="185" t="str">
        <f>_xlfn.IFNA(VLOOKUP($AH366,Programma!$F$3:$K$1101,6,0),"")</f>
        <v>_</v>
      </c>
      <c r="AN366" s="185" t="str">
        <f>_xlfn.IFNA(VLOOKUP($AH366,Programma!$F$3:$L$1101,7,0),"")</f>
        <v>_</v>
      </c>
      <c r="AO366" s="185" t="str">
        <f>_xlfn.IFNA(VLOOKUP($AH366,Programma!$F$3:$M$1101,8,0),"")</f>
        <v>_</v>
      </c>
      <c r="AP366" s="185" t="str">
        <f>_xlfn.IFNA(VLOOKUP($AH366,Programma!$F$3:$N$1101,9,0),"")</f>
        <v>_</v>
      </c>
      <c r="AQ366" s="185" t="str">
        <f>_xlfn.IFNA(VLOOKUP($AH366,Programma!$F$3:$O$1101,10,0),"")</f>
        <v>3w</v>
      </c>
      <c r="AR366" s="185" t="str">
        <f>_xlfn.IFNA(VLOOKUP($AH366,Programma!$F$3:$P$1101,11,0),"")</f>
        <v>3w</v>
      </c>
      <c r="AS366" s="185" t="str">
        <f>_xlfn.IFNA(VLOOKUP($AH366,Programma!$F$3:$Q$1101,12,0),"")</f>
        <v>1w</v>
      </c>
      <c r="AT366" s="185" t="str">
        <f>_xlfn.IFNA(VLOOKUP($AH366,Programma!$F$3:$R$1101,13,0),"")</f>
        <v>1w</v>
      </c>
      <c r="AU366" s="185" t="str">
        <f>_xlfn.IFNA(VLOOKUP($AH366,Programma!$F$3:$S$1101,14,0),"")</f>
        <v>1m</v>
      </c>
      <c r="AV366" s="185" t="str">
        <f>_xlfn.IFNA(VLOOKUP($AH366,Programma!$F$3:$T$1101,15,0),"")</f>
        <v>2j</v>
      </c>
      <c r="AW366" s="185" t="str">
        <f>_xlfn.IFNA(VLOOKUP($AH366,Programma!$F$3:$U$1101,16,0),"")</f>
        <v>1j</v>
      </c>
      <c r="AX366" s="185" t="str">
        <f>_xlfn.IFNA(VLOOKUP($AH366,Programma!$F$3:$V$1101,17,0),"")</f>
        <v>_</v>
      </c>
      <c r="AY366" s="185" t="str">
        <f>_xlfn.IFNA(VLOOKUP($AH366,Programma!$F$3:$W$1101,18,0),"")</f>
        <v>_</v>
      </c>
      <c r="AZ366" s="185" t="str">
        <f>_xlfn.IFNA(VLOOKUP($AH366,Programma!$F$3:$X$1101,19,0),"")</f>
        <v>_</v>
      </c>
      <c r="BA366" s="185" t="str">
        <f>_xlfn.IFNA(VLOOKUP($AH366,Programma!$F$3:$Y$1101,20,0),"")</f>
        <v>_</v>
      </c>
      <c r="BB366" s="182"/>
      <c r="BC366" s="181" t="str">
        <f>IF(Ruimtestaat[[#This Row],[Frequentie weekend]]="","",_xlfn.CONCAT(Ruimtestaat[[#This Row],[Ruimte code]],"-",Ruimtestaat[[#This Row],[Frequentie weekend]]," ",Ruimtestaat[[#This Row],[Vloer code]]))</f>
        <v/>
      </c>
      <c r="BD366" s="185" t="str">
        <f>_xlfn.IFNA(VLOOKUP($BC366,Programma!$F$3:$G$1101,2,0),"")</f>
        <v/>
      </c>
      <c r="BE366" s="185" t="str">
        <f>_xlfn.IFNA(VLOOKUP($BC366,Programma!$F$3:$H$1101,3,0),"")</f>
        <v/>
      </c>
      <c r="BF366" s="185" t="str">
        <f>_xlfn.IFNA(VLOOKUP($BC366,Programma!$F$3:$I$1101,4,0),"")</f>
        <v/>
      </c>
      <c r="BG366" s="185" t="str">
        <f>_xlfn.IFNA(VLOOKUP($BC366,Programma!$F$3:$J$1101,5,0),"")</f>
        <v/>
      </c>
      <c r="BH366" s="185" t="str">
        <f>_xlfn.IFNA(VLOOKUP($BC366,Programma!$F$3:$K$1101,6,0),"")</f>
        <v/>
      </c>
      <c r="BI366" s="185" t="str">
        <f>_xlfn.IFNA(VLOOKUP($BC366,Programma!$F$3:$L$1101,7,0),"")</f>
        <v/>
      </c>
      <c r="BJ366" s="185" t="str">
        <f>_xlfn.IFNA(VLOOKUP($BC366,Programma!$F$3:$M$1101,8,0),"")</f>
        <v/>
      </c>
      <c r="BK366" s="185" t="str">
        <f>_xlfn.IFNA(VLOOKUP($BC366,Programma!$F$3:$N$1101,9,0),"")</f>
        <v/>
      </c>
      <c r="BL366" s="185" t="str">
        <f>_xlfn.IFNA(VLOOKUP($BC366,Programma!$F$3:$O$1101,10,0),"")</f>
        <v/>
      </c>
      <c r="BM366" s="185" t="str">
        <f>_xlfn.IFNA(VLOOKUP($BC366,Programma!$F$3:$P$1101,11,0),"")</f>
        <v/>
      </c>
      <c r="BN366" s="185" t="str">
        <f>_xlfn.IFNA(VLOOKUP($BC366,Programma!$F$3:$Q$1101,12,0),"")</f>
        <v/>
      </c>
      <c r="BO366" s="185" t="str">
        <f>_xlfn.IFNA(VLOOKUP($BC366,Programma!$F$3:$R$1101,13,0),"")</f>
        <v/>
      </c>
      <c r="BP366" s="185" t="str">
        <f>_xlfn.IFNA(VLOOKUP($BC366,Programma!$F$3:$S$1101,14,0),"")</f>
        <v/>
      </c>
      <c r="BQ366" s="185" t="str">
        <f>_xlfn.IFNA(VLOOKUP($BC366,Programma!$F$3:$T$1101,15,0),"")</f>
        <v/>
      </c>
      <c r="BR366" s="185" t="str">
        <f>_xlfn.IFNA(VLOOKUP($BC366,Programma!$F$3:$U$1101,16,0),"")</f>
        <v/>
      </c>
      <c r="BS366" s="185" t="str">
        <f>_xlfn.IFNA(VLOOKUP($BC366,Programma!$F$3:$V$1101,17,0),"")</f>
        <v/>
      </c>
      <c r="BT366" s="185" t="str">
        <f>_xlfn.IFNA(VLOOKUP($BC366,Programma!$F$3:$W$1101,18,0),"")</f>
        <v/>
      </c>
      <c r="BU366" s="185" t="str">
        <f>_xlfn.IFNA(VLOOKUP($BC366,Programma!$F$3:$X$1101,19,0),"")</f>
        <v/>
      </c>
      <c r="BV366" s="185" t="str">
        <f>_xlfn.IFNA(VLOOKUP($BC366,Programma!$F$3:$Y$1101,20,0),"")</f>
        <v/>
      </c>
    </row>
    <row r="367" spans="1:74" s="78" customFormat="1" ht="15" customHeight="1">
      <c r="A367" s="99">
        <v>11</v>
      </c>
      <c r="B367" s="176" t="str">
        <f>VLOOKUP(Ruimtestaat[[#This Row],[Code]],Locaties[[Code]:[Locatie]],2,FALSE)</f>
        <v>OMBS De Wielerbaan</v>
      </c>
      <c r="C367" s="176" t="str">
        <f>VLOOKUP(Ruimtestaat[[#This Row],[Code]],Locaties[[#All],[Code]:[Adres]],4,FALSE)</f>
        <v>Batshoek 5</v>
      </c>
      <c r="D367" s="176" t="str">
        <f>VLOOKUP(Ruimtestaat[[#This Row],[Code]],Locaties[[#All],[Code]:[Postcode]],5,FALSE)</f>
        <v>7546 LC</v>
      </c>
      <c r="E367" s="176" t="str">
        <f>VLOOKUP(Ruimtestaat[[#This Row],[Code]],Locaties[#All],6,FALSE)</f>
        <v>Enschede</v>
      </c>
      <c r="F367" s="183"/>
      <c r="G367" s="99" t="s">
        <v>1646</v>
      </c>
      <c r="H367" s="99" t="s">
        <v>1678</v>
      </c>
      <c r="I367" s="183" t="s">
        <v>1655</v>
      </c>
      <c r="J367" s="99">
        <v>5</v>
      </c>
      <c r="K367" s="183" t="str">
        <f>VLOOKUP(Ruimtestaat[[#This Row],[Ruimte code]],Ruimtegroepen[[#All],[Code]:[Ruimte omschrijving]],2,FALSE)</f>
        <v>Sanitair</v>
      </c>
      <c r="L367" s="149" t="s">
        <v>101</v>
      </c>
      <c r="M367" s="301" t="s">
        <v>1682</v>
      </c>
      <c r="N367" s="177">
        <v>3.3</v>
      </c>
      <c r="O367" s="177"/>
      <c r="P367" s="178" t="str">
        <f>VLOOKUP(Ruimtestaat[[#This Row],[Ruimte code]],Ruimtegroepen[],4,FALSE)</f>
        <v>Sa</v>
      </c>
      <c r="Q367" s="149">
        <v>40</v>
      </c>
      <c r="R367" s="149" t="s">
        <v>2</v>
      </c>
      <c r="S367" s="149">
        <f>IF(Q367&gt;0,IF(RIGHT(Ruimtestaat[[#This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7" s="149">
        <f>IF(S367&gt;0,VLOOKUP($J367,Ruimtegroepen[],3,FALSE)*VLOOKUP($L367,Vloersoorten[],3,FALSE)*VLOOKUP($R367,Frequenties[],3,FALSE)*VLOOKUP($A367,Locaties[],3,FALSE),0)</f>
        <v>0</v>
      </c>
      <c r="U367" s="149">
        <f>Ruimtestaat[[#This Row],[Uitvoeringen werkdagen]]*Ruimtestaat[[#This Row],[Oppervlak (netto)]]</f>
        <v>660</v>
      </c>
      <c r="V367" s="179">
        <f>IF(T367&gt;0,Ruimtestaat[[#This Row],[Prest. (m2 /jaar) werkdagen]]/Ruimtestaat[[#This Row],[Norm (m2/uur) werkdagen]],0)</f>
        <v>0</v>
      </c>
      <c r="W367" s="180">
        <f>Ruimtestaat[[#This Row],[uren / jaar werkdagen]]*Tariefsopbouw!$E$35</f>
        <v>0</v>
      </c>
      <c r="X367" s="149"/>
      <c r="Y367" s="149">
        <f>IF(Ruimtestaat[[#This Row],[Frequentie weekend]]&gt;0,VALUE(LEFT(X367,1))*Q367,0)</f>
        <v>0</v>
      </c>
      <c r="Z367" s="148">
        <f>IF($Y367&gt;0,VLOOKUP($J367,Ruimtegroepen[],3,FALSE)*VLOOKUP($L367,Vloersoorten[],3,FALSE)*VLOOKUP($X367,Frequenties[],3,FALSE)*VLOOKUP(Ruimtestaat[[#This Row],[Code]],Locaties[],3,FALSE),0)</f>
        <v>0</v>
      </c>
      <c r="AA367" s="148">
        <f>Ruimtestaat[[#This Row],[Uitvoeringen weekend]]*Ruimtestaat[[#This Row],[Oppervlak (netto)]]</f>
        <v>0</v>
      </c>
      <c r="AB367" s="148">
        <f>IF(Z367&gt;0,Ruimtestaat[[#This Row],[Prest. (m2 /jaar) weekend]]/Ruimtestaat[[#This Row],[Norm (m2/uur) weekend]],0)</f>
        <v>0</v>
      </c>
      <c r="AC367" s="180">
        <f>Ruimtestaat[[#This Row],[uren / jaar weekend]]*Tariefsopbouw!$D$40</f>
        <v>0</v>
      </c>
      <c r="AD367" s="179">
        <f>Ruimtestaat[[#This Row],[Prest. (m2 /jaar) weekend]]+Ruimtestaat[[#This Row],[Prest. (m2 /jaar) werkdagen]]</f>
        <v>660</v>
      </c>
      <c r="AE367" s="179">
        <f>Ruimtestaat[[#This Row],[uren / jaar weekend]]+Ruimtestaat[[#This Row],[uren / jaar werkdagen]]</f>
        <v>0</v>
      </c>
      <c r="AF367" s="174">
        <f>Ruimtestaat[[#This Row],[kosten / jaar weekend]]+Ruimtestaat[[#This Row],[kosten / jaar werkdagen]]</f>
        <v>0</v>
      </c>
      <c r="AG367" s="174"/>
      <c r="AH367" s="181" t="str">
        <f>IF(Ruimtestaat[[#This Row],[Frequentie werkdagen]]="","",_xlfn.CONCAT(Ruimtestaat[[#This Row],[Ruimte code]],"-",Ruimtestaat[[#This Row],[Frequentie werkdagen]]," ",Ruimtestaat[[#This Row],[Vloer code]]))</f>
        <v>5-5w S</v>
      </c>
      <c r="AI367" s="185" t="str">
        <f>_xlfn.IFNA(VLOOKUP($AH367,Programma!$F$3:$G$1101,2,0),"")</f>
        <v>_</v>
      </c>
      <c r="AJ367" s="185" t="str">
        <f>_xlfn.IFNA(VLOOKUP($AH367,Programma!$F$3:$H$1101,3,0),"")</f>
        <v>_</v>
      </c>
      <c r="AK367" s="185" t="str">
        <f>_xlfn.IFNA(VLOOKUP($AH367,Programma!$F$3:$I$1101,4,0),"")</f>
        <v>_</v>
      </c>
      <c r="AL367" s="185" t="str">
        <f>_xlfn.IFNA(VLOOKUP($AH367,Programma!$F$3:$J$1101,5,0),"")</f>
        <v>4w</v>
      </c>
      <c r="AM367" s="185" t="str">
        <f>_xlfn.IFNA(VLOOKUP($AH367,Programma!$F$3:$K$1101,6,0),"")</f>
        <v>1w</v>
      </c>
      <c r="AN367" s="185" t="str">
        <f>_xlfn.IFNA(VLOOKUP($AH367,Programma!$F$3:$L$1101,7,0),"")</f>
        <v>_</v>
      </c>
      <c r="AO367" s="185" t="str">
        <f>_xlfn.IFNA(VLOOKUP($AH367,Programma!$F$3:$M$1101,8,0),"")</f>
        <v>_</v>
      </c>
      <c r="AP367" s="185" t="str">
        <f>_xlfn.IFNA(VLOOKUP($AH367,Programma!$F$3:$N$1101,9,0),"")</f>
        <v>_</v>
      </c>
      <c r="AQ367" s="185" t="str">
        <f>_xlfn.IFNA(VLOOKUP($AH367,Programma!$F$3:$O$1101,10,0),"")</f>
        <v>_</v>
      </c>
      <c r="AR367" s="185" t="str">
        <f>_xlfn.IFNA(VLOOKUP($AH367,Programma!$F$3:$P$1101,11,0),"")</f>
        <v>_</v>
      </c>
      <c r="AS367" s="185" t="str">
        <f>_xlfn.IFNA(VLOOKUP($AH367,Programma!$F$3:$Q$1101,12,0),"")</f>
        <v>_</v>
      </c>
      <c r="AT367" s="185" t="str">
        <f>_xlfn.IFNA(VLOOKUP($AH367,Programma!$F$3:$R$1101,13,0),"")</f>
        <v>_</v>
      </c>
      <c r="AU367" s="185" t="str">
        <f>_xlfn.IFNA(VLOOKUP($AH367,Programma!$F$3:$S$1101,14,0),"")</f>
        <v>_</v>
      </c>
      <c r="AV367" s="185" t="str">
        <f>_xlfn.IFNA(VLOOKUP($AH367,Programma!$F$3:$T$1101,15,0),"")</f>
        <v>_</v>
      </c>
      <c r="AW367" s="185" t="str">
        <f>_xlfn.IFNA(VLOOKUP($AH367,Programma!$F$3:$U$1101,16,0),"")</f>
        <v>_</v>
      </c>
      <c r="AX367" s="185" t="str">
        <f>_xlfn.IFNA(VLOOKUP($AH367,Programma!$F$3:$V$1101,17,0),"")</f>
        <v>_</v>
      </c>
      <c r="AY367" s="185" t="str">
        <f>_xlfn.IFNA(VLOOKUP($AH367,Programma!$F$3:$W$1101,18,0),"")</f>
        <v>4w</v>
      </c>
      <c r="AZ367" s="185" t="str">
        <f>_xlfn.IFNA(VLOOKUP($AH367,Programma!$F$3:$X$1101,19,0),"")</f>
        <v>1w</v>
      </c>
      <c r="BA367" s="185" t="str">
        <f>_xlfn.IFNA(VLOOKUP($AH367,Programma!$F$3:$Y$1101,20,0),"")</f>
        <v>_</v>
      </c>
      <c r="BB367" s="182"/>
      <c r="BC367" s="181" t="str">
        <f>IF(Ruimtestaat[[#This Row],[Frequentie weekend]]="","",_xlfn.CONCAT(Ruimtestaat[[#This Row],[Ruimte code]],"-",Ruimtestaat[[#This Row],[Frequentie weekend]]," ",Ruimtestaat[[#This Row],[Vloer code]]))</f>
        <v/>
      </c>
      <c r="BD367" s="185" t="str">
        <f>_xlfn.IFNA(VLOOKUP($BC367,Programma!$F$3:$G$1101,2,0),"")</f>
        <v/>
      </c>
      <c r="BE367" s="185" t="str">
        <f>_xlfn.IFNA(VLOOKUP($BC367,Programma!$F$3:$H$1101,3,0),"")</f>
        <v/>
      </c>
      <c r="BF367" s="185" t="str">
        <f>_xlfn.IFNA(VLOOKUP($BC367,Programma!$F$3:$I$1101,4,0),"")</f>
        <v/>
      </c>
      <c r="BG367" s="185" t="str">
        <f>_xlfn.IFNA(VLOOKUP($BC367,Programma!$F$3:$J$1101,5,0),"")</f>
        <v/>
      </c>
      <c r="BH367" s="185" t="str">
        <f>_xlfn.IFNA(VLOOKUP($BC367,Programma!$F$3:$K$1101,6,0),"")</f>
        <v/>
      </c>
      <c r="BI367" s="185" t="str">
        <f>_xlfn.IFNA(VLOOKUP($BC367,Programma!$F$3:$L$1101,7,0),"")</f>
        <v/>
      </c>
      <c r="BJ367" s="185" t="str">
        <f>_xlfn.IFNA(VLOOKUP($BC367,Programma!$F$3:$M$1101,8,0),"")</f>
        <v/>
      </c>
      <c r="BK367" s="185" t="str">
        <f>_xlfn.IFNA(VLOOKUP($BC367,Programma!$F$3:$N$1101,9,0),"")</f>
        <v/>
      </c>
      <c r="BL367" s="185" t="str">
        <f>_xlfn.IFNA(VLOOKUP($BC367,Programma!$F$3:$O$1101,10,0),"")</f>
        <v/>
      </c>
      <c r="BM367" s="185" t="str">
        <f>_xlfn.IFNA(VLOOKUP($BC367,Programma!$F$3:$P$1101,11,0),"")</f>
        <v/>
      </c>
      <c r="BN367" s="185" t="str">
        <f>_xlfn.IFNA(VLOOKUP($BC367,Programma!$F$3:$Q$1101,12,0),"")</f>
        <v/>
      </c>
      <c r="BO367" s="185" t="str">
        <f>_xlfn.IFNA(VLOOKUP($BC367,Programma!$F$3:$R$1101,13,0),"")</f>
        <v/>
      </c>
      <c r="BP367" s="185" t="str">
        <f>_xlfn.IFNA(VLOOKUP($BC367,Programma!$F$3:$S$1101,14,0),"")</f>
        <v/>
      </c>
      <c r="BQ367" s="185" t="str">
        <f>_xlfn.IFNA(VLOOKUP($BC367,Programma!$F$3:$T$1101,15,0),"")</f>
        <v/>
      </c>
      <c r="BR367" s="185" t="str">
        <f>_xlfn.IFNA(VLOOKUP($BC367,Programma!$F$3:$U$1101,16,0),"")</f>
        <v/>
      </c>
      <c r="BS367" s="185" t="str">
        <f>_xlfn.IFNA(VLOOKUP($BC367,Programma!$F$3:$V$1101,17,0),"")</f>
        <v/>
      </c>
      <c r="BT367" s="185" t="str">
        <f>_xlfn.IFNA(VLOOKUP($BC367,Programma!$F$3:$W$1101,18,0),"")</f>
        <v/>
      </c>
      <c r="BU367" s="185" t="str">
        <f>_xlfn.IFNA(VLOOKUP($BC367,Programma!$F$3:$X$1101,19,0),"")</f>
        <v/>
      </c>
      <c r="BV367" s="185" t="str">
        <f>_xlfn.IFNA(VLOOKUP($BC367,Programma!$F$3:$Y$1101,20,0),"")</f>
        <v/>
      </c>
    </row>
    <row r="368" spans="1:74" s="78" customFormat="1" ht="15" customHeight="1">
      <c r="A368" s="99">
        <v>11</v>
      </c>
      <c r="B368" s="176" t="str">
        <f>VLOOKUP(Ruimtestaat[[#This Row],[Code]],Locaties[[Code]:[Locatie]],2,FALSE)</f>
        <v>OMBS De Wielerbaan</v>
      </c>
      <c r="C368" s="176" t="str">
        <f>VLOOKUP(Ruimtestaat[[#This Row],[Code]],Locaties[[#All],[Code]:[Adres]],4,FALSE)</f>
        <v>Batshoek 5</v>
      </c>
      <c r="D368" s="176" t="str">
        <f>VLOOKUP(Ruimtestaat[[#This Row],[Code]],Locaties[[#All],[Code]:[Postcode]],5,FALSE)</f>
        <v>7546 LC</v>
      </c>
      <c r="E368" s="176" t="str">
        <f>VLOOKUP(Ruimtestaat[[#This Row],[Code]],Locaties[#All],6,FALSE)</f>
        <v>Enschede</v>
      </c>
      <c r="F368" s="183"/>
      <c r="G368" s="99" t="s">
        <v>1646</v>
      </c>
      <c r="H368" s="99" t="s">
        <v>1680</v>
      </c>
      <c r="I368" s="183" t="s">
        <v>38</v>
      </c>
      <c r="J368" s="99">
        <v>7</v>
      </c>
      <c r="K368" s="183" t="str">
        <f>VLOOKUP(Ruimtestaat[[#This Row],[Ruimte code]],Ruimtegroepen[[#All],[Code]:[Ruimte omschrijving]],2,FALSE)</f>
        <v>Entree</v>
      </c>
      <c r="L368" s="149" t="s">
        <v>99</v>
      </c>
      <c r="M368" s="301" t="s">
        <v>36</v>
      </c>
      <c r="N368" s="177">
        <v>20</v>
      </c>
      <c r="O368" s="177"/>
      <c r="P368" s="178" t="str">
        <f>VLOOKUP(Ruimtestaat[[#This Row],[Ruimte code]],Ruimtegroepen[],4,FALSE)</f>
        <v>Ve</v>
      </c>
      <c r="Q368" s="149">
        <v>40</v>
      </c>
      <c r="R368" s="149" t="s">
        <v>2</v>
      </c>
      <c r="S368" s="149">
        <f>IF(Q368&gt;0,IF(RIGHT(Ruimtestaat[[#This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8" s="149">
        <f>IF(S368&gt;0,VLOOKUP($J368,Ruimtegroepen[],3,FALSE)*VLOOKUP($L368,Vloersoorten[],3,FALSE)*VLOOKUP($R368,Frequenties[],3,FALSE)*VLOOKUP($A368,Locaties[],3,FALSE),0)</f>
        <v>0</v>
      </c>
      <c r="U368" s="149">
        <f>Ruimtestaat[[#This Row],[Uitvoeringen werkdagen]]*Ruimtestaat[[#This Row],[Oppervlak (netto)]]</f>
        <v>4000</v>
      </c>
      <c r="V368" s="179">
        <f>IF(T368&gt;0,Ruimtestaat[[#This Row],[Prest. (m2 /jaar) werkdagen]]/Ruimtestaat[[#This Row],[Norm (m2/uur) werkdagen]],0)</f>
        <v>0</v>
      </c>
      <c r="W368" s="180">
        <f>Ruimtestaat[[#This Row],[uren / jaar werkdagen]]*Tariefsopbouw!$E$35</f>
        <v>0</v>
      </c>
      <c r="X368" s="149"/>
      <c r="Y368" s="149">
        <f>IF(Ruimtestaat[[#This Row],[Frequentie weekend]]&gt;0,VALUE(LEFT(X368,1))*Q368,0)</f>
        <v>0</v>
      </c>
      <c r="Z368" s="148">
        <f>IF($Y368&gt;0,VLOOKUP($J368,Ruimtegroepen[],3,FALSE)*VLOOKUP($L368,Vloersoorten[],3,FALSE)*VLOOKUP($X368,Frequenties[],3,FALSE)*VLOOKUP(Ruimtestaat[[#This Row],[Code]],Locaties[],3,FALSE),0)</f>
        <v>0</v>
      </c>
      <c r="AA368" s="148">
        <f>Ruimtestaat[[#This Row],[Uitvoeringen weekend]]*Ruimtestaat[[#This Row],[Oppervlak (netto)]]</f>
        <v>0</v>
      </c>
      <c r="AB368" s="148">
        <f>IF(Z368&gt;0,Ruimtestaat[[#This Row],[Prest. (m2 /jaar) weekend]]/Ruimtestaat[[#This Row],[Norm (m2/uur) weekend]],0)</f>
        <v>0</v>
      </c>
      <c r="AC368" s="180">
        <f>Ruimtestaat[[#This Row],[uren / jaar weekend]]*Tariefsopbouw!$D$40</f>
        <v>0</v>
      </c>
      <c r="AD368" s="179">
        <f>Ruimtestaat[[#This Row],[Prest. (m2 /jaar) weekend]]+Ruimtestaat[[#This Row],[Prest. (m2 /jaar) werkdagen]]</f>
        <v>4000</v>
      </c>
      <c r="AE368" s="179">
        <f>Ruimtestaat[[#This Row],[uren / jaar weekend]]+Ruimtestaat[[#This Row],[uren / jaar werkdagen]]</f>
        <v>0</v>
      </c>
      <c r="AF368" s="174">
        <f>Ruimtestaat[[#This Row],[kosten / jaar weekend]]+Ruimtestaat[[#This Row],[kosten / jaar werkdagen]]</f>
        <v>0</v>
      </c>
      <c r="AG368" s="174"/>
      <c r="AH368" s="181" t="str">
        <f>IF(Ruimtestaat[[#This Row],[Frequentie werkdagen]]="","",_xlfn.CONCAT(Ruimtestaat[[#This Row],[Ruimte code]],"-",Ruimtestaat[[#This Row],[Frequentie werkdagen]]," ",Ruimtestaat[[#This Row],[Vloer code]]))</f>
        <v>7-5w T</v>
      </c>
      <c r="AI368" s="185" t="str">
        <f>_xlfn.IFNA(VLOOKUP($AH368,Programma!$F$3:$G$1101,2,0),"")</f>
        <v>_</v>
      </c>
      <c r="AJ368" s="185" t="str">
        <f>_xlfn.IFNA(VLOOKUP($AH368,Programma!$F$3:$H$1101,3,0),"")</f>
        <v>5w</v>
      </c>
      <c r="AK368" s="185" t="str">
        <f>_xlfn.IFNA(VLOOKUP($AH368,Programma!$F$3:$I$1101,4,0),"")</f>
        <v>_</v>
      </c>
      <c r="AL368" s="185" t="str">
        <f>_xlfn.IFNA(VLOOKUP($AH368,Programma!$F$3:$J$1101,5,0),"")</f>
        <v>_</v>
      </c>
      <c r="AM368" s="185" t="str">
        <f>_xlfn.IFNA(VLOOKUP($AH368,Programma!$F$3:$K$1101,6,0),"")</f>
        <v>_</v>
      </c>
      <c r="AN368" s="185" t="str">
        <f>_xlfn.IFNA(VLOOKUP($AH368,Programma!$F$3:$L$1101,7,0),"")</f>
        <v>_</v>
      </c>
      <c r="AO368" s="185" t="str">
        <f>_xlfn.IFNA(VLOOKUP($AH368,Programma!$F$3:$M$1101,8,0),"")</f>
        <v>_</v>
      </c>
      <c r="AP368" s="185" t="str">
        <f>_xlfn.IFNA(VLOOKUP($AH368,Programma!$F$3:$N$1101,9,0),"")</f>
        <v>_</v>
      </c>
      <c r="AQ368" s="185" t="str">
        <f>_xlfn.IFNA(VLOOKUP($AH368,Programma!$F$3:$O$1101,10,0),"")</f>
        <v>5w</v>
      </c>
      <c r="AR368" s="185" t="str">
        <f>_xlfn.IFNA(VLOOKUP($AH368,Programma!$F$3:$P$1101,11,0),"")</f>
        <v>5w</v>
      </c>
      <c r="AS368" s="185" t="str">
        <f>_xlfn.IFNA(VLOOKUP($AH368,Programma!$F$3:$Q$1101,12,0),"")</f>
        <v>1w</v>
      </c>
      <c r="AT368" s="185" t="str">
        <f>_xlfn.IFNA(VLOOKUP($AH368,Programma!$F$3:$R$1101,13,0),"")</f>
        <v>1w</v>
      </c>
      <c r="AU368" s="185" t="str">
        <f>_xlfn.IFNA(VLOOKUP($AH368,Programma!$F$3:$S$1101,14,0),"")</f>
        <v>1m</v>
      </c>
      <c r="AV368" s="185" t="str">
        <f>_xlfn.IFNA(VLOOKUP($AH368,Programma!$F$3:$T$1101,15,0),"")</f>
        <v>2j</v>
      </c>
      <c r="AW368" s="185" t="str">
        <f>_xlfn.IFNA(VLOOKUP($AH368,Programma!$F$3:$U$1101,16,0),"")</f>
        <v>1j</v>
      </c>
      <c r="AX368" s="185" t="str">
        <f>_xlfn.IFNA(VLOOKUP($AH368,Programma!$F$3:$V$1101,17,0),"")</f>
        <v>_</v>
      </c>
      <c r="AY368" s="185" t="str">
        <f>_xlfn.IFNA(VLOOKUP($AH368,Programma!$F$3:$W$1101,18,0),"")</f>
        <v>_</v>
      </c>
      <c r="AZ368" s="185" t="str">
        <f>_xlfn.IFNA(VLOOKUP($AH368,Programma!$F$3:$X$1101,19,0),"")</f>
        <v>_</v>
      </c>
      <c r="BA368" s="185" t="str">
        <f>_xlfn.IFNA(VLOOKUP($AH368,Programma!$F$3:$Y$1101,20,0),"")</f>
        <v>_</v>
      </c>
      <c r="BB368" s="182"/>
      <c r="BC368" s="181" t="str">
        <f>IF(Ruimtestaat[[#This Row],[Frequentie weekend]]="","",_xlfn.CONCAT(Ruimtestaat[[#This Row],[Ruimte code]],"-",Ruimtestaat[[#This Row],[Frequentie weekend]]," ",Ruimtestaat[[#This Row],[Vloer code]]))</f>
        <v/>
      </c>
      <c r="BD368" s="185" t="str">
        <f>_xlfn.IFNA(VLOOKUP($BC368,Programma!$F$3:$G$1101,2,0),"")</f>
        <v/>
      </c>
      <c r="BE368" s="185" t="str">
        <f>_xlfn.IFNA(VLOOKUP($BC368,Programma!$F$3:$H$1101,3,0),"")</f>
        <v/>
      </c>
      <c r="BF368" s="185" t="str">
        <f>_xlfn.IFNA(VLOOKUP($BC368,Programma!$F$3:$I$1101,4,0),"")</f>
        <v/>
      </c>
      <c r="BG368" s="185" t="str">
        <f>_xlfn.IFNA(VLOOKUP($BC368,Programma!$F$3:$J$1101,5,0),"")</f>
        <v/>
      </c>
      <c r="BH368" s="185" t="str">
        <f>_xlfn.IFNA(VLOOKUP($BC368,Programma!$F$3:$K$1101,6,0),"")</f>
        <v/>
      </c>
      <c r="BI368" s="185" t="str">
        <f>_xlfn.IFNA(VLOOKUP($BC368,Programma!$F$3:$L$1101,7,0),"")</f>
        <v/>
      </c>
      <c r="BJ368" s="185" t="str">
        <f>_xlfn.IFNA(VLOOKUP($BC368,Programma!$F$3:$M$1101,8,0),"")</f>
        <v/>
      </c>
      <c r="BK368" s="185" t="str">
        <f>_xlfn.IFNA(VLOOKUP($BC368,Programma!$F$3:$N$1101,9,0),"")</f>
        <v/>
      </c>
      <c r="BL368" s="185" t="str">
        <f>_xlfn.IFNA(VLOOKUP($BC368,Programma!$F$3:$O$1101,10,0),"")</f>
        <v/>
      </c>
      <c r="BM368" s="185" t="str">
        <f>_xlfn.IFNA(VLOOKUP($BC368,Programma!$F$3:$P$1101,11,0),"")</f>
        <v/>
      </c>
      <c r="BN368" s="185" t="str">
        <f>_xlfn.IFNA(VLOOKUP($BC368,Programma!$F$3:$Q$1101,12,0),"")</f>
        <v/>
      </c>
      <c r="BO368" s="185" t="str">
        <f>_xlfn.IFNA(VLOOKUP($BC368,Programma!$F$3:$R$1101,13,0),"")</f>
        <v/>
      </c>
      <c r="BP368" s="185" t="str">
        <f>_xlfn.IFNA(VLOOKUP($BC368,Programma!$F$3:$S$1101,14,0),"")</f>
        <v/>
      </c>
      <c r="BQ368" s="185" t="str">
        <f>_xlfn.IFNA(VLOOKUP($BC368,Programma!$F$3:$T$1101,15,0),"")</f>
        <v/>
      </c>
      <c r="BR368" s="185" t="str">
        <f>_xlfn.IFNA(VLOOKUP($BC368,Programma!$F$3:$U$1101,16,0),"")</f>
        <v/>
      </c>
      <c r="BS368" s="185" t="str">
        <f>_xlfn.IFNA(VLOOKUP($BC368,Programma!$F$3:$V$1101,17,0),"")</f>
        <v/>
      </c>
      <c r="BT368" s="185" t="str">
        <f>_xlfn.IFNA(VLOOKUP($BC368,Programma!$F$3:$W$1101,18,0),"")</f>
        <v/>
      </c>
      <c r="BU368" s="185" t="str">
        <f>_xlfn.IFNA(VLOOKUP($BC368,Programma!$F$3:$X$1101,19,0),"")</f>
        <v/>
      </c>
      <c r="BV368" s="185" t="str">
        <f>_xlfn.IFNA(VLOOKUP($BC368,Programma!$F$3:$Y$1101,20,0),"")</f>
        <v/>
      </c>
    </row>
    <row r="369" spans="1:74" s="78" customFormat="1" ht="15" customHeight="1">
      <c r="A369" s="99">
        <v>11</v>
      </c>
      <c r="B369" s="176" t="str">
        <f>VLOOKUP(Ruimtestaat[[#This Row],[Code]],Locaties[[Code]:[Locatie]],2,FALSE)</f>
        <v>OMBS De Wielerbaan</v>
      </c>
      <c r="C369" s="176" t="str">
        <f>VLOOKUP(Ruimtestaat[[#This Row],[Code]],Locaties[[#All],[Code]:[Adres]],4,FALSE)</f>
        <v>Batshoek 5</v>
      </c>
      <c r="D369" s="176" t="str">
        <f>VLOOKUP(Ruimtestaat[[#This Row],[Code]],Locaties[[#All],[Code]:[Postcode]],5,FALSE)</f>
        <v>7546 LC</v>
      </c>
      <c r="E369" s="176" t="str">
        <f>VLOOKUP(Ruimtestaat[[#This Row],[Code]],Locaties[#All],6,FALSE)</f>
        <v>Enschede</v>
      </c>
      <c r="F369" s="183"/>
      <c r="G369" s="99" t="s">
        <v>1646</v>
      </c>
      <c r="H369" s="99" t="s">
        <v>1689</v>
      </c>
      <c r="I369" s="183" t="s">
        <v>1651</v>
      </c>
      <c r="J369" s="99">
        <v>16</v>
      </c>
      <c r="K369" s="183" t="str">
        <f>VLOOKUP(Ruimtestaat[[#This Row],[Ruimte code]],Ruimtegroepen[[#All],[Code]:[Ruimte omschrijving]],2,FALSE)</f>
        <v>Leslokalen</v>
      </c>
      <c r="L369" s="149" t="s">
        <v>100</v>
      </c>
      <c r="M369" s="301" t="s">
        <v>1697</v>
      </c>
      <c r="N369" s="177">
        <v>74.8</v>
      </c>
      <c r="O369" s="177"/>
      <c r="P369" s="178" t="str">
        <f>VLOOKUP(Ruimtestaat[[#This Row],[Ruimte code]],Ruimtegroepen[],4,FALSE)</f>
        <v>Le</v>
      </c>
      <c r="Q369" s="149">
        <v>40</v>
      </c>
      <c r="R369" s="149" t="s">
        <v>2</v>
      </c>
      <c r="S369" s="149">
        <f>IF(Q369&gt;0,IF(RIGHT(Ruimtestaat[[#This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69" s="149">
        <f>IF(S369&gt;0,VLOOKUP($J369,Ruimtegroepen[],3,FALSE)*VLOOKUP($L369,Vloersoorten[],3,FALSE)*VLOOKUP($R369,Frequenties[],3,FALSE)*VLOOKUP($A369,Locaties[],3,FALSE),0)</f>
        <v>0</v>
      </c>
      <c r="U369" s="149">
        <f>Ruimtestaat[[#This Row],[Uitvoeringen werkdagen]]*Ruimtestaat[[#This Row],[Oppervlak (netto)]]</f>
        <v>14960</v>
      </c>
      <c r="V369" s="179">
        <f>IF(T369&gt;0,Ruimtestaat[[#This Row],[Prest. (m2 /jaar) werkdagen]]/Ruimtestaat[[#This Row],[Norm (m2/uur) werkdagen]],0)</f>
        <v>0</v>
      </c>
      <c r="W369" s="180">
        <f>Ruimtestaat[[#This Row],[uren / jaar werkdagen]]*Tariefsopbouw!$E$35</f>
        <v>0</v>
      </c>
      <c r="X369" s="149"/>
      <c r="Y369" s="149">
        <f>IF(Ruimtestaat[[#This Row],[Frequentie weekend]]&gt;0,VALUE(LEFT(X369,1))*Q369,0)</f>
        <v>0</v>
      </c>
      <c r="Z369" s="148">
        <f>IF($Y369&gt;0,VLOOKUP($J369,Ruimtegroepen[],3,FALSE)*VLOOKUP($L369,Vloersoorten[],3,FALSE)*VLOOKUP($X369,Frequenties[],3,FALSE)*VLOOKUP(Ruimtestaat[[#This Row],[Code]],Locaties[],3,FALSE),0)</f>
        <v>0</v>
      </c>
      <c r="AA369" s="148">
        <f>Ruimtestaat[[#This Row],[Uitvoeringen weekend]]*Ruimtestaat[[#This Row],[Oppervlak (netto)]]</f>
        <v>0</v>
      </c>
      <c r="AB369" s="148">
        <f>IF(Z369&gt;0,Ruimtestaat[[#This Row],[Prest. (m2 /jaar) weekend]]/Ruimtestaat[[#This Row],[Norm (m2/uur) weekend]],0)</f>
        <v>0</v>
      </c>
      <c r="AC369" s="180">
        <f>Ruimtestaat[[#This Row],[uren / jaar weekend]]*Tariefsopbouw!$D$40</f>
        <v>0</v>
      </c>
      <c r="AD369" s="179">
        <f>Ruimtestaat[[#This Row],[Prest. (m2 /jaar) weekend]]+Ruimtestaat[[#This Row],[Prest. (m2 /jaar) werkdagen]]</f>
        <v>14960</v>
      </c>
      <c r="AE369" s="179">
        <f>Ruimtestaat[[#This Row],[uren / jaar weekend]]+Ruimtestaat[[#This Row],[uren / jaar werkdagen]]</f>
        <v>0</v>
      </c>
      <c r="AF369" s="174">
        <f>Ruimtestaat[[#This Row],[kosten / jaar weekend]]+Ruimtestaat[[#This Row],[kosten / jaar werkdagen]]</f>
        <v>0</v>
      </c>
      <c r="AG369" s="174"/>
      <c r="AH369" s="181" t="str">
        <f>IF(Ruimtestaat[[#This Row],[Frequentie werkdagen]]="","",_xlfn.CONCAT(Ruimtestaat[[#This Row],[Ruimte code]],"-",Ruimtestaat[[#This Row],[Frequentie werkdagen]]," ",Ruimtestaat[[#This Row],[Vloer code]]))</f>
        <v>16-5w L</v>
      </c>
      <c r="AI369" s="185" t="str">
        <f>_xlfn.IFNA(VLOOKUP($AH369,Programma!$F$3:$G$1101,2,0),"")</f>
        <v>_</v>
      </c>
      <c r="AJ369" s="185" t="str">
        <f>_xlfn.IFNA(VLOOKUP($AH369,Programma!$F$3:$H$1101,3,0),"")</f>
        <v>_</v>
      </c>
      <c r="AK369" s="185" t="str">
        <f>_xlfn.IFNA(VLOOKUP($AH369,Programma!$F$3:$I$1101,4,0),"")</f>
        <v>4w</v>
      </c>
      <c r="AL369" s="185" t="str">
        <f>_xlfn.IFNA(VLOOKUP($AH369,Programma!$F$3:$J$1101,5,0),"")</f>
        <v>1w</v>
      </c>
      <c r="AM369" s="185" t="str">
        <f>_xlfn.IFNA(VLOOKUP($AH369,Programma!$F$3:$K$1101,6,0),"")</f>
        <v>_</v>
      </c>
      <c r="AN369" s="185" t="str">
        <f>_xlfn.IFNA(VLOOKUP($AH369,Programma!$F$3:$L$1101,7,0),"")</f>
        <v>_</v>
      </c>
      <c r="AO369" s="185" t="str">
        <f>_xlfn.IFNA(VLOOKUP($AH369,Programma!$F$3:$M$1101,8,0),"")</f>
        <v>_</v>
      </c>
      <c r="AP369" s="185" t="str">
        <f>_xlfn.IFNA(VLOOKUP($AH369,Programma!$F$3:$N$1101,9,0),"")</f>
        <v>_</v>
      </c>
      <c r="AQ369" s="185" t="str">
        <f>_xlfn.IFNA(VLOOKUP($AH369,Programma!$F$3:$O$1101,10,0),"")</f>
        <v>5w</v>
      </c>
      <c r="AR369" s="185" t="str">
        <f>_xlfn.IFNA(VLOOKUP($AH369,Programma!$F$3:$P$1101,11,0),"")</f>
        <v>5w</v>
      </c>
      <c r="AS369" s="185" t="str">
        <f>_xlfn.IFNA(VLOOKUP($AH369,Programma!$F$3:$Q$1101,12,0),"")</f>
        <v>1w</v>
      </c>
      <c r="AT369" s="185" t="str">
        <f>_xlfn.IFNA(VLOOKUP($AH369,Programma!$F$3:$R$1101,13,0),"")</f>
        <v>1w</v>
      </c>
      <c r="AU369" s="185" t="str">
        <f>_xlfn.IFNA(VLOOKUP($AH369,Programma!$F$3:$S$1101,14,0),"")</f>
        <v>1m</v>
      </c>
      <c r="AV369" s="185" t="str">
        <f>_xlfn.IFNA(VLOOKUP($AH369,Programma!$F$3:$T$1101,15,0),"")</f>
        <v>2j</v>
      </c>
      <c r="AW369" s="185" t="str">
        <f>_xlfn.IFNA(VLOOKUP($AH369,Programma!$F$3:$U$1101,16,0),"")</f>
        <v>1j</v>
      </c>
      <c r="AX369" s="185" t="str">
        <f>_xlfn.IFNA(VLOOKUP($AH369,Programma!$F$3:$V$1101,17,0),"")</f>
        <v>_</v>
      </c>
      <c r="AY369" s="185" t="str">
        <f>_xlfn.IFNA(VLOOKUP($AH369,Programma!$F$3:$W$1101,18,0),"")</f>
        <v>_</v>
      </c>
      <c r="AZ369" s="185" t="str">
        <f>_xlfn.IFNA(VLOOKUP($AH369,Programma!$F$3:$X$1101,19,0),"")</f>
        <v>_</v>
      </c>
      <c r="BA369" s="185" t="str">
        <f>_xlfn.IFNA(VLOOKUP($AH369,Programma!$F$3:$Y$1101,20,0),"")</f>
        <v>_</v>
      </c>
      <c r="BB369" s="182"/>
      <c r="BC369" s="181" t="str">
        <f>IF(Ruimtestaat[[#This Row],[Frequentie weekend]]="","",_xlfn.CONCAT(Ruimtestaat[[#This Row],[Ruimte code]],"-",Ruimtestaat[[#This Row],[Frequentie weekend]]," ",Ruimtestaat[[#This Row],[Vloer code]]))</f>
        <v/>
      </c>
      <c r="BD369" s="185" t="str">
        <f>_xlfn.IFNA(VLOOKUP($BC369,Programma!$F$3:$G$1101,2,0),"")</f>
        <v/>
      </c>
      <c r="BE369" s="185" t="str">
        <f>_xlfn.IFNA(VLOOKUP($BC369,Programma!$F$3:$H$1101,3,0),"")</f>
        <v/>
      </c>
      <c r="BF369" s="185" t="str">
        <f>_xlfn.IFNA(VLOOKUP($BC369,Programma!$F$3:$I$1101,4,0),"")</f>
        <v/>
      </c>
      <c r="BG369" s="185" t="str">
        <f>_xlfn.IFNA(VLOOKUP($BC369,Programma!$F$3:$J$1101,5,0),"")</f>
        <v/>
      </c>
      <c r="BH369" s="185" t="str">
        <f>_xlfn.IFNA(VLOOKUP($BC369,Programma!$F$3:$K$1101,6,0),"")</f>
        <v/>
      </c>
      <c r="BI369" s="185" t="str">
        <f>_xlfn.IFNA(VLOOKUP($BC369,Programma!$F$3:$L$1101,7,0),"")</f>
        <v/>
      </c>
      <c r="BJ369" s="185" t="str">
        <f>_xlfn.IFNA(VLOOKUP($BC369,Programma!$F$3:$M$1101,8,0),"")</f>
        <v/>
      </c>
      <c r="BK369" s="185" t="str">
        <f>_xlfn.IFNA(VLOOKUP($BC369,Programma!$F$3:$N$1101,9,0),"")</f>
        <v/>
      </c>
      <c r="BL369" s="185" t="str">
        <f>_xlfn.IFNA(VLOOKUP($BC369,Programma!$F$3:$O$1101,10,0),"")</f>
        <v/>
      </c>
      <c r="BM369" s="185" t="str">
        <f>_xlfn.IFNA(VLOOKUP($BC369,Programma!$F$3:$P$1101,11,0),"")</f>
        <v/>
      </c>
      <c r="BN369" s="185" t="str">
        <f>_xlfn.IFNA(VLOOKUP($BC369,Programma!$F$3:$Q$1101,12,0),"")</f>
        <v/>
      </c>
      <c r="BO369" s="185" t="str">
        <f>_xlfn.IFNA(VLOOKUP($BC369,Programma!$F$3:$R$1101,13,0),"")</f>
        <v/>
      </c>
      <c r="BP369" s="185" t="str">
        <f>_xlfn.IFNA(VLOOKUP($BC369,Programma!$F$3:$S$1101,14,0),"")</f>
        <v/>
      </c>
      <c r="BQ369" s="185" t="str">
        <f>_xlfn.IFNA(VLOOKUP($BC369,Programma!$F$3:$T$1101,15,0),"")</f>
        <v/>
      </c>
      <c r="BR369" s="185" t="str">
        <f>_xlfn.IFNA(VLOOKUP($BC369,Programma!$F$3:$U$1101,16,0),"")</f>
        <v/>
      </c>
      <c r="BS369" s="185" t="str">
        <f>_xlfn.IFNA(VLOOKUP($BC369,Programma!$F$3:$V$1101,17,0),"")</f>
        <v/>
      </c>
      <c r="BT369" s="185" t="str">
        <f>_xlfn.IFNA(VLOOKUP($BC369,Programma!$F$3:$W$1101,18,0),"")</f>
        <v/>
      </c>
      <c r="BU369" s="185" t="str">
        <f>_xlfn.IFNA(VLOOKUP($BC369,Programma!$F$3:$X$1101,19,0),"")</f>
        <v/>
      </c>
      <c r="BV369" s="185" t="str">
        <f>_xlfn.IFNA(VLOOKUP($BC369,Programma!$F$3:$Y$1101,20,0),"")</f>
        <v/>
      </c>
    </row>
    <row r="370" spans="1:74" s="78" customFormat="1" ht="15" customHeight="1">
      <c r="A370" s="99">
        <v>11</v>
      </c>
      <c r="B370" s="176" t="str">
        <f>VLOOKUP(Ruimtestaat[[#This Row],[Code]],Locaties[[Code]:[Locatie]],2,FALSE)</f>
        <v>OMBS De Wielerbaan</v>
      </c>
      <c r="C370" s="176" t="str">
        <f>VLOOKUP(Ruimtestaat[[#This Row],[Code]],Locaties[[#All],[Code]:[Adres]],4,FALSE)</f>
        <v>Batshoek 5</v>
      </c>
      <c r="D370" s="176" t="str">
        <f>VLOOKUP(Ruimtestaat[[#This Row],[Code]],Locaties[[#All],[Code]:[Postcode]],5,FALSE)</f>
        <v>7546 LC</v>
      </c>
      <c r="E370" s="176" t="str">
        <f>VLOOKUP(Ruimtestaat[[#This Row],[Code]],Locaties[#All],6,FALSE)</f>
        <v>Enschede</v>
      </c>
      <c r="F370" s="183"/>
      <c r="G370" s="99" t="s">
        <v>1646</v>
      </c>
      <c r="H370" s="99" t="s">
        <v>1691</v>
      </c>
      <c r="I370" s="183" t="s">
        <v>1655</v>
      </c>
      <c r="J370" s="99">
        <v>5</v>
      </c>
      <c r="K370" s="183" t="str">
        <f>VLOOKUP(Ruimtestaat[[#This Row],[Ruimte code]],Ruimtegroepen[[#All],[Code]:[Ruimte omschrijving]],2,FALSE)</f>
        <v>Sanitair</v>
      </c>
      <c r="L370" s="149" t="s">
        <v>101</v>
      </c>
      <c r="M370" s="301" t="s">
        <v>1682</v>
      </c>
      <c r="N370" s="177">
        <v>3.8</v>
      </c>
      <c r="O370" s="177"/>
      <c r="P370" s="178" t="str">
        <f>VLOOKUP(Ruimtestaat[[#This Row],[Ruimte code]],Ruimtegroepen[],4,FALSE)</f>
        <v>Sa</v>
      </c>
      <c r="Q370" s="149">
        <v>40</v>
      </c>
      <c r="R370" s="149" t="s">
        <v>2</v>
      </c>
      <c r="S370" s="149">
        <f>IF(Q370&gt;0,IF(RIGHT(Ruimtestaat[[#This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0" s="149">
        <f>IF(S370&gt;0,VLOOKUP($J370,Ruimtegroepen[],3,FALSE)*VLOOKUP($L370,Vloersoorten[],3,FALSE)*VLOOKUP($R370,Frequenties[],3,FALSE)*VLOOKUP($A370,Locaties[],3,FALSE),0)</f>
        <v>0</v>
      </c>
      <c r="U370" s="149">
        <f>Ruimtestaat[[#This Row],[Uitvoeringen werkdagen]]*Ruimtestaat[[#This Row],[Oppervlak (netto)]]</f>
        <v>760</v>
      </c>
      <c r="V370" s="179">
        <f>IF(T370&gt;0,Ruimtestaat[[#This Row],[Prest. (m2 /jaar) werkdagen]]/Ruimtestaat[[#This Row],[Norm (m2/uur) werkdagen]],0)</f>
        <v>0</v>
      </c>
      <c r="W370" s="180">
        <f>Ruimtestaat[[#This Row],[uren / jaar werkdagen]]*Tariefsopbouw!$E$35</f>
        <v>0</v>
      </c>
      <c r="X370" s="149"/>
      <c r="Y370" s="149">
        <f>IF(Ruimtestaat[[#This Row],[Frequentie weekend]]&gt;0,VALUE(LEFT(X370,1))*Q370,0)</f>
        <v>0</v>
      </c>
      <c r="Z370" s="148">
        <f>IF($Y370&gt;0,VLOOKUP($J370,Ruimtegroepen[],3,FALSE)*VLOOKUP($L370,Vloersoorten[],3,FALSE)*VLOOKUP($X370,Frequenties[],3,FALSE)*VLOOKUP(Ruimtestaat[[#This Row],[Code]],Locaties[],3,FALSE),0)</f>
        <v>0</v>
      </c>
      <c r="AA370" s="148">
        <f>Ruimtestaat[[#This Row],[Uitvoeringen weekend]]*Ruimtestaat[[#This Row],[Oppervlak (netto)]]</f>
        <v>0</v>
      </c>
      <c r="AB370" s="148">
        <f>IF(Z370&gt;0,Ruimtestaat[[#This Row],[Prest. (m2 /jaar) weekend]]/Ruimtestaat[[#This Row],[Norm (m2/uur) weekend]],0)</f>
        <v>0</v>
      </c>
      <c r="AC370" s="180">
        <f>Ruimtestaat[[#This Row],[uren / jaar weekend]]*Tariefsopbouw!$D$40</f>
        <v>0</v>
      </c>
      <c r="AD370" s="179">
        <f>Ruimtestaat[[#This Row],[Prest. (m2 /jaar) weekend]]+Ruimtestaat[[#This Row],[Prest. (m2 /jaar) werkdagen]]</f>
        <v>760</v>
      </c>
      <c r="AE370" s="179">
        <f>Ruimtestaat[[#This Row],[uren / jaar weekend]]+Ruimtestaat[[#This Row],[uren / jaar werkdagen]]</f>
        <v>0</v>
      </c>
      <c r="AF370" s="174">
        <f>Ruimtestaat[[#This Row],[kosten / jaar weekend]]+Ruimtestaat[[#This Row],[kosten / jaar werkdagen]]</f>
        <v>0</v>
      </c>
      <c r="AG370" s="174"/>
      <c r="AH370" s="181" t="str">
        <f>IF(Ruimtestaat[[#This Row],[Frequentie werkdagen]]="","",_xlfn.CONCAT(Ruimtestaat[[#This Row],[Ruimte code]],"-",Ruimtestaat[[#This Row],[Frequentie werkdagen]]," ",Ruimtestaat[[#This Row],[Vloer code]]))</f>
        <v>5-5w S</v>
      </c>
      <c r="AI370" s="185" t="str">
        <f>_xlfn.IFNA(VLOOKUP($AH370,Programma!$F$3:$G$1101,2,0),"")</f>
        <v>_</v>
      </c>
      <c r="AJ370" s="185" t="str">
        <f>_xlfn.IFNA(VLOOKUP($AH370,Programma!$F$3:$H$1101,3,0),"")</f>
        <v>_</v>
      </c>
      <c r="AK370" s="185" t="str">
        <f>_xlfn.IFNA(VLOOKUP($AH370,Programma!$F$3:$I$1101,4,0),"")</f>
        <v>_</v>
      </c>
      <c r="AL370" s="185" t="str">
        <f>_xlfn.IFNA(VLOOKUP($AH370,Programma!$F$3:$J$1101,5,0),"")</f>
        <v>4w</v>
      </c>
      <c r="AM370" s="185" t="str">
        <f>_xlfn.IFNA(VLOOKUP($AH370,Programma!$F$3:$K$1101,6,0),"")</f>
        <v>1w</v>
      </c>
      <c r="AN370" s="185" t="str">
        <f>_xlfn.IFNA(VLOOKUP($AH370,Programma!$F$3:$L$1101,7,0),"")</f>
        <v>_</v>
      </c>
      <c r="AO370" s="185" t="str">
        <f>_xlfn.IFNA(VLOOKUP($AH370,Programma!$F$3:$M$1101,8,0),"")</f>
        <v>_</v>
      </c>
      <c r="AP370" s="185" t="str">
        <f>_xlfn.IFNA(VLOOKUP($AH370,Programma!$F$3:$N$1101,9,0),"")</f>
        <v>_</v>
      </c>
      <c r="AQ370" s="185" t="str">
        <f>_xlfn.IFNA(VLOOKUP($AH370,Programma!$F$3:$O$1101,10,0),"")</f>
        <v>_</v>
      </c>
      <c r="AR370" s="185" t="str">
        <f>_xlfn.IFNA(VLOOKUP($AH370,Programma!$F$3:$P$1101,11,0),"")</f>
        <v>_</v>
      </c>
      <c r="AS370" s="185" t="str">
        <f>_xlfn.IFNA(VLOOKUP($AH370,Programma!$F$3:$Q$1101,12,0),"")</f>
        <v>_</v>
      </c>
      <c r="AT370" s="185" t="str">
        <f>_xlfn.IFNA(VLOOKUP($AH370,Programma!$F$3:$R$1101,13,0),"")</f>
        <v>_</v>
      </c>
      <c r="AU370" s="185" t="str">
        <f>_xlfn.IFNA(VLOOKUP($AH370,Programma!$F$3:$S$1101,14,0),"")</f>
        <v>_</v>
      </c>
      <c r="AV370" s="185" t="str">
        <f>_xlfn.IFNA(VLOOKUP($AH370,Programma!$F$3:$T$1101,15,0),"")</f>
        <v>_</v>
      </c>
      <c r="AW370" s="185" t="str">
        <f>_xlfn.IFNA(VLOOKUP($AH370,Programma!$F$3:$U$1101,16,0),"")</f>
        <v>_</v>
      </c>
      <c r="AX370" s="185" t="str">
        <f>_xlfn.IFNA(VLOOKUP($AH370,Programma!$F$3:$V$1101,17,0),"")</f>
        <v>_</v>
      </c>
      <c r="AY370" s="185" t="str">
        <f>_xlfn.IFNA(VLOOKUP($AH370,Programma!$F$3:$W$1101,18,0),"")</f>
        <v>4w</v>
      </c>
      <c r="AZ370" s="185" t="str">
        <f>_xlfn.IFNA(VLOOKUP($AH370,Programma!$F$3:$X$1101,19,0),"")</f>
        <v>1w</v>
      </c>
      <c r="BA370" s="185" t="str">
        <f>_xlfn.IFNA(VLOOKUP($AH370,Programma!$F$3:$Y$1101,20,0),"")</f>
        <v>_</v>
      </c>
      <c r="BB370" s="182"/>
      <c r="BC370" s="181" t="str">
        <f>IF(Ruimtestaat[[#This Row],[Frequentie weekend]]="","",_xlfn.CONCAT(Ruimtestaat[[#This Row],[Ruimte code]],"-",Ruimtestaat[[#This Row],[Frequentie weekend]]," ",Ruimtestaat[[#This Row],[Vloer code]]))</f>
        <v/>
      </c>
      <c r="BD370" s="185" t="str">
        <f>_xlfn.IFNA(VLOOKUP($BC370,Programma!$F$3:$G$1101,2,0),"")</f>
        <v/>
      </c>
      <c r="BE370" s="185" t="str">
        <f>_xlfn.IFNA(VLOOKUP($BC370,Programma!$F$3:$H$1101,3,0),"")</f>
        <v/>
      </c>
      <c r="BF370" s="185" t="str">
        <f>_xlfn.IFNA(VLOOKUP($BC370,Programma!$F$3:$I$1101,4,0),"")</f>
        <v/>
      </c>
      <c r="BG370" s="185" t="str">
        <f>_xlfn.IFNA(VLOOKUP($BC370,Programma!$F$3:$J$1101,5,0),"")</f>
        <v/>
      </c>
      <c r="BH370" s="185" t="str">
        <f>_xlfn.IFNA(VLOOKUP($BC370,Programma!$F$3:$K$1101,6,0),"")</f>
        <v/>
      </c>
      <c r="BI370" s="185" t="str">
        <f>_xlfn.IFNA(VLOOKUP($BC370,Programma!$F$3:$L$1101,7,0),"")</f>
        <v/>
      </c>
      <c r="BJ370" s="185" t="str">
        <f>_xlfn.IFNA(VLOOKUP($BC370,Programma!$F$3:$M$1101,8,0),"")</f>
        <v/>
      </c>
      <c r="BK370" s="185" t="str">
        <f>_xlfn.IFNA(VLOOKUP($BC370,Programma!$F$3:$N$1101,9,0),"")</f>
        <v/>
      </c>
      <c r="BL370" s="185" t="str">
        <f>_xlfn.IFNA(VLOOKUP($BC370,Programma!$F$3:$O$1101,10,0),"")</f>
        <v/>
      </c>
      <c r="BM370" s="185" t="str">
        <f>_xlfn.IFNA(VLOOKUP($BC370,Programma!$F$3:$P$1101,11,0),"")</f>
        <v/>
      </c>
      <c r="BN370" s="185" t="str">
        <f>_xlfn.IFNA(VLOOKUP($BC370,Programma!$F$3:$Q$1101,12,0),"")</f>
        <v/>
      </c>
      <c r="BO370" s="185" t="str">
        <f>_xlfn.IFNA(VLOOKUP($BC370,Programma!$F$3:$R$1101,13,0),"")</f>
        <v/>
      </c>
      <c r="BP370" s="185" t="str">
        <f>_xlfn.IFNA(VLOOKUP($BC370,Programma!$F$3:$S$1101,14,0),"")</f>
        <v/>
      </c>
      <c r="BQ370" s="185" t="str">
        <f>_xlfn.IFNA(VLOOKUP($BC370,Programma!$F$3:$T$1101,15,0),"")</f>
        <v/>
      </c>
      <c r="BR370" s="185" t="str">
        <f>_xlfn.IFNA(VLOOKUP($BC370,Programma!$F$3:$U$1101,16,0),"")</f>
        <v/>
      </c>
      <c r="BS370" s="185" t="str">
        <f>_xlfn.IFNA(VLOOKUP($BC370,Programma!$F$3:$V$1101,17,0),"")</f>
        <v/>
      </c>
      <c r="BT370" s="185" t="str">
        <f>_xlfn.IFNA(VLOOKUP($BC370,Programma!$F$3:$W$1101,18,0),"")</f>
        <v/>
      </c>
      <c r="BU370" s="185" t="str">
        <f>_xlfn.IFNA(VLOOKUP($BC370,Programma!$F$3:$X$1101,19,0),"")</f>
        <v/>
      </c>
      <c r="BV370" s="185" t="str">
        <f>_xlfn.IFNA(VLOOKUP($BC370,Programma!$F$3:$Y$1101,20,0),"")</f>
        <v/>
      </c>
    </row>
    <row r="371" spans="1:74" s="78" customFormat="1" ht="15" customHeight="1">
      <c r="A371" s="99">
        <v>11</v>
      </c>
      <c r="B371" s="176" t="str">
        <f>VLOOKUP(Ruimtestaat[[#This Row],[Code]],Locaties[[Code]:[Locatie]],2,FALSE)</f>
        <v>OMBS De Wielerbaan</v>
      </c>
      <c r="C371" s="176" t="str">
        <f>VLOOKUP(Ruimtestaat[[#This Row],[Code]],Locaties[[#All],[Code]:[Adres]],4,FALSE)</f>
        <v>Batshoek 5</v>
      </c>
      <c r="D371" s="176" t="str">
        <f>VLOOKUP(Ruimtestaat[[#This Row],[Code]],Locaties[[#All],[Code]:[Postcode]],5,FALSE)</f>
        <v>7546 LC</v>
      </c>
      <c r="E371" s="176" t="str">
        <f>VLOOKUP(Ruimtestaat[[#This Row],[Code]],Locaties[#All],6,FALSE)</f>
        <v>Enschede</v>
      </c>
      <c r="F371" s="183"/>
      <c r="G371" s="99" t="s">
        <v>1646</v>
      </c>
      <c r="H371" s="99" t="s">
        <v>1692</v>
      </c>
      <c r="I371" s="183" t="s">
        <v>1649</v>
      </c>
      <c r="J371" s="99">
        <v>2</v>
      </c>
      <c r="K371" s="183" t="str">
        <f>VLOOKUP(Ruimtestaat[[#This Row],[Ruimte code]],Ruimtegroepen[[#All],[Code]:[Ruimte omschrijving]],2,FALSE)</f>
        <v>Kantoren</v>
      </c>
      <c r="L371" s="149" t="s">
        <v>102</v>
      </c>
      <c r="M371" s="301" t="s">
        <v>120</v>
      </c>
      <c r="N371" s="177">
        <v>5.7</v>
      </c>
      <c r="O371" s="177"/>
      <c r="P371" s="178" t="str">
        <f>VLOOKUP(Ruimtestaat[[#This Row],[Ruimte code]],Ruimtegroepen[],4,FALSE)</f>
        <v>Bu</v>
      </c>
      <c r="Q371" s="149">
        <v>40</v>
      </c>
      <c r="R371" s="149" t="s">
        <v>18</v>
      </c>
      <c r="S371" s="149">
        <f>IF(Q371&gt;0,IF(RIGHT(Ruimtestaat[[#This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71" s="149">
        <f>IF(S371&gt;0,VLOOKUP($J371,Ruimtegroepen[],3,FALSE)*VLOOKUP($L371,Vloersoorten[],3,FALSE)*VLOOKUP($R371,Frequenties[],3,FALSE)*VLOOKUP($A371,Locaties[],3,FALSE),0)</f>
        <v>0</v>
      </c>
      <c r="U371" s="149">
        <f>Ruimtestaat[[#This Row],[Uitvoeringen werkdagen]]*Ruimtestaat[[#This Row],[Oppervlak (netto)]]</f>
        <v>684</v>
      </c>
      <c r="V371" s="179">
        <f>IF(T371&gt;0,Ruimtestaat[[#This Row],[Prest. (m2 /jaar) werkdagen]]/Ruimtestaat[[#This Row],[Norm (m2/uur) werkdagen]],0)</f>
        <v>0</v>
      </c>
      <c r="W371" s="180">
        <f>Ruimtestaat[[#This Row],[uren / jaar werkdagen]]*Tariefsopbouw!$E$35</f>
        <v>0</v>
      </c>
      <c r="X371" s="149"/>
      <c r="Y371" s="149">
        <f>IF(Ruimtestaat[[#This Row],[Frequentie weekend]]&gt;0,VALUE(LEFT(X371,1))*Q371,0)</f>
        <v>0</v>
      </c>
      <c r="Z371" s="148">
        <f>IF($Y371&gt;0,VLOOKUP($J371,Ruimtegroepen[],3,FALSE)*VLOOKUP($L371,Vloersoorten[],3,FALSE)*VLOOKUP($X371,Frequenties[],3,FALSE)*VLOOKUP(Ruimtestaat[[#This Row],[Code]],Locaties[],3,FALSE),0)</f>
        <v>0</v>
      </c>
      <c r="AA371" s="148">
        <f>Ruimtestaat[[#This Row],[Uitvoeringen weekend]]*Ruimtestaat[[#This Row],[Oppervlak (netto)]]</f>
        <v>0</v>
      </c>
      <c r="AB371" s="148">
        <f>IF(Z371&gt;0,Ruimtestaat[[#This Row],[Prest. (m2 /jaar) weekend]]/Ruimtestaat[[#This Row],[Norm (m2/uur) weekend]],0)</f>
        <v>0</v>
      </c>
      <c r="AC371" s="180">
        <f>Ruimtestaat[[#This Row],[uren / jaar weekend]]*Tariefsopbouw!$D$40</f>
        <v>0</v>
      </c>
      <c r="AD371" s="179">
        <f>Ruimtestaat[[#This Row],[Prest. (m2 /jaar) weekend]]+Ruimtestaat[[#This Row],[Prest. (m2 /jaar) werkdagen]]</f>
        <v>684</v>
      </c>
      <c r="AE371" s="179">
        <f>Ruimtestaat[[#This Row],[uren / jaar weekend]]+Ruimtestaat[[#This Row],[uren / jaar werkdagen]]</f>
        <v>0</v>
      </c>
      <c r="AF371" s="174">
        <f>Ruimtestaat[[#This Row],[kosten / jaar weekend]]+Ruimtestaat[[#This Row],[kosten / jaar werkdagen]]</f>
        <v>0</v>
      </c>
      <c r="AG371" s="174"/>
      <c r="AH371" s="181" t="str">
        <f>IF(Ruimtestaat[[#This Row],[Frequentie werkdagen]]="","",_xlfn.CONCAT(Ruimtestaat[[#This Row],[Ruimte code]],"-",Ruimtestaat[[#This Row],[Frequentie werkdagen]]," ",Ruimtestaat[[#This Row],[Vloer code]]))</f>
        <v>2-3w P</v>
      </c>
      <c r="AI371" s="185" t="str">
        <f>_xlfn.IFNA(VLOOKUP($AH371,Programma!$F$3:$G$1101,2,0),"")</f>
        <v>_</v>
      </c>
      <c r="AJ371" s="185" t="str">
        <f>_xlfn.IFNA(VLOOKUP($AH371,Programma!$F$3:$H$1101,3,0),"")</f>
        <v>_</v>
      </c>
      <c r="AK371" s="185" t="str">
        <f>_xlfn.IFNA(VLOOKUP($AH371,Programma!$F$3:$I$1101,4,0),"")</f>
        <v>2w</v>
      </c>
      <c r="AL371" s="185" t="str">
        <f>_xlfn.IFNA(VLOOKUP($AH371,Programma!$F$3:$J$1101,5,0),"")</f>
        <v>1w</v>
      </c>
      <c r="AM371" s="185" t="str">
        <f>_xlfn.IFNA(VLOOKUP($AH371,Programma!$F$3:$K$1101,6,0),"")</f>
        <v>1j</v>
      </c>
      <c r="AN371" s="185" t="str">
        <f>_xlfn.IFNA(VLOOKUP($AH371,Programma!$F$3:$L$1101,7,0),"")</f>
        <v>_</v>
      </c>
      <c r="AO371" s="185" t="str">
        <f>_xlfn.IFNA(VLOOKUP($AH371,Programma!$F$3:$M$1101,8,0),"")</f>
        <v>_</v>
      </c>
      <c r="AP371" s="185" t="str">
        <f>_xlfn.IFNA(VLOOKUP($AH371,Programma!$F$3:$N$1101,9,0),"")</f>
        <v>_</v>
      </c>
      <c r="AQ371" s="185" t="str">
        <f>_xlfn.IFNA(VLOOKUP($AH371,Programma!$F$3:$O$1101,10,0),"")</f>
        <v>3w</v>
      </c>
      <c r="AR371" s="185" t="str">
        <f>_xlfn.IFNA(VLOOKUP($AH371,Programma!$F$3:$P$1101,11,0),"")</f>
        <v>3w</v>
      </c>
      <c r="AS371" s="185" t="str">
        <f>_xlfn.IFNA(VLOOKUP($AH371,Programma!$F$3:$Q$1101,12,0),"")</f>
        <v>1w</v>
      </c>
      <c r="AT371" s="185" t="str">
        <f>_xlfn.IFNA(VLOOKUP($AH371,Programma!$F$3:$R$1101,13,0),"")</f>
        <v>1w</v>
      </c>
      <c r="AU371" s="185" t="str">
        <f>_xlfn.IFNA(VLOOKUP($AH371,Programma!$F$3:$S$1101,14,0),"")</f>
        <v>1m</v>
      </c>
      <c r="AV371" s="185" t="str">
        <f>_xlfn.IFNA(VLOOKUP($AH371,Programma!$F$3:$T$1101,15,0),"")</f>
        <v>2j</v>
      </c>
      <c r="AW371" s="185" t="str">
        <f>_xlfn.IFNA(VLOOKUP($AH371,Programma!$F$3:$U$1101,16,0),"")</f>
        <v>1j</v>
      </c>
      <c r="AX371" s="185" t="str">
        <f>_xlfn.IFNA(VLOOKUP($AH371,Programma!$F$3:$V$1101,17,0),"")</f>
        <v>_</v>
      </c>
      <c r="AY371" s="185" t="str">
        <f>_xlfn.IFNA(VLOOKUP($AH371,Programma!$F$3:$W$1101,18,0),"")</f>
        <v>_</v>
      </c>
      <c r="AZ371" s="185" t="str">
        <f>_xlfn.IFNA(VLOOKUP($AH371,Programma!$F$3:$X$1101,19,0),"")</f>
        <v>_</v>
      </c>
      <c r="BA371" s="185" t="str">
        <f>_xlfn.IFNA(VLOOKUP($AH371,Programma!$F$3:$Y$1101,20,0),"")</f>
        <v>_</v>
      </c>
      <c r="BB371" s="182"/>
      <c r="BC371" s="181" t="str">
        <f>IF(Ruimtestaat[[#This Row],[Frequentie weekend]]="","",_xlfn.CONCAT(Ruimtestaat[[#This Row],[Ruimte code]],"-",Ruimtestaat[[#This Row],[Frequentie weekend]]," ",Ruimtestaat[[#This Row],[Vloer code]]))</f>
        <v/>
      </c>
      <c r="BD371" s="185" t="str">
        <f>_xlfn.IFNA(VLOOKUP($BC371,Programma!$F$3:$G$1101,2,0),"")</f>
        <v/>
      </c>
      <c r="BE371" s="185" t="str">
        <f>_xlfn.IFNA(VLOOKUP($BC371,Programma!$F$3:$H$1101,3,0),"")</f>
        <v/>
      </c>
      <c r="BF371" s="185" t="str">
        <f>_xlfn.IFNA(VLOOKUP($BC371,Programma!$F$3:$I$1101,4,0),"")</f>
        <v/>
      </c>
      <c r="BG371" s="185" t="str">
        <f>_xlfn.IFNA(VLOOKUP($BC371,Programma!$F$3:$J$1101,5,0),"")</f>
        <v/>
      </c>
      <c r="BH371" s="185" t="str">
        <f>_xlfn.IFNA(VLOOKUP($BC371,Programma!$F$3:$K$1101,6,0),"")</f>
        <v/>
      </c>
      <c r="BI371" s="185" t="str">
        <f>_xlfn.IFNA(VLOOKUP($BC371,Programma!$F$3:$L$1101,7,0),"")</f>
        <v/>
      </c>
      <c r="BJ371" s="185" t="str">
        <f>_xlfn.IFNA(VLOOKUP($BC371,Programma!$F$3:$M$1101,8,0),"")</f>
        <v/>
      </c>
      <c r="BK371" s="185" t="str">
        <f>_xlfn.IFNA(VLOOKUP($BC371,Programma!$F$3:$N$1101,9,0),"")</f>
        <v/>
      </c>
      <c r="BL371" s="185" t="str">
        <f>_xlfn.IFNA(VLOOKUP($BC371,Programma!$F$3:$O$1101,10,0),"")</f>
        <v/>
      </c>
      <c r="BM371" s="185" t="str">
        <f>_xlfn.IFNA(VLOOKUP($BC371,Programma!$F$3:$P$1101,11,0),"")</f>
        <v/>
      </c>
      <c r="BN371" s="185" t="str">
        <f>_xlfn.IFNA(VLOOKUP($BC371,Programma!$F$3:$Q$1101,12,0),"")</f>
        <v/>
      </c>
      <c r="BO371" s="185" t="str">
        <f>_xlfn.IFNA(VLOOKUP($BC371,Programma!$F$3:$R$1101,13,0),"")</f>
        <v/>
      </c>
      <c r="BP371" s="185" t="str">
        <f>_xlfn.IFNA(VLOOKUP($BC371,Programma!$F$3:$S$1101,14,0),"")</f>
        <v/>
      </c>
      <c r="BQ371" s="185" t="str">
        <f>_xlfn.IFNA(VLOOKUP($BC371,Programma!$F$3:$T$1101,15,0),"")</f>
        <v/>
      </c>
      <c r="BR371" s="185" t="str">
        <f>_xlfn.IFNA(VLOOKUP($BC371,Programma!$F$3:$U$1101,16,0),"")</f>
        <v/>
      </c>
      <c r="BS371" s="185" t="str">
        <f>_xlfn.IFNA(VLOOKUP($BC371,Programma!$F$3:$V$1101,17,0),"")</f>
        <v/>
      </c>
      <c r="BT371" s="185" t="str">
        <f>_xlfn.IFNA(VLOOKUP($BC371,Programma!$F$3:$W$1101,18,0),"")</f>
        <v/>
      </c>
      <c r="BU371" s="185" t="str">
        <f>_xlfn.IFNA(VLOOKUP($BC371,Programma!$F$3:$X$1101,19,0),"")</f>
        <v/>
      </c>
      <c r="BV371" s="185" t="str">
        <f>_xlfn.IFNA(VLOOKUP($BC371,Programma!$F$3:$Y$1101,20,0),"")</f>
        <v/>
      </c>
    </row>
    <row r="372" spans="1:74" s="78" customFormat="1" ht="15" customHeight="1">
      <c r="A372" s="99">
        <v>11</v>
      </c>
      <c r="B372" s="176" t="str">
        <f>VLOOKUP(Ruimtestaat[[#This Row],[Code]],Locaties[[Code]:[Locatie]],2,FALSE)</f>
        <v>OMBS De Wielerbaan</v>
      </c>
      <c r="C372" s="176" t="str">
        <f>VLOOKUP(Ruimtestaat[[#This Row],[Code]],Locaties[[#All],[Code]:[Adres]],4,FALSE)</f>
        <v>Batshoek 5</v>
      </c>
      <c r="D372" s="176" t="str">
        <f>VLOOKUP(Ruimtestaat[[#This Row],[Code]],Locaties[[#All],[Code]:[Postcode]],5,FALSE)</f>
        <v>7546 LC</v>
      </c>
      <c r="E372" s="176" t="str">
        <f>VLOOKUP(Ruimtestaat[[#This Row],[Code]],Locaties[#All],6,FALSE)</f>
        <v>Enschede</v>
      </c>
      <c r="F372" s="183"/>
      <c r="G372" s="99" t="s">
        <v>1646</v>
      </c>
      <c r="H372" s="99" t="s">
        <v>1693</v>
      </c>
      <c r="I372" s="183" t="s">
        <v>1665</v>
      </c>
      <c r="J372" s="99">
        <v>11</v>
      </c>
      <c r="K372" s="183" t="str">
        <f>VLOOKUP(Ruimtestaat[[#This Row],[Ruimte code]],Ruimtegroepen[[#All],[Code]:[Ruimte omschrijving]],2,FALSE)</f>
        <v>Garderobes</v>
      </c>
      <c r="L372" s="149" t="s">
        <v>102</v>
      </c>
      <c r="M372" s="301" t="s">
        <v>120</v>
      </c>
      <c r="N372" s="177">
        <v>8.9</v>
      </c>
      <c r="O372" s="177"/>
      <c r="P372" s="178" t="str">
        <f>VLOOKUP(Ruimtestaat[[#This Row],[Ruimte code]],Ruimtegroepen[],4,FALSE)</f>
        <v>Ve</v>
      </c>
      <c r="Q372" s="149">
        <v>40</v>
      </c>
      <c r="R372" s="149" t="s">
        <v>18</v>
      </c>
      <c r="S372" s="149">
        <f>IF(Q372&gt;0,IF(RIGHT(Ruimtestaat[[#This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72" s="149">
        <f>IF(S372&gt;0,VLOOKUP($J372,Ruimtegroepen[],3,FALSE)*VLOOKUP($L372,Vloersoorten[],3,FALSE)*VLOOKUP($R372,Frequenties[],3,FALSE)*VLOOKUP($A372,Locaties[],3,FALSE),0)</f>
        <v>0</v>
      </c>
      <c r="U372" s="149">
        <f>Ruimtestaat[[#This Row],[Uitvoeringen werkdagen]]*Ruimtestaat[[#This Row],[Oppervlak (netto)]]</f>
        <v>1068</v>
      </c>
      <c r="V372" s="179">
        <f>IF(T372&gt;0,Ruimtestaat[[#This Row],[Prest. (m2 /jaar) werkdagen]]/Ruimtestaat[[#This Row],[Norm (m2/uur) werkdagen]],0)</f>
        <v>0</v>
      </c>
      <c r="W372" s="180">
        <f>Ruimtestaat[[#This Row],[uren / jaar werkdagen]]*Tariefsopbouw!$E$35</f>
        <v>0</v>
      </c>
      <c r="X372" s="149"/>
      <c r="Y372" s="149">
        <f>IF(Ruimtestaat[[#This Row],[Frequentie weekend]]&gt;0,VALUE(LEFT(X372,1))*Q372,0)</f>
        <v>0</v>
      </c>
      <c r="Z372" s="148">
        <f>IF($Y372&gt;0,VLOOKUP($J372,Ruimtegroepen[],3,FALSE)*VLOOKUP($L372,Vloersoorten[],3,FALSE)*VLOOKUP($X372,Frequenties[],3,FALSE)*VLOOKUP(Ruimtestaat[[#This Row],[Code]],Locaties[],3,FALSE),0)</f>
        <v>0</v>
      </c>
      <c r="AA372" s="148">
        <f>Ruimtestaat[[#This Row],[Uitvoeringen weekend]]*Ruimtestaat[[#This Row],[Oppervlak (netto)]]</f>
        <v>0</v>
      </c>
      <c r="AB372" s="148">
        <f>IF(Z372&gt;0,Ruimtestaat[[#This Row],[Prest. (m2 /jaar) weekend]]/Ruimtestaat[[#This Row],[Norm (m2/uur) weekend]],0)</f>
        <v>0</v>
      </c>
      <c r="AC372" s="180">
        <f>Ruimtestaat[[#This Row],[uren / jaar weekend]]*Tariefsopbouw!$D$40</f>
        <v>0</v>
      </c>
      <c r="AD372" s="179">
        <f>Ruimtestaat[[#This Row],[Prest. (m2 /jaar) weekend]]+Ruimtestaat[[#This Row],[Prest. (m2 /jaar) werkdagen]]</f>
        <v>1068</v>
      </c>
      <c r="AE372" s="179">
        <f>Ruimtestaat[[#This Row],[uren / jaar weekend]]+Ruimtestaat[[#This Row],[uren / jaar werkdagen]]</f>
        <v>0</v>
      </c>
      <c r="AF372" s="174">
        <f>Ruimtestaat[[#This Row],[kosten / jaar weekend]]+Ruimtestaat[[#This Row],[kosten / jaar werkdagen]]</f>
        <v>0</v>
      </c>
      <c r="AG372" s="174"/>
      <c r="AH372" s="181" t="str">
        <f>IF(Ruimtestaat[[#This Row],[Frequentie werkdagen]]="","",_xlfn.CONCAT(Ruimtestaat[[#This Row],[Ruimte code]],"-",Ruimtestaat[[#This Row],[Frequentie werkdagen]]," ",Ruimtestaat[[#This Row],[Vloer code]]))</f>
        <v>11-3w P</v>
      </c>
      <c r="AI372" s="185" t="str">
        <f>_xlfn.IFNA(VLOOKUP($AH372,Programma!$F$3:$G$1101,2,0),"")</f>
        <v>_</v>
      </c>
      <c r="AJ372" s="185" t="str">
        <f>_xlfn.IFNA(VLOOKUP($AH372,Programma!$F$3:$H$1101,3,0),"")</f>
        <v>_</v>
      </c>
      <c r="AK372" s="185" t="str">
        <f>_xlfn.IFNA(VLOOKUP($AH372,Programma!$F$3:$I$1101,4,0),"")</f>
        <v>2w</v>
      </c>
      <c r="AL372" s="185" t="str">
        <f>_xlfn.IFNA(VLOOKUP($AH372,Programma!$F$3:$J$1101,5,0),"")</f>
        <v>1w</v>
      </c>
      <c r="AM372" s="185" t="str">
        <f>_xlfn.IFNA(VLOOKUP($AH372,Programma!$F$3:$K$1101,6,0),"")</f>
        <v>4j</v>
      </c>
      <c r="AN372" s="185" t="str">
        <f>_xlfn.IFNA(VLOOKUP($AH372,Programma!$F$3:$L$1101,7,0),"")</f>
        <v>_</v>
      </c>
      <c r="AO372" s="185" t="str">
        <f>_xlfn.IFNA(VLOOKUP($AH372,Programma!$F$3:$M$1101,8,0),"")</f>
        <v>_</v>
      </c>
      <c r="AP372" s="185" t="str">
        <f>_xlfn.IFNA(VLOOKUP($AH372,Programma!$F$3:$N$1101,9,0),"")</f>
        <v>_</v>
      </c>
      <c r="AQ372" s="185" t="str">
        <f>_xlfn.IFNA(VLOOKUP($AH372,Programma!$F$3:$O$1101,10,0),"")</f>
        <v>3w</v>
      </c>
      <c r="AR372" s="185" t="str">
        <f>_xlfn.IFNA(VLOOKUP($AH372,Programma!$F$3:$P$1101,11,0),"")</f>
        <v>3w</v>
      </c>
      <c r="AS372" s="185" t="str">
        <f>_xlfn.IFNA(VLOOKUP($AH372,Programma!$F$3:$Q$1101,12,0),"")</f>
        <v>1w</v>
      </c>
      <c r="AT372" s="185" t="str">
        <f>_xlfn.IFNA(VLOOKUP($AH372,Programma!$F$3:$R$1101,13,0),"")</f>
        <v>1w</v>
      </c>
      <c r="AU372" s="185" t="str">
        <f>_xlfn.IFNA(VLOOKUP($AH372,Programma!$F$3:$S$1101,14,0),"")</f>
        <v>1m</v>
      </c>
      <c r="AV372" s="185" t="str">
        <f>_xlfn.IFNA(VLOOKUP($AH372,Programma!$F$3:$T$1101,15,0),"")</f>
        <v>2j</v>
      </c>
      <c r="AW372" s="185" t="str">
        <f>_xlfn.IFNA(VLOOKUP($AH372,Programma!$F$3:$U$1101,16,0),"")</f>
        <v>1j</v>
      </c>
      <c r="AX372" s="185" t="str">
        <f>_xlfn.IFNA(VLOOKUP($AH372,Programma!$F$3:$V$1101,17,0),"")</f>
        <v>_</v>
      </c>
      <c r="AY372" s="185" t="str">
        <f>_xlfn.IFNA(VLOOKUP($AH372,Programma!$F$3:$W$1101,18,0),"")</f>
        <v>_</v>
      </c>
      <c r="AZ372" s="185" t="str">
        <f>_xlfn.IFNA(VLOOKUP($AH372,Programma!$F$3:$X$1101,19,0),"")</f>
        <v>_</v>
      </c>
      <c r="BA372" s="185" t="str">
        <f>_xlfn.IFNA(VLOOKUP($AH372,Programma!$F$3:$Y$1101,20,0),"")</f>
        <v>_</v>
      </c>
      <c r="BB372" s="182"/>
      <c r="BC372" s="181" t="str">
        <f>IF(Ruimtestaat[[#This Row],[Frequentie weekend]]="","",_xlfn.CONCAT(Ruimtestaat[[#This Row],[Ruimte code]],"-",Ruimtestaat[[#This Row],[Frequentie weekend]]," ",Ruimtestaat[[#This Row],[Vloer code]]))</f>
        <v/>
      </c>
      <c r="BD372" s="185" t="str">
        <f>_xlfn.IFNA(VLOOKUP($BC372,Programma!$F$3:$G$1101,2,0),"")</f>
        <v/>
      </c>
      <c r="BE372" s="185" t="str">
        <f>_xlfn.IFNA(VLOOKUP($BC372,Programma!$F$3:$H$1101,3,0),"")</f>
        <v/>
      </c>
      <c r="BF372" s="185" t="str">
        <f>_xlfn.IFNA(VLOOKUP($BC372,Programma!$F$3:$I$1101,4,0),"")</f>
        <v/>
      </c>
      <c r="BG372" s="185" t="str">
        <f>_xlfn.IFNA(VLOOKUP($BC372,Programma!$F$3:$J$1101,5,0),"")</f>
        <v/>
      </c>
      <c r="BH372" s="185" t="str">
        <f>_xlfn.IFNA(VLOOKUP($BC372,Programma!$F$3:$K$1101,6,0),"")</f>
        <v/>
      </c>
      <c r="BI372" s="185" t="str">
        <f>_xlfn.IFNA(VLOOKUP($BC372,Programma!$F$3:$L$1101,7,0),"")</f>
        <v/>
      </c>
      <c r="BJ372" s="185" t="str">
        <f>_xlfn.IFNA(VLOOKUP($BC372,Programma!$F$3:$M$1101,8,0),"")</f>
        <v/>
      </c>
      <c r="BK372" s="185" t="str">
        <f>_xlfn.IFNA(VLOOKUP($BC372,Programma!$F$3:$N$1101,9,0),"")</f>
        <v/>
      </c>
      <c r="BL372" s="185" t="str">
        <f>_xlfn.IFNA(VLOOKUP($BC372,Programma!$F$3:$O$1101,10,0),"")</f>
        <v/>
      </c>
      <c r="BM372" s="185" t="str">
        <f>_xlfn.IFNA(VLOOKUP($BC372,Programma!$F$3:$P$1101,11,0),"")</f>
        <v/>
      </c>
      <c r="BN372" s="185" t="str">
        <f>_xlfn.IFNA(VLOOKUP($BC372,Programma!$F$3:$Q$1101,12,0),"")</f>
        <v/>
      </c>
      <c r="BO372" s="185" t="str">
        <f>_xlfn.IFNA(VLOOKUP($BC372,Programma!$F$3:$R$1101,13,0),"")</f>
        <v/>
      </c>
      <c r="BP372" s="185" t="str">
        <f>_xlfn.IFNA(VLOOKUP($BC372,Programma!$F$3:$S$1101,14,0),"")</f>
        <v/>
      </c>
      <c r="BQ372" s="185" t="str">
        <f>_xlfn.IFNA(VLOOKUP($BC372,Programma!$F$3:$T$1101,15,0),"")</f>
        <v/>
      </c>
      <c r="BR372" s="185" t="str">
        <f>_xlfn.IFNA(VLOOKUP($BC372,Programma!$F$3:$U$1101,16,0),"")</f>
        <v/>
      </c>
      <c r="BS372" s="185" t="str">
        <f>_xlfn.IFNA(VLOOKUP($BC372,Programma!$F$3:$V$1101,17,0),"")</f>
        <v/>
      </c>
      <c r="BT372" s="185" t="str">
        <f>_xlfn.IFNA(VLOOKUP($BC372,Programma!$F$3:$W$1101,18,0),"")</f>
        <v/>
      </c>
      <c r="BU372" s="185" t="str">
        <f>_xlfn.IFNA(VLOOKUP($BC372,Programma!$F$3:$X$1101,19,0),"")</f>
        <v/>
      </c>
      <c r="BV372" s="185" t="str">
        <f>_xlfn.IFNA(VLOOKUP($BC372,Programma!$F$3:$Y$1101,20,0),"")</f>
        <v/>
      </c>
    </row>
    <row r="373" spans="1:74" s="78" customFormat="1" ht="15" customHeight="1">
      <c r="A373" s="99">
        <v>11</v>
      </c>
      <c r="B373" s="176" t="str">
        <f>VLOOKUP(Ruimtestaat[[#This Row],[Code]],Locaties[[Code]:[Locatie]],2,FALSE)</f>
        <v>OMBS De Wielerbaan</v>
      </c>
      <c r="C373" s="176" t="str">
        <f>VLOOKUP(Ruimtestaat[[#This Row],[Code]],Locaties[[#All],[Code]:[Adres]],4,FALSE)</f>
        <v>Batshoek 5</v>
      </c>
      <c r="D373" s="176" t="str">
        <f>VLOOKUP(Ruimtestaat[[#This Row],[Code]],Locaties[[#All],[Code]:[Postcode]],5,FALSE)</f>
        <v>7546 LC</v>
      </c>
      <c r="E373" s="176" t="str">
        <f>VLOOKUP(Ruimtestaat[[#This Row],[Code]],Locaties[#All],6,FALSE)</f>
        <v>Enschede</v>
      </c>
      <c r="F373" s="183"/>
      <c r="G373" s="99" t="s">
        <v>1646</v>
      </c>
      <c r="H373" s="99" t="s">
        <v>1694</v>
      </c>
      <c r="I373" s="183" t="s">
        <v>38</v>
      </c>
      <c r="J373" s="99">
        <v>7</v>
      </c>
      <c r="K373" s="183" t="str">
        <f>VLOOKUP(Ruimtestaat[[#This Row],[Ruimte code]],Ruimtegroepen[[#All],[Code]:[Ruimte omschrijving]],2,FALSE)</f>
        <v>Entree</v>
      </c>
      <c r="L373" s="149" t="s">
        <v>102</v>
      </c>
      <c r="M373" s="301" t="s">
        <v>120</v>
      </c>
      <c r="N373" s="177">
        <v>4</v>
      </c>
      <c r="O373" s="177"/>
      <c r="P373" s="178" t="str">
        <f>VLOOKUP(Ruimtestaat[[#This Row],[Ruimte code]],Ruimtegroepen[],4,FALSE)</f>
        <v>Ve</v>
      </c>
      <c r="Q373" s="149">
        <v>40</v>
      </c>
      <c r="R373" s="149" t="s">
        <v>2</v>
      </c>
      <c r="S373" s="149">
        <f>IF(Q373&gt;0,IF(RIGHT(Ruimtestaat[[#This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3" s="149">
        <f>IF(S373&gt;0,VLOOKUP($J373,Ruimtegroepen[],3,FALSE)*VLOOKUP($L373,Vloersoorten[],3,FALSE)*VLOOKUP($R373,Frequenties[],3,FALSE)*VLOOKUP($A373,Locaties[],3,FALSE),0)</f>
        <v>0</v>
      </c>
      <c r="U373" s="149">
        <f>Ruimtestaat[[#This Row],[Uitvoeringen werkdagen]]*Ruimtestaat[[#This Row],[Oppervlak (netto)]]</f>
        <v>800</v>
      </c>
      <c r="V373" s="179">
        <f>IF(T373&gt;0,Ruimtestaat[[#This Row],[Prest. (m2 /jaar) werkdagen]]/Ruimtestaat[[#This Row],[Norm (m2/uur) werkdagen]],0)</f>
        <v>0</v>
      </c>
      <c r="W373" s="180">
        <f>Ruimtestaat[[#This Row],[uren / jaar werkdagen]]*Tariefsopbouw!$E$35</f>
        <v>0</v>
      </c>
      <c r="X373" s="149"/>
      <c r="Y373" s="149">
        <f>IF(Ruimtestaat[[#This Row],[Frequentie weekend]]&gt;0,VALUE(LEFT(X373,1))*Q373,0)</f>
        <v>0</v>
      </c>
      <c r="Z373" s="148">
        <f>IF($Y373&gt;0,VLOOKUP($J373,Ruimtegroepen[],3,FALSE)*VLOOKUP($L373,Vloersoorten[],3,FALSE)*VLOOKUP($X373,Frequenties[],3,FALSE)*VLOOKUP(Ruimtestaat[[#This Row],[Code]],Locaties[],3,FALSE),0)</f>
        <v>0</v>
      </c>
      <c r="AA373" s="148">
        <f>Ruimtestaat[[#This Row],[Uitvoeringen weekend]]*Ruimtestaat[[#This Row],[Oppervlak (netto)]]</f>
        <v>0</v>
      </c>
      <c r="AB373" s="148">
        <f>IF(Z373&gt;0,Ruimtestaat[[#This Row],[Prest. (m2 /jaar) weekend]]/Ruimtestaat[[#This Row],[Norm (m2/uur) weekend]],0)</f>
        <v>0</v>
      </c>
      <c r="AC373" s="180">
        <f>Ruimtestaat[[#This Row],[uren / jaar weekend]]*Tariefsopbouw!$D$40</f>
        <v>0</v>
      </c>
      <c r="AD373" s="179">
        <f>Ruimtestaat[[#This Row],[Prest. (m2 /jaar) weekend]]+Ruimtestaat[[#This Row],[Prest. (m2 /jaar) werkdagen]]</f>
        <v>800</v>
      </c>
      <c r="AE373" s="179">
        <f>Ruimtestaat[[#This Row],[uren / jaar weekend]]+Ruimtestaat[[#This Row],[uren / jaar werkdagen]]</f>
        <v>0</v>
      </c>
      <c r="AF373" s="174">
        <f>Ruimtestaat[[#This Row],[kosten / jaar weekend]]+Ruimtestaat[[#This Row],[kosten / jaar werkdagen]]</f>
        <v>0</v>
      </c>
      <c r="AG373" s="174"/>
      <c r="AH373" s="181" t="str">
        <f>IF(Ruimtestaat[[#This Row],[Frequentie werkdagen]]="","",_xlfn.CONCAT(Ruimtestaat[[#This Row],[Ruimte code]],"-",Ruimtestaat[[#This Row],[Frequentie werkdagen]]," ",Ruimtestaat[[#This Row],[Vloer code]]))</f>
        <v>7-5w P</v>
      </c>
      <c r="AI373" s="185" t="str">
        <f>_xlfn.IFNA(VLOOKUP($AH373,Programma!$F$3:$G$1101,2,0),"")</f>
        <v>_</v>
      </c>
      <c r="AJ373" s="185" t="str">
        <f>_xlfn.IFNA(VLOOKUP($AH373,Programma!$F$3:$H$1101,3,0),"")</f>
        <v>_</v>
      </c>
      <c r="AK373" s="185" t="str">
        <f>_xlfn.IFNA(VLOOKUP($AH373,Programma!$F$3:$I$1101,4,0),"")</f>
        <v>5w</v>
      </c>
      <c r="AL373" s="185" t="str">
        <f>_xlfn.IFNA(VLOOKUP($AH373,Programma!$F$3:$J$1101,5,0),"")</f>
        <v>_</v>
      </c>
      <c r="AM373" s="185" t="str">
        <f>_xlfn.IFNA(VLOOKUP($AH373,Programma!$F$3:$K$1101,6,0),"")</f>
        <v>5w</v>
      </c>
      <c r="AN373" s="185" t="str">
        <f>_xlfn.IFNA(VLOOKUP($AH373,Programma!$F$3:$L$1101,7,0),"")</f>
        <v>_</v>
      </c>
      <c r="AO373" s="185" t="str">
        <f>_xlfn.IFNA(VLOOKUP($AH373,Programma!$F$3:$M$1101,8,0),"")</f>
        <v>_</v>
      </c>
      <c r="AP373" s="185" t="str">
        <f>_xlfn.IFNA(VLOOKUP($AH373,Programma!$F$3:$N$1101,9,0),"")</f>
        <v>_</v>
      </c>
      <c r="AQ373" s="185" t="str">
        <f>_xlfn.IFNA(VLOOKUP($AH373,Programma!$F$3:$O$1101,10,0),"")</f>
        <v>5w</v>
      </c>
      <c r="AR373" s="185" t="str">
        <f>_xlfn.IFNA(VLOOKUP($AH373,Programma!$F$3:$P$1101,11,0),"")</f>
        <v>5w</v>
      </c>
      <c r="AS373" s="185" t="str">
        <f>_xlfn.IFNA(VLOOKUP($AH373,Programma!$F$3:$Q$1101,12,0),"")</f>
        <v>1w</v>
      </c>
      <c r="AT373" s="185" t="str">
        <f>_xlfn.IFNA(VLOOKUP($AH373,Programma!$F$3:$R$1101,13,0),"")</f>
        <v>1w</v>
      </c>
      <c r="AU373" s="185" t="str">
        <f>_xlfn.IFNA(VLOOKUP($AH373,Programma!$F$3:$S$1101,14,0),"")</f>
        <v>1m</v>
      </c>
      <c r="AV373" s="185" t="str">
        <f>_xlfn.IFNA(VLOOKUP($AH373,Programma!$F$3:$T$1101,15,0),"")</f>
        <v>2j</v>
      </c>
      <c r="AW373" s="185" t="str">
        <f>_xlfn.IFNA(VLOOKUP($AH373,Programma!$F$3:$U$1101,16,0),"")</f>
        <v>1j</v>
      </c>
      <c r="AX373" s="185" t="str">
        <f>_xlfn.IFNA(VLOOKUP($AH373,Programma!$F$3:$V$1101,17,0),"")</f>
        <v>_</v>
      </c>
      <c r="AY373" s="185" t="str">
        <f>_xlfn.IFNA(VLOOKUP($AH373,Programma!$F$3:$W$1101,18,0),"")</f>
        <v>_</v>
      </c>
      <c r="AZ373" s="185" t="str">
        <f>_xlfn.IFNA(VLOOKUP($AH373,Programma!$F$3:$X$1101,19,0),"")</f>
        <v>_</v>
      </c>
      <c r="BA373" s="185" t="str">
        <f>_xlfn.IFNA(VLOOKUP($AH373,Programma!$F$3:$Y$1101,20,0),"")</f>
        <v>_</v>
      </c>
      <c r="BB373" s="182"/>
      <c r="BC373" s="181" t="str">
        <f>IF(Ruimtestaat[[#This Row],[Frequentie weekend]]="","",_xlfn.CONCAT(Ruimtestaat[[#This Row],[Ruimte code]],"-",Ruimtestaat[[#This Row],[Frequentie weekend]]," ",Ruimtestaat[[#This Row],[Vloer code]]))</f>
        <v/>
      </c>
      <c r="BD373" s="185" t="str">
        <f>_xlfn.IFNA(VLOOKUP($BC373,Programma!$F$3:$G$1101,2,0),"")</f>
        <v/>
      </c>
      <c r="BE373" s="185" t="str">
        <f>_xlfn.IFNA(VLOOKUP($BC373,Programma!$F$3:$H$1101,3,0),"")</f>
        <v/>
      </c>
      <c r="BF373" s="185" t="str">
        <f>_xlfn.IFNA(VLOOKUP($BC373,Programma!$F$3:$I$1101,4,0),"")</f>
        <v/>
      </c>
      <c r="BG373" s="185" t="str">
        <f>_xlfn.IFNA(VLOOKUP($BC373,Programma!$F$3:$J$1101,5,0),"")</f>
        <v/>
      </c>
      <c r="BH373" s="185" t="str">
        <f>_xlfn.IFNA(VLOOKUP($BC373,Programma!$F$3:$K$1101,6,0),"")</f>
        <v/>
      </c>
      <c r="BI373" s="185" t="str">
        <f>_xlfn.IFNA(VLOOKUP($BC373,Programma!$F$3:$L$1101,7,0),"")</f>
        <v/>
      </c>
      <c r="BJ373" s="185" t="str">
        <f>_xlfn.IFNA(VLOOKUP($BC373,Programma!$F$3:$M$1101,8,0),"")</f>
        <v/>
      </c>
      <c r="BK373" s="185" t="str">
        <f>_xlfn.IFNA(VLOOKUP($BC373,Programma!$F$3:$N$1101,9,0),"")</f>
        <v/>
      </c>
      <c r="BL373" s="185" t="str">
        <f>_xlfn.IFNA(VLOOKUP($BC373,Programma!$F$3:$O$1101,10,0),"")</f>
        <v/>
      </c>
      <c r="BM373" s="185" t="str">
        <f>_xlfn.IFNA(VLOOKUP($BC373,Programma!$F$3:$P$1101,11,0),"")</f>
        <v/>
      </c>
      <c r="BN373" s="185" t="str">
        <f>_xlfn.IFNA(VLOOKUP($BC373,Programma!$F$3:$Q$1101,12,0),"")</f>
        <v/>
      </c>
      <c r="BO373" s="185" t="str">
        <f>_xlfn.IFNA(VLOOKUP($BC373,Programma!$F$3:$R$1101,13,0),"")</f>
        <v/>
      </c>
      <c r="BP373" s="185" t="str">
        <f>_xlfn.IFNA(VLOOKUP($BC373,Programma!$F$3:$S$1101,14,0),"")</f>
        <v/>
      </c>
      <c r="BQ373" s="185" t="str">
        <f>_xlfn.IFNA(VLOOKUP($BC373,Programma!$F$3:$T$1101,15,0),"")</f>
        <v/>
      </c>
      <c r="BR373" s="185" t="str">
        <f>_xlfn.IFNA(VLOOKUP($BC373,Programma!$F$3:$U$1101,16,0),"")</f>
        <v/>
      </c>
      <c r="BS373" s="185" t="str">
        <f>_xlfn.IFNA(VLOOKUP($BC373,Programma!$F$3:$V$1101,17,0),"")</f>
        <v/>
      </c>
      <c r="BT373" s="185" t="str">
        <f>_xlfn.IFNA(VLOOKUP($BC373,Programma!$F$3:$W$1101,18,0),"")</f>
        <v/>
      </c>
      <c r="BU373" s="185" t="str">
        <f>_xlfn.IFNA(VLOOKUP($BC373,Programma!$F$3:$X$1101,19,0),"")</f>
        <v/>
      </c>
      <c r="BV373" s="185" t="str">
        <f>_xlfn.IFNA(VLOOKUP($BC373,Programma!$F$3:$Y$1101,20,0),"")</f>
        <v/>
      </c>
    </row>
    <row r="374" spans="1:74" s="78" customFormat="1" ht="15" customHeight="1">
      <c r="A374" s="99">
        <v>11</v>
      </c>
      <c r="B374" s="176" t="str">
        <f>VLOOKUP(Ruimtestaat[[#This Row],[Code]],Locaties[[Code]:[Locatie]],2,FALSE)</f>
        <v>OMBS De Wielerbaan</v>
      </c>
      <c r="C374" s="176" t="str">
        <f>VLOOKUP(Ruimtestaat[[#This Row],[Code]],Locaties[[#All],[Code]:[Adres]],4,FALSE)</f>
        <v>Batshoek 5</v>
      </c>
      <c r="D374" s="176" t="str">
        <f>VLOOKUP(Ruimtestaat[[#This Row],[Code]],Locaties[[#All],[Code]:[Postcode]],5,FALSE)</f>
        <v>7546 LC</v>
      </c>
      <c r="E374" s="176" t="str">
        <f>VLOOKUP(Ruimtestaat[[#This Row],[Code]],Locaties[#All],6,FALSE)</f>
        <v>Enschede</v>
      </c>
      <c r="F374" s="183"/>
      <c r="G374" s="99" t="s">
        <v>1646</v>
      </c>
      <c r="H374" s="99" t="s">
        <v>1695</v>
      </c>
      <c r="I374" s="183" t="s">
        <v>1681</v>
      </c>
      <c r="J374" s="99">
        <v>6</v>
      </c>
      <c r="K374" s="183" t="str">
        <f>VLOOKUP(Ruimtestaat[[#This Row],[Ruimte code]],Ruimtegroepen[[#All],[Code]:[Ruimte omschrijving]],2,FALSE)</f>
        <v>Gangen/hallen</v>
      </c>
      <c r="L374" s="149" t="s">
        <v>99</v>
      </c>
      <c r="M374" s="301" t="s">
        <v>36</v>
      </c>
      <c r="N374" s="177">
        <v>5.2</v>
      </c>
      <c r="O374" s="177"/>
      <c r="P374" s="178" t="str">
        <f>VLOOKUP(Ruimtestaat[[#This Row],[Ruimte code]],Ruimtegroepen[],4,FALSE)</f>
        <v>Ve</v>
      </c>
      <c r="Q374" s="149">
        <v>40</v>
      </c>
      <c r="R374" s="149" t="s">
        <v>2</v>
      </c>
      <c r="S374" s="149">
        <f>IF(Q374&gt;0,IF(RIGHT(Ruimtestaat[[#This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4" s="149">
        <f>IF(S374&gt;0,VLOOKUP($J374,Ruimtegroepen[],3,FALSE)*VLOOKUP($L374,Vloersoorten[],3,FALSE)*VLOOKUP($R374,Frequenties[],3,FALSE)*VLOOKUP($A374,Locaties[],3,FALSE),0)</f>
        <v>0</v>
      </c>
      <c r="U374" s="149">
        <f>Ruimtestaat[[#This Row],[Uitvoeringen werkdagen]]*Ruimtestaat[[#This Row],[Oppervlak (netto)]]</f>
        <v>1040</v>
      </c>
      <c r="V374" s="179">
        <f>IF(T374&gt;0,Ruimtestaat[[#This Row],[Prest. (m2 /jaar) werkdagen]]/Ruimtestaat[[#This Row],[Norm (m2/uur) werkdagen]],0)</f>
        <v>0</v>
      </c>
      <c r="W374" s="180">
        <f>Ruimtestaat[[#This Row],[uren / jaar werkdagen]]*Tariefsopbouw!$E$35</f>
        <v>0</v>
      </c>
      <c r="X374" s="149"/>
      <c r="Y374" s="149">
        <f>IF(Ruimtestaat[[#This Row],[Frequentie weekend]]&gt;0,VALUE(LEFT(X374,1))*Q374,0)</f>
        <v>0</v>
      </c>
      <c r="Z374" s="148">
        <f>IF($Y374&gt;0,VLOOKUP($J374,Ruimtegroepen[],3,FALSE)*VLOOKUP($L374,Vloersoorten[],3,FALSE)*VLOOKUP($X374,Frequenties[],3,FALSE)*VLOOKUP(Ruimtestaat[[#This Row],[Code]],Locaties[],3,FALSE),0)</f>
        <v>0</v>
      </c>
      <c r="AA374" s="148">
        <f>Ruimtestaat[[#This Row],[Uitvoeringen weekend]]*Ruimtestaat[[#This Row],[Oppervlak (netto)]]</f>
        <v>0</v>
      </c>
      <c r="AB374" s="148">
        <f>IF(Z374&gt;0,Ruimtestaat[[#This Row],[Prest. (m2 /jaar) weekend]]/Ruimtestaat[[#This Row],[Norm (m2/uur) weekend]],0)</f>
        <v>0</v>
      </c>
      <c r="AC374" s="180">
        <f>Ruimtestaat[[#This Row],[uren / jaar weekend]]*Tariefsopbouw!$D$40</f>
        <v>0</v>
      </c>
      <c r="AD374" s="179">
        <f>Ruimtestaat[[#This Row],[Prest. (m2 /jaar) weekend]]+Ruimtestaat[[#This Row],[Prest. (m2 /jaar) werkdagen]]</f>
        <v>1040</v>
      </c>
      <c r="AE374" s="179">
        <f>Ruimtestaat[[#This Row],[uren / jaar weekend]]+Ruimtestaat[[#This Row],[uren / jaar werkdagen]]</f>
        <v>0</v>
      </c>
      <c r="AF374" s="174">
        <f>Ruimtestaat[[#This Row],[kosten / jaar weekend]]+Ruimtestaat[[#This Row],[kosten / jaar werkdagen]]</f>
        <v>0</v>
      </c>
      <c r="AG374" s="174"/>
      <c r="AH374" s="181" t="str">
        <f>IF(Ruimtestaat[[#This Row],[Frequentie werkdagen]]="","",_xlfn.CONCAT(Ruimtestaat[[#This Row],[Ruimte code]],"-",Ruimtestaat[[#This Row],[Frequentie werkdagen]]," ",Ruimtestaat[[#This Row],[Vloer code]]))</f>
        <v>6-5w T</v>
      </c>
      <c r="AI374" s="185" t="str">
        <f>_xlfn.IFNA(VLOOKUP($AH374,Programma!$F$3:$G$1101,2,0),"")</f>
        <v>_</v>
      </c>
      <c r="AJ374" s="185" t="str">
        <f>_xlfn.IFNA(VLOOKUP($AH374,Programma!$F$3:$H$1101,3,0),"")</f>
        <v>5w</v>
      </c>
      <c r="AK374" s="185" t="str">
        <f>_xlfn.IFNA(VLOOKUP($AH374,Programma!$F$3:$I$1101,4,0),"")</f>
        <v>_</v>
      </c>
      <c r="AL374" s="185" t="str">
        <f>_xlfn.IFNA(VLOOKUP($AH374,Programma!$F$3:$J$1101,5,0),"")</f>
        <v>_</v>
      </c>
      <c r="AM374" s="185" t="str">
        <f>_xlfn.IFNA(VLOOKUP($AH374,Programma!$F$3:$K$1101,6,0),"")</f>
        <v>_</v>
      </c>
      <c r="AN374" s="185" t="str">
        <f>_xlfn.IFNA(VLOOKUP($AH374,Programma!$F$3:$L$1101,7,0),"")</f>
        <v>_</v>
      </c>
      <c r="AO374" s="185" t="str">
        <f>_xlfn.IFNA(VLOOKUP($AH374,Programma!$F$3:$M$1101,8,0),"")</f>
        <v>_</v>
      </c>
      <c r="AP374" s="185" t="str">
        <f>_xlfn.IFNA(VLOOKUP($AH374,Programma!$F$3:$N$1101,9,0),"")</f>
        <v>_</v>
      </c>
      <c r="AQ374" s="185" t="str">
        <f>_xlfn.IFNA(VLOOKUP($AH374,Programma!$F$3:$O$1101,10,0),"")</f>
        <v>5w</v>
      </c>
      <c r="AR374" s="185" t="str">
        <f>_xlfn.IFNA(VLOOKUP($AH374,Programma!$F$3:$P$1101,11,0),"")</f>
        <v>5w</v>
      </c>
      <c r="AS374" s="185" t="str">
        <f>_xlfn.IFNA(VLOOKUP($AH374,Programma!$F$3:$Q$1101,12,0),"")</f>
        <v>1w</v>
      </c>
      <c r="AT374" s="185" t="str">
        <f>_xlfn.IFNA(VLOOKUP($AH374,Programma!$F$3:$R$1101,13,0),"")</f>
        <v>1w</v>
      </c>
      <c r="AU374" s="185" t="str">
        <f>_xlfn.IFNA(VLOOKUP($AH374,Programma!$F$3:$S$1101,14,0),"")</f>
        <v>1m</v>
      </c>
      <c r="AV374" s="185" t="str">
        <f>_xlfn.IFNA(VLOOKUP($AH374,Programma!$F$3:$T$1101,15,0),"")</f>
        <v>2j</v>
      </c>
      <c r="AW374" s="185" t="str">
        <f>_xlfn.IFNA(VLOOKUP($AH374,Programma!$F$3:$U$1101,16,0),"")</f>
        <v>1j</v>
      </c>
      <c r="AX374" s="185" t="str">
        <f>_xlfn.IFNA(VLOOKUP($AH374,Programma!$F$3:$V$1101,17,0),"")</f>
        <v>_</v>
      </c>
      <c r="AY374" s="185" t="str">
        <f>_xlfn.IFNA(VLOOKUP($AH374,Programma!$F$3:$W$1101,18,0),"")</f>
        <v>_</v>
      </c>
      <c r="AZ374" s="185" t="str">
        <f>_xlfn.IFNA(VLOOKUP($AH374,Programma!$F$3:$X$1101,19,0),"")</f>
        <v>_</v>
      </c>
      <c r="BA374" s="185" t="str">
        <f>_xlfn.IFNA(VLOOKUP($AH374,Programma!$F$3:$Y$1101,20,0),"")</f>
        <v>_</v>
      </c>
      <c r="BB374" s="182"/>
      <c r="BC374" s="181" t="str">
        <f>IF(Ruimtestaat[[#This Row],[Frequentie weekend]]="","",_xlfn.CONCAT(Ruimtestaat[[#This Row],[Ruimte code]],"-",Ruimtestaat[[#This Row],[Frequentie weekend]]," ",Ruimtestaat[[#This Row],[Vloer code]]))</f>
        <v/>
      </c>
      <c r="BD374" s="185" t="str">
        <f>_xlfn.IFNA(VLOOKUP($BC374,Programma!$F$3:$G$1101,2,0),"")</f>
        <v/>
      </c>
      <c r="BE374" s="185" t="str">
        <f>_xlfn.IFNA(VLOOKUP($BC374,Programma!$F$3:$H$1101,3,0),"")</f>
        <v/>
      </c>
      <c r="BF374" s="185" t="str">
        <f>_xlfn.IFNA(VLOOKUP($BC374,Programma!$F$3:$I$1101,4,0),"")</f>
        <v/>
      </c>
      <c r="BG374" s="185" t="str">
        <f>_xlfn.IFNA(VLOOKUP($BC374,Programma!$F$3:$J$1101,5,0),"")</f>
        <v/>
      </c>
      <c r="BH374" s="185" t="str">
        <f>_xlfn.IFNA(VLOOKUP($BC374,Programma!$F$3:$K$1101,6,0),"")</f>
        <v/>
      </c>
      <c r="BI374" s="185" t="str">
        <f>_xlfn.IFNA(VLOOKUP($BC374,Programma!$F$3:$L$1101,7,0),"")</f>
        <v/>
      </c>
      <c r="BJ374" s="185" t="str">
        <f>_xlfn.IFNA(VLOOKUP($BC374,Programma!$F$3:$M$1101,8,0),"")</f>
        <v/>
      </c>
      <c r="BK374" s="185" t="str">
        <f>_xlfn.IFNA(VLOOKUP($BC374,Programma!$F$3:$N$1101,9,0),"")</f>
        <v/>
      </c>
      <c r="BL374" s="185" t="str">
        <f>_xlfn.IFNA(VLOOKUP($BC374,Programma!$F$3:$O$1101,10,0),"")</f>
        <v/>
      </c>
      <c r="BM374" s="185" t="str">
        <f>_xlfn.IFNA(VLOOKUP($BC374,Programma!$F$3:$P$1101,11,0),"")</f>
        <v/>
      </c>
      <c r="BN374" s="185" t="str">
        <f>_xlfn.IFNA(VLOOKUP($BC374,Programma!$F$3:$Q$1101,12,0),"")</f>
        <v/>
      </c>
      <c r="BO374" s="185" t="str">
        <f>_xlfn.IFNA(VLOOKUP($BC374,Programma!$F$3:$R$1101,13,0),"")</f>
        <v/>
      </c>
      <c r="BP374" s="185" t="str">
        <f>_xlfn.IFNA(VLOOKUP($BC374,Programma!$F$3:$S$1101,14,0),"")</f>
        <v/>
      </c>
      <c r="BQ374" s="185" t="str">
        <f>_xlfn.IFNA(VLOOKUP($BC374,Programma!$F$3:$T$1101,15,0),"")</f>
        <v/>
      </c>
      <c r="BR374" s="185" t="str">
        <f>_xlfn.IFNA(VLOOKUP($BC374,Programma!$F$3:$U$1101,16,0),"")</f>
        <v/>
      </c>
      <c r="BS374" s="185" t="str">
        <f>_xlfn.IFNA(VLOOKUP($BC374,Programma!$F$3:$V$1101,17,0),"")</f>
        <v/>
      </c>
      <c r="BT374" s="185" t="str">
        <f>_xlfn.IFNA(VLOOKUP($BC374,Programma!$F$3:$W$1101,18,0),"")</f>
        <v/>
      </c>
      <c r="BU374" s="185" t="str">
        <f>_xlfn.IFNA(VLOOKUP($BC374,Programma!$F$3:$X$1101,19,0),"")</f>
        <v/>
      </c>
      <c r="BV374" s="185" t="str">
        <f>_xlfn.IFNA(VLOOKUP($BC374,Programma!$F$3:$Y$1101,20,0),"")</f>
        <v/>
      </c>
    </row>
    <row r="375" spans="1:74" s="78" customFormat="1" ht="15" customHeight="1">
      <c r="A375" s="99">
        <v>11</v>
      </c>
      <c r="B375" s="176" t="str">
        <f>VLOOKUP(Ruimtestaat[[#This Row],[Code]],Locaties[[Code]:[Locatie]],2,FALSE)</f>
        <v>OMBS De Wielerbaan</v>
      </c>
      <c r="C375" s="176" t="str">
        <f>VLOOKUP(Ruimtestaat[[#This Row],[Code]],Locaties[[#All],[Code]:[Adres]],4,FALSE)</f>
        <v>Batshoek 5</v>
      </c>
      <c r="D375" s="176" t="str">
        <f>VLOOKUP(Ruimtestaat[[#This Row],[Code]],Locaties[[#All],[Code]:[Postcode]],5,FALSE)</f>
        <v>7546 LC</v>
      </c>
      <c r="E375" s="176" t="str">
        <f>VLOOKUP(Ruimtestaat[[#This Row],[Code]],Locaties[#All],6,FALSE)</f>
        <v>Enschede</v>
      </c>
      <c r="F375" s="183"/>
      <c r="G375" s="99" t="s">
        <v>1646</v>
      </c>
      <c r="H375" s="99" t="s">
        <v>1696</v>
      </c>
      <c r="I375" s="183" t="s">
        <v>1681</v>
      </c>
      <c r="J375" s="99">
        <v>6</v>
      </c>
      <c r="K375" s="183" t="str">
        <f>VLOOKUP(Ruimtestaat[[#This Row],[Ruimte code]],Ruimtegroepen[[#All],[Code]:[Ruimte omschrijving]],2,FALSE)</f>
        <v>Gangen/hallen</v>
      </c>
      <c r="L375" s="149" t="s">
        <v>100</v>
      </c>
      <c r="M375" s="301" t="s">
        <v>1697</v>
      </c>
      <c r="N375" s="177">
        <v>363</v>
      </c>
      <c r="O375" s="177"/>
      <c r="P375" s="178" t="str">
        <f>VLOOKUP(Ruimtestaat[[#This Row],[Ruimte code]],Ruimtegroepen[],4,FALSE)</f>
        <v>Ve</v>
      </c>
      <c r="Q375" s="149">
        <v>40</v>
      </c>
      <c r="R375" s="149" t="s">
        <v>2</v>
      </c>
      <c r="S375" s="149">
        <f>IF(Q375&gt;0,IF(RIGHT(Ruimtestaat[[#This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5" s="149">
        <f>IF(S375&gt;0,VLOOKUP($J375,Ruimtegroepen[],3,FALSE)*VLOOKUP($L375,Vloersoorten[],3,FALSE)*VLOOKUP($R375,Frequenties[],3,FALSE)*VLOOKUP($A375,Locaties[],3,FALSE),0)</f>
        <v>0</v>
      </c>
      <c r="U375" s="149">
        <f>Ruimtestaat[[#This Row],[Uitvoeringen werkdagen]]*Ruimtestaat[[#This Row],[Oppervlak (netto)]]</f>
        <v>72600</v>
      </c>
      <c r="V375" s="179">
        <f>IF(T375&gt;0,Ruimtestaat[[#This Row],[Prest. (m2 /jaar) werkdagen]]/Ruimtestaat[[#This Row],[Norm (m2/uur) werkdagen]],0)</f>
        <v>0</v>
      </c>
      <c r="W375" s="180">
        <f>Ruimtestaat[[#This Row],[uren / jaar werkdagen]]*Tariefsopbouw!$E$35</f>
        <v>0</v>
      </c>
      <c r="X375" s="149"/>
      <c r="Y375" s="149">
        <f>IF(Ruimtestaat[[#This Row],[Frequentie weekend]]&gt;0,VALUE(LEFT(X375,1))*Q375,0)</f>
        <v>0</v>
      </c>
      <c r="Z375" s="148">
        <f>IF($Y375&gt;0,VLOOKUP($J375,Ruimtegroepen[],3,FALSE)*VLOOKUP($L375,Vloersoorten[],3,FALSE)*VLOOKUP($X375,Frequenties[],3,FALSE)*VLOOKUP(Ruimtestaat[[#This Row],[Code]],Locaties[],3,FALSE),0)</f>
        <v>0</v>
      </c>
      <c r="AA375" s="148">
        <f>Ruimtestaat[[#This Row],[Uitvoeringen weekend]]*Ruimtestaat[[#This Row],[Oppervlak (netto)]]</f>
        <v>0</v>
      </c>
      <c r="AB375" s="148">
        <f>IF(Z375&gt;0,Ruimtestaat[[#This Row],[Prest. (m2 /jaar) weekend]]/Ruimtestaat[[#This Row],[Norm (m2/uur) weekend]],0)</f>
        <v>0</v>
      </c>
      <c r="AC375" s="180">
        <f>Ruimtestaat[[#This Row],[uren / jaar weekend]]*Tariefsopbouw!$D$40</f>
        <v>0</v>
      </c>
      <c r="AD375" s="179">
        <f>Ruimtestaat[[#This Row],[Prest. (m2 /jaar) weekend]]+Ruimtestaat[[#This Row],[Prest. (m2 /jaar) werkdagen]]</f>
        <v>72600</v>
      </c>
      <c r="AE375" s="179">
        <f>Ruimtestaat[[#This Row],[uren / jaar weekend]]+Ruimtestaat[[#This Row],[uren / jaar werkdagen]]</f>
        <v>0</v>
      </c>
      <c r="AF375" s="174">
        <f>Ruimtestaat[[#This Row],[kosten / jaar weekend]]+Ruimtestaat[[#This Row],[kosten / jaar werkdagen]]</f>
        <v>0</v>
      </c>
      <c r="AG375" s="174"/>
      <c r="AH375" s="181" t="str">
        <f>IF(Ruimtestaat[[#This Row],[Frequentie werkdagen]]="","",_xlfn.CONCAT(Ruimtestaat[[#This Row],[Ruimte code]],"-",Ruimtestaat[[#This Row],[Frequentie werkdagen]]," ",Ruimtestaat[[#This Row],[Vloer code]]))</f>
        <v>6-5w L</v>
      </c>
      <c r="AI375" s="185" t="str">
        <f>_xlfn.IFNA(VLOOKUP($AH375,Programma!$F$3:$G$1101,2,0),"")</f>
        <v>_</v>
      </c>
      <c r="AJ375" s="185" t="str">
        <f>_xlfn.IFNA(VLOOKUP($AH375,Programma!$F$3:$H$1101,3,0),"")</f>
        <v>_</v>
      </c>
      <c r="AK375" s="185" t="str">
        <f>_xlfn.IFNA(VLOOKUP($AH375,Programma!$F$3:$I$1101,4,0),"")</f>
        <v>_</v>
      </c>
      <c r="AL375" s="185" t="str">
        <f>_xlfn.IFNA(VLOOKUP($AH375,Programma!$F$3:$J$1101,5,0),"")</f>
        <v>5w</v>
      </c>
      <c r="AM375" s="185" t="str">
        <f>_xlfn.IFNA(VLOOKUP($AH375,Programma!$F$3:$K$1101,6,0),"")</f>
        <v>_</v>
      </c>
      <c r="AN375" s="185" t="str">
        <f>_xlfn.IFNA(VLOOKUP($AH375,Programma!$F$3:$L$1101,7,0),"")</f>
        <v>_</v>
      </c>
      <c r="AO375" s="185" t="str">
        <f>_xlfn.IFNA(VLOOKUP($AH375,Programma!$F$3:$M$1101,8,0),"")</f>
        <v>_</v>
      </c>
      <c r="AP375" s="185" t="str">
        <f>_xlfn.IFNA(VLOOKUP($AH375,Programma!$F$3:$N$1101,9,0),"")</f>
        <v>_</v>
      </c>
      <c r="AQ375" s="185" t="str">
        <f>_xlfn.IFNA(VLOOKUP($AH375,Programma!$F$3:$O$1101,10,0),"")</f>
        <v>5w</v>
      </c>
      <c r="AR375" s="185" t="str">
        <f>_xlfn.IFNA(VLOOKUP($AH375,Programma!$F$3:$P$1101,11,0),"")</f>
        <v>5w</v>
      </c>
      <c r="AS375" s="185" t="str">
        <f>_xlfn.IFNA(VLOOKUP($AH375,Programma!$F$3:$Q$1101,12,0),"")</f>
        <v>1w</v>
      </c>
      <c r="AT375" s="185" t="str">
        <f>_xlfn.IFNA(VLOOKUP($AH375,Programma!$F$3:$R$1101,13,0),"")</f>
        <v>1w</v>
      </c>
      <c r="AU375" s="185" t="str">
        <f>_xlfn.IFNA(VLOOKUP($AH375,Programma!$F$3:$S$1101,14,0),"")</f>
        <v>1m</v>
      </c>
      <c r="AV375" s="185" t="str">
        <f>_xlfn.IFNA(VLOOKUP($AH375,Programma!$F$3:$T$1101,15,0),"")</f>
        <v>2j</v>
      </c>
      <c r="AW375" s="185" t="str">
        <f>_xlfn.IFNA(VLOOKUP($AH375,Programma!$F$3:$U$1101,16,0),"")</f>
        <v>1j</v>
      </c>
      <c r="AX375" s="185" t="str">
        <f>_xlfn.IFNA(VLOOKUP($AH375,Programma!$F$3:$V$1101,17,0),"")</f>
        <v>_</v>
      </c>
      <c r="AY375" s="185" t="str">
        <f>_xlfn.IFNA(VLOOKUP($AH375,Programma!$F$3:$W$1101,18,0),"")</f>
        <v>_</v>
      </c>
      <c r="AZ375" s="185" t="str">
        <f>_xlfn.IFNA(VLOOKUP($AH375,Programma!$F$3:$X$1101,19,0),"")</f>
        <v>_</v>
      </c>
      <c r="BA375" s="185" t="str">
        <f>_xlfn.IFNA(VLOOKUP($AH375,Programma!$F$3:$Y$1101,20,0),"")</f>
        <v>_</v>
      </c>
      <c r="BB375" s="182"/>
      <c r="BC375" s="181" t="str">
        <f>IF(Ruimtestaat[[#This Row],[Frequentie weekend]]="","",_xlfn.CONCAT(Ruimtestaat[[#This Row],[Ruimte code]],"-",Ruimtestaat[[#This Row],[Frequentie weekend]]," ",Ruimtestaat[[#This Row],[Vloer code]]))</f>
        <v/>
      </c>
      <c r="BD375" s="185" t="str">
        <f>_xlfn.IFNA(VLOOKUP($BC375,Programma!$F$3:$G$1101,2,0),"")</f>
        <v/>
      </c>
      <c r="BE375" s="185" t="str">
        <f>_xlfn.IFNA(VLOOKUP($BC375,Programma!$F$3:$H$1101,3,0),"")</f>
        <v/>
      </c>
      <c r="BF375" s="185" t="str">
        <f>_xlfn.IFNA(VLOOKUP($BC375,Programma!$F$3:$I$1101,4,0),"")</f>
        <v/>
      </c>
      <c r="BG375" s="185" t="str">
        <f>_xlfn.IFNA(VLOOKUP($BC375,Programma!$F$3:$J$1101,5,0),"")</f>
        <v/>
      </c>
      <c r="BH375" s="185" t="str">
        <f>_xlfn.IFNA(VLOOKUP($BC375,Programma!$F$3:$K$1101,6,0),"")</f>
        <v/>
      </c>
      <c r="BI375" s="185" t="str">
        <f>_xlfn.IFNA(VLOOKUP($BC375,Programma!$F$3:$L$1101,7,0),"")</f>
        <v/>
      </c>
      <c r="BJ375" s="185" t="str">
        <f>_xlfn.IFNA(VLOOKUP($BC375,Programma!$F$3:$M$1101,8,0),"")</f>
        <v/>
      </c>
      <c r="BK375" s="185" t="str">
        <f>_xlfn.IFNA(VLOOKUP($BC375,Programma!$F$3:$N$1101,9,0),"")</f>
        <v/>
      </c>
      <c r="BL375" s="185" t="str">
        <f>_xlfn.IFNA(VLOOKUP($BC375,Programma!$F$3:$O$1101,10,0),"")</f>
        <v/>
      </c>
      <c r="BM375" s="185" t="str">
        <f>_xlfn.IFNA(VLOOKUP($BC375,Programma!$F$3:$P$1101,11,0),"")</f>
        <v/>
      </c>
      <c r="BN375" s="185" t="str">
        <f>_xlfn.IFNA(VLOOKUP($BC375,Programma!$F$3:$Q$1101,12,0),"")</f>
        <v/>
      </c>
      <c r="BO375" s="185" t="str">
        <f>_xlfn.IFNA(VLOOKUP($BC375,Programma!$F$3:$R$1101,13,0),"")</f>
        <v/>
      </c>
      <c r="BP375" s="185" t="str">
        <f>_xlfn.IFNA(VLOOKUP($BC375,Programma!$F$3:$S$1101,14,0),"")</f>
        <v/>
      </c>
      <c r="BQ375" s="185" t="str">
        <f>_xlfn.IFNA(VLOOKUP($BC375,Programma!$F$3:$T$1101,15,0),"")</f>
        <v/>
      </c>
      <c r="BR375" s="185" t="str">
        <f>_xlfn.IFNA(VLOOKUP($BC375,Programma!$F$3:$U$1101,16,0),"")</f>
        <v/>
      </c>
      <c r="BS375" s="185" t="str">
        <f>_xlfn.IFNA(VLOOKUP($BC375,Programma!$F$3:$V$1101,17,0),"")</f>
        <v/>
      </c>
      <c r="BT375" s="185" t="str">
        <f>_xlfn.IFNA(VLOOKUP($BC375,Programma!$F$3:$W$1101,18,0),"")</f>
        <v/>
      </c>
      <c r="BU375" s="185" t="str">
        <f>_xlfn.IFNA(VLOOKUP($BC375,Programma!$F$3:$X$1101,19,0),"")</f>
        <v/>
      </c>
      <c r="BV375" s="185" t="str">
        <f>_xlfn.IFNA(VLOOKUP($BC375,Programma!$F$3:$Y$1101,20,0),"")</f>
        <v/>
      </c>
    </row>
    <row r="376" spans="1:74" s="78" customFormat="1" ht="15" customHeight="1">
      <c r="A376" s="99">
        <v>11</v>
      </c>
      <c r="B376" s="176" t="str">
        <f>VLOOKUP(Ruimtestaat[[#This Row],[Code]],Locaties[[Code]:[Locatie]],2,FALSE)</f>
        <v>OMBS De Wielerbaan</v>
      </c>
      <c r="C376" s="176" t="str">
        <f>VLOOKUP(Ruimtestaat[[#This Row],[Code]],Locaties[[#All],[Code]:[Adres]],4,FALSE)</f>
        <v>Batshoek 5</v>
      </c>
      <c r="D376" s="176" t="str">
        <f>VLOOKUP(Ruimtestaat[[#This Row],[Code]],Locaties[[#All],[Code]:[Postcode]],5,FALSE)</f>
        <v>7546 LC</v>
      </c>
      <c r="E376" s="176" t="str">
        <f>VLOOKUP(Ruimtestaat[[#This Row],[Code]],Locaties[#All],6,FALSE)</f>
        <v>Enschede</v>
      </c>
      <c r="F376" s="183"/>
      <c r="G376" s="99" t="s">
        <v>1796</v>
      </c>
      <c r="H376" s="99" t="s">
        <v>1703</v>
      </c>
      <c r="I376" s="183" t="s">
        <v>38</v>
      </c>
      <c r="J376" s="99">
        <v>7</v>
      </c>
      <c r="K376" s="183" t="str">
        <f>VLOOKUP(Ruimtestaat[[#This Row],[Ruimte code]],Ruimtegroepen[[#All],[Code]:[Ruimte omschrijving]],2,FALSE)</f>
        <v>Entree</v>
      </c>
      <c r="L376" s="149" t="s">
        <v>99</v>
      </c>
      <c r="M376" s="301" t="s">
        <v>36</v>
      </c>
      <c r="N376" s="177">
        <v>11.6</v>
      </c>
      <c r="O376" s="177"/>
      <c r="P376" s="178" t="str">
        <f>VLOOKUP(Ruimtestaat[[#This Row],[Ruimte code]],Ruimtegroepen[],4,FALSE)</f>
        <v>Ve</v>
      </c>
      <c r="Q376" s="149">
        <v>40</v>
      </c>
      <c r="R376" s="149" t="s">
        <v>2</v>
      </c>
      <c r="S376" s="149">
        <f>IF(Q376&gt;0,IF(RIGHT(Ruimtestaat[[#This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6" s="149">
        <f>IF(S376&gt;0,VLOOKUP($J376,Ruimtegroepen[],3,FALSE)*VLOOKUP($L376,Vloersoorten[],3,FALSE)*VLOOKUP($R376,Frequenties[],3,FALSE)*VLOOKUP($A376,Locaties[],3,FALSE),0)</f>
        <v>0</v>
      </c>
      <c r="U376" s="149">
        <f>Ruimtestaat[[#This Row],[Uitvoeringen werkdagen]]*Ruimtestaat[[#This Row],[Oppervlak (netto)]]</f>
        <v>2320</v>
      </c>
      <c r="V376" s="179">
        <f>IF(T376&gt;0,Ruimtestaat[[#This Row],[Prest. (m2 /jaar) werkdagen]]/Ruimtestaat[[#This Row],[Norm (m2/uur) werkdagen]],0)</f>
        <v>0</v>
      </c>
      <c r="W376" s="180">
        <f>Ruimtestaat[[#This Row],[uren / jaar werkdagen]]*Tariefsopbouw!$E$35</f>
        <v>0</v>
      </c>
      <c r="X376" s="149"/>
      <c r="Y376" s="149">
        <f>IF(Ruimtestaat[[#This Row],[Frequentie weekend]]&gt;0,VALUE(LEFT(X376,1))*Q376,0)</f>
        <v>0</v>
      </c>
      <c r="Z376" s="148">
        <f>IF($Y376&gt;0,VLOOKUP($J376,Ruimtegroepen[],3,FALSE)*VLOOKUP($L376,Vloersoorten[],3,FALSE)*VLOOKUP($X376,Frequenties[],3,FALSE)*VLOOKUP(Ruimtestaat[[#This Row],[Code]],Locaties[],3,FALSE),0)</f>
        <v>0</v>
      </c>
      <c r="AA376" s="148">
        <f>Ruimtestaat[[#This Row],[Uitvoeringen weekend]]*Ruimtestaat[[#This Row],[Oppervlak (netto)]]</f>
        <v>0</v>
      </c>
      <c r="AB376" s="148">
        <f>IF(Z376&gt;0,Ruimtestaat[[#This Row],[Prest. (m2 /jaar) weekend]]/Ruimtestaat[[#This Row],[Norm (m2/uur) weekend]],0)</f>
        <v>0</v>
      </c>
      <c r="AC376" s="180">
        <f>Ruimtestaat[[#This Row],[uren / jaar weekend]]*Tariefsopbouw!$D$40</f>
        <v>0</v>
      </c>
      <c r="AD376" s="179">
        <f>Ruimtestaat[[#This Row],[Prest. (m2 /jaar) weekend]]+Ruimtestaat[[#This Row],[Prest. (m2 /jaar) werkdagen]]</f>
        <v>2320</v>
      </c>
      <c r="AE376" s="179">
        <f>Ruimtestaat[[#This Row],[uren / jaar weekend]]+Ruimtestaat[[#This Row],[uren / jaar werkdagen]]</f>
        <v>0</v>
      </c>
      <c r="AF376" s="174">
        <f>Ruimtestaat[[#This Row],[kosten / jaar weekend]]+Ruimtestaat[[#This Row],[kosten / jaar werkdagen]]</f>
        <v>0</v>
      </c>
      <c r="AG376" s="174"/>
      <c r="AH376" s="181" t="str">
        <f>IF(Ruimtestaat[[#This Row],[Frequentie werkdagen]]="","",_xlfn.CONCAT(Ruimtestaat[[#This Row],[Ruimte code]],"-",Ruimtestaat[[#This Row],[Frequentie werkdagen]]," ",Ruimtestaat[[#This Row],[Vloer code]]))</f>
        <v>7-5w T</v>
      </c>
      <c r="AI376" s="185" t="str">
        <f>_xlfn.IFNA(VLOOKUP($AH376,Programma!$F$3:$G$1101,2,0),"")</f>
        <v>_</v>
      </c>
      <c r="AJ376" s="185" t="str">
        <f>_xlfn.IFNA(VLOOKUP($AH376,Programma!$F$3:$H$1101,3,0),"")</f>
        <v>5w</v>
      </c>
      <c r="AK376" s="185" t="str">
        <f>_xlfn.IFNA(VLOOKUP($AH376,Programma!$F$3:$I$1101,4,0),"")</f>
        <v>_</v>
      </c>
      <c r="AL376" s="185" t="str">
        <f>_xlfn.IFNA(VLOOKUP($AH376,Programma!$F$3:$J$1101,5,0),"")</f>
        <v>_</v>
      </c>
      <c r="AM376" s="185" t="str">
        <f>_xlfn.IFNA(VLOOKUP($AH376,Programma!$F$3:$K$1101,6,0),"")</f>
        <v>_</v>
      </c>
      <c r="AN376" s="185" t="str">
        <f>_xlfn.IFNA(VLOOKUP($AH376,Programma!$F$3:$L$1101,7,0),"")</f>
        <v>_</v>
      </c>
      <c r="AO376" s="185" t="str">
        <f>_xlfn.IFNA(VLOOKUP($AH376,Programma!$F$3:$M$1101,8,0),"")</f>
        <v>_</v>
      </c>
      <c r="AP376" s="185" t="str">
        <f>_xlfn.IFNA(VLOOKUP($AH376,Programma!$F$3:$N$1101,9,0),"")</f>
        <v>_</v>
      </c>
      <c r="AQ376" s="185" t="str">
        <f>_xlfn.IFNA(VLOOKUP($AH376,Programma!$F$3:$O$1101,10,0),"")</f>
        <v>5w</v>
      </c>
      <c r="AR376" s="185" t="str">
        <f>_xlfn.IFNA(VLOOKUP($AH376,Programma!$F$3:$P$1101,11,0),"")</f>
        <v>5w</v>
      </c>
      <c r="AS376" s="185" t="str">
        <f>_xlfn.IFNA(VLOOKUP($AH376,Programma!$F$3:$Q$1101,12,0),"")</f>
        <v>1w</v>
      </c>
      <c r="AT376" s="185" t="str">
        <f>_xlfn.IFNA(VLOOKUP($AH376,Programma!$F$3:$R$1101,13,0),"")</f>
        <v>1w</v>
      </c>
      <c r="AU376" s="185" t="str">
        <f>_xlfn.IFNA(VLOOKUP($AH376,Programma!$F$3:$S$1101,14,0),"")</f>
        <v>1m</v>
      </c>
      <c r="AV376" s="185" t="str">
        <f>_xlfn.IFNA(VLOOKUP($AH376,Programma!$F$3:$T$1101,15,0),"")</f>
        <v>2j</v>
      </c>
      <c r="AW376" s="185" t="str">
        <f>_xlfn.IFNA(VLOOKUP($AH376,Programma!$F$3:$U$1101,16,0),"")</f>
        <v>1j</v>
      </c>
      <c r="AX376" s="185" t="str">
        <f>_xlfn.IFNA(VLOOKUP($AH376,Programma!$F$3:$V$1101,17,0),"")</f>
        <v>_</v>
      </c>
      <c r="AY376" s="185" t="str">
        <f>_xlfn.IFNA(VLOOKUP($AH376,Programma!$F$3:$W$1101,18,0),"")</f>
        <v>_</v>
      </c>
      <c r="AZ376" s="185" t="str">
        <f>_xlfn.IFNA(VLOOKUP($AH376,Programma!$F$3:$X$1101,19,0),"")</f>
        <v>_</v>
      </c>
      <c r="BA376" s="185" t="str">
        <f>_xlfn.IFNA(VLOOKUP($AH376,Programma!$F$3:$Y$1101,20,0),"")</f>
        <v>_</v>
      </c>
      <c r="BB376" s="182"/>
      <c r="BC376" s="181" t="str">
        <f>IF(Ruimtestaat[[#This Row],[Frequentie weekend]]="","",_xlfn.CONCAT(Ruimtestaat[[#This Row],[Ruimte code]],"-",Ruimtestaat[[#This Row],[Frequentie weekend]]," ",Ruimtestaat[[#This Row],[Vloer code]]))</f>
        <v/>
      </c>
      <c r="BD376" s="185" t="str">
        <f>_xlfn.IFNA(VLOOKUP($BC376,Programma!$F$3:$G$1101,2,0),"")</f>
        <v/>
      </c>
      <c r="BE376" s="185" t="str">
        <f>_xlfn.IFNA(VLOOKUP($BC376,Programma!$F$3:$H$1101,3,0),"")</f>
        <v/>
      </c>
      <c r="BF376" s="185" t="str">
        <f>_xlfn.IFNA(VLOOKUP($BC376,Programma!$F$3:$I$1101,4,0),"")</f>
        <v/>
      </c>
      <c r="BG376" s="185" t="str">
        <f>_xlfn.IFNA(VLOOKUP($BC376,Programma!$F$3:$J$1101,5,0),"")</f>
        <v/>
      </c>
      <c r="BH376" s="185" t="str">
        <f>_xlfn.IFNA(VLOOKUP($BC376,Programma!$F$3:$K$1101,6,0),"")</f>
        <v/>
      </c>
      <c r="BI376" s="185" t="str">
        <f>_xlfn.IFNA(VLOOKUP($BC376,Programma!$F$3:$L$1101,7,0),"")</f>
        <v/>
      </c>
      <c r="BJ376" s="185" t="str">
        <f>_xlfn.IFNA(VLOOKUP($BC376,Programma!$F$3:$M$1101,8,0),"")</f>
        <v/>
      </c>
      <c r="BK376" s="185" t="str">
        <f>_xlfn.IFNA(VLOOKUP($BC376,Programma!$F$3:$N$1101,9,0),"")</f>
        <v/>
      </c>
      <c r="BL376" s="185" t="str">
        <f>_xlfn.IFNA(VLOOKUP($BC376,Programma!$F$3:$O$1101,10,0),"")</f>
        <v/>
      </c>
      <c r="BM376" s="185" t="str">
        <f>_xlfn.IFNA(VLOOKUP($BC376,Programma!$F$3:$P$1101,11,0),"")</f>
        <v/>
      </c>
      <c r="BN376" s="185" t="str">
        <f>_xlfn.IFNA(VLOOKUP($BC376,Programma!$F$3:$Q$1101,12,0),"")</f>
        <v/>
      </c>
      <c r="BO376" s="185" t="str">
        <f>_xlfn.IFNA(VLOOKUP($BC376,Programma!$F$3:$R$1101,13,0),"")</f>
        <v/>
      </c>
      <c r="BP376" s="185" t="str">
        <f>_xlfn.IFNA(VLOOKUP($BC376,Programma!$F$3:$S$1101,14,0),"")</f>
        <v/>
      </c>
      <c r="BQ376" s="185" t="str">
        <f>_xlfn.IFNA(VLOOKUP($BC376,Programma!$F$3:$T$1101,15,0),"")</f>
        <v/>
      </c>
      <c r="BR376" s="185" t="str">
        <f>_xlfn.IFNA(VLOOKUP($BC376,Programma!$F$3:$U$1101,16,0),"")</f>
        <v/>
      </c>
      <c r="BS376" s="185" t="str">
        <f>_xlfn.IFNA(VLOOKUP($BC376,Programma!$F$3:$V$1101,17,0),"")</f>
        <v/>
      </c>
      <c r="BT376" s="185" t="str">
        <f>_xlfn.IFNA(VLOOKUP($BC376,Programma!$F$3:$W$1101,18,0),"")</f>
        <v/>
      </c>
      <c r="BU376" s="185" t="str">
        <f>_xlfn.IFNA(VLOOKUP($BC376,Programma!$F$3:$X$1101,19,0),"")</f>
        <v/>
      </c>
      <c r="BV376" s="185" t="str">
        <f>_xlfn.IFNA(VLOOKUP($BC376,Programma!$F$3:$Y$1101,20,0),"")</f>
        <v/>
      </c>
    </row>
    <row r="377" spans="1:74" s="78" customFormat="1" ht="15" customHeight="1">
      <c r="A377" s="99">
        <v>11</v>
      </c>
      <c r="B377" s="176" t="str">
        <f>VLOOKUP(Ruimtestaat[[#This Row],[Code]],Locaties[[Code]:[Locatie]],2,FALSE)</f>
        <v>OMBS De Wielerbaan</v>
      </c>
      <c r="C377" s="176" t="str">
        <f>VLOOKUP(Ruimtestaat[[#This Row],[Code]],Locaties[[#All],[Code]:[Adres]],4,FALSE)</f>
        <v>Batshoek 5</v>
      </c>
      <c r="D377" s="176" t="str">
        <f>VLOOKUP(Ruimtestaat[[#This Row],[Code]],Locaties[[#All],[Code]:[Postcode]],5,FALSE)</f>
        <v>7546 LC</v>
      </c>
      <c r="E377" s="176" t="str">
        <f>VLOOKUP(Ruimtestaat[[#This Row],[Code]],Locaties[#All],6,FALSE)</f>
        <v>Enschede</v>
      </c>
      <c r="F377" s="183"/>
      <c r="G377" s="99" t="s">
        <v>1796</v>
      </c>
      <c r="H377" s="99" t="s">
        <v>1704</v>
      </c>
      <c r="I377" s="183" t="s">
        <v>1655</v>
      </c>
      <c r="J377" s="99">
        <v>5</v>
      </c>
      <c r="K377" s="183" t="str">
        <f>VLOOKUP(Ruimtestaat[[#This Row],[Ruimte code]],Ruimtegroepen[[#All],[Code]:[Ruimte omschrijving]],2,FALSE)</f>
        <v>Sanitair</v>
      </c>
      <c r="L377" s="99" t="s">
        <v>101</v>
      </c>
      <c r="M377" s="99" t="s">
        <v>119</v>
      </c>
      <c r="N377" s="177">
        <v>2.1</v>
      </c>
      <c r="O377" s="177"/>
      <c r="P377" s="178" t="str">
        <f>VLOOKUP(Ruimtestaat[[#This Row],[Ruimte code]],Ruimtegroepen[],4,FALSE)</f>
        <v>Sa</v>
      </c>
      <c r="Q377" s="149">
        <v>40</v>
      </c>
      <c r="R377" s="149" t="s">
        <v>2</v>
      </c>
      <c r="S377" s="149">
        <f>IF(Q377&gt;0,IF(RIGHT(Ruimtestaat[[#This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7" s="149">
        <f>IF(S377&gt;0,VLOOKUP($J377,Ruimtegroepen[],3,FALSE)*VLOOKUP($L377,Vloersoorten[],3,FALSE)*VLOOKUP($R377,Frequenties[],3,FALSE)*VLOOKUP($A377,Locaties[],3,FALSE),0)</f>
        <v>0</v>
      </c>
      <c r="U377" s="149">
        <f>Ruimtestaat[[#This Row],[Uitvoeringen werkdagen]]*Ruimtestaat[[#This Row],[Oppervlak (netto)]]</f>
        <v>420</v>
      </c>
      <c r="V377" s="179">
        <f>IF(T377&gt;0,Ruimtestaat[[#This Row],[Prest. (m2 /jaar) werkdagen]]/Ruimtestaat[[#This Row],[Norm (m2/uur) werkdagen]],0)</f>
        <v>0</v>
      </c>
      <c r="W377" s="180">
        <f>Ruimtestaat[[#This Row],[uren / jaar werkdagen]]*Tariefsopbouw!$E$35</f>
        <v>0</v>
      </c>
      <c r="X377" s="149"/>
      <c r="Y377" s="149">
        <f>IF(Ruimtestaat[[#This Row],[Frequentie weekend]]&gt;0,VALUE(LEFT(X377,1))*Q377,0)</f>
        <v>0</v>
      </c>
      <c r="Z377" s="148">
        <f>IF($Y377&gt;0,VLOOKUP($J377,Ruimtegroepen[],3,FALSE)*VLOOKUP($L377,Vloersoorten[],3,FALSE)*VLOOKUP($X377,Frequenties[],3,FALSE)*VLOOKUP(Ruimtestaat[[#This Row],[Code]],Locaties[],3,FALSE),0)</f>
        <v>0</v>
      </c>
      <c r="AA377" s="148">
        <f>Ruimtestaat[[#This Row],[Uitvoeringen weekend]]*Ruimtestaat[[#This Row],[Oppervlak (netto)]]</f>
        <v>0</v>
      </c>
      <c r="AB377" s="148">
        <f>IF(Z377&gt;0,Ruimtestaat[[#This Row],[Prest. (m2 /jaar) weekend]]/Ruimtestaat[[#This Row],[Norm (m2/uur) weekend]],0)</f>
        <v>0</v>
      </c>
      <c r="AC377" s="180">
        <f>Ruimtestaat[[#This Row],[uren / jaar weekend]]*Tariefsopbouw!$D$40</f>
        <v>0</v>
      </c>
      <c r="AD377" s="179">
        <f>Ruimtestaat[[#This Row],[Prest. (m2 /jaar) weekend]]+Ruimtestaat[[#This Row],[Prest. (m2 /jaar) werkdagen]]</f>
        <v>420</v>
      </c>
      <c r="AE377" s="179">
        <f>Ruimtestaat[[#This Row],[uren / jaar weekend]]+Ruimtestaat[[#This Row],[uren / jaar werkdagen]]</f>
        <v>0</v>
      </c>
      <c r="AF377" s="174">
        <f>Ruimtestaat[[#This Row],[kosten / jaar weekend]]+Ruimtestaat[[#This Row],[kosten / jaar werkdagen]]</f>
        <v>0</v>
      </c>
      <c r="AG377" s="174"/>
      <c r="AH377" s="181" t="str">
        <f>IF(Ruimtestaat[[#This Row],[Frequentie werkdagen]]="","",_xlfn.CONCAT(Ruimtestaat[[#This Row],[Ruimte code]],"-",Ruimtestaat[[#This Row],[Frequentie werkdagen]]," ",Ruimtestaat[[#This Row],[Vloer code]]))</f>
        <v>5-5w S</v>
      </c>
      <c r="AI377" s="185" t="str">
        <f>_xlfn.IFNA(VLOOKUP($AH377,Programma!$F$3:$G$1101,2,0),"")</f>
        <v>_</v>
      </c>
      <c r="AJ377" s="185" t="str">
        <f>_xlfn.IFNA(VLOOKUP($AH377,Programma!$F$3:$H$1101,3,0),"")</f>
        <v>_</v>
      </c>
      <c r="AK377" s="185" t="str">
        <f>_xlfn.IFNA(VLOOKUP($AH377,Programma!$F$3:$I$1101,4,0),"")</f>
        <v>_</v>
      </c>
      <c r="AL377" s="185" t="str">
        <f>_xlfn.IFNA(VLOOKUP($AH377,Programma!$F$3:$J$1101,5,0),"")</f>
        <v>4w</v>
      </c>
      <c r="AM377" s="185" t="str">
        <f>_xlfn.IFNA(VLOOKUP($AH377,Programma!$F$3:$K$1101,6,0),"")</f>
        <v>1w</v>
      </c>
      <c r="AN377" s="185" t="str">
        <f>_xlfn.IFNA(VLOOKUP($AH377,Programma!$F$3:$L$1101,7,0),"")</f>
        <v>_</v>
      </c>
      <c r="AO377" s="185" t="str">
        <f>_xlfn.IFNA(VLOOKUP($AH377,Programma!$F$3:$M$1101,8,0),"")</f>
        <v>_</v>
      </c>
      <c r="AP377" s="185" t="str">
        <f>_xlfn.IFNA(VLOOKUP($AH377,Programma!$F$3:$N$1101,9,0),"")</f>
        <v>_</v>
      </c>
      <c r="AQ377" s="185" t="str">
        <f>_xlfn.IFNA(VLOOKUP($AH377,Programma!$F$3:$O$1101,10,0),"")</f>
        <v>_</v>
      </c>
      <c r="AR377" s="185" t="str">
        <f>_xlfn.IFNA(VLOOKUP($AH377,Programma!$F$3:$P$1101,11,0),"")</f>
        <v>_</v>
      </c>
      <c r="AS377" s="185" t="str">
        <f>_xlfn.IFNA(VLOOKUP($AH377,Programma!$F$3:$Q$1101,12,0),"")</f>
        <v>_</v>
      </c>
      <c r="AT377" s="185" t="str">
        <f>_xlfn.IFNA(VLOOKUP($AH377,Programma!$F$3:$R$1101,13,0),"")</f>
        <v>_</v>
      </c>
      <c r="AU377" s="185" t="str">
        <f>_xlfn.IFNA(VLOOKUP($AH377,Programma!$F$3:$S$1101,14,0),"")</f>
        <v>_</v>
      </c>
      <c r="AV377" s="185" t="str">
        <f>_xlfn.IFNA(VLOOKUP($AH377,Programma!$F$3:$T$1101,15,0),"")</f>
        <v>_</v>
      </c>
      <c r="AW377" s="185" t="str">
        <f>_xlfn.IFNA(VLOOKUP($AH377,Programma!$F$3:$U$1101,16,0),"")</f>
        <v>_</v>
      </c>
      <c r="AX377" s="185" t="str">
        <f>_xlfn.IFNA(VLOOKUP($AH377,Programma!$F$3:$V$1101,17,0),"")</f>
        <v>_</v>
      </c>
      <c r="AY377" s="185" t="str">
        <f>_xlfn.IFNA(VLOOKUP($AH377,Programma!$F$3:$W$1101,18,0),"")</f>
        <v>4w</v>
      </c>
      <c r="AZ377" s="185" t="str">
        <f>_xlfn.IFNA(VLOOKUP($AH377,Programma!$F$3:$X$1101,19,0),"")</f>
        <v>1w</v>
      </c>
      <c r="BA377" s="185" t="str">
        <f>_xlfn.IFNA(VLOOKUP($AH377,Programma!$F$3:$Y$1101,20,0),"")</f>
        <v>_</v>
      </c>
      <c r="BB377" s="182"/>
      <c r="BC377" s="181" t="str">
        <f>IF(Ruimtestaat[[#This Row],[Frequentie weekend]]="","",_xlfn.CONCAT(Ruimtestaat[[#This Row],[Ruimte code]],"-",Ruimtestaat[[#This Row],[Frequentie weekend]]," ",Ruimtestaat[[#This Row],[Vloer code]]))</f>
        <v/>
      </c>
      <c r="BD377" s="185" t="str">
        <f>_xlfn.IFNA(VLOOKUP($BC377,Programma!$F$3:$G$1101,2,0),"")</f>
        <v/>
      </c>
      <c r="BE377" s="185" t="str">
        <f>_xlfn.IFNA(VLOOKUP($BC377,Programma!$F$3:$H$1101,3,0),"")</f>
        <v/>
      </c>
      <c r="BF377" s="185" t="str">
        <f>_xlfn.IFNA(VLOOKUP($BC377,Programma!$F$3:$I$1101,4,0),"")</f>
        <v/>
      </c>
      <c r="BG377" s="185" t="str">
        <f>_xlfn.IFNA(VLOOKUP($BC377,Programma!$F$3:$J$1101,5,0),"")</f>
        <v/>
      </c>
      <c r="BH377" s="185" t="str">
        <f>_xlfn.IFNA(VLOOKUP($BC377,Programma!$F$3:$K$1101,6,0),"")</f>
        <v/>
      </c>
      <c r="BI377" s="185" t="str">
        <f>_xlfn.IFNA(VLOOKUP($BC377,Programma!$F$3:$L$1101,7,0),"")</f>
        <v/>
      </c>
      <c r="BJ377" s="185" t="str">
        <f>_xlfn.IFNA(VLOOKUP($BC377,Programma!$F$3:$M$1101,8,0),"")</f>
        <v/>
      </c>
      <c r="BK377" s="185" t="str">
        <f>_xlfn.IFNA(VLOOKUP($BC377,Programma!$F$3:$N$1101,9,0),"")</f>
        <v/>
      </c>
      <c r="BL377" s="185" t="str">
        <f>_xlfn.IFNA(VLOOKUP($BC377,Programma!$F$3:$O$1101,10,0),"")</f>
        <v/>
      </c>
      <c r="BM377" s="185" t="str">
        <f>_xlfn.IFNA(VLOOKUP($BC377,Programma!$F$3:$P$1101,11,0),"")</f>
        <v/>
      </c>
      <c r="BN377" s="185" t="str">
        <f>_xlfn.IFNA(VLOOKUP($BC377,Programma!$F$3:$Q$1101,12,0),"")</f>
        <v/>
      </c>
      <c r="BO377" s="185" t="str">
        <f>_xlfn.IFNA(VLOOKUP($BC377,Programma!$F$3:$R$1101,13,0),"")</f>
        <v/>
      </c>
      <c r="BP377" s="185" t="str">
        <f>_xlfn.IFNA(VLOOKUP($BC377,Programma!$F$3:$S$1101,14,0),"")</f>
        <v/>
      </c>
      <c r="BQ377" s="185" t="str">
        <f>_xlfn.IFNA(VLOOKUP($BC377,Programma!$F$3:$T$1101,15,0),"")</f>
        <v/>
      </c>
      <c r="BR377" s="185" t="str">
        <f>_xlfn.IFNA(VLOOKUP($BC377,Programma!$F$3:$U$1101,16,0),"")</f>
        <v/>
      </c>
      <c r="BS377" s="185" t="str">
        <f>_xlfn.IFNA(VLOOKUP($BC377,Programma!$F$3:$V$1101,17,0),"")</f>
        <v/>
      </c>
      <c r="BT377" s="185" t="str">
        <f>_xlfn.IFNA(VLOOKUP($BC377,Programma!$F$3:$W$1101,18,0),"")</f>
        <v/>
      </c>
      <c r="BU377" s="185" t="str">
        <f>_xlfn.IFNA(VLOOKUP($BC377,Programma!$F$3:$X$1101,19,0),"")</f>
        <v/>
      </c>
      <c r="BV377" s="185" t="str">
        <f>_xlfn.IFNA(VLOOKUP($BC377,Programma!$F$3:$Y$1101,20,0),"")</f>
        <v/>
      </c>
    </row>
    <row r="378" spans="1:74" s="78" customFormat="1" ht="15" customHeight="1">
      <c r="A378" s="99">
        <v>11</v>
      </c>
      <c r="B378" s="176" t="str">
        <f>VLOOKUP(Ruimtestaat[[#This Row],[Code]],Locaties[[Code]:[Locatie]],2,FALSE)</f>
        <v>OMBS De Wielerbaan</v>
      </c>
      <c r="C378" s="176" t="str">
        <f>VLOOKUP(Ruimtestaat[[#This Row],[Code]],Locaties[[#All],[Code]:[Adres]],4,FALSE)</f>
        <v>Batshoek 5</v>
      </c>
      <c r="D378" s="176" t="str">
        <f>VLOOKUP(Ruimtestaat[[#This Row],[Code]],Locaties[[#All],[Code]:[Postcode]],5,FALSE)</f>
        <v>7546 LC</v>
      </c>
      <c r="E378" s="176" t="str">
        <f>VLOOKUP(Ruimtestaat[[#This Row],[Code]],Locaties[#All],6,FALSE)</f>
        <v>Enschede</v>
      </c>
      <c r="F378" s="183"/>
      <c r="G378" s="99" t="s">
        <v>1796</v>
      </c>
      <c r="H378" s="99" t="s">
        <v>1705</v>
      </c>
      <c r="I378" s="183" t="s">
        <v>1651</v>
      </c>
      <c r="J378" s="99">
        <v>16</v>
      </c>
      <c r="K378" s="183" t="str">
        <f>VLOOKUP(Ruimtestaat[[#This Row],[Ruimte code]],Ruimtegroepen[[#All],[Code]:[Ruimte omschrijving]],2,FALSE)</f>
        <v>Leslokalen</v>
      </c>
      <c r="L378" s="99" t="s">
        <v>100</v>
      </c>
      <c r="M378" s="99" t="s">
        <v>1697</v>
      </c>
      <c r="N378" s="177">
        <v>54</v>
      </c>
      <c r="O378" s="177"/>
      <c r="P378" s="178" t="str">
        <f>VLOOKUP(Ruimtestaat[[#This Row],[Ruimte code]],Ruimtegroepen[],4,FALSE)</f>
        <v>Le</v>
      </c>
      <c r="Q378" s="149">
        <v>40</v>
      </c>
      <c r="R378" s="149" t="s">
        <v>2</v>
      </c>
      <c r="S378" s="149">
        <f>IF(Q378&gt;0,IF(RIGHT(Ruimtestaat[[#This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8" s="149">
        <f>IF(S378&gt;0,VLOOKUP($J378,Ruimtegroepen[],3,FALSE)*VLOOKUP($L378,Vloersoorten[],3,FALSE)*VLOOKUP($R378,Frequenties[],3,FALSE)*VLOOKUP($A378,Locaties[],3,FALSE),0)</f>
        <v>0</v>
      </c>
      <c r="U378" s="149">
        <f>Ruimtestaat[[#This Row],[Uitvoeringen werkdagen]]*Ruimtestaat[[#This Row],[Oppervlak (netto)]]</f>
        <v>10800</v>
      </c>
      <c r="V378" s="179">
        <f>IF(T378&gt;0,Ruimtestaat[[#This Row],[Prest. (m2 /jaar) werkdagen]]/Ruimtestaat[[#This Row],[Norm (m2/uur) werkdagen]],0)</f>
        <v>0</v>
      </c>
      <c r="W378" s="180">
        <f>Ruimtestaat[[#This Row],[uren / jaar werkdagen]]*Tariefsopbouw!$E$35</f>
        <v>0</v>
      </c>
      <c r="X378" s="149"/>
      <c r="Y378" s="149">
        <f>IF(Ruimtestaat[[#This Row],[Frequentie weekend]]&gt;0,VALUE(LEFT(X378,1))*Q378,0)</f>
        <v>0</v>
      </c>
      <c r="Z378" s="148">
        <f>IF($Y378&gt;0,VLOOKUP($J378,Ruimtegroepen[],3,FALSE)*VLOOKUP($L378,Vloersoorten[],3,FALSE)*VLOOKUP($X378,Frequenties[],3,FALSE)*VLOOKUP(Ruimtestaat[[#This Row],[Code]],Locaties[],3,FALSE),0)</f>
        <v>0</v>
      </c>
      <c r="AA378" s="148">
        <f>Ruimtestaat[[#This Row],[Uitvoeringen weekend]]*Ruimtestaat[[#This Row],[Oppervlak (netto)]]</f>
        <v>0</v>
      </c>
      <c r="AB378" s="148">
        <f>IF(Z378&gt;0,Ruimtestaat[[#This Row],[Prest. (m2 /jaar) weekend]]/Ruimtestaat[[#This Row],[Norm (m2/uur) weekend]],0)</f>
        <v>0</v>
      </c>
      <c r="AC378" s="180">
        <f>Ruimtestaat[[#This Row],[uren / jaar weekend]]*Tariefsopbouw!$D$40</f>
        <v>0</v>
      </c>
      <c r="AD378" s="179">
        <f>Ruimtestaat[[#This Row],[Prest. (m2 /jaar) weekend]]+Ruimtestaat[[#This Row],[Prest. (m2 /jaar) werkdagen]]</f>
        <v>10800</v>
      </c>
      <c r="AE378" s="179">
        <f>Ruimtestaat[[#This Row],[uren / jaar weekend]]+Ruimtestaat[[#This Row],[uren / jaar werkdagen]]</f>
        <v>0</v>
      </c>
      <c r="AF378" s="174">
        <f>Ruimtestaat[[#This Row],[kosten / jaar weekend]]+Ruimtestaat[[#This Row],[kosten / jaar werkdagen]]</f>
        <v>0</v>
      </c>
      <c r="AG378" s="174"/>
      <c r="AH378" s="181" t="str">
        <f>IF(Ruimtestaat[[#This Row],[Frequentie werkdagen]]="","",_xlfn.CONCAT(Ruimtestaat[[#This Row],[Ruimte code]],"-",Ruimtestaat[[#This Row],[Frequentie werkdagen]]," ",Ruimtestaat[[#This Row],[Vloer code]]))</f>
        <v>16-5w L</v>
      </c>
      <c r="AI378" s="185" t="str">
        <f>_xlfn.IFNA(VLOOKUP($AH378,Programma!$F$3:$G$1101,2,0),"")</f>
        <v>_</v>
      </c>
      <c r="AJ378" s="185" t="str">
        <f>_xlfn.IFNA(VLOOKUP($AH378,Programma!$F$3:$H$1101,3,0),"")</f>
        <v>_</v>
      </c>
      <c r="AK378" s="185" t="str">
        <f>_xlfn.IFNA(VLOOKUP($AH378,Programma!$F$3:$I$1101,4,0),"")</f>
        <v>4w</v>
      </c>
      <c r="AL378" s="185" t="str">
        <f>_xlfn.IFNA(VLOOKUP($AH378,Programma!$F$3:$J$1101,5,0),"")</f>
        <v>1w</v>
      </c>
      <c r="AM378" s="185" t="str">
        <f>_xlfn.IFNA(VLOOKUP($AH378,Programma!$F$3:$K$1101,6,0),"")</f>
        <v>_</v>
      </c>
      <c r="AN378" s="185" t="str">
        <f>_xlfn.IFNA(VLOOKUP($AH378,Programma!$F$3:$L$1101,7,0),"")</f>
        <v>_</v>
      </c>
      <c r="AO378" s="185" t="str">
        <f>_xlfn.IFNA(VLOOKUP($AH378,Programma!$F$3:$M$1101,8,0),"")</f>
        <v>_</v>
      </c>
      <c r="AP378" s="185" t="str">
        <f>_xlfn.IFNA(VLOOKUP($AH378,Programma!$F$3:$N$1101,9,0),"")</f>
        <v>_</v>
      </c>
      <c r="AQ378" s="185" t="str">
        <f>_xlfn.IFNA(VLOOKUP($AH378,Programma!$F$3:$O$1101,10,0),"")</f>
        <v>5w</v>
      </c>
      <c r="AR378" s="185" t="str">
        <f>_xlfn.IFNA(VLOOKUP($AH378,Programma!$F$3:$P$1101,11,0),"")</f>
        <v>5w</v>
      </c>
      <c r="AS378" s="185" t="str">
        <f>_xlfn.IFNA(VLOOKUP($AH378,Programma!$F$3:$Q$1101,12,0),"")</f>
        <v>1w</v>
      </c>
      <c r="AT378" s="185" t="str">
        <f>_xlfn.IFNA(VLOOKUP($AH378,Programma!$F$3:$R$1101,13,0),"")</f>
        <v>1w</v>
      </c>
      <c r="AU378" s="185" t="str">
        <f>_xlfn.IFNA(VLOOKUP($AH378,Programma!$F$3:$S$1101,14,0),"")</f>
        <v>1m</v>
      </c>
      <c r="AV378" s="185" t="str">
        <f>_xlfn.IFNA(VLOOKUP($AH378,Programma!$F$3:$T$1101,15,0),"")</f>
        <v>2j</v>
      </c>
      <c r="AW378" s="185" t="str">
        <f>_xlfn.IFNA(VLOOKUP($AH378,Programma!$F$3:$U$1101,16,0),"")</f>
        <v>1j</v>
      </c>
      <c r="AX378" s="185" t="str">
        <f>_xlfn.IFNA(VLOOKUP($AH378,Programma!$F$3:$V$1101,17,0),"")</f>
        <v>_</v>
      </c>
      <c r="AY378" s="185" t="str">
        <f>_xlfn.IFNA(VLOOKUP($AH378,Programma!$F$3:$W$1101,18,0),"")</f>
        <v>_</v>
      </c>
      <c r="AZ378" s="185" t="str">
        <f>_xlfn.IFNA(VLOOKUP($AH378,Programma!$F$3:$X$1101,19,0),"")</f>
        <v>_</v>
      </c>
      <c r="BA378" s="185" t="str">
        <f>_xlfn.IFNA(VLOOKUP($AH378,Programma!$F$3:$Y$1101,20,0),"")</f>
        <v>_</v>
      </c>
      <c r="BB378" s="182"/>
      <c r="BC378" s="181" t="str">
        <f>IF(Ruimtestaat[[#This Row],[Frequentie weekend]]="","",_xlfn.CONCAT(Ruimtestaat[[#This Row],[Ruimte code]],"-",Ruimtestaat[[#This Row],[Frequentie weekend]]," ",Ruimtestaat[[#This Row],[Vloer code]]))</f>
        <v/>
      </c>
      <c r="BD378" s="185" t="str">
        <f>_xlfn.IFNA(VLOOKUP($BC378,Programma!$F$3:$G$1101,2,0),"")</f>
        <v/>
      </c>
      <c r="BE378" s="185" t="str">
        <f>_xlfn.IFNA(VLOOKUP($BC378,Programma!$F$3:$H$1101,3,0),"")</f>
        <v/>
      </c>
      <c r="BF378" s="185" t="str">
        <f>_xlfn.IFNA(VLOOKUP($BC378,Programma!$F$3:$I$1101,4,0),"")</f>
        <v/>
      </c>
      <c r="BG378" s="185" t="str">
        <f>_xlfn.IFNA(VLOOKUP($BC378,Programma!$F$3:$J$1101,5,0),"")</f>
        <v/>
      </c>
      <c r="BH378" s="185" t="str">
        <f>_xlfn.IFNA(VLOOKUP($BC378,Programma!$F$3:$K$1101,6,0),"")</f>
        <v/>
      </c>
      <c r="BI378" s="185" t="str">
        <f>_xlfn.IFNA(VLOOKUP($BC378,Programma!$F$3:$L$1101,7,0),"")</f>
        <v/>
      </c>
      <c r="BJ378" s="185" t="str">
        <f>_xlfn.IFNA(VLOOKUP($BC378,Programma!$F$3:$M$1101,8,0),"")</f>
        <v/>
      </c>
      <c r="BK378" s="185" t="str">
        <f>_xlfn.IFNA(VLOOKUP($BC378,Programma!$F$3:$N$1101,9,0),"")</f>
        <v/>
      </c>
      <c r="BL378" s="185" t="str">
        <f>_xlfn.IFNA(VLOOKUP($BC378,Programma!$F$3:$O$1101,10,0),"")</f>
        <v/>
      </c>
      <c r="BM378" s="185" t="str">
        <f>_xlfn.IFNA(VLOOKUP($BC378,Programma!$F$3:$P$1101,11,0),"")</f>
        <v/>
      </c>
      <c r="BN378" s="185" t="str">
        <f>_xlfn.IFNA(VLOOKUP($BC378,Programma!$F$3:$Q$1101,12,0),"")</f>
        <v/>
      </c>
      <c r="BO378" s="185" t="str">
        <f>_xlfn.IFNA(VLOOKUP($BC378,Programma!$F$3:$R$1101,13,0),"")</f>
        <v/>
      </c>
      <c r="BP378" s="185" t="str">
        <f>_xlfn.IFNA(VLOOKUP($BC378,Programma!$F$3:$S$1101,14,0),"")</f>
        <v/>
      </c>
      <c r="BQ378" s="185" t="str">
        <f>_xlfn.IFNA(VLOOKUP($BC378,Programma!$F$3:$T$1101,15,0),"")</f>
        <v/>
      </c>
      <c r="BR378" s="185" t="str">
        <f>_xlfn.IFNA(VLOOKUP($BC378,Programma!$F$3:$U$1101,16,0),"")</f>
        <v/>
      </c>
      <c r="BS378" s="185" t="str">
        <f>_xlfn.IFNA(VLOOKUP($BC378,Programma!$F$3:$V$1101,17,0),"")</f>
        <v/>
      </c>
      <c r="BT378" s="185" t="str">
        <f>_xlfn.IFNA(VLOOKUP($BC378,Programma!$F$3:$W$1101,18,0),"")</f>
        <v/>
      </c>
      <c r="BU378" s="185" t="str">
        <f>_xlfn.IFNA(VLOOKUP($BC378,Programma!$F$3:$X$1101,19,0),"")</f>
        <v/>
      </c>
      <c r="BV378" s="185" t="str">
        <f>_xlfn.IFNA(VLOOKUP($BC378,Programma!$F$3:$Y$1101,20,0),"")</f>
        <v/>
      </c>
    </row>
    <row r="379" spans="1:74" s="78" customFormat="1" ht="15" customHeight="1">
      <c r="A379" s="99">
        <v>11</v>
      </c>
      <c r="B379" s="176" t="str">
        <f>VLOOKUP(Ruimtestaat[[#This Row],[Code]],Locaties[[Code]:[Locatie]],2,FALSE)</f>
        <v>OMBS De Wielerbaan</v>
      </c>
      <c r="C379" s="176" t="str">
        <f>VLOOKUP(Ruimtestaat[[#This Row],[Code]],Locaties[[#All],[Code]:[Adres]],4,FALSE)</f>
        <v>Batshoek 5</v>
      </c>
      <c r="D379" s="176" t="str">
        <f>VLOOKUP(Ruimtestaat[[#This Row],[Code]],Locaties[[#All],[Code]:[Postcode]],5,FALSE)</f>
        <v>7546 LC</v>
      </c>
      <c r="E379" s="176" t="str">
        <f>VLOOKUP(Ruimtestaat[[#This Row],[Code]],Locaties[#All],6,FALSE)</f>
        <v>Enschede</v>
      </c>
      <c r="F379" s="183"/>
      <c r="G379" s="99" t="s">
        <v>1796</v>
      </c>
      <c r="H379" s="99" t="s">
        <v>1706</v>
      </c>
      <c r="I379" s="183" t="s">
        <v>1649</v>
      </c>
      <c r="J379" s="99">
        <v>2</v>
      </c>
      <c r="K379" s="183" t="str">
        <f>VLOOKUP(Ruimtestaat[[#This Row],[Ruimte code]],Ruimtegroepen[[#All],[Code]:[Ruimte omschrijving]],2,FALSE)</f>
        <v>Kantoren</v>
      </c>
      <c r="L379" s="99" t="s">
        <v>99</v>
      </c>
      <c r="M379" s="99" t="s">
        <v>36</v>
      </c>
      <c r="N379" s="177">
        <v>11.5</v>
      </c>
      <c r="O379" s="177"/>
      <c r="P379" s="178" t="str">
        <f>VLOOKUP(Ruimtestaat[[#This Row],[Ruimte code]],Ruimtegroepen[],4,FALSE)</f>
        <v>Bu</v>
      </c>
      <c r="Q379" s="149">
        <v>40</v>
      </c>
      <c r="R379" s="149" t="s">
        <v>18</v>
      </c>
      <c r="S379" s="149">
        <f>IF(Q379&gt;0,IF(RIGHT(Ruimtestaat[[#This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79" s="149">
        <f>IF(S379&gt;0,VLOOKUP($J379,Ruimtegroepen[],3,FALSE)*VLOOKUP($L379,Vloersoorten[],3,FALSE)*VLOOKUP($R379,Frequenties[],3,FALSE)*VLOOKUP($A379,Locaties[],3,FALSE),0)</f>
        <v>0</v>
      </c>
      <c r="U379" s="149">
        <f>Ruimtestaat[[#This Row],[Uitvoeringen werkdagen]]*Ruimtestaat[[#This Row],[Oppervlak (netto)]]</f>
        <v>1380</v>
      </c>
      <c r="V379" s="179">
        <f>IF(T379&gt;0,Ruimtestaat[[#This Row],[Prest. (m2 /jaar) werkdagen]]/Ruimtestaat[[#This Row],[Norm (m2/uur) werkdagen]],0)</f>
        <v>0</v>
      </c>
      <c r="W379" s="180">
        <f>Ruimtestaat[[#This Row],[uren / jaar werkdagen]]*Tariefsopbouw!$E$35</f>
        <v>0</v>
      </c>
      <c r="X379" s="149"/>
      <c r="Y379" s="149">
        <f>IF(Ruimtestaat[[#This Row],[Frequentie weekend]]&gt;0,VALUE(LEFT(X379,1))*Q379,0)</f>
        <v>0</v>
      </c>
      <c r="Z379" s="148">
        <f>IF($Y379&gt;0,VLOOKUP($J379,Ruimtegroepen[],3,FALSE)*VLOOKUP($L379,Vloersoorten[],3,FALSE)*VLOOKUP($X379,Frequenties[],3,FALSE)*VLOOKUP(Ruimtestaat[[#This Row],[Code]],Locaties[],3,FALSE),0)</f>
        <v>0</v>
      </c>
      <c r="AA379" s="148">
        <f>Ruimtestaat[[#This Row],[Uitvoeringen weekend]]*Ruimtestaat[[#This Row],[Oppervlak (netto)]]</f>
        <v>0</v>
      </c>
      <c r="AB379" s="148">
        <f>IF(Z379&gt;0,Ruimtestaat[[#This Row],[Prest. (m2 /jaar) weekend]]/Ruimtestaat[[#This Row],[Norm (m2/uur) weekend]],0)</f>
        <v>0</v>
      </c>
      <c r="AC379" s="180">
        <f>Ruimtestaat[[#This Row],[uren / jaar weekend]]*Tariefsopbouw!$D$40</f>
        <v>0</v>
      </c>
      <c r="AD379" s="179">
        <f>Ruimtestaat[[#This Row],[Prest. (m2 /jaar) weekend]]+Ruimtestaat[[#This Row],[Prest. (m2 /jaar) werkdagen]]</f>
        <v>1380</v>
      </c>
      <c r="AE379" s="179">
        <f>Ruimtestaat[[#This Row],[uren / jaar weekend]]+Ruimtestaat[[#This Row],[uren / jaar werkdagen]]</f>
        <v>0</v>
      </c>
      <c r="AF379" s="174">
        <f>Ruimtestaat[[#This Row],[kosten / jaar weekend]]+Ruimtestaat[[#This Row],[kosten / jaar werkdagen]]</f>
        <v>0</v>
      </c>
      <c r="AG379" s="174"/>
      <c r="AH379" s="181" t="str">
        <f>IF(Ruimtestaat[[#This Row],[Frequentie werkdagen]]="","",_xlfn.CONCAT(Ruimtestaat[[#This Row],[Ruimte code]],"-",Ruimtestaat[[#This Row],[Frequentie werkdagen]]," ",Ruimtestaat[[#This Row],[Vloer code]]))</f>
        <v>2-3w T</v>
      </c>
      <c r="AI379" s="185" t="str">
        <f>_xlfn.IFNA(VLOOKUP($AH379,Programma!$F$3:$G$1101,2,0),"")</f>
        <v>2w</v>
      </c>
      <c r="AJ379" s="185" t="str">
        <f>_xlfn.IFNA(VLOOKUP($AH379,Programma!$F$3:$H$1101,3,0),"")</f>
        <v>1w</v>
      </c>
      <c r="AK379" s="185" t="str">
        <f>_xlfn.IFNA(VLOOKUP($AH379,Programma!$F$3:$I$1101,4,0),"")</f>
        <v>_</v>
      </c>
      <c r="AL379" s="185" t="str">
        <f>_xlfn.IFNA(VLOOKUP($AH379,Programma!$F$3:$J$1101,5,0),"")</f>
        <v>_</v>
      </c>
      <c r="AM379" s="185" t="str">
        <f>_xlfn.IFNA(VLOOKUP($AH379,Programma!$F$3:$K$1101,6,0),"")</f>
        <v>_</v>
      </c>
      <c r="AN379" s="185" t="str">
        <f>_xlfn.IFNA(VLOOKUP($AH379,Programma!$F$3:$L$1101,7,0),"")</f>
        <v>_</v>
      </c>
      <c r="AO379" s="185" t="str">
        <f>_xlfn.IFNA(VLOOKUP($AH379,Programma!$F$3:$M$1101,8,0),"")</f>
        <v>_</v>
      </c>
      <c r="AP379" s="185" t="str">
        <f>_xlfn.IFNA(VLOOKUP($AH379,Programma!$F$3:$N$1101,9,0),"")</f>
        <v>_</v>
      </c>
      <c r="AQ379" s="185" t="str">
        <f>_xlfn.IFNA(VLOOKUP($AH379,Programma!$F$3:$O$1101,10,0),"")</f>
        <v>3w</v>
      </c>
      <c r="AR379" s="185" t="str">
        <f>_xlfn.IFNA(VLOOKUP($AH379,Programma!$F$3:$P$1101,11,0),"")</f>
        <v>3w</v>
      </c>
      <c r="AS379" s="185" t="str">
        <f>_xlfn.IFNA(VLOOKUP($AH379,Programma!$F$3:$Q$1101,12,0),"")</f>
        <v>1w</v>
      </c>
      <c r="AT379" s="185" t="str">
        <f>_xlfn.IFNA(VLOOKUP($AH379,Programma!$F$3:$R$1101,13,0),"")</f>
        <v>1w</v>
      </c>
      <c r="AU379" s="185" t="str">
        <f>_xlfn.IFNA(VLOOKUP($AH379,Programma!$F$3:$S$1101,14,0),"")</f>
        <v>1m</v>
      </c>
      <c r="AV379" s="185" t="str">
        <f>_xlfn.IFNA(VLOOKUP($AH379,Programma!$F$3:$T$1101,15,0),"")</f>
        <v>2j</v>
      </c>
      <c r="AW379" s="185" t="str">
        <f>_xlfn.IFNA(VLOOKUP($AH379,Programma!$F$3:$U$1101,16,0),"")</f>
        <v>1j</v>
      </c>
      <c r="AX379" s="185" t="str">
        <f>_xlfn.IFNA(VLOOKUP($AH379,Programma!$F$3:$V$1101,17,0),"")</f>
        <v>_</v>
      </c>
      <c r="AY379" s="185" t="str">
        <f>_xlfn.IFNA(VLOOKUP($AH379,Programma!$F$3:$W$1101,18,0),"")</f>
        <v>_</v>
      </c>
      <c r="AZ379" s="185" t="str">
        <f>_xlfn.IFNA(VLOOKUP($AH379,Programma!$F$3:$X$1101,19,0),"")</f>
        <v>_</v>
      </c>
      <c r="BA379" s="185" t="str">
        <f>_xlfn.IFNA(VLOOKUP($AH379,Programma!$F$3:$Y$1101,20,0),"")</f>
        <v>_</v>
      </c>
      <c r="BB379" s="182"/>
      <c r="BC379" s="181" t="str">
        <f>IF(Ruimtestaat[[#This Row],[Frequentie weekend]]="","",_xlfn.CONCAT(Ruimtestaat[[#This Row],[Ruimte code]],"-",Ruimtestaat[[#This Row],[Frequentie weekend]]," ",Ruimtestaat[[#This Row],[Vloer code]]))</f>
        <v/>
      </c>
      <c r="BD379" s="185" t="str">
        <f>_xlfn.IFNA(VLOOKUP($BC379,Programma!$F$3:$G$1101,2,0),"")</f>
        <v/>
      </c>
      <c r="BE379" s="185" t="str">
        <f>_xlfn.IFNA(VLOOKUP($BC379,Programma!$F$3:$H$1101,3,0),"")</f>
        <v/>
      </c>
      <c r="BF379" s="185" t="str">
        <f>_xlfn.IFNA(VLOOKUP($BC379,Programma!$F$3:$I$1101,4,0),"")</f>
        <v/>
      </c>
      <c r="BG379" s="185" t="str">
        <f>_xlfn.IFNA(VLOOKUP($BC379,Programma!$F$3:$J$1101,5,0),"")</f>
        <v/>
      </c>
      <c r="BH379" s="185" t="str">
        <f>_xlfn.IFNA(VLOOKUP($BC379,Programma!$F$3:$K$1101,6,0),"")</f>
        <v/>
      </c>
      <c r="BI379" s="185" t="str">
        <f>_xlfn.IFNA(VLOOKUP($BC379,Programma!$F$3:$L$1101,7,0),"")</f>
        <v/>
      </c>
      <c r="BJ379" s="185" t="str">
        <f>_xlfn.IFNA(VLOOKUP($BC379,Programma!$F$3:$M$1101,8,0),"")</f>
        <v/>
      </c>
      <c r="BK379" s="185" t="str">
        <f>_xlfn.IFNA(VLOOKUP($BC379,Programma!$F$3:$N$1101,9,0),"")</f>
        <v/>
      </c>
      <c r="BL379" s="185" t="str">
        <f>_xlfn.IFNA(VLOOKUP($BC379,Programma!$F$3:$O$1101,10,0),"")</f>
        <v/>
      </c>
      <c r="BM379" s="185" t="str">
        <f>_xlfn.IFNA(VLOOKUP($BC379,Programma!$F$3:$P$1101,11,0),"")</f>
        <v/>
      </c>
      <c r="BN379" s="185" t="str">
        <f>_xlfn.IFNA(VLOOKUP($BC379,Programma!$F$3:$Q$1101,12,0),"")</f>
        <v/>
      </c>
      <c r="BO379" s="185" t="str">
        <f>_xlfn.IFNA(VLOOKUP($BC379,Programma!$F$3:$R$1101,13,0),"")</f>
        <v/>
      </c>
      <c r="BP379" s="185" t="str">
        <f>_xlfn.IFNA(VLOOKUP($BC379,Programma!$F$3:$S$1101,14,0),"")</f>
        <v/>
      </c>
      <c r="BQ379" s="185" t="str">
        <f>_xlfn.IFNA(VLOOKUP($BC379,Programma!$F$3:$T$1101,15,0),"")</f>
        <v/>
      </c>
      <c r="BR379" s="185" t="str">
        <f>_xlfn.IFNA(VLOOKUP($BC379,Programma!$F$3:$U$1101,16,0),"")</f>
        <v/>
      </c>
      <c r="BS379" s="185" t="str">
        <f>_xlfn.IFNA(VLOOKUP($BC379,Programma!$F$3:$V$1101,17,0),"")</f>
        <v/>
      </c>
      <c r="BT379" s="185" t="str">
        <f>_xlfn.IFNA(VLOOKUP($BC379,Programma!$F$3:$W$1101,18,0),"")</f>
        <v/>
      </c>
      <c r="BU379" s="185" t="str">
        <f>_xlfn.IFNA(VLOOKUP($BC379,Programma!$F$3:$X$1101,19,0),"")</f>
        <v/>
      </c>
      <c r="BV379" s="185" t="str">
        <f>_xlfn.IFNA(VLOOKUP($BC379,Programma!$F$3:$Y$1101,20,0),"")</f>
        <v/>
      </c>
    </row>
    <row r="380" spans="1:74" s="78" customFormat="1" ht="15" customHeight="1">
      <c r="A380" s="99">
        <v>11</v>
      </c>
      <c r="B380" s="176" t="str">
        <f>VLOOKUP(Ruimtestaat[[#This Row],[Code]],Locaties[[Code]:[Locatie]],2,FALSE)</f>
        <v>OMBS De Wielerbaan</v>
      </c>
      <c r="C380" s="176" t="str">
        <f>VLOOKUP(Ruimtestaat[[#This Row],[Code]],Locaties[[#All],[Code]:[Adres]],4,FALSE)</f>
        <v>Batshoek 5</v>
      </c>
      <c r="D380" s="176" t="str">
        <f>VLOOKUP(Ruimtestaat[[#This Row],[Code]],Locaties[[#All],[Code]:[Postcode]],5,FALSE)</f>
        <v>7546 LC</v>
      </c>
      <c r="E380" s="176" t="str">
        <f>VLOOKUP(Ruimtestaat[[#This Row],[Code]],Locaties[#All],6,FALSE)</f>
        <v>Enschede</v>
      </c>
      <c r="F380" s="183"/>
      <c r="G380" s="99" t="s">
        <v>1796</v>
      </c>
      <c r="H380" s="99" t="s">
        <v>1707</v>
      </c>
      <c r="I380" s="183" t="s">
        <v>1651</v>
      </c>
      <c r="J380" s="99">
        <v>16</v>
      </c>
      <c r="K380" s="183" t="str">
        <f>VLOOKUP(Ruimtestaat[[#This Row],[Ruimte code]],Ruimtegroepen[[#All],[Code]:[Ruimte omschrijving]],2,FALSE)</f>
        <v>Leslokalen</v>
      </c>
      <c r="L380" s="99" t="s">
        <v>100</v>
      </c>
      <c r="M380" s="99" t="s">
        <v>1697</v>
      </c>
      <c r="N380" s="177">
        <v>86</v>
      </c>
      <c r="O380" s="177"/>
      <c r="P380" s="178" t="str">
        <f>VLOOKUP(Ruimtestaat[[#This Row],[Ruimte code]],Ruimtegroepen[],4,FALSE)</f>
        <v>Le</v>
      </c>
      <c r="Q380" s="149">
        <v>40</v>
      </c>
      <c r="R380" s="149" t="s">
        <v>2</v>
      </c>
      <c r="S380" s="149">
        <f>IF(Q380&gt;0,IF(RIGHT(Ruimtestaat[[#This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0" s="149">
        <f>IF(S380&gt;0,VLOOKUP($J380,Ruimtegroepen[],3,FALSE)*VLOOKUP($L380,Vloersoorten[],3,FALSE)*VLOOKUP($R380,Frequenties[],3,FALSE)*VLOOKUP($A380,Locaties[],3,FALSE),0)</f>
        <v>0</v>
      </c>
      <c r="U380" s="149">
        <f>Ruimtestaat[[#This Row],[Uitvoeringen werkdagen]]*Ruimtestaat[[#This Row],[Oppervlak (netto)]]</f>
        <v>17200</v>
      </c>
      <c r="V380" s="179">
        <f>IF(T380&gt;0,Ruimtestaat[[#This Row],[Prest. (m2 /jaar) werkdagen]]/Ruimtestaat[[#This Row],[Norm (m2/uur) werkdagen]],0)</f>
        <v>0</v>
      </c>
      <c r="W380" s="180">
        <f>Ruimtestaat[[#This Row],[uren / jaar werkdagen]]*Tariefsopbouw!$E$35</f>
        <v>0</v>
      </c>
      <c r="X380" s="149"/>
      <c r="Y380" s="149">
        <f>IF(Ruimtestaat[[#This Row],[Frequentie weekend]]&gt;0,VALUE(LEFT(X380,1))*Q380,0)</f>
        <v>0</v>
      </c>
      <c r="Z380" s="148">
        <f>IF($Y380&gt;0,VLOOKUP($J380,Ruimtegroepen[],3,FALSE)*VLOOKUP($L380,Vloersoorten[],3,FALSE)*VLOOKUP($X380,Frequenties[],3,FALSE)*VLOOKUP(Ruimtestaat[[#This Row],[Code]],Locaties[],3,FALSE),0)</f>
        <v>0</v>
      </c>
      <c r="AA380" s="148">
        <f>Ruimtestaat[[#This Row],[Uitvoeringen weekend]]*Ruimtestaat[[#This Row],[Oppervlak (netto)]]</f>
        <v>0</v>
      </c>
      <c r="AB380" s="148">
        <f>IF(Z380&gt;0,Ruimtestaat[[#This Row],[Prest. (m2 /jaar) weekend]]/Ruimtestaat[[#This Row],[Norm (m2/uur) weekend]],0)</f>
        <v>0</v>
      </c>
      <c r="AC380" s="180">
        <f>Ruimtestaat[[#This Row],[uren / jaar weekend]]*Tariefsopbouw!$D$40</f>
        <v>0</v>
      </c>
      <c r="AD380" s="179">
        <f>Ruimtestaat[[#This Row],[Prest. (m2 /jaar) weekend]]+Ruimtestaat[[#This Row],[Prest. (m2 /jaar) werkdagen]]</f>
        <v>17200</v>
      </c>
      <c r="AE380" s="179">
        <f>Ruimtestaat[[#This Row],[uren / jaar weekend]]+Ruimtestaat[[#This Row],[uren / jaar werkdagen]]</f>
        <v>0</v>
      </c>
      <c r="AF380" s="174">
        <f>Ruimtestaat[[#This Row],[kosten / jaar weekend]]+Ruimtestaat[[#This Row],[kosten / jaar werkdagen]]</f>
        <v>0</v>
      </c>
      <c r="AG380" s="174"/>
      <c r="AH380" s="181" t="str">
        <f>IF(Ruimtestaat[[#This Row],[Frequentie werkdagen]]="","",_xlfn.CONCAT(Ruimtestaat[[#This Row],[Ruimte code]],"-",Ruimtestaat[[#This Row],[Frequentie werkdagen]]," ",Ruimtestaat[[#This Row],[Vloer code]]))</f>
        <v>16-5w L</v>
      </c>
      <c r="AI380" s="185" t="str">
        <f>_xlfn.IFNA(VLOOKUP($AH380,Programma!$F$3:$G$1101,2,0),"")</f>
        <v>_</v>
      </c>
      <c r="AJ380" s="185" t="str">
        <f>_xlfn.IFNA(VLOOKUP($AH380,Programma!$F$3:$H$1101,3,0),"")</f>
        <v>_</v>
      </c>
      <c r="AK380" s="185" t="str">
        <f>_xlfn.IFNA(VLOOKUP($AH380,Programma!$F$3:$I$1101,4,0),"")</f>
        <v>4w</v>
      </c>
      <c r="AL380" s="185" t="str">
        <f>_xlfn.IFNA(VLOOKUP($AH380,Programma!$F$3:$J$1101,5,0),"")</f>
        <v>1w</v>
      </c>
      <c r="AM380" s="185" t="str">
        <f>_xlfn.IFNA(VLOOKUP($AH380,Programma!$F$3:$K$1101,6,0),"")</f>
        <v>_</v>
      </c>
      <c r="AN380" s="185" t="str">
        <f>_xlfn.IFNA(VLOOKUP($AH380,Programma!$F$3:$L$1101,7,0),"")</f>
        <v>_</v>
      </c>
      <c r="AO380" s="185" t="str">
        <f>_xlfn.IFNA(VLOOKUP($AH380,Programma!$F$3:$M$1101,8,0),"")</f>
        <v>_</v>
      </c>
      <c r="AP380" s="185" t="str">
        <f>_xlfn.IFNA(VLOOKUP($AH380,Programma!$F$3:$N$1101,9,0),"")</f>
        <v>_</v>
      </c>
      <c r="AQ380" s="185" t="str">
        <f>_xlfn.IFNA(VLOOKUP($AH380,Programma!$F$3:$O$1101,10,0),"")</f>
        <v>5w</v>
      </c>
      <c r="AR380" s="185" t="str">
        <f>_xlfn.IFNA(VLOOKUP($AH380,Programma!$F$3:$P$1101,11,0),"")</f>
        <v>5w</v>
      </c>
      <c r="AS380" s="185" t="str">
        <f>_xlfn.IFNA(VLOOKUP($AH380,Programma!$F$3:$Q$1101,12,0),"")</f>
        <v>1w</v>
      </c>
      <c r="AT380" s="185" t="str">
        <f>_xlfn.IFNA(VLOOKUP($AH380,Programma!$F$3:$R$1101,13,0),"")</f>
        <v>1w</v>
      </c>
      <c r="AU380" s="185" t="str">
        <f>_xlfn.IFNA(VLOOKUP($AH380,Programma!$F$3:$S$1101,14,0),"")</f>
        <v>1m</v>
      </c>
      <c r="AV380" s="185" t="str">
        <f>_xlfn.IFNA(VLOOKUP($AH380,Programma!$F$3:$T$1101,15,0),"")</f>
        <v>2j</v>
      </c>
      <c r="AW380" s="185" t="str">
        <f>_xlfn.IFNA(VLOOKUP($AH380,Programma!$F$3:$U$1101,16,0),"")</f>
        <v>1j</v>
      </c>
      <c r="AX380" s="185" t="str">
        <f>_xlfn.IFNA(VLOOKUP($AH380,Programma!$F$3:$V$1101,17,0),"")</f>
        <v>_</v>
      </c>
      <c r="AY380" s="185" t="str">
        <f>_xlfn.IFNA(VLOOKUP($AH380,Programma!$F$3:$W$1101,18,0),"")</f>
        <v>_</v>
      </c>
      <c r="AZ380" s="185" t="str">
        <f>_xlfn.IFNA(VLOOKUP($AH380,Programma!$F$3:$X$1101,19,0),"")</f>
        <v>_</v>
      </c>
      <c r="BA380" s="185" t="str">
        <f>_xlfn.IFNA(VLOOKUP($AH380,Programma!$F$3:$Y$1101,20,0),"")</f>
        <v>_</v>
      </c>
      <c r="BB380" s="182"/>
      <c r="BC380" s="181" t="str">
        <f>IF(Ruimtestaat[[#This Row],[Frequentie weekend]]="","",_xlfn.CONCAT(Ruimtestaat[[#This Row],[Ruimte code]],"-",Ruimtestaat[[#This Row],[Frequentie weekend]]," ",Ruimtestaat[[#This Row],[Vloer code]]))</f>
        <v/>
      </c>
      <c r="BD380" s="185" t="str">
        <f>_xlfn.IFNA(VLOOKUP($BC380,Programma!$F$3:$G$1101,2,0),"")</f>
        <v/>
      </c>
      <c r="BE380" s="185" t="str">
        <f>_xlfn.IFNA(VLOOKUP($BC380,Programma!$F$3:$H$1101,3,0),"")</f>
        <v/>
      </c>
      <c r="BF380" s="185" t="str">
        <f>_xlfn.IFNA(VLOOKUP($BC380,Programma!$F$3:$I$1101,4,0),"")</f>
        <v/>
      </c>
      <c r="BG380" s="185" t="str">
        <f>_xlfn.IFNA(VLOOKUP($BC380,Programma!$F$3:$J$1101,5,0),"")</f>
        <v/>
      </c>
      <c r="BH380" s="185" t="str">
        <f>_xlfn.IFNA(VLOOKUP($BC380,Programma!$F$3:$K$1101,6,0),"")</f>
        <v/>
      </c>
      <c r="BI380" s="185" t="str">
        <f>_xlfn.IFNA(VLOOKUP($BC380,Programma!$F$3:$L$1101,7,0),"")</f>
        <v/>
      </c>
      <c r="BJ380" s="185" t="str">
        <f>_xlfn.IFNA(VLOOKUP($BC380,Programma!$F$3:$M$1101,8,0),"")</f>
        <v/>
      </c>
      <c r="BK380" s="185" t="str">
        <f>_xlfn.IFNA(VLOOKUP($BC380,Programma!$F$3:$N$1101,9,0),"")</f>
        <v/>
      </c>
      <c r="BL380" s="185" t="str">
        <f>_xlfn.IFNA(VLOOKUP($BC380,Programma!$F$3:$O$1101,10,0),"")</f>
        <v/>
      </c>
      <c r="BM380" s="185" t="str">
        <f>_xlfn.IFNA(VLOOKUP($BC380,Programma!$F$3:$P$1101,11,0),"")</f>
        <v/>
      </c>
      <c r="BN380" s="185" t="str">
        <f>_xlfn.IFNA(VLOOKUP($BC380,Programma!$F$3:$Q$1101,12,0),"")</f>
        <v/>
      </c>
      <c r="BO380" s="185" t="str">
        <f>_xlfn.IFNA(VLOOKUP($BC380,Programma!$F$3:$R$1101,13,0),"")</f>
        <v/>
      </c>
      <c r="BP380" s="185" t="str">
        <f>_xlfn.IFNA(VLOOKUP($BC380,Programma!$F$3:$S$1101,14,0),"")</f>
        <v/>
      </c>
      <c r="BQ380" s="185" t="str">
        <f>_xlfn.IFNA(VLOOKUP($BC380,Programma!$F$3:$T$1101,15,0),"")</f>
        <v/>
      </c>
      <c r="BR380" s="185" t="str">
        <f>_xlfn.IFNA(VLOOKUP($BC380,Programma!$F$3:$U$1101,16,0),"")</f>
        <v/>
      </c>
      <c r="BS380" s="185" t="str">
        <f>_xlfn.IFNA(VLOOKUP($BC380,Programma!$F$3:$V$1101,17,0),"")</f>
        <v/>
      </c>
      <c r="BT380" s="185" t="str">
        <f>_xlfn.IFNA(VLOOKUP($BC380,Programma!$F$3:$W$1101,18,0),"")</f>
        <v/>
      </c>
      <c r="BU380" s="185" t="str">
        <f>_xlfn.IFNA(VLOOKUP($BC380,Programma!$F$3:$X$1101,19,0),"")</f>
        <v/>
      </c>
      <c r="BV380" s="185" t="str">
        <f>_xlfn.IFNA(VLOOKUP($BC380,Programma!$F$3:$Y$1101,20,0),"")</f>
        <v/>
      </c>
    </row>
    <row r="381" spans="1:74" s="78" customFormat="1" ht="15" customHeight="1">
      <c r="A381" s="99">
        <v>11</v>
      </c>
      <c r="B381" s="176" t="str">
        <f>VLOOKUP(Ruimtestaat[[#This Row],[Code]],Locaties[[Code]:[Locatie]],2,FALSE)</f>
        <v>OMBS De Wielerbaan</v>
      </c>
      <c r="C381" s="176" t="str">
        <f>VLOOKUP(Ruimtestaat[[#This Row],[Code]],Locaties[[#All],[Code]:[Adres]],4,FALSE)</f>
        <v>Batshoek 5</v>
      </c>
      <c r="D381" s="176" t="str">
        <f>VLOOKUP(Ruimtestaat[[#This Row],[Code]],Locaties[[#All],[Code]:[Postcode]],5,FALSE)</f>
        <v>7546 LC</v>
      </c>
      <c r="E381" s="176" t="str">
        <f>VLOOKUP(Ruimtestaat[[#This Row],[Code]],Locaties[#All],6,FALSE)</f>
        <v>Enschede</v>
      </c>
      <c r="F381" s="183"/>
      <c r="G381" s="99" t="s">
        <v>1796</v>
      </c>
      <c r="H381" s="99" t="s">
        <v>1708</v>
      </c>
      <c r="I381" s="183" t="s">
        <v>1655</v>
      </c>
      <c r="J381" s="99">
        <v>5</v>
      </c>
      <c r="K381" s="183" t="str">
        <f>VLOOKUP(Ruimtestaat[[#This Row],[Ruimte code]],Ruimtegroepen[[#All],[Code]:[Ruimte omschrijving]],2,FALSE)</f>
        <v>Sanitair</v>
      </c>
      <c r="L381" s="99" t="s">
        <v>101</v>
      </c>
      <c r="M381" s="99" t="s">
        <v>119</v>
      </c>
      <c r="N381" s="177">
        <v>7.2</v>
      </c>
      <c r="O381" s="177"/>
      <c r="P381" s="178" t="str">
        <f>VLOOKUP(Ruimtestaat[[#This Row],[Ruimte code]],Ruimtegroepen[],4,FALSE)</f>
        <v>Sa</v>
      </c>
      <c r="Q381" s="149">
        <v>40</v>
      </c>
      <c r="R381" s="149" t="s">
        <v>2</v>
      </c>
      <c r="S381" s="149">
        <f>IF(Q381&gt;0,IF(RIGHT(Ruimtestaat[[#This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1" s="149">
        <f>IF(S381&gt;0,VLOOKUP($J381,Ruimtegroepen[],3,FALSE)*VLOOKUP($L381,Vloersoorten[],3,FALSE)*VLOOKUP($R381,Frequenties[],3,FALSE)*VLOOKUP($A381,Locaties[],3,FALSE),0)</f>
        <v>0</v>
      </c>
      <c r="U381" s="149">
        <f>Ruimtestaat[[#This Row],[Uitvoeringen werkdagen]]*Ruimtestaat[[#This Row],[Oppervlak (netto)]]</f>
        <v>1440</v>
      </c>
      <c r="V381" s="179">
        <f>IF(T381&gt;0,Ruimtestaat[[#This Row],[Prest. (m2 /jaar) werkdagen]]/Ruimtestaat[[#This Row],[Norm (m2/uur) werkdagen]],0)</f>
        <v>0</v>
      </c>
      <c r="W381" s="180">
        <f>Ruimtestaat[[#This Row],[uren / jaar werkdagen]]*Tariefsopbouw!$E$35</f>
        <v>0</v>
      </c>
      <c r="X381" s="149"/>
      <c r="Y381" s="149">
        <f>IF(Ruimtestaat[[#This Row],[Frequentie weekend]]&gt;0,VALUE(LEFT(X381,1))*Q381,0)</f>
        <v>0</v>
      </c>
      <c r="Z381" s="148">
        <f>IF($Y381&gt;0,VLOOKUP($J381,Ruimtegroepen[],3,FALSE)*VLOOKUP($L381,Vloersoorten[],3,FALSE)*VLOOKUP($X381,Frequenties[],3,FALSE)*VLOOKUP(Ruimtestaat[[#This Row],[Code]],Locaties[],3,FALSE),0)</f>
        <v>0</v>
      </c>
      <c r="AA381" s="148">
        <f>Ruimtestaat[[#This Row],[Uitvoeringen weekend]]*Ruimtestaat[[#This Row],[Oppervlak (netto)]]</f>
        <v>0</v>
      </c>
      <c r="AB381" s="148">
        <f>IF(Z381&gt;0,Ruimtestaat[[#This Row],[Prest. (m2 /jaar) weekend]]/Ruimtestaat[[#This Row],[Norm (m2/uur) weekend]],0)</f>
        <v>0</v>
      </c>
      <c r="AC381" s="180">
        <f>Ruimtestaat[[#This Row],[uren / jaar weekend]]*Tariefsopbouw!$D$40</f>
        <v>0</v>
      </c>
      <c r="AD381" s="179">
        <f>Ruimtestaat[[#This Row],[Prest. (m2 /jaar) weekend]]+Ruimtestaat[[#This Row],[Prest. (m2 /jaar) werkdagen]]</f>
        <v>1440</v>
      </c>
      <c r="AE381" s="179">
        <f>Ruimtestaat[[#This Row],[uren / jaar weekend]]+Ruimtestaat[[#This Row],[uren / jaar werkdagen]]</f>
        <v>0</v>
      </c>
      <c r="AF381" s="174">
        <f>Ruimtestaat[[#This Row],[kosten / jaar weekend]]+Ruimtestaat[[#This Row],[kosten / jaar werkdagen]]</f>
        <v>0</v>
      </c>
      <c r="AG381" s="174"/>
      <c r="AH381" s="181" t="str">
        <f>IF(Ruimtestaat[[#This Row],[Frequentie werkdagen]]="","",_xlfn.CONCAT(Ruimtestaat[[#This Row],[Ruimte code]],"-",Ruimtestaat[[#This Row],[Frequentie werkdagen]]," ",Ruimtestaat[[#This Row],[Vloer code]]))</f>
        <v>5-5w S</v>
      </c>
      <c r="AI381" s="185" t="str">
        <f>_xlfn.IFNA(VLOOKUP($AH381,Programma!$F$3:$G$1101,2,0),"")</f>
        <v>_</v>
      </c>
      <c r="AJ381" s="185" t="str">
        <f>_xlfn.IFNA(VLOOKUP($AH381,Programma!$F$3:$H$1101,3,0),"")</f>
        <v>_</v>
      </c>
      <c r="AK381" s="185" t="str">
        <f>_xlfn.IFNA(VLOOKUP($AH381,Programma!$F$3:$I$1101,4,0),"")</f>
        <v>_</v>
      </c>
      <c r="AL381" s="185" t="str">
        <f>_xlfn.IFNA(VLOOKUP($AH381,Programma!$F$3:$J$1101,5,0),"")</f>
        <v>4w</v>
      </c>
      <c r="AM381" s="185" t="str">
        <f>_xlfn.IFNA(VLOOKUP($AH381,Programma!$F$3:$K$1101,6,0),"")</f>
        <v>1w</v>
      </c>
      <c r="AN381" s="185" t="str">
        <f>_xlfn.IFNA(VLOOKUP($AH381,Programma!$F$3:$L$1101,7,0),"")</f>
        <v>_</v>
      </c>
      <c r="AO381" s="185" t="str">
        <f>_xlfn.IFNA(VLOOKUP($AH381,Programma!$F$3:$M$1101,8,0),"")</f>
        <v>_</v>
      </c>
      <c r="AP381" s="185" t="str">
        <f>_xlfn.IFNA(VLOOKUP($AH381,Programma!$F$3:$N$1101,9,0),"")</f>
        <v>_</v>
      </c>
      <c r="AQ381" s="185" t="str">
        <f>_xlfn.IFNA(VLOOKUP($AH381,Programma!$F$3:$O$1101,10,0),"")</f>
        <v>_</v>
      </c>
      <c r="AR381" s="185" t="str">
        <f>_xlfn.IFNA(VLOOKUP($AH381,Programma!$F$3:$P$1101,11,0),"")</f>
        <v>_</v>
      </c>
      <c r="AS381" s="185" t="str">
        <f>_xlfn.IFNA(VLOOKUP($AH381,Programma!$F$3:$Q$1101,12,0),"")</f>
        <v>_</v>
      </c>
      <c r="AT381" s="185" t="str">
        <f>_xlfn.IFNA(VLOOKUP($AH381,Programma!$F$3:$R$1101,13,0),"")</f>
        <v>_</v>
      </c>
      <c r="AU381" s="185" t="str">
        <f>_xlfn.IFNA(VLOOKUP($AH381,Programma!$F$3:$S$1101,14,0),"")</f>
        <v>_</v>
      </c>
      <c r="AV381" s="185" t="str">
        <f>_xlfn.IFNA(VLOOKUP($AH381,Programma!$F$3:$T$1101,15,0),"")</f>
        <v>_</v>
      </c>
      <c r="AW381" s="185" t="str">
        <f>_xlfn.IFNA(VLOOKUP($AH381,Programma!$F$3:$U$1101,16,0),"")</f>
        <v>_</v>
      </c>
      <c r="AX381" s="185" t="str">
        <f>_xlfn.IFNA(VLOOKUP($AH381,Programma!$F$3:$V$1101,17,0),"")</f>
        <v>_</v>
      </c>
      <c r="AY381" s="185" t="str">
        <f>_xlfn.IFNA(VLOOKUP($AH381,Programma!$F$3:$W$1101,18,0),"")</f>
        <v>4w</v>
      </c>
      <c r="AZ381" s="185" t="str">
        <f>_xlfn.IFNA(VLOOKUP($AH381,Programma!$F$3:$X$1101,19,0),"")</f>
        <v>1w</v>
      </c>
      <c r="BA381" s="185" t="str">
        <f>_xlfn.IFNA(VLOOKUP($AH381,Programma!$F$3:$Y$1101,20,0),"")</f>
        <v>_</v>
      </c>
      <c r="BB381" s="182"/>
      <c r="BC381" s="181" t="str">
        <f>IF(Ruimtestaat[[#This Row],[Frequentie weekend]]="","",_xlfn.CONCAT(Ruimtestaat[[#This Row],[Ruimte code]],"-",Ruimtestaat[[#This Row],[Frequentie weekend]]," ",Ruimtestaat[[#This Row],[Vloer code]]))</f>
        <v/>
      </c>
      <c r="BD381" s="185" t="str">
        <f>_xlfn.IFNA(VLOOKUP($BC381,Programma!$F$3:$G$1101,2,0),"")</f>
        <v/>
      </c>
      <c r="BE381" s="185" t="str">
        <f>_xlfn.IFNA(VLOOKUP($BC381,Programma!$F$3:$H$1101,3,0),"")</f>
        <v/>
      </c>
      <c r="BF381" s="185" t="str">
        <f>_xlfn.IFNA(VLOOKUP($BC381,Programma!$F$3:$I$1101,4,0),"")</f>
        <v/>
      </c>
      <c r="BG381" s="185" t="str">
        <f>_xlfn.IFNA(VLOOKUP($BC381,Programma!$F$3:$J$1101,5,0),"")</f>
        <v/>
      </c>
      <c r="BH381" s="185" t="str">
        <f>_xlfn.IFNA(VLOOKUP($BC381,Programma!$F$3:$K$1101,6,0),"")</f>
        <v/>
      </c>
      <c r="BI381" s="185" t="str">
        <f>_xlfn.IFNA(VLOOKUP($BC381,Programma!$F$3:$L$1101,7,0),"")</f>
        <v/>
      </c>
      <c r="BJ381" s="185" t="str">
        <f>_xlfn.IFNA(VLOOKUP($BC381,Programma!$F$3:$M$1101,8,0),"")</f>
        <v/>
      </c>
      <c r="BK381" s="185" t="str">
        <f>_xlfn.IFNA(VLOOKUP($BC381,Programma!$F$3:$N$1101,9,0),"")</f>
        <v/>
      </c>
      <c r="BL381" s="185" t="str">
        <f>_xlfn.IFNA(VLOOKUP($BC381,Programma!$F$3:$O$1101,10,0),"")</f>
        <v/>
      </c>
      <c r="BM381" s="185" t="str">
        <f>_xlfn.IFNA(VLOOKUP($BC381,Programma!$F$3:$P$1101,11,0),"")</f>
        <v/>
      </c>
      <c r="BN381" s="185" t="str">
        <f>_xlfn.IFNA(VLOOKUP($BC381,Programma!$F$3:$Q$1101,12,0),"")</f>
        <v/>
      </c>
      <c r="BO381" s="185" t="str">
        <f>_xlfn.IFNA(VLOOKUP($BC381,Programma!$F$3:$R$1101,13,0),"")</f>
        <v/>
      </c>
      <c r="BP381" s="185" t="str">
        <f>_xlfn.IFNA(VLOOKUP($BC381,Programma!$F$3:$S$1101,14,0),"")</f>
        <v/>
      </c>
      <c r="BQ381" s="185" t="str">
        <f>_xlfn.IFNA(VLOOKUP($BC381,Programma!$F$3:$T$1101,15,0),"")</f>
        <v/>
      </c>
      <c r="BR381" s="185" t="str">
        <f>_xlfn.IFNA(VLOOKUP($BC381,Programma!$F$3:$U$1101,16,0),"")</f>
        <v/>
      </c>
      <c r="BS381" s="185" t="str">
        <f>_xlfn.IFNA(VLOOKUP($BC381,Programma!$F$3:$V$1101,17,0),"")</f>
        <v/>
      </c>
      <c r="BT381" s="185" t="str">
        <f>_xlfn.IFNA(VLOOKUP($BC381,Programma!$F$3:$W$1101,18,0),"")</f>
        <v/>
      </c>
      <c r="BU381" s="185" t="str">
        <f>_xlfn.IFNA(VLOOKUP($BC381,Programma!$F$3:$X$1101,19,0),"")</f>
        <v/>
      </c>
      <c r="BV381" s="185" t="str">
        <f>_xlfn.IFNA(VLOOKUP($BC381,Programma!$F$3:$Y$1101,20,0),"")</f>
        <v/>
      </c>
    </row>
    <row r="382" spans="1:74" s="78" customFormat="1" ht="15" customHeight="1">
      <c r="A382" s="99">
        <v>11</v>
      </c>
      <c r="B382" s="176" t="str">
        <f>VLOOKUP(Ruimtestaat[[#This Row],[Code]],Locaties[[Code]:[Locatie]],2,FALSE)</f>
        <v>OMBS De Wielerbaan</v>
      </c>
      <c r="C382" s="176" t="str">
        <f>VLOOKUP(Ruimtestaat[[#This Row],[Code]],Locaties[[#All],[Code]:[Adres]],4,FALSE)</f>
        <v>Batshoek 5</v>
      </c>
      <c r="D382" s="176" t="str">
        <f>VLOOKUP(Ruimtestaat[[#This Row],[Code]],Locaties[[#All],[Code]:[Postcode]],5,FALSE)</f>
        <v>7546 LC</v>
      </c>
      <c r="E382" s="176" t="str">
        <f>VLOOKUP(Ruimtestaat[[#This Row],[Code]],Locaties[#All],6,FALSE)</f>
        <v>Enschede</v>
      </c>
      <c r="F382" s="183"/>
      <c r="G382" s="99" t="s">
        <v>1714</v>
      </c>
      <c r="H382" s="99">
        <v>101</v>
      </c>
      <c r="I382" s="183" t="s">
        <v>1702</v>
      </c>
      <c r="J382" s="99">
        <v>10</v>
      </c>
      <c r="K382" s="183" t="str">
        <f>VLOOKUP(Ruimtestaat[[#This Row],[Ruimte code]],Ruimtegroepen[[#All],[Code]:[Ruimte omschrijving]],2,FALSE)</f>
        <v>Trappenhuizen/lift</v>
      </c>
      <c r="L382" s="99" t="s">
        <v>101</v>
      </c>
      <c r="M382" s="99" t="s">
        <v>119</v>
      </c>
      <c r="N382" s="177">
        <v>6.5</v>
      </c>
      <c r="O382" s="177"/>
      <c r="P382" s="178" t="str">
        <f>VLOOKUP(Ruimtestaat[[#This Row],[Ruimte code]],Ruimtegroepen[],4,FALSE)</f>
        <v>Ve</v>
      </c>
      <c r="Q382" s="149">
        <v>40</v>
      </c>
      <c r="R382" s="149" t="s">
        <v>2</v>
      </c>
      <c r="S382" s="149">
        <f>IF(Q382&gt;0,IF(RIGHT(Ruimtestaat[[#This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2" s="149">
        <f>IF(S382&gt;0,VLOOKUP($J382,Ruimtegroepen[],3,FALSE)*VLOOKUP($L382,Vloersoorten[],3,FALSE)*VLOOKUP($R382,Frequenties[],3,FALSE)*VLOOKUP($A382,Locaties[],3,FALSE),0)</f>
        <v>0</v>
      </c>
      <c r="U382" s="149">
        <f>Ruimtestaat[[#This Row],[Uitvoeringen werkdagen]]*Ruimtestaat[[#This Row],[Oppervlak (netto)]]</f>
        <v>1300</v>
      </c>
      <c r="V382" s="179">
        <f>IF(T382&gt;0,Ruimtestaat[[#This Row],[Prest. (m2 /jaar) werkdagen]]/Ruimtestaat[[#This Row],[Norm (m2/uur) werkdagen]],0)</f>
        <v>0</v>
      </c>
      <c r="W382" s="180">
        <f>Ruimtestaat[[#This Row],[uren / jaar werkdagen]]*Tariefsopbouw!$E$35</f>
        <v>0</v>
      </c>
      <c r="X382" s="149"/>
      <c r="Y382" s="149">
        <f>IF(Ruimtestaat[[#This Row],[Frequentie weekend]]&gt;0,VALUE(LEFT(X382,1))*Q382,0)</f>
        <v>0</v>
      </c>
      <c r="Z382" s="148">
        <f>IF($Y382&gt;0,VLOOKUP($J382,Ruimtegroepen[],3,FALSE)*VLOOKUP($L382,Vloersoorten[],3,FALSE)*VLOOKUP($X382,Frequenties[],3,FALSE)*VLOOKUP(Ruimtestaat[[#This Row],[Code]],Locaties[],3,FALSE),0)</f>
        <v>0</v>
      </c>
      <c r="AA382" s="148">
        <f>Ruimtestaat[[#This Row],[Uitvoeringen weekend]]*Ruimtestaat[[#This Row],[Oppervlak (netto)]]</f>
        <v>0</v>
      </c>
      <c r="AB382" s="148">
        <f>IF(Z382&gt;0,Ruimtestaat[[#This Row],[Prest. (m2 /jaar) weekend]]/Ruimtestaat[[#This Row],[Norm (m2/uur) weekend]],0)</f>
        <v>0</v>
      </c>
      <c r="AC382" s="180">
        <f>Ruimtestaat[[#This Row],[uren / jaar weekend]]*Tariefsopbouw!$D$40</f>
        <v>0</v>
      </c>
      <c r="AD382" s="179">
        <f>Ruimtestaat[[#This Row],[Prest. (m2 /jaar) weekend]]+Ruimtestaat[[#This Row],[Prest. (m2 /jaar) werkdagen]]</f>
        <v>1300</v>
      </c>
      <c r="AE382" s="179">
        <f>Ruimtestaat[[#This Row],[uren / jaar weekend]]+Ruimtestaat[[#This Row],[uren / jaar werkdagen]]</f>
        <v>0</v>
      </c>
      <c r="AF382" s="174">
        <f>Ruimtestaat[[#This Row],[kosten / jaar weekend]]+Ruimtestaat[[#This Row],[kosten / jaar werkdagen]]</f>
        <v>0</v>
      </c>
      <c r="AG382" s="174"/>
      <c r="AH382" s="181" t="str">
        <f>IF(Ruimtestaat[[#This Row],[Frequentie werkdagen]]="","",_xlfn.CONCAT(Ruimtestaat[[#This Row],[Ruimte code]],"-",Ruimtestaat[[#This Row],[Frequentie werkdagen]]," ",Ruimtestaat[[#This Row],[Vloer code]]))</f>
        <v>10-5w S</v>
      </c>
      <c r="AI382" s="185" t="str">
        <f>_xlfn.IFNA(VLOOKUP($AH382,Programma!$F$3:$G$1101,2,0),"")</f>
        <v>_</v>
      </c>
      <c r="AJ382" s="185" t="str">
        <f>_xlfn.IFNA(VLOOKUP($AH382,Programma!$F$3:$H$1101,3,0),"")</f>
        <v>_</v>
      </c>
      <c r="AK382" s="185" t="str">
        <f>_xlfn.IFNA(VLOOKUP($AH382,Programma!$F$3:$I$1101,4,0),"")</f>
        <v>4w</v>
      </c>
      <c r="AL382" s="185" t="str">
        <f>_xlfn.IFNA(VLOOKUP($AH382,Programma!$F$3:$J$1101,5,0),"")</f>
        <v>1w</v>
      </c>
      <c r="AM382" s="185" t="str">
        <f>_xlfn.IFNA(VLOOKUP($AH382,Programma!$F$3:$K$1101,6,0),"")</f>
        <v>4j</v>
      </c>
      <c r="AN382" s="185" t="str">
        <f>_xlfn.IFNA(VLOOKUP($AH382,Programma!$F$3:$L$1101,7,0),"")</f>
        <v>_</v>
      </c>
      <c r="AO382" s="185" t="str">
        <f>_xlfn.IFNA(VLOOKUP($AH382,Programma!$F$3:$M$1101,8,0),"")</f>
        <v>_</v>
      </c>
      <c r="AP382" s="185" t="str">
        <f>_xlfn.IFNA(VLOOKUP($AH382,Programma!$F$3:$N$1101,9,0),"")</f>
        <v>_</v>
      </c>
      <c r="AQ382" s="185" t="str">
        <f>_xlfn.IFNA(VLOOKUP($AH382,Programma!$F$3:$O$1101,10,0),"")</f>
        <v>5w</v>
      </c>
      <c r="AR382" s="185" t="str">
        <f>_xlfn.IFNA(VLOOKUP($AH382,Programma!$F$3:$P$1101,11,0),"")</f>
        <v>5w</v>
      </c>
      <c r="AS382" s="185" t="str">
        <f>_xlfn.IFNA(VLOOKUP($AH382,Programma!$F$3:$Q$1101,12,0),"")</f>
        <v>1w</v>
      </c>
      <c r="AT382" s="185" t="str">
        <f>_xlfn.IFNA(VLOOKUP($AH382,Programma!$F$3:$R$1101,13,0),"")</f>
        <v>1w</v>
      </c>
      <c r="AU382" s="185" t="str">
        <f>_xlfn.IFNA(VLOOKUP($AH382,Programma!$F$3:$S$1101,14,0),"")</f>
        <v>1m</v>
      </c>
      <c r="AV382" s="185" t="str">
        <f>_xlfn.IFNA(VLOOKUP($AH382,Programma!$F$3:$T$1101,15,0),"")</f>
        <v>2j</v>
      </c>
      <c r="AW382" s="185" t="str">
        <f>_xlfn.IFNA(VLOOKUP($AH382,Programma!$F$3:$U$1101,16,0),"")</f>
        <v>1j</v>
      </c>
      <c r="AX382" s="185" t="str">
        <f>_xlfn.IFNA(VLOOKUP($AH382,Programma!$F$3:$V$1101,17,0),"")</f>
        <v>_</v>
      </c>
      <c r="AY382" s="185" t="str">
        <f>_xlfn.IFNA(VLOOKUP($AH382,Programma!$F$3:$W$1101,18,0),"")</f>
        <v>_</v>
      </c>
      <c r="AZ382" s="185" t="str">
        <f>_xlfn.IFNA(VLOOKUP($AH382,Programma!$F$3:$X$1101,19,0),"")</f>
        <v>_</v>
      </c>
      <c r="BA382" s="185" t="str">
        <f>_xlfn.IFNA(VLOOKUP($AH382,Programma!$F$3:$Y$1101,20,0),"")</f>
        <v>_</v>
      </c>
      <c r="BB382" s="182"/>
      <c r="BC382" s="181" t="str">
        <f>IF(Ruimtestaat[[#This Row],[Frequentie weekend]]="","",_xlfn.CONCAT(Ruimtestaat[[#This Row],[Ruimte code]],"-",Ruimtestaat[[#This Row],[Frequentie weekend]]," ",Ruimtestaat[[#This Row],[Vloer code]]))</f>
        <v/>
      </c>
      <c r="BD382" s="185" t="str">
        <f>_xlfn.IFNA(VLOOKUP($BC382,Programma!$F$3:$G$1101,2,0),"")</f>
        <v/>
      </c>
      <c r="BE382" s="185" t="str">
        <f>_xlfn.IFNA(VLOOKUP($BC382,Programma!$F$3:$H$1101,3,0),"")</f>
        <v/>
      </c>
      <c r="BF382" s="185" t="str">
        <f>_xlfn.IFNA(VLOOKUP($BC382,Programma!$F$3:$I$1101,4,0),"")</f>
        <v/>
      </c>
      <c r="BG382" s="185" t="str">
        <f>_xlfn.IFNA(VLOOKUP($BC382,Programma!$F$3:$J$1101,5,0),"")</f>
        <v/>
      </c>
      <c r="BH382" s="185" t="str">
        <f>_xlfn.IFNA(VLOOKUP($BC382,Programma!$F$3:$K$1101,6,0),"")</f>
        <v/>
      </c>
      <c r="BI382" s="185" t="str">
        <f>_xlfn.IFNA(VLOOKUP($BC382,Programma!$F$3:$L$1101,7,0),"")</f>
        <v/>
      </c>
      <c r="BJ382" s="185" t="str">
        <f>_xlfn.IFNA(VLOOKUP($BC382,Programma!$F$3:$M$1101,8,0),"")</f>
        <v/>
      </c>
      <c r="BK382" s="185" t="str">
        <f>_xlfn.IFNA(VLOOKUP($BC382,Programma!$F$3:$N$1101,9,0),"")</f>
        <v/>
      </c>
      <c r="BL382" s="185" t="str">
        <f>_xlfn.IFNA(VLOOKUP($BC382,Programma!$F$3:$O$1101,10,0),"")</f>
        <v/>
      </c>
      <c r="BM382" s="185" t="str">
        <f>_xlfn.IFNA(VLOOKUP($BC382,Programma!$F$3:$P$1101,11,0),"")</f>
        <v/>
      </c>
      <c r="BN382" s="185" t="str">
        <f>_xlfn.IFNA(VLOOKUP($BC382,Programma!$F$3:$Q$1101,12,0),"")</f>
        <v/>
      </c>
      <c r="BO382" s="185" t="str">
        <f>_xlfn.IFNA(VLOOKUP($BC382,Programma!$F$3:$R$1101,13,0),"")</f>
        <v/>
      </c>
      <c r="BP382" s="185" t="str">
        <f>_xlfn.IFNA(VLOOKUP($BC382,Programma!$F$3:$S$1101,14,0),"")</f>
        <v/>
      </c>
      <c r="BQ382" s="185" t="str">
        <f>_xlfn.IFNA(VLOOKUP($BC382,Programma!$F$3:$T$1101,15,0),"")</f>
        <v/>
      </c>
      <c r="BR382" s="185" t="str">
        <f>_xlfn.IFNA(VLOOKUP($BC382,Programma!$F$3:$U$1101,16,0),"")</f>
        <v/>
      </c>
      <c r="BS382" s="185" t="str">
        <f>_xlfn.IFNA(VLOOKUP($BC382,Programma!$F$3:$V$1101,17,0),"")</f>
        <v/>
      </c>
      <c r="BT382" s="185" t="str">
        <f>_xlfn.IFNA(VLOOKUP($BC382,Programma!$F$3:$W$1101,18,0),"")</f>
        <v/>
      </c>
      <c r="BU382" s="185" t="str">
        <f>_xlfn.IFNA(VLOOKUP($BC382,Programma!$F$3:$X$1101,19,0),"")</f>
        <v/>
      </c>
      <c r="BV382" s="185" t="str">
        <f>_xlfn.IFNA(VLOOKUP($BC382,Programma!$F$3:$Y$1101,20,0),"")</f>
        <v/>
      </c>
    </row>
    <row r="383" spans="1:74" s="78" customFormat="1" ht="15" customHeight="1">
      <c r="A383" s="99">
        <v>11</v>
      </c>
      <c r="B383" s="176" t="str">
        <f>VLOOKUP(Ruimtestaat[[#This Row],[Code]],Locaties[[Code]:[Locatie]],2,FALSE)</f>
        <v>OMBS De Wielerbaan</v>
      </c>
      <c r="C383" s="176" t="str">
        <f>VLOOKUP(Ruimtestaat[[#This Row],[Code]],Locaties[[#All],[Code]:[Adres]],4,FALSE)</f>
        <v>Batshoek 5</v>
      </c>
      <c r="D383" s="176" t="str">
        <f>VLOOKUP(Ruimtestaat[[#This Row],[Code]],Locaties[[#All],[Code]:[Postcode]],5,FALSE)</f>
        <v>7546 LC</v>
      </c>
      <c r="E383" s="176" t="str">
        <f>VLOOKUP(Ruimtestaat[[#This Row],[Code]],Locaties[#All],6,FALSE)</f>
        <v>Enschede</v>
      </c>
      <c r="F383" s="183"/>
      <c r="G383" s="99" t="s">
        <v>1714</v>
      </c>
      <c r="H383" s="99">
        <v>102</v>
      </c>
      <c r="I383" s="183" t="s">
        <v>1655</v>
      </c>
      <c r="J383" s="99">
        <v>5</v>
      </c>
      <c r="K383" s="183" t="str">
        <f>VLOOKUP(Ruimtestaat[[#This Row],[Ruimte code]],Ruimtegroepen[[#All],[Code]:[Ruimte omschrijving]],2,FALSE)</f>
        <v>Sanitair</v>
      </c>
      <c r="L383" s="99" t="s">
        <v>101</v>
      </c>
      <c r="M383" s="99" t="s">
        <v>119</v>
      </c>
      <c r="N383" s="177">
        <v>5</v>
      </c>
      <c r="O383" s="177"/>
      <c r="P383" s="178" t="str">
        <f>VLOOKUP(Ruimtestaat[[#This Row],[Ruimte code]],Ruimtegroepen[],4,FALSE)</f>
        <v>Sa</v>
      </c>
      <c r="Q383" s="149">
        <v>40</v>
      </c>
      <c r="R383" s="149" t="s">
        <v>2</v>
      </c>
      <c r="S383" s="149">
        <f>IF(Q383&gt;0,IF(RIGHT(Ruimtestaat[[#This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3" s="149">
        <f>IF(S383&gt;0,VLOOKUP($J383,Ruimtegroepen[],3,FALSE)*VLOOKUP($L383,Vloersoorten[],3,FALSE)*VLOOKUP($R383,Frequenties[],3,FALSE)*VLOOKUP($A383,Locaties[],3,FALSE),0)</f>
        <v>0</v>
      </c>
      <c r="U383" s="149">
        <f>Ruimtestaat[[#This Row],[Uitvoeringen werkdagen]]*Ruimtestaat[[#This Row],[Oppervlak (netto)]]</f>
        <v>1000</v>
      </c>
      <c r="V383" s="179">
        <f>IF(T383&gt;0,Ruimtestaat[[#This Row],[Prest. (m2 /jaar) werkdagen]]/Ruimtestaat[[#This Row],[Norm (m2/uur) werkdagen]],0)</f>
        <v>0</v>
      </c>
      <c r="W383" s="180">
        <f>Ruimtestaat[[#This Row],[uren / jaar werkdagen]]*Tariefsopbouw!$E$35</f>
        <v>0</v>
      </c>
      <c r="X383" s="149"/>
      <c r="Y383" s="149">
        <f>IF(Ruimtestaat[[#This Row],[Frequentie weekend]]&gt;0,VALUE(LEFT(X383,1))*Q383,0)</f>
        <v>0</v>
      </c>
      <c r="Z383" s="148">
        <f>IF($Y383&gt;0,VLOOKUP($J383,Ruimtegroepen[],3,FALSE)*VLOOKUP($L383,Vloersoorten[],3,FALSE)*VLOOKUP($X383,Frequenties[],3,FALSE)*VLOOKUP(Ruimtestaat[[#This Row],[Code]],Locaties[],3,FALSE),0)</f>
        <v>0</v>
      </c>
      <c r="AA383" s="148">
        <f>Ruimtestaat[[#This Row],[Uitvoeringen weekend]]*Ruimtestaat[[#This Row],[Oppervlak (netto)]]</f>
        <v>0</v>
      </c>
      <c r="AB383" s="148">
        <f>IF(Z383&gt;0,Ruimtestaat[[#This Row],[Prest. (m2 /jaar) weekend]]/Ruimtestaat[[#This Row],[Norm (m2/uur) weekend]],0)</f>
        <v>0</v>
      </c>
      <c r="AC383" s="180">
        <f>Ruimtestaat[[#This Row],[uren / jaar weekend]]*Tariefsopbouw!$D$40</f>
        <v>0</v>
      </c>
      <c r="AD383" s="179">
        <f>Ruimtestaat[[#This Row],[Prest. (m2 /jaar) weekend]]+Ruimtestaat[[#This Row],[Prest. (m2 /jaar) werkdagen]]</f>
        <v>1000</v>
      </c>
      <c r="AE383" s="179">
        <f>Ruimtestaat[[#This Row],[uren / jaar weekend]]+Ruimtestaat[[#This Row],[uren / jaar werkdagen]]</f>
        <v>0</v>
      </c>
      <c r="AF383" s="174">
        <f>Ruimtestaat[[#This Row],[kosten / jaar weekend]]+Ruimtestaat[[#This Row],[kosten / jaar werkdagen]]</f>
        <v>0</v>
      </c>
      <c r="AG383" s="174"/>
      <c r="AH383" s="181" t="str">
        <f>IF(Ruimtestaat[[#This Row],[Frequentie werkdagen]]="","",_xlfn.CONCAT(Ruimtestaat[[#This Row],[Ruimte code]],"-",Ruimtestaat[[#This Row],[Frequentie werkdagen]]," ",Ruimtestaat[[#This Row],[Vloer code]]))</f>
        <v>5-5w S</v>
      </c>
      <c r="AI383" s="185" t="str">
        <f>_xlfn.IFNA(VLOOKUP($AH383,Programma!$F$3:$G$1101,2,0),"")</f>
        <v>_</v>
      </c>
      <c r="AJ383" s="185" t="str">
        <f>_xlfn.IFNA(VLOOKUP($AH383,Programma!$F$3:$H$1101,3,0),"")</f>
        <v>_</v>
      </c>
      <c r="AK383" s="185" t="str">
        <f>_xlfn.IFNA(VLOOKUP($AH383,Programma!$F$3:$I$1101,4,0),"")</f>
        <v>_</v>
      </c>
      <c r="AL383" s="185" t="str">
        <f>_xlfn.IFNA(VLOOKUP($AH383,Programma!$F$3:$J$1101,5,0),"")</f>
        <v>4w</v>
      </c>
      <c r="AM383" s="185" t="str">
        <f>_xlfn.IFNA(VLOOKUP($AH383,Programma!$F$3:$K$1101,6,0),"")</f>
        <v>1w</v>
      </c>
      <c r="AN383" s="185" t="str">
        <f>_xlfn.IFNA(VLOOKUP($AH383,Programma!$F$3:$L$1101,7,0),"")</f>
        <v>_</v>
      </c>
      <c r="AO383" s="185" t="str">
        <f>_xlfn.IFNA(VLOOKUP($AH383,Programma!$F$3:$M$1101,8,0),"")</f>
        <v>_</v>
      </c>
      <c r="AP383" s="185" t="str">
        <f>_xlfn.IFNA(VLOOKUP($AH383,Programma!$F$3:$N$1101,9,0),"")</f>
        <v>_</v>
      </c>
      <c r="AQ383" s="185" t="str">
        <f>_xlfn.IFNA(VLOOKUP($AH383,Programma!$F$3:$O$1101,10,0),"")</f>
        <v>_</v>
      </c>
      <c r="AR383" s="185" t="str">
        <f>_xlfn.IFNA(VLOOKUP($AH383,Programma!$F$3:$P$1101,11,0),"")</f>
        <v>_</v>
      </c>
      <c r="AS383" s="185" t="str">
        <f>_xlfn.IFNA(VLOOKUP($AH383,Programma!$F$3:$Q$1101,12,0),"")</f>
        <v>_</v>
      </c>
      <c r="AT383" s="185" t="str">
        <f>_xlfn.IFNA(VLOOKUP($AH383,Programma!$F$3:$R$1101,13,0),"")</f>
        <v>_</v>
      </c>
      <c r="AU383" s="185" t="str">
        <f>_xlfn.IFNA(VLOOKUP($AH383,Programma!$F$3:$S$1101,14,0),"")</f>
        <v>_</v>
      </c>
      <c r="AV383" s="185" t="str">
        <f>_xlfn.IFNA(VLOOKUP($AH383,Programma!$F$3:$T$1101,15,0),"")</f>
        <v>_</v>
      </c>
      <c r="AW383" s="185" t="str">
        <f>_xlfn.IFNA(VLOOKUP($AH383,Programma!$F$3:$U$1101,16,0),"")</f>
        <v>_</v>
      </c>
      <c r="AX383" s="185" t="str">
        <f>_xlfn.IFNA(VLOOKUP($AH383,Programma!$F$3:$V$1101,17,0),"")</f>
        <v>_</v>
      </c>
      <c r="AY383" s="185" t="str">
        <f>_xlfn.IFNA(VLOOKUP($AH383,Programma!$F$3:$W$1101,18,0),"")</f>
        <v>4w</v>
      </c>
      <c r="AZ383" s="185" t="str">
        <f>_xlfn.IFNA(VLOOKUP($AH383,Programma!$F$3:$X$1101,19,0),"")</f>
        <v>1w</v>
      </c>
      <c r="BA383" s="185" t="str">
        <f>_xlfn.IFNA(VLOOKUP($AH383,Programma!$F$3:$Y$1101,20,0),"")</f>
        <v>_</v>
      </c>
      <c r="BB383" s="182"/>
      <c r="BC383" s="181" t="str">
        <f>IF(Ruimtestaat[[#This Row],[Frequentie weekend]]="","",_xlfn.CONCAT(Ruimtestaat[[#This Row],[Ruimte code]],"-",Ruimtestaat[[#This Row],[Frequentie weekend]]," ",Ruimtestaat[[#This Row],[Vloer code]]))</f>
        <v/>
      </c>
      <c r="BD383" s="185" t="str">
        <f>_xlfn.IFNA(VLOOKUP($BC383,Programma!$F$3:$G$1101,2,0),"")</f>
        <v/>
      </c>
      <c r="BE383" s="185" t="str">
        <f>_xlfn.IFNA(VLOOKUP($BC383,Programma!$F$3:$H$1101,3,0),"")</f>
        <v/>
      </c>
      <c r="BF383" s="185" t="str">
        <f>_xlfn.IFNA(VLOOKUP($BC383,Programma!$F$3:$I$1101,4,0),"")</f>
        <v/>
      </c>
      <c r="BG383" s="185" t="str">
        <f>_xlfn.IFNA(VLOOKUP($BC383,Programma!$F$3:$J$1101,5,0),"")</f>
        <v/>
      </c>
      <c r="BH383" s="185" t="str">
        <f>_xlfn.IFNA(VLOOKUP($BC383,Programma!$F$3:$K$1101,6,0),"")</f>
        <v/>
      </c>
      <c r="BI383" s="185" t="str">
        <f>_xlfn.IFNA(VLOOKUP($BC383,Programma!$F$3:$L$1101,7,0),"")</f>
        <v/>
      </c>
      <c r="BJ383" s="185" t="str">
        <f>_xlfn.IFNA(VLOOKUP($BC383,Programma!$F$3:$M$1101,8,0),"")</f>
        <v/>
      </c>
      <c r="BK383" s="185" t="str">
        <f>_xlfn.IFNA(VLOOKUP($BC383,Programma!$F$3:$N$1101,9,0),"")</f>
        <v/>
      </c>
      <c r="BL383" s="185" t="str">
        <f>_xlfn.IFNA(VLOOKUP($BC383,Programma!$F$3:$O$1101,10,0),"")</f>
        <v/>
      </c>
      <c r="BM383" s="185" t="str">
        <f>_xlfn.IFNA(VLOOKUP($BC383,Programma!$F$3:$P$1101,11,0),"")</f>
        <v/>
      </c>
      <c r="BN383" s="185" t="str">
        <f>_xlfn.IFNA(VLOOKUP($BC383,Programma!$F$3:$Q$1101,12,0),"")</f>
        <v/>
      </c>
      <c r="BO383" s="185" t="str">
        <f>_xlfn.IFNA(VLOOKUP($BC383,Programma!$F$3:$R$1101,13,0),"")</f>
        <v/>
      </c>
      <c r="BP383" s="185" t="str">
        <f>_xlfn.IFNA(VLOOKUP($BC383,Programma!$F$3:$S$1101,14,0),"")</f>
        <v/>
      </c>
      <c r="BQ383" s="185" t="str">
        <f>_xlfn.IFNA(VLOOKUP($BC383,Programma!$F$3:$T$1101,15,0),"")</f>
        <v/>
      </c>
      <c r="BR383" s="185" t="str">
        <f>_xlfn.IFNA(VLOOKUP($BC383,Programma!$F$3:$U$1101,16,0),"")</f>
        <v/>
      </c>
      <c r="BS383" s="185" t="str">
        <f>_xlfn.IFNA(VLOOKUP($BC383,Programma!$F$3:$V$1101,17,0),"")</f>
        <v/>
      </c>
      <c r="BT383" s="185" t="str">
        <f>_xlfn.IFNA(VLOOKUP($BC383,Programma!$F$3:$W$1101,18,0),"")</f>
        <v/>
      </c>
      <c r="BU383" s="185" t="str">
        <f>_xlfn.IFNA(VLOOKUP($BC383,Programma!$F$3:$X$1101,19,0),"")</f>
        <v/>
      </c>
      <c r="BV383" s="185" t="str">
        <f>_xlfn.IFNA(VLOOKUP($BC383,Programma!$F$3:$Y$1101,20,0),"")</f>
        <v/>
      </c>
    </row>
    <row r="384" spans="1:74" s="78" customFormat="1" ht="15" customHeight="1">
      <c r="A384" s="99">
        <v>11</v>
      </c>
      <c r="B384" s="176" t="str">
        <f>VLOOKUP(Ruimtestaat[[#This Row],[Code]],Locaties[[Code]:[Locatie]],2,FALSE)</f>
        <v>OMBS De Wielerbaan</v>
      </c>
      <c r="C384" s="176" t="str">
        <f>VLOOKUP(Ruimtestaat[[#This Row],[Code]],Locaties[[#All],[Code]:[Adres]],4,FALSE)</f>
        <v>Batshoek 5</v>
      </c>
      <c r="D384" s="176" t="str">
        <f>VLOOKUP(Ruimtestaat[[#This Row],[Code]],Locaties[[#All],[Code]:[Postcode]],5,FALSE)</f>
        <v>7546 LC</v>
      </c>
      <c r="E384" s="176" t="str">
        <f>VLOOKUP(Ruimtestaat[[#This Row],[Code]],Locaties[#All],6,FALSE)</f>
        <v>Enschede</v>
      </c>
      <c r="F384" s="183"/>
      <c r="G384" s="99" t="s">
        <v>1714</v>
      </c>
      <c r="H384" s="99">
        <v>103</v>
      </c>
      <c r="I384" s="183" t="s">
        <v>1651</v>
      </c>
      <c r="J384" s="99">
        <v>16</v>
      </c>
      <c r="K384" s="183" t="str">
        <f>VLOOKUP(Ruimtestaat[[#This Row],[Ruimte code]],Ruimtegroepen[[#All],[Code]:[Ruimte omschrijving]],2,FALSE)</f>
        <v>Leslokalen</v>
      </c>
      <c r="L384" s="99" t="s">
        <v>100</v>
      </c>
      <c r="M384" s="99" t="s">
        <v>1697</v>
      </c>
      <c r="N384" s="177">
        <v>52.2</v>
      </c>
      <c r="O384" s="177"/>
      <c r="P384" s="178" t="str">
        <f>VLOOKUP(Ruimtestaat[[#This Row],[Ruimte code]],Ruimtegroepen[],4,FALSE)</f>
        <v>Le</v>
      </c>
      <c r="Q384" s="149">
        <v>40</v>
      </c>
      <c r="R384" s="149" t="s">
        <v>2</v>
      </c>
      <c r="S384" s="149">
        <f>IF(Q384&gt;0,IF(RIGHT(Ruimtestaat[[#This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4" s="149">
        <f>IF(S384&gt;0,VLOOKUP($J384,Ruimtegroepen[],3,FALSE)*VLOOKUP($L384,Vloersoorten[],3,FALSE)*VLOOKUP($R384,Frequenties[],3,FALSE)*VLOOKUP($A384,Locaties[],3,FALSE),0)</f>
        <v>0</v>
      </c>
      <c r="U384" s="149">
        <f>Ruimtestaat[[#This Row],[Uitvoeringen werkdagen]]*Ruimtestaat[[#This Row],[Oppervlak (netto)]]</f>
        <v>10440</v>
      </c>
      <c r="V384" s="179">
        <f>IF(T384&gt;0,Ruimtestaat[[#This Row],[Prest. (m2 /jaar) werkdagen]]/Ruimtestaat[[#This Row],[Norm (m2/uur) werkdagen]],0)</f>
        <v>0</v>
      </c>
      <c r="W384" s="180">
        <f>Ruimtestaat[[#This Row],[uren / jaar werkdagen]]*Tariefsopbouw!$E$35</f>
        <v>0</v>
      </c>
      <c r="X384" s="149"/>
      <c r="Y384" s="149">
        <f>IF(Ruimtestaat[[#This Row],[Frequentie weekend]]&gt;0,VALUE(LEFT(X384,1))*Q384,0)</f>
        <v>0</v>
      </c>
      <c r="Z384" s="148">
        <f>IF($Y384&gt;0,VLOOKUP($J384,Ruimtegroepen[],3,FALSE)*VLOOKUP($L384,Vloersoorten[],3,FALSE)*VLOOKUP($X384,Frequenties[],3,FALSE)*VLOOKUP(Ruimtestaat[[#This Row],[Code]],Locaties[],3,FALSE),0)</f>
        <v>0</v>
      </c>
      <c r="AA384" s="148">
        <f>Ruimtestaat[[#This Row],[Uitvoeringen weekend]]*Ruimtestaat[[#This Row],[Oppervlak (netto)]]</f>
        <v>0</v>
      </c>
      <c r="AB384" s="148">
        <f>IF(Z384&gt;0,Ruimtestaat[[#This Row],[Prest. (m2 /jaar) weekend]]/Ruimtestaat[[#This Row],[Norm (m2/uur) weekend]],0)</f>
        <v>0</v>
      </c>
      <c r="AC384" s="180">
        <f>Ruimtestaat[[#This Row],[uren / jaar weekend]]*Tariefsopbouw!$D$40</f>
        <v>0</v>
      </c>
      <c r="AD384" s="179">
        <f>Ruimtestaat[[#This Row],[Prest. (m2 /jaar) weekend]]+Ruimtestaat[[#This Row],[Prest. (m2 /jaar) werkdagen]]</f>
        <v>10440</v>
      </c>
      <c r="AE384" s="179">
        <f>Ruimtestaat[[#This Row],[uren / jaar weekend]]+Ruimtestaat[[#This Row],[uren / jaar werkdagen]]</f>
        <v>0</v>
      </c>
      <c r="AF384" s="174">
        <f>Ruimtestaat[[#This Row],[kosten / jaar weekend]]+Ruimtestaat[[#This Row],[kosten / jaar werkdagen]]</f>
        <v>0</v>
      </c>
      <c r="AG384" s="174"/>
      <c r="AH384" s="181" t="str">
        <f>IF(Ruimtestaat[[#This Row],[Frequentie werkdagen]]="","",_xlfn.CONCAT(Ruimtestaat[[#This Row],[Ruimte code]],"-",Ruimtestaat[[#This Row],[Frequentie werkdagen]]," ",Ruimtestaat[[#This Row],[Vloer code]]))</f>
        <v>16-5w L</v>
      </c>
      <c r="AI384" s="185" t="str">
        <f>_xlfn.IFNA(VLOOKUP($AH384,Programma!$F$3:$G$1101,2,0),"")</f>
        <v>_</v>
      </c>
      <c r="AJ384" s="185" t="str">
        <f>_xlfn.IFNA(VLOOKUP($AH384,Programma!$F$3:$H$1101,3,0),"")</f>
        <v>_</v>
      </c>
      <c r="AK384" s="185" t="str">
        <f>_xlfn.IFNA(VLOOKUP($AH384,Programma!$F$3:$I$1101,4,0),"")</f>
        <v>4w</v>
      </c>
      <c r="AL384" s="185" t="str">
        <f>_xlfn.IFNA(VLOOKUP($AH384,Programma!$F$3:$J$1101,5,0),"")</f>
        <v>1w</v>
      </c>
      <c r="AM384" s="185" t="str">
        <f>_xlfn.IFNA(VLOOKUP($AH384,Programma!$F$3:$K$1101,6,0),"")</f>
        <v>_</v>
      </c>
      <c r="AN384" s="185" t="str">
        <f>_xlfn.IFNA(VLOOKUP($AH384,Programma!$F$3:$L$1101,7,0),"")</f>
        <v>_</v>
      </c>
      <c r="AO384" s="185" t="str">
        <f>_xlfn.IFNA(VLOOKUP($AH384,Programma!$F$3:$M$1101,8,0),"")</f>
        <v>_</v>
      </c>
      <c r="AP384" s="185" t="str">
        <f>_xlfn.IFNA(VLOOKUP($AH384,Programma!$F$3:$N$1101,9,0),"")</f>
        <v>_</v>
      </c>
      <c r="AQ384" s="185" t="str">
        <f>_xlfn.IFNA(VLOOKUP($AH384,Programma!$F$3:$O$1101,10,0),"")</f>
        <v>5w</v>
      </c>
      <c r="AR384" s="185" t="str">
        <f>_xlfn.IFNA(VLOOKUP($AH384,Programma!$F$3:$P$1101,11,0),"")</f>
        <v>5w</v>
      </c>
      <c r="AS384" s="185" t="str">
        <f>_xlfn.IFNA(VLOOKUP($AH384,Programma!$F$3:$Q$1101,12,0),"")</f>
        <v>1w</v>
      </c>
      <c r="AT384" s="185" t="str">
        <f>_xlfn.IFNA(VLOOKUP($AH384,Programma!$F$3:$R$1101,13,0),"")</f>
        <v>1w</v>
      </c>
      <c r="AU384" s="185" t="str">
        <f>_xlfn.IFNA(VLOOKUP($AH384,Programma!$F$3:$S$1101,14,0),"")</f>
        <v>1m</v>
      </c>
      <c r="AV384" s="185" t="str">
        <f>_xlfn.IFNA(VLOOKUP($AH384,Programma!$F$3:$T$1101,15,0),"")</f>
        <v>2j</v>
      </c>
      <c r="AW384" s="185" t="str">
        <f>_xlfn.IFNA(VLOOKUP($AH384,Programma!$F$3:$U$1101,16,0),"")</f>
        <v>1j</v>
      </c>
      <c r="AX384" s="185" t="str">
        <f>_xlfn.IFNA(VLOOKUP($AH384,Programma!$F$3:$V$1101,17,0),"")</f>
        <v>_</v>
      </c>
      <c r="AY384" s="185" t="str">
        <f>_xlfn.IFNA(VLOOKUP($AH384,Programma!$F$3:$W$1101,18,0),"")</f>
        <v>_</v>
      </c>
      <c r="AZ384" s="185" t="str">
        <f>_xlfn.IFNA(VLOOKUP($AH384,Programma!$F$3:$X$1101,19,0),"")</f>
        <v>_</v>
      </c>
      <c r="BA384" s="185" t="str">
        <f>_xlfn.IFNA(VLOOKUP($AH384,Programma!$F$3:$Y$1101,20,0),"")</f>
        <v>_</v>
      </c>
      <c r="BB384" s="182"/>
      <c r="BC384" s="181" t="str">
        <f>IF(Ruimtestaat[[#This Row],[Frequentie weekend]]="","",_xlfn.CONCAT(Ruimtestaat[[#This Row],[Ruimte code]],"-",Ruimtestaat[[#This Row],[Frequentie weekend]]," ",Ruimtestaat[[#This Row],[Vloer code]]))</f>
        <v/>
      </c>
      <c r="BD384" s="185" t="str">
        <f>_xlfn.IFNA(VLOOKUP($BC384,Programma!$F$3:$G$1101,2,0),"")</f>
        <v/>
      </c>
      <c r="BE384" s="185" t="str">
        <f>_xlfn.IFNA(VLOOKUP($BC384,Programma!$F$3:$H$1101,3,0),"")</f>
        <v/>
      </c>
      <c r="BF384" s="185" t="str">
        <f>_xlfn.IFNA(VLOOKUP($BC384,Programma!$F$3:$I$1101,4,0),"")</f>
        <v/>
      </c>
      <c r="BG384" s="185" t="str">
        <f>_xlfn.IFNA(VLOOKUP($BC384,Programma!$F$3:$J$1101,5,0),"")</f>
        <v/>
      </c>
      <c r="BH384" s="185" t="str">
        <f>_xlfn.IFNA(VLOOKUP($BC384,Programma!$F$3:$K$1101,6,0),"")</f>
        <v/>
      </c>
      <c r="BI384" s="185" t="str">
        <f>_xlfn.IFNA(VLOOKUP($BC384,Programma!$F$3:$L$1101,7,0),"")</f>
        <v/>
      </c>
      <c r="BJ384" s="185" t="str">
        <f>_xlfn.IFNA(VLOOKUP($BC384,Programma!$F$3:$M$1101,8,0),"")</f>
        <v/>
      </c>
      <c r="BK384" s="185" t="str">
        <f>_xlfn.IFNA(VLOOKUP($BC384,Programma!$F$3:$N$1101,9,0),"")</f>
        <v/>
      </c>
      <c r="BL384" s="185" t="str">
        <f>_xlfn.IFNA(VLOOKUP($BC384,Programma!$F$3:$O$1101,10,0),"")</f>
        <v/>
      </c>
      <c r="BM384" s="185" t="str">
        <f>_xlfn.IFNA(VLOOKUP($BC384,Programma!$F$3:$P$1101,11,0),"")</f>
        <v/>
      </c>
      <c r="BN384" s="185" t="str">
        <f>_xlfn.IFNA(VLOOKUP($BC384,Programma!$F$3:$Q$1101,12,0),"")</f>
        <v/>
      </c>
      <c r="BO384" s="185" t="str">
        <f>_xlfn.IFNA(VLOOKUP($BC384,Programma!$F$3:$R$1101,13,0),"")</f>
        <v/>
      </c>
      <c r="BP384" s="185" t="str">
        <f>_xlfn.IFNA(VLOOKUP($BC384,Programma!$F$3:$S$1101,14,0),"")</f>
        <v/>
      </c>
      <c r="BQ384" s="185" t="str">
        <f>_xlfn.IFNA(VLOOKUP($BC384,Programma!$F$3:$T$1101,15,0),"")</f>
        <v/>
      </c>
      <c r="BR384" s="185" t="str">
        <f>_xlfn.IFNA(VLOOKUP($BC384,Programma!$F$3:$U$1101,16,0),"")</f>
        <v/>
      </c>
      <c r="BS384" s="185" t="str">
        <f>_xlfn.IFNA(VLOOKUP($BC384,Programma!$F$3:$V$1101,17,0),"")</f>
        <v/>
      </c>
      <c r="BT384" s="185" t="str">
        <f>_xlfn.IFNA(VLOOKUP($BC384,Programma!$F$3:$W$1101,18,0),"")</f>
        <v/>
      </c>
      <c r="BU384" s="185" t="str">
        <f>_xlfn.IFNA(VLOOKUP($BC384,Programma!$F$3:$X$1101,19,0),"")</f>
        <v/>
      </c>
      <c r="BV384" s="185" t="str">
        <f>_xlfn.IFNA(VLOOKUP($BC384,Programma!$F$3:$Y$1101,20,0),"")</f>
        <v/>
      </c>
    </row>
    <row r="385" spans="1:74" s="78" customFormat="1" ht="15" customHeight="1">
      <c r="A385" s="99">
        <v>11</v>
      </c>
      <c r="B385" s="176" t="str">
        <f>VLOOKUP(Ruimtestaat[[#This Row],[Code]],Locaties[[Code]:[Locatie]],2,FALSE)</f>
        <v>OMBS De Wielerbaan</v>
      </c>
      <c r="C385" s="176" t="str">
        <f>VLOOKUP(Ruimtestaat[[#This Row],[Code]],Locaties[[#All],[Code]:[Adres]],4,FALSE)</f>
        <v>Batshoek 5</v>
      </c>
      <c r="D385" s="176" t="str">
        <f>VLOOKUP(Ruimtestaat[[#This Row],[Code]],Locaties[[#All],[Code]:[Postcode]],5,FALSE)</f>
        <v>7546 LC</v>
      </c>
      <c r="E385" s="176" t="str">
        <f>VLOOKUP(Ruimtestaat[[#This Row],[Code]],Locaties[#All],6,FALSE)</f>
        <v>Enschede</v>
      </c>
      <c r="F385" s="183"/>
      <c r="G385" s="99" t="s">
        <v>1714</v>
      </c>
      <c r="H385" s="99">
        <v>104</v>
      </c>
      <c r="I385" s="183" t="s">
        <v>1797</v>
      </c>
      <c r="J385" s="99">
        <v>5</v>
      </c>
      <c r="K385" s="183" t="str">
        <f>VLOOKUP(Ruimtestaat[[#This Row],[Ruimte code]],Ruimtegroepen[[#All],[Code]:[Ruimte omschrijving]],2,FALSE)</f>
        <v>Sanitair</v>
      </c>
      <c r="L385" s="99" t="s">
        <v>101</v>
      </c>
      <c r="M385" s="99" t="s">
        <v>119</v>
      </c>
      <c r="N385" s="177">
        <v>9.5</v>
      </c>
      <c r="O385" s="177"/>
      <c r="P385" s="178" t="str">
        <f>VLOOKUP(Ruimtestaat[[#This Row],[Ruimte code]],Ruimtegroepen[],4,FALSE)</f>
        <v>Sa</v>
      </c>
      <c r="Q385" s="149">
        <v>40</v>
      </c>
      <c r="R385" s="149" t="s">
        <v>2</v>
      </c>
      <c r="S385" s="149">
        <f>IF(Q385&gt;0,IF(RIGHT(Ruimtestaat[[#This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5" s="149">
        <f>IF(S385&gt;0,VLOOKUP($J385,Ruimtegroepen[],3,FALSE)*VLOOKUP($L385,Vloersoorten[],3,FALSE)*VLOOKUP($R385,Frequenties[],3,FALSE)*VLOOKUP($A385,Locaties[],3,FALSE),0)</f>
        <v>0</v>
      </c>
      <c r="U385" s="149">
        <f>Ruimtestaat[[#This Row],[Uitvoeringen werkdagen]]*Ruimtestaat[[#This Row],[Oppervlak (netto)]]</f>
        <v>1900</v>
      </c>
      <c r="V385" s="179">
        <f>IF(T385&gt;0,Ruimtestaat[[#This Row],[Prest. (m2 /jaar) werkdagen]]/Ruimtestaat[[#This Row],[Norm (m2/uur) werkdagen]],0)</f>
        <v>0</v>
      </c>
      <c r="W385" s="180">
        <f>Ruimtestaat[[#This Row],[uren / jaar werkdagen]]*Tariefsopbouw!$E$35</f>
        <v>0</v>
      </c>
      <c r="X385" s="149"/>
      <c r="Y385" s="149">
        <f>IF(Ruimtestaat[[#This Row],[Frequentie weekend]]&gt;0,VALUE(LEFT(X385,1))*Q385,0)</f>
        <v>0</v>
      </c>
      <c r="Z385" s="148">
        <f>IF($Y385&gt;0,VLOOKUP($J385,Ruimtegroepen[],3,FALSE)*VLOOKUP($L385,Vloersoorten[],3,FALSE)*VLOOKUP($X385,Frequenties[],3,FALSE)*VLOOKUP(Ruimtestaat[[#This Row],[Code]],Locaties[],3,FALSE),0)</f>
        <v>0</v>
      </c>
      <c r="AA385" s="148">
        <f>Ruimtestaat[[#This Row],[Uitvoeringen weekend]]*Ruimtestaat[[#This Row],[Oppervlak (netto)]]</f>
        <v>0</v>
      </c>
      <c r="AB385" s="148">
        <f>IF(Z385&gt;0,Ruimtestaat[[#This Row],[Prest. (m2 /jaar) weekend]]/Ruimtestaat[[#This Row],[Norm (m2/uur) weekend]],0)</f>
        <v>0</v>
      </c>
      <c r="AC385" s="180">
        <f>Ruimtestaat[[#This Row],[uren / jaar weekend]]*Tariefsopbouw!$D$40</f>
        <v>0</v>
      </c>
      <c r="AD385" s="179">
        <f>Ruimtestaat[[#This Row],[Prest. (m2 /jaar) weekend]]+Ruimtestaat[[#This Row],[Prest. (m2 /jaar) werkdagen]]</f>
        <v>1900</v>
      </c>
      <c r="AE385" s="179">
        <f>Ruimtestaat[[#This Row],[uren / jaar weekend]]+Ruimtestaat[[#This Row],[uren / jaar werkdagen]]</f>
        <v>0</v>
      </c>
      <c r="AF385" s="174">
        <f>Ruimtestaat[[#This Row],[kosten / jaar weekend]]+Ruimtestaat[[#This Row],[kosten / jaar werkdagen]]</f>
        <v>0</v>
      </c>
      <c r="AG385" s="174"/>
      <c r="AH385" s="181" t="str">
        <f>IF(Ruimtestaat[[#This Row],[Frequentie werkdagen]]="","",_xlfn.CONCAT(Ruimtestaat[[#This Row],[Ruimte code]],"-",Ruimtestaat[[#This Row],[Frequentie werkdagen]]," ",Ruimtestaat[[#This Row],[Vloer code]]))</f>
        <v>5-5w S</v>
      </c>
      <c r="AI385" s="185" t="str">
        <f>_xlfn.IFNA(VLOOKUP($AH385,Programma!$F$3:$G$1101,2,0),"")</f>
        <v>_</v>
      </c>
      <c r="AJ385" s="185" t="str">
        <f>_xlfn.IFNA(VLOOKUP($AH385,Programma!$F$3:$H$1101,3,0),"")</f>
        <v>_</v>
      </c>
      <c r="AK385" s="185" t="str">
        <f>_xlfn.IFNA(VLOOKUP($AH385,Programma!$F$3:$I$1101,4,0),"")</f>
        <v>_</v>
      </c>
      <c r="AL385" s="185" t="str">
        <f>_xlfn.IFNA(VLOOKUP($AH385,Programma!$F$3:$J$1101,5,0),"")</f>
        <v>4w</v>
      </c>
      <c r="AM385" s="185" t="str">
        <f>_xlfn.IFNA(VLOOKUP($AH385,Programma!$F$3:$K$1101,6,0),"")</f>
        <v>1w</v>
      </c>
      <c r="AN385" s="185" t="str">
        <f>_xlfn.IFNA(VLOOKUP($AH385,Programma!$F$3:$L$1101,7,0),"")</f>
        <v>_</v>
      </c>
      <c r="AO385" s="185" t="str">
        <f>_xlfn.IFNA(VLOOKUP($AH385,Programma!$F$3:$M$1101,8,0),"")</f>
        <v>_</v>
      </c>
      <c r="AP385" s="185" t="str">
        <f>_xlfn.IFNA(VLOOKUP($AH385,Programma!$F$3:$N$1101,9,0),"")</f>
        <v>_</v>
      </c>
      <c r="AQ385" s="185" t="str">
        <f>_xlfn.IFNA(VLOOKUP($AH385,Programma!$F$3:$O$1101,10,0),"")</f>
        <v>_</v>
      </c>
      <c r="AR385" s="185" t="str">
        <f>_xlfn.IFNA(VLOOKUP($AH385,Programma!$F$3:$P$1101,11,0),"")</f>
        <v>_</v>
      </c>
      <c r="AS385" s="185" t="str">
        <f>_xlfn.IFNA(VLOOKUP($AH385,Programma!$F$3:$Q$1101,12,0),"")</f>
        <v>_</v>
      </c>
      <c r="AT385" s="185" t="str">
        <f>_xlfn.IFNA(VLOOKUP($AH385,Programma!$F$3:$R$1101,13,0),"")</f>
        <v>_</v>
      </c>
      <c r="AU385" s="185" t="str">
        <f>_xlfn.IFNA(VLOOKUP($AH385,Programma!$F$3:$S$1101,14,0),"")</f>
        <v>_</v>
      </c>
      <c r="AV385" s="185" t="str">
        <f>_xlfn.IFNA(VLOOKUP($AH385,Programma!$F$3:$T$1101,15,0),"")</f>
        <v>_</v>
      </c>
      <c r="AW385" s="185" t="str">
        <f>_xlfn.IFNA(VLOOKUP($AH385,Programma!$F$3:$U$1101,16,0),"")</f>
        <v>_</v>
      </c>
      <c r="AX385" s="185" t="str">
        <f>_xlfn.IFNA(VLOOKUP($AH385,Programma!$F$3:$V$1101,17,0),"")</f>
        <v>_</v>
      </c>
      <c r="AY385" s="185" t="str">
        <f>_xlfn.IFNA(VLOOKUP($AH385,Programma!$F$3:$W$1101,18,0),"")</f>
        <v>4w</v>
      </c>
      <c r="AZ385" s="185" t="str">
        <f>_xlfn.IFNA(VLOOKUP($AH385,Programma!$F$3:$X$1101,19,0),"")</f>
        <v>1w</v>
      </c>
      <c r="BA385" s="185" t="str">
        <f>_xlfn.IFNA(VLOOKUP($AH385,Programma!$F$3:$Y$1101,20,0),"")</f>
        <v>_</v>
      </c>
      <c r="BB385" s="182"/>
      <c r="BC385" s="181" t="str">
        <f>IF(Ruimtestaat[[#This Row],[Frequentie weekend]]="","",_xlfn.CONCAT(Ruimtestaat[[#This Row],[Ruimte code]],"-",Ruimtestaat[[#This Row],[Frequentie weekend]]," ",Ruimtestaat[[#This Row],[Vloer code]]))</f>
        <v/>
      </c>
      <c r="BD385" s="185" t="str">
        <f>_xlfn.IFNA(VLOOKUP($BC385,Programma!$F$3:$G$1101,2,0),"")</f>
        <v/>
      </c>
      <c r="BE385" s="185" t="str">
        <f>_xlfn.IFNA(VLOOKUP($BC385,Programma!$F$3:$H$1101,3,0),"")</f>
        <v/>
      </c>
      <c r="BF385" s="185" t="str">
        <f>_xlfn.IFNA(VLOOKUP($BC385,Programma!$F$3:$I$1101,4,0),"")</f>
        <v/>
      </c>
      <c r="BG385" s="185" t="str">
        <f>_xlfn.IFNA(VLOOKUP($BC385,Programma!$F$3:$J$1101,5,0),"")</f>
        <v/>
      </c>
      <c r="BH385" s="185" t="str">
        <f>_xlfn.IFNA(VLOOKUP($BC385,Programma!$F$3:$K$1101,6,0),"")</f>
        <v/>
      </c>
      <c r="BI385" s="185" t="str">
        <f>_xlfn.IFNA(VLOOKUP($BC385,Programma!$F$3:$L$1101,7,0),"")</f>
        <v/>
      </c>
      <c r="BJ385" s="185" t="str">
        <f>_xlfn.IFNA(VLOOKUP($BC385,Programma!$F$3:$M$1101,8,0),"")</f>
        <v/>
      </c>
      <c r="BK385" s="185" t="str">
        <f>_xlfn.IFNA(VLOOKUP($BC385,Programma!$F$3:$N$1101,9,0),"")</f>
        <v/>
      </c>
      <c r="BL385" s="185" t="str">
        <f>_xlfn.IFNA(VLOOKUP($BC385,Programma!$F$3:$O$1101,10,0),"")</f>
        <v/>
      </c>
      <c r="BM385" s="185" t="str">
        <f>_xlfn.IFNA(VLOOKUP($BC385,Programma!$F$3:$P$1101,11,0),"")</f>
        <v/>
      </c>
      <c r="BN385" s="185" t="str">
        <f>_xlfn.IFNA(VLOOKUP($BC385,Programma!$F$3:$Q$1101,12,0),"")</f>
        <v/>
      </c>
      <c r="BO385" s="185" t="str">
        <f>_xlfn.IFNA(VLOOKUP($BC385,Programma!$F$3:$R$1101,13,0),"")</f>
        <v/>
      </c>
      <c r="BP385" s="185" t="str">
        <f>_xlfn.IFNA(VLOOKUP($BC385,Programma!$F$3:$S$1101,14,0),"")</f>
        <v/>
      </c>
      <c r="BQ385" s="185" t="str">
        <f>_xlfn.IFNA(VLOOKUP($BC385,Programma!$F$3:$T$1101,15,0),"")</f>
        <v/>
      </c>
      <c r="BR385" s="185" t="str">
        <f>_xlfn.IFNA(VLOOKUP($BC385,Programma!$F$3:$U$1101,16,0),"")</f>
        <v/>
      </c>
      <c r="BS385" s="185" t="str">
        <f>_xlfn.IFNA(VLOOKUP($BC385,Programma!$F$3:$V$1101,17,0),"")</f>
        <v/>
      </c>
      <c r="BT385" s="185" t="str">
        <f>_xlfn.IFNA(VLOOKUP($BC385,Programma!$F$3:$W$1101,18,0),"")</f>
        <v/>
      </c>
      <c r="BU385" s="185" t="str">
        <f>_xlfn.IFNA(VLOOKUP($BC385,Programma!$F$3:$X$1101,19,0),"")</f>
        <v/>
      </c>
      <c r="BV385" s="185" t="str">
        <f>_xlfn.IFNA(VLOOKUP($BC385,Programma!$F$3:$Y$1101,20,0),"")</f>
        <v/>
      </c>
    </row>
    <row r="386" spans="1:74" s="78" customFormat="1" ht="15" customHeight="1">
      <c r="A386" s="99">
        <v>11</v>
      </c>
      <c r="B386" s="176" t="str">
        <f>VLOOKUP(Ruimtestaat[[#This Row],[Code]],Locaties[[Code]:[Locatie]],2,FALSE)</f>
        <v>OMBS De Wielerbaan</v>
      </c>
      <c r="C386" s="176" t="str">
        <f>VLOOKUP(Ruimtestaat[[#This Row],[Code]],Locaties[[#All],[Code]:[Adres]],4,FALSE)</f>
        <v>Batshoek 5</v>
      </c>
      <c r="D386" s="176" t="str">
        <f>VLOOKUP(Ruimtestaat[[#This Row],[Code]],Locaties[[#All],[Code]:[Postcode]],5,FALSE)</f>
        <v>7546 LC</v>
      </c>
      <c r="E386" s="176" t="str">
        <f>VLOOKUP(Ruimtestaat[[#This Row],[Code]],Locaties[#All],6,FALSE)</f>
        <v>Enschede</v>
      </c>
      <c r="F386" s="183"/>
      <c r="G386" s="99" t="s">
        <v>1714</v>
      </c>
      <c r="H386" s="99">
        <v>105</v>
      </c>
      <c r="I386" s="183" t="s">
        <v>1651</v>
      </c>
      <c r="J386" s="99">
        <v>16</v>
      </c>
      <c r="K386" s="183" t="str">
        <f>VLOOKUP(Ruimtestaat[[#This Row],[Ruimte code]],Ruimtegroepen[[#All],[Code]:[Ruimte omschrijving]],2,FALSE)</f>
        <v>Leslokalen</v>
      </c>
      <c r="L386" s="99" t="s">
        <v>100</v>
      </c>
      <c r="M386" s="99" t="s">
        <v>1697</v>
      </c>
      <c r="N386" s="177">
        <v>52.2</v>
      </c>
      <c r="O386" s="177"/>
      <c r="P386" s="178" t="str">
        <f>VLOOKUP(Ruimtestaat[[#This Row],[Ruimte code]],Ruimtegroepen[],4,FALSE)</f>
        <v>Le</v>
      </c>
      <c r="Q386" s="149">
        <v>40</v>
      </c>
      <c r="R386" s="149" t="s">
        <v>2</v>
      </c>
      <c r="S386" s="149">
        <f>IF(Q386&gt;0,IF(RIGHT(Ruimtestaat[[#This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6" s="149">
        <f>IF(S386&gt;0,VLOOKUP($J386,Ruimtegroepen[],3,FALSE)*VLOOKUP($L386,Vloersoorten[],3,FALSE)*VLOOKUP($R386,Frequenties[],3,FALSE)*VLOOKUP($A386,Locaties[],3,FALSE),0)</f>
        <v>0</v>
      </c>
      <c r="U386" s="149">
        <f>Ruimtestaat[[#This Row],[Uitvoeringen werkdagen]]*Ruimtestaat[[#This Row],[Oppervlak (netto)]]</f>
        <v>10440</v>
      </c>
      <c r="V386" s="179">
        <f>IF(T386&gt;0,Ruimtestaat[[#This Row],[Prest. (m2 /jaar) werkdagen]]/Ruimtestaat[[#This Row],[Norm (m2/uur) werkdagen]],0)</f>
        <v>0</v>
      </c>
      <c r="W386" s="180">
        <f>Ruimtestaat[[#This Row],[uren / jaar werkdagen]]*Tariefsopbouw!$E$35</f>
        <v>0</v>
      </c>
      <c r="X386" s="149"/>
      <c r="Y386" s="149">
        <f>IF(Ruimtestaat[[#This Row],[Frequentie weekend]]&gt;0,VALUE(LEFT(X386,1))*Q386,0)</f>
        <v>0</v>
      </c>
      <c r="Z386" s="148">
        <f>IF($Y386&gt;0,VLOOKUP($J386,Ruimtegroepen[],3,FALSE)*VLOOKUP($L386,Vloersoorten[],3,FALSE)*VLOOKUP($X386,Frequenties[],3,FALSE)*VLOOKUP(Ruimtestaat[[#This Row],[Code]],Locaties[],3,FALSE),0)</f>
        <v>0</v>
      </c>
      <c r="AA386" s="148">
        <f>Ruimtestaat[[#This Row],[Uitvoeringen weekend]]*Ruimtestaat[[#This Row],[Oppervlak (netto)]]</f>
        <v>0</v>
      </c>
      <c r="AB386" s="148">
        <f>IF(Z386&gt;0,Ruimtestaat[[#This Row],[Prest. (m2 /jaar) weekend]]/Ruimtestaat[[#This Row],[Norm (m2/uur) weekend]],0)</f>
        <v>0</v>
      </c>
      <c r="AC386" s="180">
        <f>Ruimtestaat[[#This Row],[uren / jaar weekend]]*Tariefsopbouw!$D$40</f>
        <v>0</v>
      </c>
      <c r="AD386" s="179">
        <f>Ruimtestaat[[#This Row],[Prest. (m2 /jaar) weekend]]+Ruimtestaat[[#This Row],[Prest. (m2 /jaar) werkdagen]]</f>
        <v>10440</v>
      </c>
      <c r="AE386" s="179">
        <f>Ruimtestaat[[#This Row],[uren / jaar weekend]]+Ruimtestaat[[#This Row],[uren / jaar werkdagen]]</f>
        <v>0</v>
      </c>
      <c r="AF386" s="174">
        <f>Ruimtestaat[[#This Row],[kosten / jaar weekend]]+Ruimtestaat[[#This Row],[kosten / jaar werkdagen]]</f>
        <v>0</v>
      </c>
      <c r="AG386" s="174"/>
      <c r="AH386" s="181" t="str">
        <f>IF(Ruimtestaat[[#This Row],[Frequentie werkdagen]]="","",_xlfn.CONCAT(Ruimtestaat[[#This Row],[Ruimte code]],"-",Ruimtestaat[[#This Row],[Frequentie werkdagen]]," ",Ruimtestaat[[#This Row],[Vloer code]]))</f>
        <v>16-5w L</v>
      </c>
      <c r="AI386" s="185" t="str">
        <f>_xlfn.IFNA(VLOOKUP($AH386,Programma!$F$3:$G$1101,2,0),"")</f>
        <v>_</v>
      </c>
      <c r="AJ386" s="185" t="str">
        <f>_xlfn.IFNA(VLOOKUP($AH386,Programma!$F$3:$H$1101,3,0),"")</f>
        <v>_</v>
      </c>
      <c r="AK386" s="185" t="str">
        <f>_xlfn.IFNA(VLOOKUP($AH386,Programma!$F$3:$I$1101,4,0),"")</f>
        <v>4w</v>
      </c>
      <c r="AL386" s="185" t="str">
        <f>_xlfn.IFNA(VLOOKUP($AH386,Programma!$F$3:$J$1101,5,0),"")</f>
        <v>1w</v>
      </c>
      <c r="AM386" s="185" t="str">
        <f>_xlfn.IFNA(VLOOKUP($AH386,Programma!$F$3:$K$1101,6,0),"")</f>
        <v>_</v>
      </c>
      <c r="AN386" s="185" t="str">
        <f>_xlfn.IFNA(VLOOKUP($AH386,Programma!$F$3:$L$1101,7,0),"")</f>
        <v>_</v>
      </c>
      <c r="AO386" s="185" t="str">
        <f>_xlfn.IFNA(VLOOKUP($AH386,Programma!$F$3:$M$1101,8,0),"")</f>
        <v>_</v>
      </c>
      <c r="AP386" s="185" t="str">
        <f>_xlfn.IFNA(VLOOKUP($AH386,Programma!$F$3:$N$1101,9,0),"")</f>
        <v>_</v>
      </c>
      <c r="AQ386" s="185" t="str">
        <f>_xlfn.IFNA(VLOOKUP($AH386,Programma!$F$3:$O$1101,10,0),"")</f>
        <v>5w</v>
      </c>
      <c r="AR386" s="185" t="str">
        <f>_xlfn.IFNA(VLOOKUP($AH386,Programma!$F$3:$P$1101,11,0),"")</f>
        <v>5w</v>
      </c>
      <c r="AS386" s="185" t="str">
        <f>_xlfn.IFNA(VLOOKUP($AH386,Programma!$F$3:$Q$1101,12,0),"")</f>
        <v>1w</v>
      </c>
      <c r="AT386" s="185" t="str">
        <f>_xlfn.IFNA(VLOOKUP($AH386,Programma!$F$3:$R$1101,13,0),"")</f>
        <v>1w</v>
      </c>
      <c r="AU386" s="185" t="str">
        <f>_xlfn.IFNA(VLOOKUP($AH386,Programma!$F$3:$S$1101,14,0),"")</f>
        <v>1m</v>
      </c>
      <c r="AV386" s="185" t="str">
        <f>_xlfn.IFNA(VLOOKUP($AH386,Programma!$F$3:$T$1101,15,0),"")</f>
        <v>2j</v>
      </c>
      <c r="AW386" s="185" t="str">
        <f>_xlfn.IFNA(VLOOKUP($AH386,Programma!$F$3:$U$1101,16,0),"")</f>
        <v>1j</v>
      </c>
      <c r="AX386" s="185" t="str">
        <f>_xlfn.IFNA(VLOOKUP($AH386,Programma!$F$3:$V$1101,17,0),"")</f>
        <v>_</v>
      </c>
      <c r="AY386" s="185" t="str">
        <f>_xlfn.IFNA(VLOOKUP($AH386,Programma!$F$3:$W$1101,18,0),"")</f>
        <v>_</v>
      </c>
      <c r="AZ386" s="185" t="str">
        <f>_xlfn.IFNA(VLOOKUP($AH386,Programma!$F$3:$X$1101,19,0),"")</f>
        <v>_</v>
      </c>
      <c r="BA386" s="185" t="str">
        <f>_xlfn.IFNA(VLOOKUP($AH386,Programma!$F$3:$Y$1101,20,0),"")</f>
        <v>_</v>
      </c>
      <c r="BB386" s="182"/>
      <c r="BC386" s="181" t="str">
        <f>IF(Ruimtestaat[[#This Row],[Frequentie weekend]]="","",_xlfn.CONCAT(Ruimtestaat[[#This Row],[Ruimte code]],"-",Ruimtestaat[[#This Row],[Frequentie weekend]]," ",Ruimtestaat[[#This Row],[Vloer code]]))</f>
        <v/>
      </c>
      <c r="BD386" s="185" t="str">
        <f>_xlfn.IFNA(VLOOKUP($BC386,Programma!$F$3:$G$1101,2,0),"")</f>
        <v/>
      </c>
      <c r="BE386" s="185" t="str">
        <f>_xlfn.IFNA(VLOOKUP($BC386,Programma!$F$3:$H$1101,3,0),"")</f>
        <v/>
      </c>
      <c r="BF386" s="185" t="str">
        <f>_xlfn.IFNA(VLOOKUP($BC386,Programma!$F$3:$I$1101,4,0),"")</f>
        <v/>
      </c>
      <c r="BG386" s="185" t="str">
        <f>_xlfn.IFNA(VLOOKUP($BC386,Programma!$F$3:$J$1101,5,0),"")</f>
        <v/>
      </c>
      <c r="BH386" s="185" t="str">
        <f>_xlfn.IFNA(VLOOKUP($BC386,Programma!$F$3:$K$1101,6,0),"")</f>
        <v/>
      </c>
      <c r="BI386" s="185" t="str">
        <f>_xlfn.IFNA(VLOOKUP($BC386,Programma!$F$3:$L$1101,7,0),"")</f>
        <v/>
      </c>
      <c r="BJ386" s="185" t="str">
        <f>_xlfn.IFNA(VLOOKUP($BC386,Programma!$F$3:$M$1101,8,0),"")</f>
        <v/>
      </c>
      <c r="BK386" s="185" t="str">
        <f>_xlfn.IFNA(VLOOKUP($BC386,Programma!$F$3:$N$1101,9,0),"")</f>
        <v/>
      </c>
      <c r="BL386" s="185" t="str">
        <f>_xlfn.IFNA(VLOOKUP($BC386,Programma!$F$3:$O$1101,10,0),"")</f>
        <v/>
      </c>
      <c r="BM386" s="185" t="str">
        <f>_xlfn.IFNA(VLOOKUP($BC386,Programma!$F$3:$P$1101,11,0),"")</f>
        <v/>
      </c>
      <c r="BN386" s="185" t="str">
        <f>_xlfn.IFNA(VLOOKUP($BC386,Programma!$F$3:$Q$1101,12,0),"")</f>
        <v/>
      </c>
      <c r="BO386" s="185" t="str">
        <f>_xlfn.IFNA(VLOOKUP($BC386,Programma!$F$3:$R$1101,13,0),"")</f>
        <v/>
      </c>
      <c r="BP386" s="185" t="str">
        <f>_xlfn.IFNA(VLOOKUP($BC386,Programma!$F$3:$S$1101,14,0),"")</f>
        <v/>
      </c>
      <c r="BQ386" s="185" t="str">
        <f>_xlfn.IFNA(VLOOKUP($BC386,Programma!$F$3:$T$1101,15,0),"")</f>
        <v/>
      </c>
      <c r="BR386" s="185" t="str">
        <f>_xlfn.IFNA(VLOOKUP($BC386,Programma!$F$3:$U$1101,16,0),"")</f>
        <v/>
      </c>
      <c r="BS386" s="185" t="str">
        <f>_xlfn.IFNA(VLOOKUP($BC386,Programma!$F$3:$V$1101,17,0),"")</f>
        <v/>
      </c>
      <c r="BT386" s="185" t="str">
        <f>_xlfn.IFNA(VLOOKUP($BC386,Programma!$F$3:$W$1101,18,0),"")</f>
        <v/>
      </c>
      <c r="BU386" s="185" t="str">
        <f>_xlfn.IFNA(VLOOKUP($BC386,Programma!$F$3:$X$1101,19,0),"")</f>
        <v/>
      </c>
      <c r="BV386" s="185" t="str">
        <f>_xlfn.IFNA(VLOOKUP($BC386,Programma!$F$3:$Y$1101,20,0),"")</f>
        <v/>
      </c>
    </row>
    <row r="387" spans="1:74" s="78" customFormat="1" ht="15" customHeight="1">
      <c r="A387" s="99">
        <v>11</v>
      </c>
      <c r="B387" s="176" t="str">
        <f>VLOOKUP(Ruimtestaat[[#This Row],[Code]],Locaties[[Code]:[Locatie]],2,FALSE)</f>
        <v>OMBS De Wielerbaan</v>
      </c>
      <c r="C387" s="176" t="str">
        <f>VLOOKUP(Ruimtestaat[[#This Row],[Code]],Locaties[[#All],[Code]:[Adres]],4,FALSE)</f>
        <v>Batshoek 5</v>
      </c>
      <c r="D387" s="176" t="str">
        <f>VLOOKUP(Ruimtestaat[[#This Row],[Code]],Locaties[[#All],[Code]:[Postcode]],5,FALSE)</f>
        <v>7546 LC</v>
      </c>
      <c r="E387" s="176" t="str">
        <f>VLOOKUP(Ruimtestaat[[#This Row],[Code]],Locaties[#All],6,FALSE)</f>
        <v>Enschede</v>
      </c>
      <c r="F387" s="183"/>
      <c r="G387" s="99" t="s">
        <v>1714</v>
      </c>
      <c r="H387" s="99">
        <v>106</v>
      </c>
      <c r="I387" s="183" t="s">
        <v>1681</v>
      </c>
      <c r="J387" s="99">
        <v>6</v>
      </c>
      <c r="K387" s="183" t="str">
        <f>VLOOKUP(Ruimtestaat[[#This Row],[Ruimte code]],Ruimtegroepen[[#All],[Code]:[Ruimte omschrijving]],2,FALSE)</f>
        <v>Gangen/hallen</v>
      </c>
      <c r="L387" s="99" t="s">
        <v>100</v>
      </c>
      <c r="M387" s="99" t="s">
        <v>1697</v>
      </c>
      <c r="N387" s="177">
        <v>9.6</v>
      </c>
      <c r="O387" s="177"/>
      <c r="P387" s="178" t="str">
        <f>VLOOKUP(Ruimtestaat[[#This Row],[Ruimte code]],Ruimtegroepen[],4,FALSE)</f>
        <v>Ve</v>
      </c>
      <c r="Q387" s="149">
        <v>40</v>
      </c>
      <c r="R387" s="149" t="s">
        <v>2</v>
      </c>
      <c r="S387" s="149">
        <f>IF(Q387&gt;0,IF(RIGHT(Ruimtestaat[[#This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7" s="149">
        <f>IF(S387&gt;0,VLOOKUP($J387,Ruimtegroepen[],3,FALSE)*VLOOKUP($L387,Vloersoorten[],3,FALSE)*VLOOKUP($R387,Frequenties[],3,FALSE)*VLOOKUP($A387,Locaties[],3,FALSE),0)</f>
        <v>0</v>
      </c>
      <c r="U387" s="149">
        <f>Ruimtestaat[[#This Row],[Uitvoeringen werkdagen]]*Ruimtestaat[[#This Row],[Oppervlak (netto)]]</f>
        <v>1920</v>
      </c>
      <c r="V387" s="179">
        <f>IF(T387&gt;0,Ruimtestaat[[#This Row],[Prest. (m2 /jaar) werkdagen]]/Ruimtestaat[[#This Row],[Norm (m2/uur) werkdagen]],0)</f>
        <v>0</v>
      </c>
      <c r="W387" s="180">
        <f>Ruimtestaat[[#This Row],[uren / jaar werkdagen]]*Tariefsopbouw!$E$35</f>
        <v>0</v>
      </c>
      <c r="X387" s="149"/>
      <c r="Y387" s="149">
        <f>IF(Ruimtestaat[[#This Row],[Frequentie weekend]]&gt;0,VALUE(LEFT(X387,1))*Q387,0)</f>
        <v>0</v>
      </c>
      <c r="Z387" s="148">
        <f>IF($Y387&gt;0,VLOOKUP($J387,Ruimtegroepen[],3,FALSE)*VLOOKUP($L387,Vloersoorten[],3,FALSE)*VLOOKUP($X387,Frequenties[],3,FALSE)*VLOOKUP(Ruimtestaat[[#This Row],[Code]],Locaties[],3,FALSE),0)</f>
        <v>0</v>
      </c>
      <c r="AA387" s="148">
        <f>Ruimtestaat[[#This Row],[Uitvoeringen weekend]]*Ruimtestaat[[#This Row],[Oppervlak (netto)]]</f>
        <v>0</v>
      </c>
      <c r="AB387" s="148">
        <f>IF(Z387&gt;0,Ruimtestaat[[#This Row],[Prest. (m2 /jaar) weekend]]/Ruimtestaat[[#This Row],[Norm (m2/uur) weekend]],0)</f>
        <v>0</v>
      </c>
      <c r="AC387" s="180">
        <f>Ruimtestaat[[#This Row],[uren / jaar weekend]]*Tariefsopbouw!$D$40</f>
        <v>0</v>
      </c>
      <c r="AD387" s="179">
        <f>Ruimtestaat[[#This Row],[Prest. (m2 /jaar) weekend]]+Ruimtestaat[[#This Row],[Prest. (m2 /jaar) werkdagen]]</f>
        <v>1920</v>
      </c>
      <c r="AE387" s="179">
        <f>Ruimtestaat[[#This Row],[uren / jaar weekend]]+Ruimtestaat[[#This Row],[uren / jaar werkdagen]]</f>
        <v>0</v>
      </c>
      <c r="AF387" s="174">
        <f>Ruimtestaat[[#This Row],[kosten / jaar weekend]]+Ruimtestaat[[#This Row],[kosten / jaar werkdagen]]</f>
        <v>0</v>
      </c>
      <c r="AG387" s="174"/>
      <c r="AH387" s="181" t="str">
        <f>IF(Ruimtestaat[[#This Row],[Frequentie werkdagen]]="","",_xlfn.CONCAT(Ruimtestaat[[#This Row],[Ruimte code]],"-",Ruimtestaat[[#This Row],[Frequentie werkdagen]]," ",Ruimtestaat[[#This Row],[Vloer code]]))</f>
        <v>6-5w L</v>
      </c>
      <c r="AI387" s="185" t="str">
        <f>_xlfn.IFNA(VLOOKUP($AH387,Programma!$F$3:$G$1101,2,0),"")</f>
        <v>_</v>
      </c>
      <c r="AJ387" s="185" t="str">
        <f>_xlfn.IFNA(VLOOKUP($AH387,Programma!$F$3:$H$1101,3,0),"")</f>
        <v>_</v>
      </c>
      <c r="AK387" s="185" t="str">
        <f>_xlfn.IFNA(VLOOKUP($AH387,Programma!$F$3:$I$1101,4,0),"")</f>
        <v>_</v>
      </c>
      <c r="AL387" s="185" t="str">
        <f>_xlfn.IFNA(VLOOKUP($AH387,Programma!$F$3:$J$1101,5,0),"")</f>
        <v>5w</v>
      </c>
      <c r="AM387" s="185" t="str">
        <f>_xlfn.IFNA(VLOOKUP($AH387,Programma!$F$3:$K$1101,6,0),"")</f>
        <v>_</v>
      </c>
      <c r="AN387" s="185" t="str">
        <f>_xlfn.IFNA(VLOOKUP($AH387,Programma!$F$3:$L$1101,7,0),"")</f>
        <v>_</v>
      </c>
      <c r="AO387" s="185" t="str">
        <f>_xlfn.IFNA(VLOOKUP($AH387,Programma!$F$3:$M$1101,8,0),"")</f>
        <v>_</v>
      </c>
      <c r="AP387" s="185" t="str">
        <f>_xlfn.IFNA(VLOOKUP($AH387,Programma!$F$3:$N$1101,9,0),"")</f>
        <v>_</v>
      </c>
      <c r="AQ387" s="185" t="str">
        <f>_xlfn.IFNA(VLOOKUP($AH387,Programma!$F$3:$O$1101,10,0),"")</f>
        <v>5w</v>
      </c>
      <c r="AR387" s="185" t="str">
        <f>_xlfn.IFNA(VLOOKUP($AH387,Programma!$F$3:$P$1101,11,0),"")</f>
        <v>5w</v>
      </c>
      <c r="AS387" s="185" t="str">
        <f>_xlfn.IFNA(VLOOKUP($AH387,Programma!$F$3:$Q$1101,12,0),"")</f>
        <v>1w</v>
      </c>
      <c r="AT387" s="185" t="str">
        <f>_xlfn.IFNA(VLOOKUP($AH387,Programma!$F$3:$R$1101,13,0),"")</f>
        <v>1w</v>
      </c>
      <c r="AU387" s="185" t="str">
        <f>_xlfn.IFNA(VLOOKUP($AH387,Programma!$F$3:$S$1101,14,0),"")</f>
        <v>1m</v>
      </c>
      <c r="AV387" s="185" t="str">
        <f>_xlfn.IFNA(VLOOKUP($AH387,Programma!$F$3:$T$1101,15,0),"")</f>
        <v>2j</v>
      </c>
      <c r="AW387" s="185" t="str">
        <f>_xlfn.IFNA(VLOOKUP($AH387,Programma!$F$3:$U$1101,16,0),"")</f>
        <v>1j</v>
      </c>
      <c r="AX387" s="185" t="str">
        <f>_xlfn.IFNA(VLOOKUP($AH387,Programma!$F$3:$V$1101,17,0),"")</f>
        <v>_</v>
      </c>
      <c r="AY387" s="185" t="str">
        <f>_xlfn.IFNA(VLOOKUP($AH387,Programma!$F$3:$W$1101,18,0),"")</f>
        <v>_</v>
      </c>
      <c r="AZ387" s="185" t="str">
        <f>_xlfn.IFNA(VLOOKUP($AH387,Programma!$F$3:$X$1101,19,0),"")</f>
        <v>_</v>
      </c>
      <c r="BA387" s="185" t="str">
        <f>_xlfn.IFNA(VLOOKUP($AH387,Programma!$F$3:$Y$1101,20,0),"")</f>
        <v>_</v>
      </c>
      <c r="BB387" s="182"/>
      <c r="BC387" s="181" t="str">
        <f>IF(Ruimtestaat[[#This Row],[Frequentie weekend]]="","",_xlfn.CONCAT(Ruimtestaat[[#This Row],[Ruimte code]],"-",Ruimtestaat[[#This Row],[Frequentie weekend]]," ",Ruimtestaat[[#This Row],[Vloer code]]))</f>
        <v/>
      </c>
      <c r="BD387" s="185" t="str">
        <f>_xlfn.IFNA(VLOOKUP($BC387,Programma!$F$3:$G$1101,2,0),"")</f>
        <v/>
      </c>
      <c r="BE387" s="185" t="str">
        <f>_xlfn.IFNA(VLOOKUP($BC387,Programma!$F$3:$H$1101,3,0),"")</f>
        <v/>
      </c>
      <c r="BF387" s="185" t="str">
        <f>_xlfn.IFNA(VLOOKUP($BC387,Programma!$F$3:$I$1101,4,0),"")</f>
        <v/>
      </c>
      <c r="BG387" s="185" t="str">
        <f>_xlfn.IFNA(VLOOKUP($BC387,Programma!$F$3:$J$1101,5,0),"")</f>
        <v/>
      </c>
      <c r="BH387" s="185" t="str">
        <f>_xlfn.IFNA(VLOOKUP($BC387,Programma!$F$3:$K$1101,6,0),"")</f>
        <v/>
      </c>
      <c r="BI387" s="185" t="str">
        <f>_xlfn.IFNA(VLOOKUP($BC387,Programma!$F$3:$L$1101,7,0),"")</f>
        <v/>
      </c>
      <c r="BJ387" s="185" t="str">
        <f>_xlfn.IFNA(VLOOKUP($BC387,Programma!$F$3:$M$1101,8,0),"")</f>
        <v/>
      </c>
      <c r="BK387" s="185" t="str">
        <f>_xlfn.IFNA(VLOOKUP($BC387,Programma!$F$3:$N$1101,9,0),"")</f>
        <v/>
      </c>
      <c r="BL387" s="185" t="str">
        <f>_xlfn.IFNA(VLOOKUP($BC387,Programma!$F$3:$O$1101,10,0),"")</f>
        <v/>
      </c>
      <c r="BM387" s="185" t="str">
        <f>_xlfn.IFNA(VLOOKUP($BC387,Programma!$F$3:$P$1101,11,0),"")</f>
        <v/>
      </c>
      <c r="BN387" s="185" t="str">
        <f>_xlfn.IFNA(VLOOKUP($BC387,Programma!$F$3:$Q$1101,12,0),"")</f>
        <v/>
      </c>
      <c r="BO387" s="185" t="str">
        <f>_xlfn.IFNA(VLOOKUP($BC387,Programma!$F$3:$R$1101,13,0),"")</f>
        <v/>
      </c>
      <c r="BP387" s="185" t="str">
        <f>_xlfn.IFNA(VLOOKUP($BC387,Programma!$F$3:$S$1101,14,0),"")</f>
        <v/>
      </c>
      <c r="BQ387" s="185" t="str">
        <f>_xlfn.IFNA(VLOOKUP($BC387,Programma!$F$3:$T$1101,15,0),"")</f>
        <v/>
      </c>
      <c r="BR387" s="185" t="str">
        <f>_xlfn.IFNA(VLOOKUP($BC387,Programma!$F$3:$U$1101,16,0),"")</f>
        <v/>
      </c>
      <c r="BS387" s="185" t="str">
        <f>_xlfn.IFNA(VLOOKUP($BC387,Programma!$F$3:$V$1101,17,0),"")</f>
        <v/>
      </c>
      <c r="BT387" s="185" t="str">
        <f>_xlfn.IFNA(VLOOKUP($BC387,Programma!$F$3:$W$1101,18,0),"")</f>
        <v/>
      </c>
      <c r="BU387" s="185" t="str">
        <f>_xlfn.IFNA(VLOOKUP($BC387,Programma!$F$3:$X$1101,19,0),"")</f>
        <v/>
      </c>
      <c r="BV387" s="185" t="str">
        <f>_xlfn.IFNA(VLOOKUP($BC387,Programma!$F$3:$Y$1101,20,0),"")</f>
        <v/>
      </c>
    </row>
    <row r="388" spans="1:74" s="78" customFormat="1" ht="15" customHeight="1">
      <c r="A388" s="99">
        <v>12</v>
      </c>
      <c r="B388" s="176" t="str">
        <f>VLOOKUP(Ruimtestaat[[#This Row],[Code]],Locaties[[Code]:[Locatie]],2,FALSE)</f>
        <v>OMBS Het Zeggelt (Dr. Benthem)</v>
      </c>
      <c r="C388" s="176" t="str">
        <f>VLOOKUP(Ruimtestaat[[#This Row],[Code]],Locaties[[#All],[Code]:[Adres]],4,FALSE)</f>
        <v>Dr. Benthemstraat 14</v>
      </c>
      <c r="D388" s="176" t="str">
        <f>VLOOKUP(Ruimtestaat[[#This Row],[Code]],Locaties[[#All],[Code]:[Postcode]],5,FALSE)</f>
        <v>7514 CM</v>
      </c>
      <c r="E388" s="176" t="str">
        <f>VLOOKUP(Ruimtestaat[[#This Row],[Code]],Locaties[#All],6,FALSE)</f>
        <v>Enschede</v>
      </c>
      <c r="F388" s="183"/>
      <c r="G388" s="99" t="s">
        <v>1646</v>
      </c>
      <c r="H388" s="99" t="s">
        <v>1647</v>
      </c>
      <c r="I388" s="183" t="s">
        <v>38</v>
      </c>
      <c r="J388" s="99">
        <v>7</v>
      </c>
      <c r="K388" s="183" t="str">
        <f>VLOOKUP(Ruimtestaat[[#This Row],[Ruimte code]],Ruimtegroepen[[#All],[Code]:[Ruimte omschrijving]],2,FALSE)</f>
        <v>Entree</v>
      </c>
      <c r="L388" s="99" t="s">
        <v>99</v>
      </c>
      <c r="M388" s="99" t="s">
        <v>1700</v>
      </c>
      <c r="N388" s="177">
        <v>5.7</v>
      </c>
      <c r="O388" s="177"/>
      <c r="P388" s="178" t="str">
        <f>VLOOKUP(Ruimtestaat[[#This Row],[Ruimte code]],Ruimtegroepen[],4,FALSE)</f>
        <v>Ve</v>
      </c>
      <c r="Q388" s="149">
        <v>40</v>
      </c>
      <c r="R388" s="149" t="s">
        <v>2</v>
      </c>
      <c r="S388" s="149">
        <f>IF(Q388&gt;0,IF(RIGHT(Ruimtestaat[[#This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8" s="149">
        <f>IF(S388&gt;0,VLOOKUP($J388,Ruimtegroepen[],3,FALSE)*VLOOKUP($L388,Vloersoorten[],3,FALSE)*VLOOKUP($R388,Frequenties[],3,FALSE)*VLOOKUP($A388,Locaties[],3,FALSE),0)</f>
        <v>0</v>
      </c>
      <c r="U388" s="149">
        <f>Ruimtestaat[[#This Row],[Uitvoeringen werkdagen]]*Ruimtestaat[[#This Row],[Oppervlak (netto)]]</f>
        <v>1140</v>
      </c>
      <c r="V388" s="179">
        <f>IF(T388&gt;0,Ruimtestaat[[#This Row],[Prest. (m2 /jaar) werkdagen]]/Ruimtestaat[[#This Row],[Norm (m2/uur) werkdagen]],0)</f>
        <v>0</v>
      </c>
      <c r="W388" s="180">
        <f>Ruimtestaat[[#This Row],[uren / jaar werkdagen]]*Tariefsopbouw!$E$35</f>
        <v>0</v>
      </c>
      <c r="X388" s="149"/>
      <c r="Y388" s="149">
        <f>IF(Ruimtestaat[[#This Row],[Frequentie weekend]]&gt;0,VALUE(LEFT(X388,1))*Q388,0)</f>
        <v>0</v>
      </c>
      <c r="Z388" s="148">
        <f>IF($Y388&gt;0,VLOOKUP($J388,Ruimtegroepen[],3,FALSE)*VLOOKUP($L388,Vloersoorten[],3,FALSE)*VLOOKUP($X388,Frequenties[],3,FALSE)*VLOOKUP(Ruimtestaat[[#This Row],[Code]],Locaties[],3,FALSE),0)</f>
        <v>0</v>
      </c>
      <c r="AA388" s="148">
        <f>Ruimtestaat[[#This Row],[Uitvoeringen weekend]]*Ruimtestaat[[#This Row],[Oppervlak (netto)]]</f>
        <v>0</v>
      </c>
      <c r="AB388" s="148">
        <f>IF(Z388&gt;0,Ruimtestaat[[#This Row],[Prest. (m2 /jaar) weekend]]/Ruimtestaat[[#This Row],[Norm (m2/uur) weekend]],0)</f>
        <v>0</v>
      </c>
      <c r="AC388" s="180">
        <f>Ruimtestaat[[#This Row],[uren / jaar weekend]]*Tariefsopbouw!$D$40</f>
        <v>0</v>
      </c>
      <c r="AD388" s="179">
        <f>Ruimtestaat[[#This Row],[Prest. (m2 /jaar) weekend]]+Ruimtestaat[[#This Row],[Prest. (m2 /jaar) werkdagen]]</f>
        <v>1140</v>
      </c>
      <c r="AE388" s="179">
        <f>Ruimtestaat[[#This Row],[uren / jaar weekend]]+Ruimtestaat[[#This Row],[uren / jaar werkdagen]]</f>
        <v>0</v>
      </c>
      <c r="AF388" s="174">
        <f>Ruimtestaat[[#This Row],[kosten / jaar weekend]]+Ruimtestaat[[#This Row],[kosten / jaar werkdagen]]</f>
        <v>0</v>
      </c>
      <c r="AG388" s="174"/>
      <c r="AH388" s="181" t="str">
        <f>IF(Ruimtestaat[[#This Row],[Frequentie werkdagen]]="","",_xlfn.CONCAT(Ruimtestaat[[#This Row],[Ruimte code]],"-",Ruimtestaat[[#This Row],[Frequentie werkdagen]]," ",Ruimtestaat[[#This Row],[Vloer code]]))</f>
        <v>7-5w T</v>
      </c>
      <c r="AI388" s="185" t="str">
        <f>_xlfn.IFNA(VLOOKUP($AH388,Programma!$F$3:$G$1101,2,0),"")</f>
        <v>_</v>
      </c>
      <c r="AJ388" s="185" t="str">
        <f>_xlfn.IFNA(VLOOKUP($AH388,Programma!$F$3:$H$1101,3,0),"")</f>
        <v>5w</v>
      </c>
      <c r="AK388" s="185" t="str">
        <f>_xlfn.IFNA(VLOOKUP($AH388,Programma!$F$3:$I$1101,4,0),"")</f>
        <v>_</v>
      </c>
      <c r="AL388" s="185" t="str">
        <f>_xlfn.IFNA(VLOOKUP($AH388,Programma!$F$3:$J$1101,5,0),"")</f>
        <v>_</v>
      </c>
      <c r="AM388" s="185" t="str">
        <f>_xlfn.IFNA(VLOOKUP($AH388,Programma!$F$3:$K$1101,6,0),"")</f>
        <v>_</v>
      </c>
      <c r="AN388" s="185" t="str">
        <f>_xlfn.IFNA(VLOOKUP($AH388,Programma!$F$3:$L$1101,7,0),"")</f>
        <v>_</v>
      </c>
      <c r="AO388" s="185" t="str">
        <f>_xlfn.IFNA(VLOOKUP($AH388,Programma!$F$3:$M$1101,8,0),"")</f>
        <v>_</v>
      </c>
      <c r="AP388" s="185" t="str">
        <f>_xlfn.IFNA(VLOOKUP($AH388,Programma!$F$3:$N$1101,9,0),"")</f>
        <v>_</v>
      </c>
      <c r="AQ388" s="185" t="str">
        <f>_xlfn.IFNA(VLOOKUP($AH388,Programma!$F$3:$O$1101,10,0),"")</f>
        <v>5w</v>
      </c>
      <c r="AR388" s="185" t="str">
        <f>_xlfn.IFNA(VLOOKUP($AH388,Programma!$F$3:$P$1101,11,0),"")</f>
        <v>5w</v>
      </c>
      <c r="AS388" s="185" t="str">
        <f>_xlfn.IFNA(VLOOKUP($AH388,Programma!$F$3:$Q$1101,12,0),"")</f>
        <v>1w</v>
      </c>
      <c r="AT388" s="185" t="str">
        <f>_xlfn.IFNA(VLOOKUP($AH388,Programma!$F$3:$R$1101,13,0),"")</f>
        <v>1w</v>
      </c>
      <c r="AU388" s="185" t="str">
        <f>_xlfn.IFNA(VLOOKUP($AH388,Programma!$F$3:$S$1101,14,0),"")</f>
        <v>1m</v>
      </c>
      <c r="AV388" s="185" t="str">
        <f>_xlfn.IFNA(VLOOKUP($AH388,Programma!$F$3:$T$1101,15,0),"")</f>
        <v>2j</v>
      </c>
      <c r="AW388" s="185" t="str">
        <f>_xlfn.IFNA(VLOOKUP($AH388,Programma!$F$3:$U$1101,16,0),"")</f>
        <v>1j</v>
      </c>
      <c r="AX388" s="185" t="str">
        <f>_xlfn.IFNA(VLOOKUP($AH388,Programma!$F$3:$V$1101,17,0),"")</f>
        <v>_</v>
      </c>
      <c r="AY388" s="185" t="str">
        <f>_xlfn.IFNA(VLOOKUP($AH388,Programma!$F$3:$W$1101,18,0),"")</f>
        <v>_</v>
      </c>
      <c r="AZ388" s="185" t="str">
        <f>_xlfn.IFNA(VLOOKUP($AH388,Programma!$F$3:$X$1101,19,0),"")</f>
        <v>_</v>
      </c>
      <c r="BA388" s="185" t="str">
        <f>_xlfn.IFNA(VLOOKUP($AH388,Programma!$F$3:$Y$1101,20,0),"")</f>
        <v>_</v>
      </c>
      <c r="BB388" s="182"/>
      <c r="BC388" s="181" t="str">
        <f>IF(Ruimtestaat[[#This Row],[Frequentie weekend]]="","",_xlfn.CONCAT(Ruimtestaat[[#This Row],[Ruimte code]],"-",Ruimtestaat[[#This Row],[Frequentie weekend]]," ",Ruimtestaat[[#This Row],[Vloer code]]))</f>
        <v/>
      </c>
      <c r="BD388" s="185" t="str">
        <f>_xlfn.IFNA(VLOOKUP($BC388,Programma!$F$3:$G$1101,2,0),"")</f>
        <v/>
      </c>
      <c r="BE388" s="185" t="str">
        <f>_xlfn.IFNA(VLOOKUP($BC388,Programma!$F$3:$H$1101,3,0),"")</f>
        <v/>
      </c>
      <c r="BF388" s="185" t="str">
        <f>_xlfn.IFNA(VLOOKUP($BC388,Programma!$F$3:$I$1101,4,0),"")</f>
        <v/>
      </c>
      <c r="BG388" s="185" t="str">
        <f>_xlfn.IFNA(VLOOKUP($BC388,Programma!$F$3:$J$1101,5,0),"")</f>
        <v/>
      </c>
      <c r="BH388" s="185" t="str">
        <f>_xlfn.IFNA(VLOOKUP($BC388,Programma!$F$3:$K$1101,6,0),"")</f>
        <v/>
      </c>
      <c r="BI388" s="185" t="str">
        <f>_xlfn.IFNA(VLOOKUP($BC388,Programma!$F$3:$L$1101,7,0),"")</f>
        <v/>
      </c>
      <c r="BJ388" s="185" t="str">
        <f>_xlfn.IFNA(VLOOKUP($BC388,Programma!$F$3:$M$1101,8,0),"")</f>
        <v/>
      </c>
      <c r="BK388" s="185" t="str">
        <f>_xlfn.IFNA(VLOOKUP($BC388,Programma!$F$3:$N$1101,9,0),"")</f>
        <v/>
      </c>
      <c r="BL388" s="185" t="str">
        <f>_xlfn.IFNA(VLOOKUP($BC388,Programma!$F$3:$O$1101,10,0),"")</f>
        <v/>
      </c>
      <c r="BM388" s="185" t="str">
        <f>_xlfn.IFNA(VLOOKUP($BC388,Programma!$F$3:$P$1101,11,0),"")</f>
        <v/>
      </c>
      <c r="BN388" s="185" t="str">
        <f>_xlfn.IFNA(VLOOKUP($BC388,Programma!$F$3:$Q$1101,12,0),"")</f>
        <v/>
      </c>
      <c r="BO388" s="185" t="str">
        <f>_xlfn.IFNA(VLOOKUP($BC388,Programma!$F$3:$R$1101,13,0),"")</f>
        <v/>
      </c>
      <c r="BP388" s="185" t="str">
        <f>_xlfn.IFNA(VLOOKUP($BC388,Programma!$F$3:$S$1101,14,0),"")</f>
        <v/>
      </c>
      <c r="BQ388" s="185" t="str">
        <f>_xlfn.IFNA(VLOOKUP($BC388,Programma!$F$3:$T$1101,15,0),"")</f>
        <v/>
      </c>
      <c r="BR388" s="185" t="str">
        <f>_xlfn.IFNA(VLOOKUP($BC388,Programma!$F$3:$U$1101,16,0),"")</f>
        <v/>
      </c>
      <c r="BS388" s="185" t="str">
        <f>_xlfn.IFNA(VLOOKUP($BC388,Programma!$F$3:$V$1101,17,0),"")</f>
        <v/>
      </c>
      <c r="BT388" s="185" t="str">
        <f>_xlfn.IFNA(VLOOKUP($BC388,Programma!$F$3:$W$1101,18,0),"")</f>
        <v/>
      </c>
      <c r="BU388" s="185" t="str">
        <f>_xlfn.IFNA(VLOOKUP($BC388,Programma!$F$3:$X$1101,19,0),"")</f>
        <v/>
      </c>
      <c r="BV388" s="185" t="str">
        <f>_xlfn.IFNA(VLOOKUP($BC388,Programma!$F$3:$Y$1101,20,0),"")</f>
        <v/>
      </c>
    </row>
    <row r="389" spans="1:74" s="78" customFormat="1" ht="15" customHeight="1">
      <c r="A389" s="99">
        <v>12</v>
      </c>
      <c r="B389" s="176" t="str">
        <f>VLOOKUP(Ruimtestaat[[#This Row],[Code]],Locaties[[Code]:[Locatie]],2,FALSE)</f>
        <v>OMBS Het Zeggelt (Dr. Benthem)</v>
      </c>
      <c r="C389" s="176" t="str">
        <f>VLOOKUP(Ruimtestaat[[#This Row],[Code]],Locaties[[#All],[Code]:[Adres]],4,FALSE)</f>
        <v>Dr. Benthemstraat 14</v>
      </c>
      <c r="D389" s="176" t="str">
        <f>VLOOKUP(Ruimtestaat[[#This Row],[Code]],Locaties[[#All],[Code]:[Postcode]],5,FALSE)</f>
        <v>7514 CM</v>
      </c>
      <c r="E389" s="176" t="str">
        <f>VLOOKUP(Ruimtestaat[[#This Row],[Code]],Locaties[#All],6,FALSE)</f>
        <v>Enschede</v>
      </c>
      <c r="F389" s="183"/>
      <c r="G389" s="99" t="s">
        <v>1646</v>
      </c>
      <c r="H389" s="99" t="s">
        <v>1648</v>
      </c>
      <c r="I389" s="183" t="s">
        <v>1585</v>
      </c>
      <c r="J389" s="99">
        <v>13</v>
      </c>
      <c r="K389" s="183" t="str">
        <f>VLOOKUP(Ruimtestaat[[#This Row],[Ruimte code]],Ruimtegroepen[[#All],[Code]:[Ruimte omschrijving]],2,FALSE)</f>
        <v>Personeelskamer</v>
      </c>
      <c r="L389" s="99" t="s">
        <v>99</v>
      </c>
      <c r="M389" s="99" t="s">
        <v>36</v>
      </c>
      <c r="N389" s="177">
        <v>31.8</v>
      </c>
      <c r="O389" s="177"/>
      <c r="P389" s="178" t="str">
        <f>VLOOKUP(Ruimtestaat[[#This Row],[Ruimte code]],Ruimtegroepen[],4,FALSE)</f>
        <v>Ve</v>
      </c>
      <c r="Q389" s="149">
        <v>40</v>
      </c>
      <c r="R389" s="149" t="s">
        <v>18</v>
      </c>
      <c r="S389" s="149">
        <f>IF(Q389&gt;0,IF(RIGHT(Ruimtestaat[[#This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89" s="149">
        <f>IF(S389&gt;0,VLOOKUP($J389,Ruimtegroepen[],3,FALSE)*VLOOKUP($L389,Vloersoorten[],3,FALSE)*VLOOKUP($R389,Frequenties[],3,FALSE)*VLOOKUP($A389,Locaties[],3,FALSE),0)</f>
        <v>0</v>
      </c>
      <c r="U389" s="149">
        <f>Ruimtestaat[[#This Row],[Uitvoeringen werkdagen]]*Ruimtestaat[[#This Row],[Oppervlak (netto)]]</f>
        <v>3816</v>
      </c>
      <c r="V389" s="179">
        <f>IF(T389&gt;0,Ruimtestaat[[#This Row],[Prest. (m2 /jaar) werkdagen]]/Ruimtestaat[[#This Row],[Norm (m2/uur) werkdagen]],0)</f>
        <v>0</v>
      </c>
      <c r="W389" s="180">
        <f>Ruimtestaat[[#This Row],[uren / jaar werkdagen]]*Tariefsopbouw!$E$35</f>
        <v>0</v>
      </c>
      <c r="X389" s="149"/>
      <c r="Y389" s="149">
        <f>IF(Ruimtestaat[[#This Row],[Frequentie weekend]]&gt;0,VALUE(LEFT(X389,1))*Q389,0)</f>
        <v>0</v>
      </c>
      <c r="Z389" s="148">
        <f>IF($Y389&gt;0,VLOOKUP($J389,Ruimtegroepen[],3,FALSE)*VLOOKUP($L389,Vloersoorten[],3,FALSE)*VLOOKUP($X389,Frequenties[],3,FALSE)*VLOOKUP(Ruimtestaat[[#This Row],[Code]],Locaties[],3,FALSE),0)</f>
        <v>0</v>
      </c>
      <c r="AA389" s="148">
        <f>Ruimtestaat[[#This Row],[Uitvoeringen weekend]]*Ruimtestaat[[#This Row],[Oppervlak (netto)]]</f>
        <v>0</v>
      </c>
      <c r="AB389" s="148">
        <f>IF(Z389&gt;0,Ruimtestaat[[#This Row],[Prest. (m2 /jaar) weekend]]/Ruimtestaat[[#This Row],[Norm (m2/uur) weekend]],0)</f>
        <v>0</v>
      </c>
      <c r="AC389" s="180">
        <f>Ruimtestaat[[#This Row],[uren / jaar weekend]]*Tariefsopbouw!$D$40</f>
        <v>0</v>
      </c>
      <c r="AD389" s="179">
        <f>Ruimtestaat[[#This Row],[Prest. (m2 /jaar) weekend]]+Ruimtestaat[[#This Row],[Prest. (m2 /jaar) werkdagen]]</f>
        <v>3816</v>
      </c>
      <c r="AE389" s="179">
        <f>Ruimtestaat[[#This Row],[uren / jaar weekend]]+Ruimtestaat[[#This Row],[uren / jaar werkdagen]]</f>
        <v>0</v>
      </c>
      <c r="AF389" s="174">
        <f>Ruimtestaat[[#This Row],[kosten / jaar weekend]]+Ruimtestaat[[#This Row],[kosten / jaar werkdagen]]</f>
        <v>0</v>
      </c>
      <c r="AG389" s="174"/>
      <c r="AH389" s="181" t="str">
        <f>IF(Ruimtestaat[[#This Row],[Frequentie werkdagen]]="","",_xlfn.CONCAT(Ruimtestaat[[#This Row],[Ruimte code]],"-",Ruimtestaat[[#This Row],[Frequentie werkdagen]]," ",Ruimtestaat[[#This Row],[Vloer code]]))</f>
        <v>13-3w T</v>
      </c>
      <c r="AI389" s="185" t="str">
        <f>_xlfn.IFNA(VLOOKUP($AH389,Programma!$F$3:$G$1101,2,0),"")</f>
        <v>2w</v>
      </c>
      <c r="AJ389" s="185" t="str">
        <f>_xlfn.IFNA(VLOOKUP($AH389,Programma!$F$3:$H$1101,3,0),"")</f>
        <v>1w</v>
      </c>
      <c r="AK389" s="185" t="str">
        <f>_xlfn.IFNA(VLOOKUP($AH389,Programma!$F$3:$I$1101,4,0),"")</f>
        <v>_</v>
      </c>
      <c r="AL389" s="185" t="str">
        <f>_xlfn.IFNA(VLOOKUP($AH389,Programma!$F$3:$J$1101,5,0),"")</f>
        <v>_</v>
      </c>
      <c r="AM389" s="185" t="str">
        <f>_xlfn.IFNA(VLOOKUP($AH389,Programma!$F$3:$K$1101,6,0),"")</f>
        <v>_</v>
      </c>
      <c r="AN389" s="185" t="str">
        <f>_xlfn.IFNA(VLOOKUP($AH389,Programma!$F$3:$L$1101,7,0),"")</f>
        <v>_</v>
      </c>
      <c r="AO389" s="185" t="str">
        <f>_xlfn.IFNA(VLOOKUP($AH389,Programma!$F$3:$M$1101,8,0),"")</f>
        <v>_</v>
      </c>
      <c r="AP389" s="185" t="str">
        <f>_xlfn.IFNA(VLOOKUP($AH389,Programma!$F$3:$N$1101,9,0),"")</f>
        <v>_</v>
      </c>
      <c r="AQ389" s="185" t="str">
        <f>_xlfn.IFNA(VLOOKUP($AH389,Programma!$F$3:$O$1101,10,0),"")</f>
        <v>3w</v>
      </c>
      <c r="AR389" s="185" t="str">
        <f>_xlfn.IFNA(VLOOKUP($AH389,Programma!$F$3:$P$1101,11,0),"")</f>
        <v>3w</v>
      </c>
      <c r="AS389" s="185" t="str">
        <f>_xlfn.IFNA(VLOOKUP($AH389,Programma!$F$3:$Q$1101,12,0),"")</f>
        <v>1w</v>
      </c>
      <c r="AT389" s="185" t="str">
        <f>_xlfn.IFNA(VLOOKUP($AH389,Programma!$F$3:$R$1101,13,0),"")</f>
        <v>1w</v>
      </c>
      <c r="AU389" s="185" t="str">
        <f>_xlfn.IFNA(VLOOKUP($AH389,Programma!$F$3:$S$1101,14,0),"")</f>
        <v>1m</v>
      </c>
      <c r="AV389" s="185" t="str">
        <f>_xlfn.IFNA(VLOOKUP($AH389,Programma!$F$3:$T$1101,15,0),"")</f>
        <v>2j</v>
      </c>
      <c r="AW389" s="185" t="str">
        <f>_xlfn.IFNA(VLOOKUP($AH389,Programma!$F$3:$U$1101,16,0),"")</f>
        <v>1j</v>
      </c>
      <c r="AX389" s="185" t="str">
        <f>_xlfn.IFNA(VLOOKUP($AH389,Programma!$F$3:$V$1101,17,0),"")</f>
        <v>_</v>
      </c>
      <c r="AY389" s="185" t="str">
        <f>_xlfn.IFNA(VLOOKUP($AH389,Programma!$F$3:$W$1101,18,0),"")</f>
        <v>_</v>
      </c>
      <c r="AZ389" s="185" t="str">
        <f>_xlfn.IFNA(VLOOKUP($AH389,Programma!$F$3:$X$1101,19,0),"")</f>
        <v>_</v>
      </c>
      <c r="BA389" s="185" t="str">
        <f>_xlfn.IFNA(VLOOKUP($AH389,Programma!$F$3:$Y$1101,20,0),"")</f>
        <v>_</v>
      </c>
      <c r="BB389" s="182"/>
      <c r="BC389" s="181" t="str">
        <f>IF(Ruimtestaat[[#This Row],[Frequentie weekend]]="","",_xlfn.CONCAT(Ruimtestaat[[#This Row],[Ruimte code]],"-",Ruimtestaat[[#This Row],[Frequentie weekend]]," ",Ruimtestaat[[#This Row],[Vloer code]]))</f>
        <v/>
      </c>
      <c r="BD389" s="185" t="str">
        <f>_xlfn.IFNA(VLOOKUP($BC389,Programma!$F$3:$G$1101,2,0),"")</f>
        <v/>
      </c>
      <c r="BE389" s="185" t="str">
        <f>_xlfn.IFNA(VLOOKUP($BC389,Programma!$F$3:$H$1101,3,0),"")</f>
        <v/>
      </c>
      <c r="BF389" s="185" t="str">
        <f>_xlfn.IFNA(VLOOKUP($BC389,Programma!$F$3:$I$1101,4,0),"")</f>
        <v/>
      </c>
      <c r="BG389" s="185" t="str">
        <f>_xlfn.IFNA(VLOOKUP($BC389,Programma!$F$3:$J$1101,5,0),"")</f>
        <v/>
      </c>
      <c r="BH389" s="185" t="str">
        <f>_xlfn.IFNA(VLOOKUP($BC389,Programma!$F$3:$K$1101,6,0),"")</f>
        <v/>
      </c>
      <c r="BI389" s="185" t="str">
        <f>_xlfn.IFNA(VLOOKUP($BC389,Programma!$F$3:$L$1101,7,0),"")</f>
        <v/>
      </c>
      <c r="BJ389" s="185" t="str">
        <f>_xlfn.IFNA(VLOOKUP($BC389,Programma!$F$3:$M$1101,8,0),"")</f>
        <v/>
      </c>
      <c r="BK389" s="185" t="str">
        <f>_xlfn.IFNA(VLOOKUP($BC389,Programma!$F$3:$N$1101,9,0),"")</f>
        <v/>
      </c>
      <c r="BL389" s="185" t="str">
        <f>_xlfn.IFNA(VLOOKUP($BC389,Programma!$F$3:$O$1101,10,0),"")</f>
        <v/>
      </c>
      <c r="BM389" s="185" t="str">
        <f>_xlfn.IFNA(VLOOKUP($BC389,Programma!$F$3:$P$1101,11,0),"")</f>
        <v/>
      </c>
      <c r="BN389" s="185" t="str">
        <f>_xlfn.IFNA(VLOOKUP($BC389,Programma!$F$3:$Q$1101,12,0),"")</f>
        <v/>
      </c>
      <c r="BO389" s="185" t="str">
        <f>_xlfn.IFNA(VLOOKUP($BC389,Programma!$F$3:$R$1101,13,0),"")</f>
        <v/>
      </c>
      <c r="BP389" s="185" t="str">
        <f>_xlfn.IFNA(VLOOKUP($BC389,Programma!$F$3:$S$1101,14,0),"")</f>
        <v/>
      </c>
      <c r="BQ389" s="185" t="str">
        <f>_xlfn.IFNA(VLOOKUP($BC389,Programma!$F$3:$T$1101,15,0),"")</f>
        <v/>
      </c>
      <c r="BR389" s="185" t="str">
        <f>_xlfn.IFNA(VLOOKUP($BC389,Programma!$F$3:$U$1101,16,0),"")</f>
        <v/>
      </c>
      <c r="BS389" s="185" t="str">
        <f>_xlfn.IFNA(VLOOKUP($BC389,Programma!$F$3:$V$1101,17,0),"")</f>
        <v/>
      </c>
      <c r="BT389" s="185" t="str">
        <f>_xlfn.IFNA(VLOOKUP($BC389,Programma!$F$3:$W$1101,18,0),"")</f>
        <v/>
      </c>
      <c r="BU389" s="185" t="str">
        <f>_xlfn.IFNA(VLOOKUP($BC389,Programma!$F$3:$X$1101,19,0),"")</f>
        <v/>
      </c>
      <c r="BV389" s="185" t="str">
        <f>_xlfn.IFNA(VLOOKUP($BC389,Programma!$F$3:$Y$1101,20,0),"")</f>
        <v/>
      </c>
    </row>
    <row r="390" spans="1:74" s="78" customFormat="1" ht="15" customHeight="1">
      <c r="A390" s="99">
        <v>12</v>
      </c>
      <c r="B390" s="176" t="str">
        <f>VLOOKUP(Ruimtestaat[[#This Row],[Code]],Locaties[[Code]:[Locatie]],2,FALSE)</f>
        <v>OMBS Het Zeggelt (Dr. Benthem)</v>
      </c>
      <c r="C390" s="176" t="str">
        <f>VLOOKUP(Ruimtestaat[[#This Row],[Code]],Locaties[[#All],[Code]:[Adres]],4,FALSE)</f>
        <v>Dr. Benthemstraat 14</v>
      </c>
      <c r="D390" s="176" t="str">
        <f>VLOOKUP(Ruimtestaat[[#This Row],[Code]],Locaties[[#All],[Code]:[Postcode]],5,FALSE)</f>
        <v>7514 CM</v>
      </c>
      <c r="E390" s="176" t="str">
        <f>VLOOKUP(Ruimtestaat[[#This Row],[Code]],Locaties[#All],6,FALSE)</f>
        <v>Enschede</v>
      </c>
      <c r="F390" s="183"/>
      <c r="G390" s="99" t="s">
        <v>1646</v>
      </c>
      <c r="H390" s="99" t="s">
        <v>1650</v>
      </c>
      <c r="I390" s="183" t="s">
        <v>1649</v>
      </c>
      <c r="J390" s="99">
        <v>2</v>
      </c>
      <c r="K390" s="183" t="str">
        <f>VLOOKUP(Ruimtestaat[[#This Row],[Ruimte code]],Ruimtegroepen[[#All],[Code]:[Ruimte omschrijving]],2,FALSE)</f>
        <v>Kantoren</v>
      </c>
      <c r="L390" s="99" t="s">
        <v>100</v>
      </c>
      <c r="M390" s="99" t="s">
        <v>1697</v>
      </c>
      <c r="N390" s="177">
        <v>13.9</v>
      </c>
      <c r="O390" s="177"/>
      <c r="P390" s="178" t="str">
        <f>VLOOKUP(Ruimtestaat[[#This Row],[Ruimte code]],Ruimtegroepen[],4,FALSE)</f>
        <v>Bu</v>
      </c>
      <c r="Q390" s="149">
        <v>40</v>
      </c>
      <c r="R390" s="149" t="s">
        <v>18</v>
      </c>
      <c r="S390" s="149">
        <f>IF(Q390&gt;0,IF(RIGHT(Ruimtestaat[[#This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90" s="149">
        <f>IF(S390&gt;0,VLOOKUP($J390,Ruimtegroepen[],3,FALSE)*VLOOKUP($L390,Vloersoorten[],3,FALSE)*VLOOKUP($R390,Frequenties[],3,FALSE)*VLOOKUP($A390,Locaties[],3,FALSE),0)</f>
        <v>0</v>
      </c>
      <c r="U390" s="149">
        <f>Ruimtestaat[[#This Row],[Uitvoeringen werkdagen]]*Ruimtestaat[[#This Row],[Oppervlak (netto)]]</f>
        <v>1668</v>
      </c>
      <c r="V390" s="179">
        <f>IF(T390&gt;0,Ruimtestaat[[#This Row],[Prest. (m2 /jaar) werkdagen]]/Ruimtestaat[[#This Row],[Norm (m2/uur) werkdagen]],0)</f>
        <v>0</v>
      </c>
      <c r="W390" s="180">
        <f>Ruimtestaat[[#This Row],[uren / jaar werkdagen]]*Tariefsopbouw!$E$35</f>
        <v>0</v>
      </c>
      <c r="X390" s="149"/>
      <c r="Y390" s="149">
        <f>IF(Ruimtestaat[[#This Row],[Frequentie weekend]]&gt;0,VALUE(LEFT(X390,1))*Q390,0)</f>
        <v>0</v>
      </c>
      <c r="Z390" s="148">
        <f>IF($Y390&gt;0,VLOOKUP($J390,Ruimtegroepen[],3,FALSE)*VLOOKUP($L390,Vloersoorten[],3,FALSE)*VLOOKUP($X390,Frequenties[],3,FALSE)*VLOOKUP(Ruimtestaat[[#This Row],[Code]],Locaties[],3,FALSE),0)</f>
        <v>0</v>
      </c>
      <c r="AA390" s="148">
        <f>Ruimtestaat[[#This Row],[Uitvoeringen weekend]]*Ruimtestaat[[#This Row],[Oppervlak (netto)]]</f>
        <v>0</v>
      </c>
      <c r="AB390" s="148">
        <f>IF(Z390&gt;0,Ruimtestaat[[#This Row],[Prest. (m2 /jaar) weekend]]/Ruimtestaat[[#This Row],[Norm (m2/uur) weekend]],0)</f>
        <v>0</v>
      </c>
      <c r="AC390" s="180">
        <f>Ruimtestaat[[#This Row],[uren / jaar weekend]]*Tariefsopbouw!$D$40</f>
        <v>0</v>
      </c>
      <c r="AD390" s="179">
        <f>Ruimtestaat[[#This Row],[Prest. (m2 /jaar) weekend]]+Ruimtestaat[[#This Row],[Prest. (m2 /jaar) werkdagen]]</f>
        <v>1668</v>
      </c>
      <c r="AE390" s="179">
        <f>Ruimtestaat[[#This Row],[uren / jaar weekend]]+Ruimtestaat[[#This Row],[uren / jaar werkdagen]]</f>
        <v>0</v>
      </c>
      <c r="AF390" s="174">
        <f>Ruimtestaat[[#This Row],[kosten / jaar weekend]]+Ruimtestaat[[#This Row],[kosten / jaar werkdagen]]</f>
        <v>0</v>
      </c>
      <c r="AG390" s="174"/>
      <c r="AH390" s="181" t="str">
        <f>IF(Ruimtestaat[[#This Row],[Frequentie werkdagen]]="","",_xlfn.CONCAT(Ruimtestaat[[#This Row],[Ruimte code]],"-",Ruimtestaat[[#This Row],[Frequentie werkdagen]]," ",Ruimtestaat[[#This Row],[Vloer code]]))</f>
        <v>2-3w L</v>
      </c>
      <c r="AI390" s="185" t="str">
        <f>_xlfn.IFNA(VLOOKUP($AH390,Programma!$F$3:$G$1101,2,0),"")</f>
        <v>_</v>
      </c>
      <c r="AJ390" s="185" t="str">
        <f>_xlfn.IFNA(VLOOKUP($AH390,Programma!$F$3:$H$1101,3,0),"")</f>
        <v>_</v>
      </c>
      <c r="AK390" s="185" t="str">
        <f>_xlfn.IFNA(VLOOKUP($AH390,Programma!$F$3:$I$1101,4,0),"")</f>
        <v>2w</v>
      </c>
      <c r="AL390" s="185" t="str">
        <f>_xlfn.IFNA(VLOOKUP($AH390,Programma!$F$3:$J$1101,5,0),"")</f>
        <v>1w</v>
      </c>
      <c r="AM390" s="185" t="str">
        <f>_xlfn.IFNA(VLOOKUP($AH390,Programma!$F$3:$K$1101,6,0),"")</f>
        <v>_</v>
      </c>
      <c r="AN390" s="185" t="str">
        <f>_xlfn.IFNA(VLOOKUP($AH390,Programma!$F$3:$L$1101,7,0),"")</f>
        <v>_</v>
      </c>
      <c r="AO390" s="185" t="str">
        <f>_xlfn.IFNA(VLOOKUP($AH390,Programma!$F$3:$M$1101,8,0),"")</f>
        <v>_</v>
      </c>
      <c r="AP390" s="185" t="str">
        <f>_xlfn.IFNA(VLOOKUP($AH390,Programma!$F$3:$N$1101,9,0),"")</f>
        <v>_</v>
      </c>
      <c r="AQ390" s="185" t="str">
        <f>_xlfn.IFNA(VLOOKUP($AH390,Programma!$F$3:$O$1101,10,0),"")</f>
        <v>3w</v>
      </c>
      <c r="AR390" s="185" t="str">
        <f>_xlfn.IFNA(VLOOKUP($AH390,Programma!$F$3:$P$1101,11,0),"")</f>
        <v>3w</v>
      </c>
      <c r="AS390" s="185" t="str">
        <f>_xlfn.IFNA(VLOOKUP($AH390,Programma!$F$3:$Q$1101,12,0),"")</f>
        <v>1w</v>
      </c>
      <c r="AT390" s="185" t="str">
        <f>_xlfn.IFNA(VLOOKUP($AH390,Programma!$F$3:$R$1101,13,0),"")</f>
        <v>1w</v>
      </c>
      <c r="AU390" s="185" t="str">
        <f>_xlfn.IFNA(VLOOKUP($AH390,Programma!$F$3:$S$1101,14,0),"")</f>
        <v>1m</v>
      </c>
      <c r="AV390" s="185" t="str">
        <f>_xlfn.IFNA(VLOOKUP($AH390,Programma!$F$3:$T$1101,15,0),"")</f>
        <v>2j</v>
      </c>
      <c r="AW390" s="185" t="str">
        <f>_xlfn.IFNA(VLOOKUP($AH390,Programma!$F$3:$U$1101,16,0),"")</f>
        <v>1j</v>
      </c>
      <c r="AX390" s="185" t="str">
        <f>_xlfn.IFNA(VLOOKUP($AH390,Programma!$F$3:$V$1101,17,0),"")</f>
        <v>_</v>
      </c>
      <c r="AY390" s="185" t="str">
        <f>_xlfn.IFNA(VLOOKUP($AH390,Programma!$F$3:$W$1101,18,0),"")</f>
        <v>_</v>
      </c>
      <c r="AZ390" s="185" t="str">
        <f>_xlfn.IFNA(VLOOKUP($AH390,Programma!$F$3:$X$1101,19,0),"")</f>
        <v>_</v>
      </c>
      <c r="BA390" s="185" t="str">
        <f>_xlfn.IFNA(VLOOKUP($AH390,Programma!$F$3:$Y$1101,20,0),"")</f>
        <v>_</v>
      </c>
      <c r="BB390" s="182"/>
      <c r="BC390" s="181" t="str">
        <f>IF(Ruimtestaat[[#This Row],[Frequentie weekend]]="","",_xlfn.CONCAT(Ruimtestaat[[#This Row],[Ruimte code]],"-",Ruimtestaat[[#This Row],[Frequentie weekend]]," ",Ruimtestaat[[#This Row],[Vloer code]]))</f>
        <v/>
      </c>
      <c r="BD390" s="185" t="str">
        <f>_xlfn.IFNA(VLOOKUP($BC390,Programma!$F$3:$G$1101,2,0),"")</f>
        <v/>
      </c>
      <c r="BE390" s="185" t="str">
        <f>_xlfn.IFNA(VLOOKUP($BC390,Programma!$F$3:$H$1101,3,0),"")</f>
        <v/>
      </c>
      <c r="BF390" s="185" t="str">
        <f>_xlfn.IFNA(VLOOKUP($BC390,Programma!$F$3:$I$1101,4,0),"")</f>
        <v/>
      </c>
      <c r="BG390" s="185" t="str">
        <f>_xlfn.IFNA(VLOOKUP($BC390,Programma!$F$3:$J$1101,5,0),"")</f>
        <v/>
      </c>
      <c r="BH390" s="185" t="str">
        <f>_xlfn.IFNA(VLOOKUP($BC390,Programma!$F$3:$K$1101,6,0),"")</f>
        <v/>
      </c>
      <c r="BI390" s="185" t="str">
        <f>_xlfn.IFNA(VLOOKUP($BC390,Programma!$F$3:$L$1101,7,0),"")</f>
        <v/>
      </c>
      <c r="BJ390" s="185" t="str">
        <f>_xlfn.IFNA(VLOOKUP($BC390,Programma!$F$3:$M$1101,8,0),"")</f>
        <v/>
      </c>
      <c r="BK390" s="185" t="str">
        <f>_xlfn.IFNA(VLOOKUP($BC390,Programma!$F$3:$N$1101,9,0),"")</f>
        <v/>
      </c>
      <c r="BL390" s="185" t="str">
        <f>_xlfn.IFNA(VLOOKUP($BC390,Programma!$F$3:$O$1101,10,0),"")</f>
        <v/>
      </c>
      <c r="BM390" s="185" t="str">
        <f>_xlfn.IFNA(VLOOKUP($BC390,Programma!$F$3:$P$1101,11,0),"")</f>
        <v/>
      </c>
      <c r="BN390" s="185" t="str">
        <f>_xlfn.IFNA(VLOOKUP($BC390,Programma!$F$3:$Q$1101,12,0),"")</f>
        <v/>
      </c>
      <c r="BO390" s="185" t="str">
        <f>_xlfn.IFNA(VLOOKUP($BC390,Programma!$F$3:$R$1101,13,0),"")</f>
        <v/>
      </c>
      <c r="BP390" s="185" t="str">
        <f>_xlfn.IFNA(VLOOKUP($BC390,Programma!$F$3:$S$1101,14,0),"")</f>
        <v/>
      </c>
      <c r="BQ390" s="185" t="str">
        <f>_xlfn.IFNA(VLOOKUP($BC390,Programma!$F$3:$T$1101,15,0),"")</f>
        <v/>
      </c>
      <c r="BR390" s="185" t="str">
        <f>_xlfn.IFNA(VLOOKUP($BC390,Programma!$F$3:$U$1101,16,0),"")</f>
        <v/>
      </c>
      <c r="BS390" s="185" t="str">
        <f>_xlfn.IFNA(VLOOKUP($BC390,Programma!$F$3:$V$1101,17,0),"")</f>
        <v/>
      </c>
      <c r="BT390" s="185" t="str">
        <f>_xlfn.IFNA(VLOOKUP($BC390,Programma!$F$3:$W$1101,18,0),"")</f>
        <v/>
      </c>
      <c r="BU390" s="185" t="str">
        <f>_xlfn.IFNA(VLOOKUP($BC390,Programma!$F$3:$X$1101,19,0),"")</f>
        <v/>
      </c>
      <c r="BV390" s="185" t="str">
        <f>_xlfn.IFNA(VLOOKUP($BC390,Programma!$F$3:$Y$1101,20,0),"")</f>
        <v/>
      </c>
    </row>
    <row r="391" spans="1:74" s="78" customFormat="1" ht="15" customHeight="1">
      <c r="A391" s="99">
        <v>12</v>
      </c>
      <c r="B391" s="176" t="str">
        <f>VLOOKUP(Ruimtestaat[[#This Row],[Code]],Locaties[[Code]:[Locatie]],2,FALSE)</f>
        <v>OMBS Het Zeggelt (Dr. Benthem)</v>
      </c>
      <c r="C391" s="176" t="str">
        <f>VLOOKUP(Ruimtestaat[[#This Row],[Code]],Locaties[[#All],[Code]:[Adres]],4,FALSE)</f>
        <v>Dr. Benthemstraat 14</v>
      </c>
      <c r="D391" s="176" t="str">
        <f>VLOOKUP(Ruimtestaat[[#This Row],[Code]],Locaties[[#All],[Code]:[Postcode]],5,FALSE)</f>
        <v>7514 CM</v>
      </c>
      <c r="E391" s="176" t="str">
        <f>VLOOKUP(Ruimtestaat[[#This Row],[Code]],Locaties[#All],6,FALSE)</f>
        <v>Enschede</v>
      </c>
      <c r="F391" s="183"/>
      <c r="G391" s="99" t="s">
        <v>1646</v>
      </c>
      <c r="H391" s="99" t="s">
        <v>1652</v>
      </c>
      <c r="I391" s="183" t="s">
        <v>1649</v>
      </c>
      <c r="J391" s="99">
        <v>2</v>
      </c>
      <c r="K391" s="183" t="str">
        <f>VLOOKUP(Ruimtestaat[[#This Row],[Ruimte code]],Ruimtegroepen[[#All],[Code]:[Ruimte omschrijving]],2,FALSE)</f>
        <v>Kantoren</v>
      </c>
      <c r="L391" s="99" t="s">
        <v>102</v>
      </c>
      <c r="M391" s="99" t="s">
        <v>1727</v>
      </c>
      <c r="N391" s="177">
        <v>15.3</v>
      </c>
      <c r="O391" s="177"/>
      <c r="P391" s="178" t="str">
        <f>VLOOKUP(Ruimtestaat[[#This Row],[Ruimte code]],Ruimtegroepen[],4,FALSE)</f>
        <v>Bu</v>
      </c>
      <c r="Q391" s="149">
        <v>40</v>
      </c>
      <c r="R391" s="149" t="s">
        <v>18</v>
      </c>
      <c r="S391" s="149">
        <f>IF(Q391&gt;0,IF(RIGHT(Ruimtestaat[[#This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91" s="149">
        <f>IF(S391&gt;0,VLOOKUP($J391,Ruimtegroepen[],3,FALSE)*VLOOKUP($L391,Vloersoorten[],3,FALSE)*VLOOKUP($R391,Frequenties[],3,FALSE)*VLOOKUP($A391,Locaties[],3,FALSE),0)</f>
        <v>0</v>
      </c>
      <c r="U391" s="149">
        <f>Ruimtestaat[[#This Row],[Uitvoeringen werkdagen]]*Ruimtestaat[[#This Row],[Oppervlak (netto)]]</f>
        <v>1836</v>
      </c>
      <c r="V391" s="179">
        <f>IF(T391&gt;0,Ruimtestaat[[#This Row],[Prest. (m2 /jaar) werkdagen]]/Ruimtestaat[[#This Row],[Norm (m2/uur) werkdagen]],0)</f>
        <v>0</v>
      </c>
      <c r="W391" s="180">
        <f>Ruimtestaat[[#This Row],[uren / jaar werkdagen]]*Tariefsopbouw!$E$35</f>
        <v>0</v>
      </c>
      <c r="X391" s="149"/>
      <c r="Y391" s="149">
        <f>IF(Ruimtestaat[[#This Row],[Frequentie weekend]]&gt;0,VALUE(LEFT(X391,1))*Q391,0)</f>
        <v>0</v>
      </c>
      <c r="Z391" s="148">
        <f>IF($Y391&gt;0,VLOOKUP($J391,Ruimtegroepen[],3,FALSE)*VLOOKUP($L391,Vloersoorten[],3,FALSE)*VLOOKUP($X391,Frequenties[],3,FALSE)*VLOOKUP(Ruimtestaat[[#This Row],[Code]],Locaties[],3,FALSE),0)</f>
        <v>0</v>
      </c>
      <c r="AA391" s="148">
        <f>Ruimtestaat[[#This Row],[Uitvoeringen weekend]]*Ruimtestaat[[#This Row],[Oppervlak (netto)]]</f>
        <v>0</v>
      </c>
      <c r="AB391" s="148">
        <f>IF(Z391&gt;0,Ruimtestaat[[#This Row],[Prest. (m2 /jaar) weekend]]/Ruimtestaat[[#This Row],[Norm (m2/uur) weekend]],0)</f>
        <v>0</v>
      </c>
      <c r="AC391" s="180">
        <f>Ruimtestaat[[#This Row],[uren / jaar weekend]]*Tariefsopbouw!$D$40</f>
        <v>0</v>
      </c>
      <c r="AD391" s="179">
        <f>Ruimtestaat[[#This Row],[Prest. (m2 /jaar) weekend]]+Ruimtestaat[[#This Row],[Prest. (m2 /jaar) werkdagen]]</f>
        <v>1836</v>
      </c>
      <c r="AE391" s="179">
        <f>Ruimtestaat[[#This Row],[uren / jaar weekend]]+Ruimtestaat[[#This Row],[uren / jaar werkdagen]]</f>
        <v>0</v>
      </c>
      <c r="AF391" s="174">
        <f>Ruimtestaat[[#This Row],[kosten / jaar weekend]]+Ruimtestaat[[#This Row],[kosten / jaar werkdagen]]</f>
        <v>0</v>
      </c>
      <c r="AG391" s="174"/>
      <c r="AH391" s="181" t="str">
        <f>IF(Ruimtestaat[[#This Row],[Frequentie werkdagen]]="","",_xlfn.CONCAT(Ruimtestaat[[#This Row],[Ruimte code]],"-",Ruimtestaat[[#This Row],[Frequentie werkdagen]]," ",Ruimtestaat[[#This Row],[Vloer code]]))</f>
        <v>2-3w P</v>
      </c>
      <c r="AI391" s="185" t="str">
        <f>_xlfn.IFNA(VLOOKUP($AH391,Programma!$F$3:$G$1101,2,0),"")</f>
        <v>_</v>
      </c>
      <c r="AJ391" s="185" t="str">
        <f>_xlfn.IFNA(VLOOKUP($AH391,Programma!$F$3:$H$1101,3,0),"")</f>
        <v>_</v>
      </c>
      <c r="AK391" s="185" t="str">
        <f>_xlfn.IFNA(VLOOKUP($AH391,Programma!$F$3:$I$1101,4,0),"")</f>
        <v>2w</v>
      </c>
      <c r="AL391" s="185" t="str">
        <f>_xlfn.IFNA(VLOOKUP($AH391,Programma!$F$3:$J$1101,5,0),"")</f>
        <v>1w</v>
      </c>
      <c r="AM391" s="185" t="str">
        <f>_xlfn.IFNA(VLOOKUP($AH391,Programma!$F$3:$K$1101,6,0),"")</f>
        <v>1j</v>
      </c>
      <c r="AN391" s="185" t="str">
        <f>_xlfn.IFNA(VLOOKUP($AH391,Programma!$F$3:$L$1101,7,0),"")</f>
        <v>_</v>
      </c>
      <c r="AO391" s="185" t="str">
        <f>_xlfn.IFNA(VLOOKUP($AH391,Programma!$F$3:$M$1101,8,0),"")</f>
        <v>_</v>
      </c>
      <c r="AP391" s="185" t="str">
        <f>_xlfn.IFNA(VLOOKUP($AH391,Programma!$F$3:$N$1101,9,0),"")</f>
        <v>_</v>
      </c>
      <c r="AQ391" s="185" t="str">
        <f>_xlfn.IFNA(VLOOKUP($AH391,Programma!$F$3:$O$1101,10,0),"")</f>
        <v>3w</v>
      </c>
      <c r="AR391" s="185" t="str">
        <f>_xlfn.IFNA(VLOOKUP($AH391,Programma!$F$3:$P$1101,11,0),"")</f>
        <v>3w</v>
      </c>
      <c r="AS391" s="185" t="str">
        <f>_xlfn.IFNA(VLOOKUP($AH391,Programma!$F$3:$Q$1101,12,0),"")</f>
        <v>1w</v>
      </c>
      <c r="AT391" s="185" t="str">
        <f>_xlfn.IFNA(VLOOKUP($AH391,Programma!$F$3:$R$1101,13,0),"")</f>
        <v>1w</v>
      </c>
      <c r="AU391" s="185" t="str">
        <f>_xlfn.IFNA(VLOOKUP($AH391,Programma!$F$3:$S$1101,14,0),"")</f>
        <v>1m</v>
      </c>
      <c r="AV391" s="185" t="str">
        <f>_xlfn.IFNA(VLOOKUP($AH391,Programma!$F$3:$T$1101,15,0),"")</f>
        <v>2j</v>
      </c>
      <c r="AW391" s="185" t="str">
        <f>_xlfn.IFNA(VLOOKUP($AH391,Programma!$F$3:$U$1101,16,0),"")</f>
        <v>1j</v>
      </c>
      <c r="AX391" s="185" t="str">
        <f>_xlfn.IFNA(VLOOKUP($AH391,Programma!$F$3:$V$1101,17,0),"")</f>
        <v>_</v>
      </c>
      <c r="AY391" s="185" t="str">
        <f>_xlfn.IFNA(VLOOKUP($AH391,Programma!$F$3:$W$1101,18,0),"")</f>
        <v>_</v>
      </c>
      <c r="AZ391" s="185" t="str">
        <f>_xlfn.IFNA(VLOOKUP($AH391,Programma!$F$3:$X$1101,19,0),"")</f>
        <v>_</v>
      </c>
      <c r="BA391" s="185" t="str">
        <f>_xlfn.IFNA(VLOOKUP($AH391,Programma!$F$3:$Y$1101,20,0),"")</f>
        <v>_</v>
      </c>
      <c r="BB391" s="182"/>
      <c r="BC391" s="181" t="str">
        <f>IF(Ruimtestaat[[#This Row],[Frequentie weekend]]="","",_xlfn.CONCAT(Ruimtestaat[[#This Row],[Ruimte code]],"-",Ruimtestaat[[#This Row],[Frequentie weekend]]," ",Ruimtestaat[[#This Row],[Vloer code]]))</f>
        <v/>
      </c>
      <c r="BD391" s="185" t="str">
        <f>_xlfn.IFNA(VLOOKUP($BC391,Programma!$F$3:$G$1101,2,0),"")</f>
        <v/>
      </c>
      <c r="BE391" s="185" t="str">
        <f>_xlfn.IFNA(VLOOKUP($BC391,Programma!$F$3:$H$1101,3,0),"")</f>
        <v/>
      </c>
      <c r="BF391" s="185" t="str">
        <f>_xlfn.IFNA(VLOOKUP($BC391,Programma!$F$3:$I$1101,4,0),"")</f>
        <v/>
      </c>
      <c r="BG391" s="185" t="str">
        <f>_xlfn.IFNA(VLOOKUP($BC391,Programma!$F$3:$J$1101,5,0),"")</f>
        <v/>
      </c>
      <c r="BH391" s="185" t="str">
        <f>_xlfn.IFNA(VLOOKUP($BC391,Programma!$F$3:$K$1101,6,0),"")</f>
        <v/>
      </c>
      <c r="BI391" s="185" t="str">
        <f>_xlfn.IFNA(VLOOKUP($BC391,Programma!$F$3:$L$1101,7,0),"")</f>
        <v/>
      </c>
      <c r="BJ391" s="185" t="str">
        <f>_xlfn.IFNA(VLOOKUP($BC391,Programma!$F$3:$M$1101,8,0),"")</f>
        <v/>
      </c>
      <c r="BK391" s="185" t="str">
        <f>_xlfn.IFNA(VLOOKUP($BC391,Programma!$F$3:$N$1101,9,0),"")</f>
        <v/>
      </c>
      <c r="BL391" s="185" t="str">
        <f>_xlfn.IFNA(VLOOKUP($BC391,Programma!$F$3:$O$1101,10,0),"")</f>
        <v/>
      </c>
      <c r="BM391" s="185" t="str">
        <f>_xlfn.IFNA(VLOOKUP($BC391,Programma!$F$3:$P$1101,11,0),"")</f>
        <v/>
      </c>
      <c r="BN391" s="185" t="str">
        <f>_xlfn.IFNA(VLOOKUP($BC391,Programma!$F$3:$Q$1101,12,0),"")</f>
        <v/>
      </c>
      <c r="BO391" s="185" t="str">
        <f>_xlfn.IFNA(VLOOKUP($BC391,Programma!$F$3:$R$1101,13,0),"")</f>
        <v/>
      </c>
      <c r="BP391" s="185" t="str">
        <f>_xlfn.IFNA(VLOOKUP($BC391,Programma!$F$3:$S$1101,14,0),"")</f>
        <v/>
      </c>
      <c r="BQ391" s="185" t="str">
        <f>_xlfn.IFNA(VLOOKUP($BC391,Programma!$F$3:$T$1101,15,0),"")</f>
        <v/>
      </c>
      <c r="BR391" s="185" t="str">
        <f>_xlfn.IFNA(VLOOKUP($BC391,Programma!$F$3:$U$1101,16,0),"")</f>
        <v/>
      </c>
      <c r="BS391" s="185" t="str">
        <f>_xlfn.IFNA(VLOOKUP($BC391,Programma!$F$3:$V$1101,17,0),"")</f>
        <v/>
      </c>
      <c r="BT391" s="185" t="str">
        <f>_xlfn.IFNA(VLOOKUP($BC391,Programma!$F$3:$W$1101,18,0),"")</f>
        <v/>
      </c>
      <c r="BU391" s="185" t="str">
        <f>_xlfn.IFNA(VLOOKUP($BC391,Programma!$F$3:$X$1101,19,0),"")</f>
        <v/>
      </c>
      <c r="BV391" s="185" t="str">
        <f>_xlfn.IFNA(VLOOKUP($BC391,Programma!$F$3:$Y$1101,20,0),"")</f>
        <v/>
      </c>
    </row>
    <row r="392" spans="1:74" s="78" customFormat="1" ht="15" customHeight="1">
      <c r="A392" s="99">
        <v>12</v>
      </c>
      <c r="B392" s="176" t="str">
        <f>VLOOKUP(Ruimtestaat[[#This Row],[Code]],Locaties[[Code]:[Locatie]],2,FALSE)</f>
        <v>OMBS Het Zeggelt (Dr. Benthem)</v>
      </c>
      <c r="C392" s="176" t="str">
        <f>VLOOKUP(Ruimtestaat[[#This Row],[Code]],Locaties[[#All],[Code]:[Adres]],4,FALSE)</f>
        <v>Dr. Benthemstraat 14</v>
      </c>
      <c r="D392" s="176" t="str">
        <f>VLOOKUP(Ruimtestaat[[#This Row],[Code]],Locaties[[#All],[Code]:[Postcode]],5,FALSE)</f>
        <v>7514 CM</v>
      </c>
      <c r="E392" s="176" t="str">
        <f>VLOOKUP(Ruimtestaat[[#This Row],[Code]],Locaties[#All],6,FALSE)</f>
        <v>Enschede</v>
      </c>
      <c r="F392" s="183"/>
      <c r="G392" s="99" t="s">
        <v>1646</v>
      </c>
      <c r="H392" s="99" t="s">
        <v>1653</v>
      </c>
      <c r="I392" s="183" t="s">
        <v>1649</v>
      </c>
      <c r="J392" s="99">
        <v>2</v>
      </c>
      <c r="K392" s="183" t="str">
        <f>VLOOKUP(Ruimtestaat[[#This Row],[Ruimte code]],Ruimtegroepen[[#All],[Code]:[Ruimte omschrijving]],2,FALSE)</f>
        <v>Kantoren</v>
      </c>
      <c r="L392" s="99" t="s">
        <v>102</v>
      </c>
      <c r="M392" s="99" t="s">
        <v>1727</v>
      </c>
      <c r="N392" s="177">
        <v>25.3</v>
      </c>
      <c r="O392" s="177"/>
      <c r="P392" s="178" t="str">
        <f>VLOOKUP(Ruimtestaat[[#This Row],[Ruimte code]],Ruimtegroepen[],4,FALSE)</f>
        <v>Bu</v>
      </c>
      <c r="Q392" s="149">
        <v>40</v>
      </c>
      <c r="R392" s="149" t="s">
        <v>18</v>
      </c>
      <c r="S392" s="149">
        <f>IF(Q392&gt;0,IF(RIGHT(Ruimtestaat[[#This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392" s="149">
        <f>IF(S392&gt;0,VLOOKUP($J392,Ruimtegroepen[],3,FALSE)*VLOOKUP($L392,Vloersoorten[],3,FALSE)*VLOOKUP($R392,Frequenties[],3,FALSE)*VLOOKUP($A392,Locaties[],3,FALSE),0)</f>
        <v>0</v>
      </c>
      <c r="U392" s="149">
        <f>Ruimtestaat[[#This Row],[Uitvoeringen werkdagen]]*Ruimtestaat[[#This Row],[Oppervlak (netto)]]</f>
        <v>3036</v>
      </c>
      <c r="V392" s="179">
        <f>IF(T392&gt;0,Ruimtestaat[[#This Row],[Prest. (m2 /jaar) werkdagen]]/Ruimtestaat[[#This Row],[Norm (m2/uur) werkdagen]],0)</f>
        <v>0</v>
      </c>
      <c r="W392" s="180">
        <f>Ruimtestaat[[#This Row],[uren / jaar werkdagen]]*Tariefsopbouw!$E$35</f>
        <v>0</v>
      </c>
      <c r="X392" s="149"/>
      <c r="Y392" s="149">
        <f>IF(Ruimtestaat[[#This Row],[Frequentie weekend]]&gt;0,VALUE(LEFT(X392,1))*Q392,0)</f>
        <v>0</v>
      </c>
      <c r="Z392" s="148">
        <f>IF($Y392&gt;0,VLOOKUP($J392,Ruimtegroepen[],3,FALSE)*VLOOKUP($L392,Vloersoorten[],3,FALSE)*VLOOKUP($X392,Frequenties[],3,FALSE)*VLOOKUP(Ruimtestaat[[#This Row],[Code]],Locaties[],3,FALSE),0)</f>
        <v>0</v>
      </c>
      <c r="AA392" s="148">
        <f>Ruimtestaat[[#This Row],[Uitvoeringen weekend]]*Ruimtestaat[[#This Row],[Oppervlak (netto)]]</f>
        <v>0</v>
      </c>
      <c r="AB392" s="148">
        <f>IF(Z392&gt;0,Ruimtestaat[[#This Row],[Prest. (m2 /jaar) weekend]]/Ruimtestaat[[#This Row],[Norm (m2/uur) weekend]],0)</f>
        <v>0</v>
      </c>
      <c r="AC392" s="180">
        <f>Ruimtestaat[[#This Row],[uren / jaar weekend]]*Tariefsopbouw!$D$40</f>
        <v>0</v>
      </c>
      <c r="AD392" s="179">
        <f>Ruimtestaat[[#This Row],[Prest. (m2 /jaar) weekend]]+Ruimtestaat[[#This Row],[Prest. (m2 /jaar) werkdagen]]</f>
        <v>3036</v>
      </c>
      <c r="AE392" s="179">
        <f>Ruimtestaat[[#This Row],[uren / jaar weekend]]+Ruimtestaat[[#This Row],[uren / jaar werkdagen]]</f>
        <v>0</v>
      </c>
      <c r="AF392" s="174">
        <f>Ruimtestaat[[#This Row],[kosten / jaar weekend]]+Ruimtestaat[[#This Row],[kosten / jaar werkdagen]]</f>
        <v>0</v>
      </c>
      <c r="AG392" s="174"/>
      <c r="AH392" s="181" t="str">
        <f>IF(Ruimtestaat[[#This Row],[Frequentie werkdagen]]="","",_xlfn.CONCAT(Ruimtestaat[[#This Row],[Ruimte code]],"-",Ruimtestaat[[#This Row],[Frequentie werkdagen]]," ",Ruimtestaat[[#This Row],[Vloer code]]))</f>
        <v>2-3w P</v>
      </c>
      <c r="AI392" s="185" t="str">
        <f>_xlfn.IFNA(VLOOKUP($AH392,Programma!$F$3:$G$1101,2,0),"")</f>
        <v>_</v>
      </c>
      <c r="AJ392" s="185" t="str">
        <f>_xlfn.IFNA(VLOOKUP($AH392,Programma!$F$3:$H$1101,3,0),"")</f>
        <v>_</v>
      </c>
      <c r="AK392" s="185" t="str">
        <f>_xlfn.IFNA(VLOOKUP($AH392,Programma!$F$3:$I$1101,4,0),"")</f>
        <v>2w</v>
      </c>
      <c r="AL392" s="185" t="str">
        <f>_xlfn.IFNA(VLOOKUP($AH392,Programma!$F$3:$J$1101,5,0),"")</f>
        <v>1w</v>
      </c>
      <c r="AM392" s="185" t="str">
        <f>_xlfn.IFNA(VLOOKUP($AH392,Programma!$F$3:$K$1101,6,0),"")</f>
        <v>1j</v>
      </c>
      <c r="AN392" s="185" t="str">
        <f>_xlfn.IFNA(VLOOKUP($AH392,Programma!$F$3:$L$1101,7,0),"")</f>
        <v>_</v>
      </c>
      <c r="AO392" s="185" t="str">
        <f>_xlfn.IFNA(VLOOKUP($AH392,Programma!$F$3:$M$1101,8,0),"")</f>
        <v>_</v>
      </c>
      <c r="AP392" s="185" t="str">
        <f>_xlfn.IFNA(VLOOKUP($AH392,Programma!$F$3:$N$1101,9,0),"")</f>
        <v>_</v>
      </c>
      <c r="AQ392" s="185" t="str">
        <f>_xlfn.IFNA(VLOOKUP($AH392,Programma!$F$3:$O$1101,10,0),"")</f>
        <v>3w</v>
      </c>
      <c r="AR392" s="185" t="str">
        <f>_xlfn.IFNA(VLOOKUP($AH392,Programma!$F$3:$P$1101,11,0),"")</f>
        <v>3w</v>
      </c>
      <c r="AS392" s="185" t="str">
        <f>_xlfn.IFNA(VLOOKUP($AH392,Programma!$F$3:$Q$1101,12,0),"")</f>
        <v>1w</v>
      </c>
      <c r="AT392" s="185" t="str">
        <f>_xlfn.IFNA(VLOOKUP($AH392,Programma!$F$3:$R$1101,13,0),"")</f>
        <v>1w</v>
      </c>
      <c r="AU392" s="185" t="str">
        <f>_xlfn.IFNA(VLOOKUP($AH392,Programma!$F$3:$S$1101,14,0),"")</f>
        <v>1m</v>
      </c>
      <c r="AV392" s="185" t="str">
        <f>_xlfn.IFNA(VLOOKUP($AH392,Programma!$F$3:$T$1101,15,0),"")</f>
        <v>2j</v>
      </c>
      <c r="AW392" s="185" t="str">
        <f>_xlfn.IFNA(VLOOKUP($AH392,Programma!$F$3:$U$1101,16,0),"")</f>
        <v>1j</v>
      </c>
      <c r="AX392" s="185" t="str">
        <f>_xlfn.IFNA(VLOOKUP($AH392,Programma!$F$3:$V$1101,17,0),"")</f>
        <v>_</v>
      </c>
      <c r="AY392" s="185" t="str">
        <f>_xlfn.IFNA(VLOOKUP($AH392,Programma!$F$3:$W$1101,18,0),"")</f>
        <v>_</v>
      </c>
      <c r="AZ392" s="185" t="str">
        <f>_xlfn.IFNA(VLOOKUP($AH392,Programma!$F$3:$X$1101,19,0),"")</f>
        <v>_</v>
      </c>
      <c r="BA392" s="185" t="str">
        <f>_xlfn.IFNA(VLOOKUP($AH392,Programma!$F$3:$Y$1101,20,0),"")</f>
        <v>_</v>
      </c>
      <c r="BB392" s="182"/>
      <c r="BC392" s="181" t="str">
        <f>IF(Ruimtestaat[[#This Row],[Frequentie weekend]]="","",_xlfn.CONCAT(Ruimtestaat[[#This Row],[Ruimte code]],"-",Ruimtestaat[[#This Row],[Frequentie weekend]]," ",Ruimtestaat[[#This Row],[Vloer code]]))</f>
        <v/>
      </c>
      <c r="BD392" s="185" t="str">
        <f>_xlfn.IFNA(VLOOKUP($BC392,Programma!$F$3:$G$1101,2,0),"")</f>
        <v/>
      </c>
      <c r="BE392" s="185" t="str">
        <f>_xlfn.IFNA(VLOOKUP($BC392,Programma!$F$3:$H$1101,3,0),"")</f>
        <v/>
      </c>
      <c r="BF392" s="185" t="str">
        <f>_xlfn.IFNA(VLOOKUP($BC392,Programma!$F$3:$I$1101,4,0),"")</f>
        <v/>
      </c>
      <c r="BG392" s="185" t="str">
        <f>_xlfn.IFNA(VLOOKUP($BC392,Programma!$F$3:$J$1101,5,0),"")</f>
        <v/>
      </c>
      <c r="BH392" s="185" t="str">
        <f>_xlfn.IFNA(VLOOKUP($BC392,Programma!$F$3:$K$1101,6,0),"")</f>
        <v/>
      </c>
      <c r="BI392" s="185" t="str">
        <f>_xlfn.IFNA(VLOOKUP($BC392,Programma!$F$3:$L$1101,7,0),"")</f>
        <v/>
      </c>
      <c r="BJ392" s="185" t="str">
        <f>_xlfn.IFNA(VLOOKUP($BC392,Programma!$F$3:$M$1101,8,0),"")</f>
        <v/>
      </c>
      <c r="BK392" s="185" t="str">
        <f>_xlfn.IFNA(VLOOKUP($BC392,Programma!$F$3:$N$1101,9,0),"")</f>
        <v/>
      </c>
      <c r="BL392" s="185" t="str">
        <f>_xlfn.IFNA(VLOOKUP($BC392,Programma!$F$3:$O$1101,10,0),"")</f>
        <v/>
      </c>
      <c r="BM392" s="185" t="str">
        <f>_xlfn.IFNA(VLOOKUP($BC392,Programma!$F$3:$P$1101,11,0),"")</f>
        <v/>
      </c>
      <c r="BN392" s="185" t="str">
        <f>_xlfn.IFNA(VLOOKUP($BC392,Programma!$F$3:$Q$1101,12,0),"")</f>
        <v/>
      </c>
      <c r="BO392" s="185" t="str">
        <f>_xlfn.IFNA(VLOOKUP($BC392,Programma!$F$3:$R$1101,13,0),"")</f>
        <v/>
      </c>
      <c r="BP392" s="185" t="str">
        <f>_xlfn.IFNA(VLOOKUP($BC392,Programma!$F$3:$S$1101,14,0),"")</f>
        <v/>
      </c>
      <c r="BQ392" s="185" t="str">
        <f>_xlfn.IFNA(VLOOKUP($BC392,Programma!$F$3:$T$1101,15,0),"")</f>
        <v/>
      </c>
      <c r="BR392" s="185" t="str">
        <f>_xlfn.IFNA(VLOOKUP($BC392,Programma!$F$3:$U$1101,16,0),"")</f>
        <v/>
      </c>
      <c r="BS392" s="185" t="str">
        <f>_xlfn.IFNA(VLOOKUP($BC392,Programma!$F$3:$V$1101,17,0),"")</f>
        <v/>
      </c>
      <c r="BT392" s="185" t="str">
        <f>_xlfn.IFNA(VLOOKUP($BC392,Programma!$F$3:$W$1101,18,0),"")</f>
        <v/>
      </c>
      <c r="BU392" s="185" t="str">
        <f>_xlfn.IFNA(VLOOKUP($BC392,Programma!$F$3:$X$1101,19,0),"")</f>
        <v/>
      </c>
      <c r="BV392" s="185" t="str">
        <f>_xlfn.IFNA(VLOOKUP($BC392,Programma!$F$3:$Y$1101,20,0),"")</f>
        <v/>
      </c>
    </row>
    <row r="393" spans="1:74" s="78" customFormat="1" ht="15" customHeight="1">
      <c r="A393" s="99">
        <v>12</v>
      </c>
      <c r="B393" s="176" t="str">
        <f>VLOOKUP(Ruimtestaat[[#This Row],[Code]],Locaties[[Code]:[Locatie]],2,FALSE)</f>
        <v>OMBS Het Zeggelt (Dr. Benthem)</v>
      </c>
      <c r="C393" s="176" t="str">
        <f>VLOOKUP(Ruimtestaat[[#This Row],[Code]],Locaties[[#All],[Code]:[Adres]],4,FALSE)</f>
        <v>Dr. Benthemstraat 14</v>
      </c>
      <c r="D393" s="176" t="str">
        <f>VLOOKUP(Ruimtestaat[[#This Row],[Code]],Locaties[[#All],[Code]:[Postcode]],5,FALSE)</f>
        <v>7514 CM</v>
      </c>
      <c r="E393" s="176" t="str">
        <f>VLOOKUP(Ruimtestaat[[#This Row],[Code]],Locaties[#All],6,FALSE)</f>
        <v>Enschede</v>
      </c>
      <c r="F393" s="183"/>
      <c r="G393" s="99" t="s">
        <v>1646</v>
      </c>
      <c r="H393" s="99" t="s">
        <v>1654</v>
      </c>
      <c r="I393" s="183" t="s">
        <v>1655</v>
      </c>
      <c r="J393" s="99">
        <v>5</v>
      </c>
      <c r="K393" s="183" t="str">
        <f>VLOOKUP(Ruimtestaat[[#This Row],[Ruimte code]],Ruimtegroepen[[#All],[Code]:[Ruimte omschrijving]],2,FALSE)</f>
        <v>Sanitair</v>
      </c>
      <c r="L393" s="99" t="s">
        <v>101</v>
      </c>
      <c r="M393" s="99" t="s">
        <v>1682</v>
      </c>
      <c r="N393" s="177">
        <v>5</v>
      </c>
      <c r="O393" s="177"/>
      <c r="P393" s="178" t="str">
        <f>VLOOKUP(Ruimtestaat[[#This Row],[Ruimte code]],Ruimtegroepen[],4,FALSE)</f>
        <v>Sa</v>
      </c>
      <c r="Q393" s="149">
        <v>40</v>
      </c>
      <c r="R393" s="149" t="s">
        <v>2</v>
      </c>
      <c r="S393" s="149">
        <f>IF(Q393&gt;0,IF(RIGHT(Ruimtestaat[[#This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3" s="149">
        <f>IF(S393&gt;0,VLOOKUP($J393,Ruimtegroepen[],3,FALSE)*VLOOKUP($L393,Vloersoorten[],3,FALSE)*VLOOKUP($R393,Frequenties[],3,FALSE)*VLOOKUP($A393,Locaties[],3,FALSE),0)</f>
        <v>0</v>
      </c>
      <c r="U393" s="149">
        <f>Ruimtestaat[[#This Row],[Uitvoeringen werkdagen]]*Ruimtestaat[[#This Row],[Oppervlak (netto)]]</f>
        <v>1000</v>
      </c>
      <c r="V393" s="179">
        <f>IF(T393&gt;0,Ruimtestaat[[#This Row],[Prest. (m2 /jaar) werkdagen]]/Ruimtestaat[[#This Row],[Norm (m2/uur) werkdagen]],0)</f>
        <v>0</v>
      </c>
      <c r="W393" s="180">
        <f>Ruimtestaat[[#This Row],[uren / jaar werkdagen]]*Tariefsopbouw!$E$35</f>
        <v>0</v>
      </c>
      <c r="X393" s="149"/>
      <c r="Y393" s="149">
        <f>IF(Ruimtestaat[[#This Row],[Frequentie weekend]]&gt;0,VALUE(LEFT(X393,1))*Q393,0)</f>
        <v>0</v>
      </c>
      <c r="Z393" s="148">
        <f>IF($Y393&gt;0,VLOOKUP($J393,Ruimtegroepen[],3,FALSE)*VLOOKUP($L393,Vloersoorten[],3,FALSE)*VLOOKUP($X393,Frequenties[],3,FALSE)*VLOOKUP(Ruimtestaat[[#This Row],[Code]],Locaties[],3,FALSE),0)</f>
        <v>0</v>
      </c>
      <c r="AA393" s="148">
        <f>Ruimtestaat[[#This Row],[Uitvoeringen weekend]]*Ruimtestaat[[#This Row],[Oppervlak (netto)]]</f>
        <v>0</v>
      </c>
      <c r="AB393" s="148">
        <f>IF(Z393&gt;0,Ruimtestaat[[#This Row],[Prest. (m2 /jaar) weekend]]/Ruimtestaat[[#This Row],[Norm (m2/uur) weekend]],0)</f>
        <v>0</v>
      </c>
      <c r="AC393" s="180">
        <f>Ruimtestaat[[#This Row],[uren / jaar weekend]]*Tariefsopbouw!$D$40</f>
        <v>0</v>
      </c>
      <c r="AD393" s="179">
        <f>Ruimtestaat[[#This Row],[Prest. (m2 /jaar) weekend]]+Ruimtestaat[[#This Row],[Prest. (m2 /jaar) werkdagen]]</f>
        <v>1000</v>
      </c>
      <c r="AE393" s="179">
        <f>Ruimtestaat[[#This Row],[uren / jaar weekend]]+Ruimtestaat[[#This Row],[uren / jaar werkdagen]]</f>
        <v>0</v>
      </c>
      <c r="AF393" s="174">
        <f>Ruimtestaat[[#This Row],[kosten / jaar weekend]]+Ruimtestaat[[#This Row],[kosten / jaar werkdagen]]</f>
        <v>0</v>
      </c>
      <c r="AG393" s="174"/>
      <c r="AH393" s="181" t="str">
        <f>IF(Ruimtestaat[[#This Row],[Frequentie werkdagen]]="","",_xlfn.CONCAT(Ruimtestaat[[#This Row],[Ruimte code]],"-",Ruimtestaat[[#This Row],[Frequentie werkdagen]]," ",Ruimtestaat[[#This Row],[Vloer code]]))</f>
        <v>5-5w S</v>
      </c>
      <c r="AI393" s="185" t="str">
        <f>_xlfn.IFNA(VLOOKUP($AH393,Programma!$F$3:$G$1101,2,0),"")</f>
        <v>_</v>
      </c>
      <c r="AJ393" s="185" t="str">
        <f>_xlfn.IFNA(VLOOKUP($AH393,Programma!$F$3:$H$1101,3,0),"")</f>
        <v>_</v>
      </c>
      <c r="AK393" s="185" t="str">
        <f>_xlfn.IFNA(VLOOKUP($AH393,Programma!$F$3:$I$1101,4,0),"")</f>
        <v>_</v>
      </c>
      <c r="AL393" s="185" t="str">
        <f>_xlfn.IFNA(VLOOKUP($AH393,Programma!$F$3:$J$1101,5,0),"")</f>
        <v>4w</v>
      </c>
      <c r="AM393" s="185" t="str">
        <f>_xlfn.IFNA(VLOOKUP($AH393,Programma!$F$3:$K$1101,6,0),"")</f>
        <v>1w</v>
      </c>
      <c r="AN393" s="185" t="str">
        <f>_xlfn.IFNA(VLOOKUP($AH393,Programma!$F$3:$L$1101,7,0),"")</f>
        <v>_</v>
      </c>
      <c r="AO393" s="185" t="str">
        <f>_xlfn.IFNA(VLOOKUP($AH393,Programma!$F$3:$M$1101,8,0),"")</f>
        <v>_</v>
      </c>
      <c r="AP393" s="185" t="str">
        <f>_xlfn.IFNA(VLOOKUP($AH393,Programma!$F$3:$N$1101,9,0),"")</f>
        <v>_</v>
      </c>
      <c r="AQ393" s="185" t="str">
        <f>_xlfn.IFNA(VLOOKUP($AH393,Programma!$F$3:$O$1101,10,0),"")</f>
        <v>_</v>
      </c>
      <c r="AR393" s="185" t="str">
        <f>_xlfn.IFNA(VLOOKUP($AH393,Programma!$F$3:$P$1101,11,0),"")</f>
        <v>_</v>
      </c>
      <c r="AS393" s="185" t="str">
        <f>_xlfn.IFNA(VLOOKUP($AH393,Programma!$F$3:$Q$1101,12,0),"")</f>
        <v>_</v>
      </c>
      <c r="AT393" s="185" t="str">
        <f>_xlfn.IFNA(VLOOKUP($AH393,Programma!$F$3:$R$1101,13,0),"")</f>
        <v>_</v>
      </c>
      <c r="AU393" s="185" t="str">
        <f>_xlfn.IFNA(VLOOKUP($AH393,Programma!$F$3:$S$1101,14,0),"")</f>
        <v>_</v>
      </c>
      <c r="AV393" s="185" t="str">
        <f>_xlfn.IFNA(VLOOKUP($AH393,Programma!$F$3:$T$1101,15,0),"")</f>
        <v>_</v>
      </c>
      <c r="AW393" s="185" t="str">
        <f>_xlfn.IFNA(VLOOKUP($AH393,Programma!$F$3:$U$1101,16,0),"")</f>
        <v>_</v>
      </c>
      <c r="AX393" s="185" t="str">
        <f>_xlfn.IFNA(VLOOKUP($AH393,Programma!$F$3:$V$1101,17,0),"")</f>
        <v>_</v>
      </c>
      <c r="AY393" s="185" t="str">
        <f>_xlfn.IFNA(VLOOKUP($AH393,Programma!$F$3:$W$1101,18,0),"")</f>
        <v>4w</v>
      </c>
      <c r="AZ393" s="185" t="str">
        <f>_xlfn.IFNA(VLOOKUP($AH393,Programma!$F$3:$X$1101,19,0),"")</f>
        <v>1w</v>
      </c>
      <c r="BA393" s="185" t="str">
        <f>_xlfn.IFNA(VLOOKUP($AH393,Programma!$F$3:$Y$1101,20,0),"")</f>
        <v>_</v>
      </c>
      <c r="BB393" s="182"/>
      <c r="BC393" s="181" t="str">
        <f>IF(Ruimtestaat[[#This Row],[Frequentie weekend]]="","",_xlfn.CONCAT(Ruimtestaat[[#This Row],[Ruimte code]],"-",Ruimtestaat[[#This Row],[Frequentie weekend]]," ",Ruimtestaat[[#This Row],[Vloer code]]))</f>
        <v/>
      </c>
      <c r="BD393" s="185" t="str">
        <f>_xlfn.IFNA(VLOOKUP($BC393,Programma!$F$3:$G$1101,2,0),"")</f>
        <v/>
      </c>
      <c r="BE393" s="185" t="str">
        <f>_xlfn.IFNA(VLOOKUP($BC393,Programma!$F$3:$H$1101,3,0),"")</f>
        <v/>
      </c>
      <c r="BF393" s="185" t="str">
        <f>_xlfn.IFNA(VLOOKUP($BC393,Programma!$F$3:$I$1101,4,0),"")</f>
        <v/>
      </c>
      <c r="BG393" s="185" t="str">
        <f>_xlfn.IFNA(VLOOKUP($BC393,Programma!$F$3:$J$1101,5,0),"")</f>
        <v/>
      </c>
      <c r="BH393" s="185" t="str">
        <f>_xlfn.IFNA(VLOOKUP($BC393,Programma!$F$3:$K$1101,6,0),"")</f>
        <v/>
      </c>
      <c r="BI393" s="185" t="str">
        <f>_xlfn.IFNA(VLOOKUP($BC393,Programma!$F$3:$L$1101,7,0),"")</f>
        <v/>
      </c>
      <c r="BJ393" s="185" t="str">
        <f>_xlfn.IFNA(VLOOKUP($BC393,Programma!$F$3:$M$1101,8,0),"")</f>
        <v/>
      </c>
      <c r="BK393" s="185" t="str">
        <f>_xlfn.IFNA(VLOOKUP($BC393,Programma!$F$3:$N$1101,9,0),"")</f>
        <v/>
      </c>
      <c r="BL393" s="185" t="str">
        <f>_xlfn.IFNA(VLOOKUP($BC393,Programma!$F$3:$O$1101,10,0),"")</f>
        <v/>
      </c>
      <c r="BM393" s="185" t="str">
        <f>_xlfn.IFNA(VLOOKUP($BC393,Programma!$F$3:$P$1101,11,0),"")</f>
        <v/>
      </c>
      <c r="BN393" s="185" t="str">
        <f>_xlfn.IFNA(VLOOKUP($BC393,Programma!$F$3:$Q$1101,12,0),"")</f>
        <v/>
      </c>
      <c r="BO393" s="185" t="str">
        <f>_xlfn.IFNA(VLOOKUP($BC393,Programma!$F$3:$R$1101,13,0),"")</f>
        <v/>
      </c>
      <c r="BP393" s="185" t="str">
        <f>_xlfn.IFNA(VLOOKUP($BC393,Programma!$F$3:$S$1101,14,0),"")</f>
        <v/>
      </c>
      <c r="BQ393" s="185" t="str">
        <f>_xlfn.IFNA(VLOOKUP($BC393,Programma!$F$3:$T$1101,15,0),"")</f>
        <v/>
      </c>
      <c r="BR393" s="185" t="str">
        <f>_xlfn.IFNA(VLOOKUP($BC393,Programma!$F$3:$U$1101,16,0),"")</f>
        <v/>
      </c>
      <c r="BS393" s="185" t="str">
        <f>_xlfn.IFNA(VLOOKUP($BC393,Programma!$F$3:$V$1101,17,0),"")</f>
        <v/>
      </c>
      <c r="BT393" s="185" t="str">
        <f>_xlfn.IFNA(VLOOKUP($BC393,Programma!$F$3:$W$1101,18,0),"")</f>
        <v/>
      </c>
      <c r="BU393" s="185" t="str">
        <f>_xlfn.IFNA(VLOOKUP($BC393,Programma!$F$3:$X$1101,19,0),"")</f>
        <v/>
      </c>
      <c r="BV393" s="185" t="str">
        <f>_xlfn.IFNA(VLOOKUP($BC393,Programma!$F$3:$Y$1101,20,0),"")</f>
        <v/>
      </c>
    </row>
    <row r="394" spans="1:74" s="78" customFormat="1" ht="15" customHeight="1">
      <c r="A394" s="99">
        <v>12</v>
      </c>
      <c r="B394" s="176" t="str">
        <f>VLOOKUP(Ruimtestaat[[#This Row],[Code]],Locaties[[Code]:[Locatie]],2,FALSE)</f>
        <v>OMBS Het Zeggelt (Dr. Benthem)</v>
      </c>
      <c r="C394" s="176" t="str">
        <f>VLOOKUP(Ruimtestaat[[#This Row],[Code]],Locaties[[#All],[Code]:[Adres]],4,FALSE)</f>
        <v>Dr. Benthemstraat 14</v>
      </c>
      <c r="D394" s="176" t="str">
        <f>VLOOKUP(Ruimtestaat[[#This Row],[Code]],Locaties[[#All],[Code]:[Postcode]],5,FALSE)</f>
        <v>7514 CM</v>
      </c>
      <c r="E394" s="176" t="str">
        <f>VLOOKUP(Ruimtestaat[[#This Row],[Code]],Locaties[#All],6,FALSE)</f>
        <v>Enschede</v>
      </c>
      <c r="F394" s="183"/>
      <c r="G394" s="99" t="s">
        <v>1646</v>
      </c>
      <c r="H394" s="99" t="s">
        <v>1656</v>
      </c>
      <c r="I394" s="183" t="s">
        <v>1651</v>
      </c>
      <c r="J394" s="99">
        <v>16</v>
      </c>
      <c r="K394" s="183" t="str">
        <f>VLOOKUP(Ruimtestaat[[#This Row],[Ruimte code]],Ruimtegroepen[[#All],[Code]:[Ruimte omschrijving]],2,FALSE)</f>
        <v>Leslokalen</v>
      </c>
      <c r="L394" s="99" t="s">
        <v>100</v>
      </c>
      <c r="M394" s="99" t="s">
        <v>1697</v>
      </c>
      <c r="N394" s="177">
        <v>62.2</v>
      </c>
      <c r="O394" s="177"/>
      <c r="P394" s="178" t="str">
        <f>VLOOKUP(Ruimtestaat[[#This Row],[Ruimte code]],Ruimtegroepen[],4,FALSE)</f>
        <v>Le</v>
      </c>
      <c r="Q394" s="149">
        <v>40</v>
      </c>
      <c r="R394" s="149" t="s">
        <v>2</v>
      </c>
      <c r="S394" s="149">
        <f>IF(Q394&gt;0,IF(RIGHT(Ruimtestaat[[#This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4" s="149">
        <f>IF(S394&gt;0,VLOOKUP($J394,Ruimtegroepen[],3,FALSE)*VLOOKUP($L394,Vloersoorten[],3,FALSE)*VLOOKUP($R394,Frequenties[],3,FALSE)*VLOOKUP($A394,Locaties[],3,FALSE),0)</f>
        <v>0</v>
      </c>
      <c r="U394" s="149">
        <f>Ruimtestaat[[#This Row],[Uitvoeringen werkdagen]]*Ruimtestaat[[#This Row],[Oppervlak (netto)]]</f>
        <v>12440</v>
      </c>
      <c r="V394" s="179">
        <f>IF(T394&gt;0,Ruimtestaat[[#This Row],[Prest. (m2 /jaar) werkdagen]]/Ruimtestaat[[#This Row],[Norm (m2/uur) werkdagen]],0)</f>
        <v>0</v>
      </c>
      <c r="W394" s="180">
        <f>Ruimtestaat[[#This Row],[uren / jaar werkdagen]]*Tariefsopbouw!$E$35</f>
        <v>0</v>
      </c>
      <c r="X394" s="149"/>
      <c r="Y394" s="149">
        <f>IF(Ruimtestaat[[#This Row],[Frequentie weekend]]&gt;0,VALUE(LEFT(X394,1))*Q394,0)</f>
        <v>0</v>
      </c>
      <c r="Z394" s="148">
        <f>IF($Y394&gt;0,VLOOKUP($J394,Ruimtegroepen[],3,FALSE)*VLOOKUP($L394,Vloersoorten[],3,FALSE)*VLOOKUP($X394,Frequenties[],3,FALSE)*VLOOKUP(Ruimtestaat[[#This Row],[Code]],Locaties[],3,FALSE),0)</f>
        <v>0</v>
      </c>
      <c r="AA394" s="148">
        <f>Ruimtestaat[[#This Row],[Uitvoeringen weekend]]*Ruimtestaat[[#This Row],[Oppervlak (netto)]]</f>
        <v>0</v>
      </c>
      <c r="AB394" s="148">
        <f>IF(Z394&gt;0,Ruimtestaat[[#This Row],[Prest. (m2 /jaar) weekend]]/Ruimtestaat[[#This Row],[Norm (m2/uur) weekend]],0)</f>
        <v>0</v>
      </c>
      <c r="AC394" s="180">
        <f>Ruimtestaat[[#This Row],[uren / jaar weekend]]*Tariefsopbouw!$D$40</f>
        <v>0</v>
      </c>
      <c r="AD394" s="179">
        <f>Ruimtestaat[[#This Row],[Prest. (m2 /jaar) weekend]]+Ruimtestaat[[#This Row],[Prest. (m2 /jaar) werkdagen]]</f>
        <v>12440</v>
      </c>
      <c r="AE394" s="179">
        <f>Ruimtestaat[[#This Row],[uren / jaar weekend]]+Ruimtestaat[[#This Row],[uren / jaar werkdagen]]</f>
        <v>0</v>
      </c>
      <c r="AF394" s="174">
        <f>Ruimtestaat[[#This Row],[kosten / jaar weekend]]+Ruimtestaat[[#This Row],[kosten / jaar werkdagen]]</f>
        <v>0</v>
      </c>
      <c r="AG394" s="174"/>
      <c r="AH394" s="181" t="str">
        <f>IF(Ruimtestaat[[#This Row],[Frequentie werkdagen]]="","",_xlfn.CONCAT(Ruimtestaat[[#This Row],[Ruimte code]],"-",Ruimtestaat[[#This Row],[Frequentie werkdagen]]," ",Ruimtestaat[[#This Row],[Vloer code]]))</f>
        <v>16-5w L</v>
      </c>
      <c r="AI394" s="185" t="str">
        <f>_xlfn.IFNA(VLOOKUP($AH394,Programma!$F$3:$G$1101,2,0),"")</f>
        <v>_</v>
      </c>
      <c r="AJ394" s="185" t="str">
        <f>_xlfn.IFNA(VLOOKUP($AH394,Programma!$F$3:$H$1101,3,0),"")</f>
        <v>_</v>
      </c>
      <c r="AK394" s="185" t="str">
        <f>_xlfn.IFNA(VLOOKUP($AH394,Programma!$F$3:$I$1101,4,0),"")</f>
        <v>4w</v>
      </c>
      <c r="AL394" s="185" t="str">
        <f>_xlfn.IFNA(VLOOKUP($AH394,Programma!$F$3:$J$1101,5,0),"")</f>
        <v>1w</v>
      </c>
      <c r="AM394" s="185" t="str">
        <f>_xlfn.IFNA(VLOOKUP($AH394,Programma!$F$3:$K$1101,6,0),"")</f>
        <v>_</v>
      </c>
      <c r="AN394" s="185" t="str">
        <f>_xlfn.IFNA(VLOOKUP($AH394,Programma!$F$3:$L$1101,7,0),"")</f>
        <v>_</v>
      </c>
      <c r="AO394" s="185" t="str">
        <f>_xlfn.IFNA(VLOOKUP($AH394,Programma!$F$3:$M$1101,8,0),"")</f>
        <v>_</v>
      </c>
      <c r="AP394" s="185" t="str">
        <f>_xlfn.IFNA(VLOOKUP($AH394,Programma!$F$3:$N$1101,9,0),"")</f>
        <v>_</v>
      </c>
      <c r="AQ394" s="185" t="str">
        <f>_xlfn.IFNA(VLOOKUP($AH394,Programma!$F$3:$O$1101,10,0),"")</f>
        <v>5w</v>
      </c>
      <c r="AR394" s="185" t="str">
        <f>_xlfn.IFNA(VLOOKUP($AH394,Programma!$F$3:$P$1101,11,0),"")</f>
        <v>5w</v>
      </c>
      <c r="AS394" s="185" t="str">
        <f>_xlfn.IFNA(VLOOKUP($AH394,Programma!$F$3:$Q$1101,12,0),"")</f>
        <v>1w</v>
      </c>
      <c r="AT394" s="185" t="str">
        <f>_xlfn.IFNA(VLOOKUP($AH394,Programma!$F$3:$R$1101,13,0),"")</f>
        <v>1w</v>
      </c>
      <c r="AU394" s="185" t="str">
        <f>_xlfn.IFNA(VLOOKUP($AH394,Programma!$F$3:$S$1101,14,0),"")</f>
        <v>1m</v>
      </c>
      <c r="AV394" s="185" t="str">
        <f>_xlfn.IFNA(VLOOKUP($AH394,Programma!$F$3:$T$1101,15,0),"")</f>
        <v>2j</v>
      </c>
      <c r="AW394" s="185" t="str">
        <f>_xlfn.IFNA(VLOOKUP($AH394,Programma!$F$3:$U$1101,16,0),"")</f>
        <v>1j</v>
      </c>
      <c r="AX394" s="185" t="str">
        <f>_xlfn.IFNA(VLOOKUP($AH394,Programma!$F$3:$V$1101,17,0),"")</f>
        <v>_</v>
      </c>
      <c r="AY394" s="185" t="str">
        <f>_xlfn.IFNA(VLOOKUP($AH394,Programma!$F$3:$W$1101,18,0),"")</f>
        <v>_</v>
      </c>
      <c r="AZ394" s="185" t="str">
        <f>_xlfn.IFNA(VLOOKUP($AH394,Programma!$F$3:$X$1101,19,0),"")</f>
        <v>_</v>
      </c>
      <c r="BA394" s="185" t="str">
        <f>_xlfn.IFNA(VLOOKUP($AH394,Programma!$F$3:$Y$1101,20,0),"")</f>
        <v>_</v>
      </c>
      <c r="BB394" s="182"/>
      <c r="BC394" s="181" t="str">
        <f>IF(Ruimtestaat[[#This Row],[Frequentie weekend]]="","",_xlfn.CONCAT(Ruimtestaat[[#This Row],[Ruimte code]],"-",Ruimtestaat[[#This Row],[Frequentie weekend]]," ",Ruimtestaat[[#This Row],[Vloer code]]))</f>
        <v/>
      </c>
      <c r="BD394" s="185" t="str">
        <f>_xlfn.IFNA(VLOOKUP($BC394,Programma!$F$3:$G$1101,2,0),"")</f>
        <v/>
      </c>
      <c r="BE394" s="185" t="str">
        <f>_xlfn.IFNA(VLOOKUP($BC394,Programma!$F$3:$H$1101,3,0),"")</f>
        <v/>
      </c>
      <c r="BF394" s="185" t="str">
        <f>_xlfn.IFNA(VLOOKUP($BC394,Programma!$F$3:$I$1101,4,0),"")</f>
        <v/>
      </c>
      <c r="BG394" s="185" t="str">
        <f>_xlfn.IFNA(VLOOKUP($BC394,Programma!$F$3:$J$1101,5,0),"")</f>
        <v/>
      </c>
      <c r="BH394" s="185" t="str">
        <f>_xlfn.IFNA(VLOOKUP($BC394,Programma!$F$3:$K$1101,6,0),"")</f>
        <v/>
      </c>
      <c r="BI394" s="185" t="str">
        <f>_xlfn.IFNA(VLOOKUP($BC394,Programma!$F$3:$L$1101,7,0),"")</f>
        <v/>
      </c>
      <c r="BJ394" s="185" t="str">
        <f>_xlfn.IFNA(VLOOKUP($BC394,Programma!$F$3:$M$1101,8,0),"")</f>
        <v/>
      </c>
      <c r="BK394" s="185" t="str">
        <f>_xlfn.IFNA(VLOOKUP($BC394,Programma!$F$3:$N$1101,9,0),"")</f>
        <v/>
      </c>
      <c r="BL394" s="185" t="str">
        <f>_xlfn.IFNA(VLOOKUP($BC394,Programma!$F$3:$O$1101,10,0),"")</f>
        <v/>
      </c>
      <c r="BM394" s="185" t="str">
        <f>_xlfn.IFNA(VLOOKUP($BC394,Programma!$F$3:$P$1101,11,0),"")</f>
        <v/>
      </c>
      <c r="BN394" s="185" t="str">
        <f>_xlfn.IFNA(VLOOKUP($BC394,Programma!$F$3:$Q$1101,12,0),"")</f>
        <v/>
      </c>
      <c r="BO394" s="185" t="str">
        <f>_xlfn.IFNA(VLOOKUP($BC394,Programma!$F$3:$R$1101,13,0),"")</f>
        <v/>
      </c>
      <c r="BP394" s="185" t="str">
        <f>_xlfn.IFNA(VLOOKUP($BC394,Programma!$F$3:$S$1101,14,0),"")</f>
        <v/>
      </c>
      <c r="BQ394" s="185" t="str">
        <f>_xlfn.IFNA(VLOOKUP($BC394,Programma!$F$3:$T$1101,15,0),"")</f>
        <v/>
      </c>
      <c r="BR394" s="185" t="str">
        <f>_xlfn.IFNA(VLOOKUP($BC394,Programma!$F$3:$U$1101,16,0),"")</f>
        <v/>
      </c>
      <c r="BS394" s="185" t="str">
        <f>_xlfn.IFNA(VLOOKUP($BC394,Programma!$F$3:$V$1101,17,0),"")</f>
        <v/>
      </c>
      <c r="BT394" s="185" t="str">
        <f>_xlfn.IFNA(VLOOKUP($BC394,Programma!$F$3:$W$1101,18,0),"")</f>
        <v/>
      </c>
      <c r="BU394" s="185" t="str">
        <f>_xlfn.IFNA(VLOOKUP($BC394,Programma!$F$3:$X$1101,19,0),"")</f>
        <v/>
      </c>
      <c r="BV394" s="185" t="str">
        <f>_xlfn.IFNA(VLOOKUP($BC394,Programma!$F$3:$Y$1101,20,0),"")</f>
        <v/>
      </c>
    </row>
    <row r="395" spans="1:74" s="78" customFormat="1" ht="15" customHeight="1">
      <c r="A395" s="99">
        <v>12</v>
      </c>
      <c r="B395" s="176" t="str">
        <f>VLOOKUP(Ruimtestaat[[#This Row],[Code]],Locaties[[Code]:[Locatie]],2,FALSE)</f>
        <v>OMBS Het Zeggelt (Dr. Benthem)</v>
      </c>
      <c r="C395" s="176" t="str">
        <f>VLOOKUP(Ruimtestaat[[#This Row],[Code]],Locaties[[#All],[Code]:[Adres]],4,FALSE)</f>
        <v>Dr. Benthemstraat 14</v>
      </c>
      <c r="D395" s="176" t="str">
        <f>VLOOKUP(Ruimtestaat[[#This Row],[Code]],Locaties[[#All],[Code]:[Postcode]],5,FALSE)</f>
        <v>7514 CM</v>
      </c>
      <c r="E395" s="176" t="str">
        <f>VLOOKUP(Ruimtestaat[[#This Row],[Code]],Locaties[#All],6,FALSE)</f>
        <v>Enschede</v>
      </c>
      <c r="F395" s="183"/>
      <c r="G395" s="99" t="s">
        <v>1646</v>
      </c>
      <c r="H395" s="99" t="s">
        <v>1657</v>
      </c>
      <c r="I395" s="183" t="s">
        <v>1651</v>
      </c>
      <c r="J395" s="99">
        <v>16</v>
      </c>
      <c r="K395" s="183" t="str">
        <f>VLOOKUP(Ruimtestaat[[#This Row],[Ruimte code]],Ruimtegroepen[[#All],[Code]:[Ruimte omschrijving]],2,FALSE)</f>
        <v>Leslokalen</v>
      </c>
      <c r="L395" s="99" t="s">
        <v>100</v>
      </c>
      <c r="M395" s="99" t="s">
        <v>1697</v>
      </c>
      <c r="N395" s="177">
        <v>66.2</v>
      </c>
      <c r="O395" s="177"/>
      <c r="P395" s="178" t="str">
        <f>VLOOKUP(Ruimtestaat[[#This Row],[Ruimte code]],Ruimtegroepen[],4,FALSE)</f>
        <v>Le</v>
      </c>
      <c r="Q395" s="149">
        <v>40</v>
      </c>
      <c r="R395" s="149" t="s">
        <v>2</v>
      </c>
      <c r="S395" s="149">
        <f>IF(Q395&gt;0,IF(RIGHT(Ruimtestaat[[#This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5" s="149">
        <f>IF(S395&gt;0,VLOOKUP($J395,Ruimtegroepen[],3,FALSE)*VLOOKUP($L395,Vloersoorten[],3,FALSE)*VLOOKUP($R395,Frequenties[],3,FALSE)*VLOOKUP($A395,Locaties[],3,FALSE),0)</f>
        <v>0</v>
      </c>
      <c r="U395" s="149">
        <f>Ruimtestaat[[#This Row],[Uitvoeringen werkdagen]]*Ruimtestaat[[#This Row],[Oppervlak (netto)]]</f>
        <v>13240</v>
      </c>
      <c r="V395" s="179">
        <f>IF(T395&gt;0,Ruimtestaat[[#This Row],[Prest. (m2 /jaar) werkdagen]]/Ruimtestaat[[#This Row],[Norm (m2/uur) werkdagen]],0)</f>
        <v>0</v>
      </c>
      <c r="W395" s="180">
        <f>Ruimtestaat[[#This Row],[uren / jaar werkdagen]]*Tariefsopbouw!$E$35</f>
        <v>0</v>
      </c>
      <c r="X395" s="149"/>
      <c r="Y395" s="149">
        <f>IF(Ruimtestaat[[#This Row],[Frequentie weekend]]&gt;0,VALUE(LEFT(X395,1))*Q395,0)</f>
        <v>0</v>
      </c>
      <c r="Z395" s="148">
        <f>IF($Y395&gt;0,VLOOKUP($J395,Ruimtegroepen[],3,FALSE)*VLOOKUP($L395,Vloersoorten[],3,FALSE)*VLOOKUP($X395,Frequenties[],3,FALSE)*VLOOKUP(Ruimtestaat[[#This Row],[Code]],Locaties[],3,FALSE),0)</f>
        <v>0</v>
      </c>
      <c r="AA395" s="148">
        <f>Ruimtestaat[[#This Row],[Uitvoeringen weekend]]*Ruimtestaat[[#This Row],[Oppervlak (netto)]]</f>
        <v>0</v>
      </c>
      <c r="AB395" s="148">
        <f>IF(Z395&gt;0,Ruimtestaat[[#This Row],[Prest. (m2 /jaar) weekend]]/Ruimtestaat[[#This Row],[Norm (m2/uur) weekend]],0)</f>
        <v>0</v>
      </c>
      <c r="AC395" s="180">
        <f>Ruimtestaat[[#This Row],[uren / jaar weekend]]*Tariefsopbouw!$D$40</f>
        <v>0</v>
      </c>
      <c r="AD395" s="179">
        <f>Ruimtestaat[[#This Row],[Prest. (m2 /jaar) weekend]]+Ruimtestaat[[#This Row],[Prest. (m2 /jaar) werkdagen]]</f>
        <v>13240</v>
      </c>
      <c r="AE395" s="179">
        <f>Ruimtestaat[[#This Row],[uren / jaar weekend]]+Ruimtestaat[[#This Row],[uren / jaar werkdagen]]</f>
        <v>0</v>
      </c>
      <c r="AF395" s="174">
        <f>Ruimtestaat[[#This Row],[kosten / jaar weekend]]+Ruimtestaat[[#This Row],[kosten / jaar werkdagen]]</f>
        <v>0</v>
      </c>
      <c r="AG395" s="174"/>
      <c r="AH395" s="181" t="str">
        <f>IF(Ruimtestaat[[#This Row],[Frequentie werkdagen]]="","",_xlfn.CONCAT(Ruimtestaat[[#This Row],[Ruimte code]],"-",Ruimtestaat[[#This Row],[Frequentie werkdagen]]," ",Ruimtestaat[[#This Row],[Vloer code]]))</f>
        <v>16-5w L</v>
      </c>
      <c r="AI395" s="185" t="str">
        <f>_xlfn.IFNA(VLOOKUP($AH395,Programma!$F$3:$G$1101,2,0),"")</f>
        <v>_</v>
      </c>
      <c r="AJ395" s="185" t="str">
        <f>_xlfn.IFNA(VLOOKUP($AH395,Programma!$F$3:$H$1101,3,0),"")</f>
        <v>_</v>
      </c>
      <c r="AK395" s="185" t="str">
        <f>_xlfn.IFNA(VLOOKUP($AH395,Programma!$F$3:$I$1101,4,0),"")</f>
        <v>4w</v>
      </c>
      <c r="AL395" s="185" t="str">
        <f>_xlfn.IFNA(VLOOKUP($AH395,Programma!$F$3:$J$1101,5,0),"")</f>
        <v>1w</v>
      </c>
      <c r="AM395" s="185" t="str">
        <f>_xlfn.IFNA(VLOOKUP($AH395,Programma!$F$3:$K$1101,6,0),"")</f>
        <v>_</v>
      </c>
      <c r="AN395" s="185" t="str">
        <f>_xlfn.IFNA(VLOOKUP($AH395,Programma!$F$3:$L$1101,7,0),"")</f>
        <v>_</v>
      </c>
      <c r="AO395" s="185" t="str">
        <f>_xlfn.IFNA(VLOOKUP($AH395,Programma!$F$3:$M$1101,8,0),"")</f>
        <v>_</v>
      </c>
      <c r="AP395" s="185" t="str">
        <f>_xlfn.IFNA(VLOOKUP($AH395,Programma!$F$3:$N$1101,9,0),"")</f>
        <v>_</v>
      </c>
      <c r="AQ395" s="185" t="str">
        <f>_xlfn.IFNA(VLOOKUP($AH395,Programma!$F$3:$O$1101,10,0),"")</f>
        <v>5w</v>
      </c>
      <c r="AR395" s="185" t="str">
        <f>_xlfn.IFNA(VLOOKUP($AH395,Programma!$F$3:$P$1101,11,0),"")</f>
        <v>5w</v>
      </c>
      <c r="AS395" s="185" t="str">
        <f>_xlfn.IFNA(VLOOKUP($AH395,Programma!$F$3:$Q$1101,12,0),"")</f>
        <v>1w</v>
      </c>
      <c r="AT395" s="185" t="str">
        <f>_xlfn.IFNA(VLOOKUP($AH395,Programma!$F$3:$R$1101,13,0),"")</f>
        <v>1w</v>
      </c>
      <c r="AU395" s="185" t="str">
        <f>_xlfn.IFNA(VLOOKUP($AH395,Programma!$F$3:$S$1101,14,0),"")</f>
        <v>1m</v>
      </c>
      <c r="AV395" s="185" t="str">
        <f>_xlfn.IFNA(VLOOKUP($AH395,Programma!$F$3:$T$1101,15,0),"")</f>
        <v>2j</v>
      </c>
      <c r="AW395" s="185" t="str">
        <f>_xlfn.IFNA(VLOOKUP($AH395,Programma!$F$3:$U$1101,16,0),"")</f>
        <v>1j</v>
      </c>
      <c r="AX395" s="185" t="str">
        <f>_xlfn.IFNA(VLOOKUP($AH395,Programma!$F$3:$V$1101,17,0),"")</f>
        <v>_</v>
      </c>
      <c r="AY395" s="185" t="str">
        <f>_xlfn.IFNA(VLOOKUP($AH395,Programma!$F$3:$W$1101,18,0),"")</f>
        <v>_</v>
      </c>
      <c r="AZ395" s="185" t="str">
        <f>_xlfn.IFNA(VLOOKUP($AH395,Programma!$F$3:$X$1101,19,0),"")</f>
        <v>_</v>
      </c>
      <c r="BA395" s="185" t="str">
        <f>_xlfn.IFNA(VLOOKUP($AH395,Programma!$F$3:$Y$1101,20,0),"")</f>
        <v>_</v>
      </c>
      <c r="BB395" s="182"/>
      <c r="BC395" s="181" t="str">
        <f>IF(Ruimtestaat[[#This Row],[Frequentie weekend]]="","",_xlfn.CONCAT(Ruimtestaat[[#This Row],[Ruimte code]],"-",Ruimtestaat[[#This Row],[Frequentie weekend]]," ",Ruimtestaat[[#This Row],[Vloer code]]))</f>
        <v/>
      </c>
      <c r="BD395" s="185" t="str">
        <f>_xlfn.IFNA(VLOOKUP($BC395,Programma!$F$3:$G$1101,2,0),"")</f>
        <v/>
      </c>
      <c r="BE395" s="185" t="str">
        <f>_xlfn.IFNA(VLOOKUP($BC395,Programma!$F$3:$H$1101,3,0),"")</f>
        <v/>
      </c>
      <c r="BF395" s="185" t="str">
        <f>_xlfn.IFNA(VLOOKUP($BC395,Programma!$F$3:$I$1101,4,0),"")</f>
        <v/>
      </c>
      <c r="BG395" s="185" t="str">
        <f>_xlfn.IFNA(VLOOKUP($BC395,Programma!$F$3:$J$1101,5,0),"")</f>
        <v/>
      </c>
      <c r="BH395" s="185" t="str">
        <f>_xlfn.IFNA(VLOOKUP($BC395,Programma!$F$3:$K$1101,6,0),"")</f>
        <v/>
      </c>
      <c r="BI395" s="185" t="str">
        <f>_xlfn.IFNA(VLOOKUP($BC395,Programma!$F$3:$L$1101,7,0),"")</f>
        <v/>
      </c>
      <c r="BJ395" s="185" t="str">
        <f>_xlfn.IFNA(VLOOKUP($BC395,Programma!$F$3:$M$1101,8,0),"")</f>
        <v/>
      </c>
      <c r="BK395" s="185" t="str">
        <f>_xlfn.IFNA(VLOOKUP($BC395,Programma!$F$3:$N$1101,9,0),"")</f>
        <v/>
      </c>
      <c r="BL395" s="185" t="str">
        <f>_xlfn.IFNA(VLOOKUP($BC395,Programma!$F$3:$O$1101,10,0),"")</f>
        <v/>
      </c>
      <c r="BM395" s="185" t="str">
        <f>_xlfn.IFNA(VLOOKUP($BC395,Programma!$F$3:$P$1101,11,0),"")</f>
        <v/>
      </c>
      <c r="BN395" s="185" t="str">
        <f>_xlfn.IFNA(VLOOKUP($BC395,Programma!$F$3:$Q$1101,12,0),"")</f>
        <v/>
      </c>
      <c r="BO395" s="185" t="str">
        <f>_xlfn.IFNA(VLOOKUP($BC395,Programma!$F$3:$R$1101,13,0),"")</f>
        <v/>
      </c>
      <c r="BP395" s="185" t="str">
        <f>_xlfn.IFNA(VLOOKUP($BC395,Programma!$F$3:$S$1101,14,0),"")</f>
        <v/>
      </c>
      <c r="BQ395" s="185" t="str">
        <f>_xlfn.IFNA(VLOOKUP($BC395,Programma!$F$3:$T$1101,15,0),"")</f>
        <v/>
      </c>
      <c r="BR395" s="185" t="str">
        <f>_xlfn.IFNA(VLOOKUP($BC395,Programma!$F$3:$U$1101,16,0),"")</f>
        <v/>
      </c>
      <c r="BS395" s="185" t="str">
        <f>_xlfn.IFNA(VLOOKUP($BC395,Programma!$F$3:$V$1101,17,0),"")</f>
        <v/>
      </c>
      <c r="BT395" s="185" t="str">
        <f>_xlfn.IFNA(VLOOKUP($BC395,Programma!$F$3:$W$1101,18,0),"")</f>
        <v/>
      </c>
      <c r="BU395" s="185" t="str">
        <f>_xlfn.IFNA(VLOOKUP($BC395,Programma!$F$3:$X$1101,19,0),"")</f>
        <v/>
      </c>
      <c r="BV395" s="185" t="str">
        <f>_xlfn.IFNA(VLOOKUP($BC395,Programma!$F$3:$Y$1101,20,0),"")</f>
        <v/>
      </c>
    </row>
    <row r="396" spans="1:74" s="78" customFormat="1" ht="15" customHeight="1">
      <c r="A396" s="99">
        <v>12</v>
      </c>
      <c r="B396" s="176" t="str">
        <f>VLOOKUP(Ruimtestaat[[#This Row],[Code]],Locaties[[Code]:[Locatie]],2,FALSE)</f>
        <v>OMBS Het Zeggelt (Dr. Benthem)</v>
      </c>
      <c r="C396" s="176" t="str">
        <f>VLOOKUP(Ruimtestaat[[#This Row],[Code]],Locaties[[#All],[Code]:[Adres]],4,FALSE)</f>
        <v>Dr. Benthemstraat 14</v>
      </c>
      <c r="D396" s="176" t="str">
        <f>VLOOKUP(Ruimtestaat[[#This Row],[Code]],Locaties[[#All],[Code]:[Postcode]],5,FALSE)</f>
        <v>7514 CM</v>
      </c>
      <c r="E396" s="176" t="str">
        <f>VLOOKUP(Ruimtestaat[[#This Row],[Code]],Locaties[#All],6,FALSE)</f>
        <v>Enschede</v>
      </c>
      <c r="F396" s="183"/>
      <c r="G396" s="99" t="s">
        <v>1646</v>
      </c>
      <c r="H396" s="99" t="s">
        <v>1659</v>
      </c>
      <c r="I396" s="183" t="s">
        <v>1651</v>
      </c>
      <c r="J396" s="99">
        <v>16</v>
      </c>
      <c r="K396" s="183" t="str">
        <f>VLOOKUP(Ruimtestaat[[#This Row],[Ruimte code]],Ruimtegroepen[[#All],[Code]:[Ruimte omschrijving]],2,FALSE)</f>
        <v>Leslokalen</v>
      </c>
      <c r="L396" s="99" t="s">
        <v>100</v>
      </c>
      <c r="M396" s="99" t="s">
        <v>1697</v>
      </c>
      <c r="N396" s="177">
        <v>61.9</v>
      </c>
      <c r="O396" s="177"/>
      <c r="P396" s="178" t="str">
        <f>VLOOKUP(Ruimtestaat[[#This Row],[Ruimte code]],Ruimtegroepen[],4,FALSE)</f>
        <v>Le</v>
      </c>
      <c r="Q396" s="149">
        <v>40</v>
      </c>
      <c r="R396" s="149" t="s">
        <v>2</v>
      </c>
      <c r="S396" s="149">
        <f>IF(Q396&gt;0,IF(RIGHT(Ruimtestaat[[#This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6" s="149">
        <f>IF(S396&gt;0,VLOOKUP($J396,Ruimtegroepen[],3,FALSE)*VLOOKUP($L396,Vloersoorten[],3,FALSE)*VLOOKUP($R396,Frequenties[],3,FALSE)*VLOOKUP($A396,Locaties[],3,FALSE),0)</f>
        <v>0</v>
      </c>
      <c r="U396" s="149">
        <f>Ruimtestaat[[#This Row],[Uitvoeringen werkdagen]]*Ruimtestaat[[#This Row],[Oppervlak (netto)]]</f>
        <v>12380</v>
      </c>
      <c r="V396" s="179">
        <f>IF(T396&gt;0,Ruimtestaat[[#This Row],[Prest. (m2 /jaar) werkdagen]]/Ruimtestaat[[#This Row],[Norm (m2/uur) werkdagen]],0)</f>
        <v>0</v>
      </c>
      <c r="W396" s="180">
        <f>Ruimtestaat[[#This Row],[uren / jaar werkdagen]]*Tariefsopbouw!$E$35</f>
        <v>0</v>
      </c>
      <c r="X396" s="149"/>
      <c r="Y396" s="149">
        <f>IF(Ruimtestaat[[#This Row],[Frequentie weekend]]&gt;0,VALUE(LEFT(X396,1))*Q396,0)</f>
        <v>0</v>
      </c>
      <c r="Z396" s="148">
        <f>IF($Y396&gt;0,VLOOKUP($J396,Ruimtegroepen[],3,FALSE)*VLOOKUP($L396,Vloersoorten[],3,FALSE)*VLOOKUP($X396,Frequenties[],3,FALSE)*VLOOKUP(Ruimtestaat[[#This Row],[Code]],Locaties[],3,FALSE),0)</f>
        <v>0</v>
      </c>
      <c r="AA396" s="148">
        <f>Ruimtestaat[[#This Row],[Uitvoeringen weekend]]*Ruimtestaat[[#This Row],[Oppervlak (netto)]]</f>
        <v>0</v>
      </c>
      <c r="AB396" s="148">
        <f>IF(Z396&gt;0,Ruimtestaat[[#This Row],[Prest. (m2 /jaar) weekend]]/Ruimtestaat[[#This Row],[Norm (m2/uur) weekend]],0)</f>
        <v>0</v>
      </c>
      <c r="AC396" s="180">
        <f>Ruimtestaat[[#This Row],[uren / jaar weekend]]*Tariefsopbouw!$D$40</f>
        <v>0</v>
      </c>
      <c r="AD396" s="179">
        <f>Ruimtestaat[[#This Row],[Prest. (m2 /jaar) weekend]]+Ruimtestaat[[#This Row],[Prest. (m2 /jaar) werkdagen]]</f>
        <v>12380</v>
      </c>
      <c r="AE396" s="179">
        <f>Ruimtestaat[[#This Row],[uren / jaar weekend]]+Ruimtestaat[[#This Row],[uren / jaar werkdagen]]</f>
        <v>0</v>
      </c>
      <c r="AF396" s="174">
        <f>Ruimtestaat[[#This Row],[kosten / jaar weekend]]+Ruimtestaat[[#This Row],[kosten / jaar werkdagen]]</f>
        <v>0</v>
      </c>
      <c r="AG396" s="174"/>
      <c r="AH396" s="181" t="str">
        <f>IF(Ruimtestaat[[#This Row],[Frequentie werkdagen]]="","",_xlfn.CONCAT(Ruimtestaat[[#This Row],[Ruimte code]],"-",Ruimtestaat[[#This Row],[Frequentie werkdagen]]," ",Ruimtestaat[[#This Row],[Vloer code]]))</f>
        <v>16-5w L</v>
      </c>
      <c r="AI396" s="185" t="str">
        <f>_xlfn.IFNA(VLOOKUP($AH396,Programma!$F$3:$G$1101,2,0),"")</f>
        <v>_</v>
      </c>
      <c r="AJ396" s="185" t="str">
        <f>_xlfn.IFNA(VLOOKUP($AH396,Programma!$F$3:$H$1101,3,0),"")</f>
        <v>_</v>
      </c>
      <c r="AK396" s="185" t="str">
        <f>_xlfn.IFNA(VLOOKUP($AH396,Programma!$F$3:$I$1101,4,0),"")</f>
        <v>4w</v>
      </c>
      <c r="AL396" s="185" t="str">
        <f>_xlfn.IFNA(VLOOKUP($AH396,Programma!$F$3:$J$1101,5,0),"")</f>
        <v>1w</v>
      </c>
      <c r="AM396" s="185" t="str">
        <f>_xlfn.IFNA(VLOOKUP($AH396,Programma!$F$3:$K$1101,6,0),"")</f>
        <v>_</v>
      </c>
      <c r="AN396" s="185" t="str">
        <f>_xlfn.IFNA(VLOOKUP($AH396,Programma!$F$3:$L$1101,7,0),"")</f>
        <v>_</v>
      </c>
      <c r="AO396" s="185" t="str">
        <f>_xlfn.IFNA(VLOOKUP($AH396,Programma!$F$3:$M$1101,8,0),"")</f>
        <v>_</v>
      </c>
      <c r="AP396" s="185" t="str">
        <f>_xlfn.IFNA(VLOOKUP($AH396,Programma!$F$3:$N$1101,9,0),"")</f>
        <v>_</v>
      </c>
      <c r="AQ396" s="185" t="str">
        <f>_xlfn.IFNA(VLOOKUP($AH396,Programma!$F$3:$O$1101,10,0),"")</f>
        <v>5w</v>
      </c>
      <c r="AR396" s="185" t="str">
        <f>_xlfn.IFNA(VLOOKUP($AH396,Programma!$F$3:$P$1101,11,0),"")</f>
        <v>5w</v>
      </c>
      <c r="AS396" s="185" t="str">
        <f>_xlfn.IFNA(VLOOKUP($AH396,Programma!$F$3:$Q$1101,12,0),"")</f>
        <v>1w</v>
      </c>
      <c r="AT396" s="185" t="str">
        <f>_xlfn.IFNA(VLOOKUP($AH396,Programma!$F$3:$R$1101,13,0),"")</f>
        <v>1w</v>
      </c>
      <c r="AU396" s="185" t="str">
        <f>_xlfn.IFNA(VLOOKUP($AH396,Programma!$F$3:$S$1101,14,0),"")</f>
        <v>1m</v>
      </c>
      <c r="AV396" s="185" t="str">
        <f>_xlfn.IFNA(VLOOKUP($AH396,Programma!$F$3:$T$1101,15,0),"")</f>
        <v>2j</v>
      </c>
      <c r="AW396" s="185" t="str">
        <f>_xlfn.IFNA(VLOOKUP($AH396,Programma!$F$3:$U$1101,16,0),"")</f>
        <v>1j</v>
      </c>
      <c r="AX396" s="185" t="str">
        <f>_xlfn.IFNA(VLOOKUP($AH396,Programma!$F$3:$V$1101,17,0),"")</f>
        <v>_</v>
      </c>
      <c r="AY396" s="185" t="str">
        <f>_xlfn.IFNA(VLOOKUP($AH396,Programma!$F$3:$W$1101,18,0),"")</f>
        <v>_</v>
      </c>
      <c r="AZ396" s="185" t="str">
        <f>_xlfn.IFNA(VLOOKUP($AH396,Programma!$F$3:$X$1101,19,0),"")</f>
        <v>_</v>
      </c>
      <c r="BA396" s="185" t="str">
        <f>_xlfn.IFNA(VLOOKUP($AH396,Programma!$F$3:$Y$1101,20,0),"")</f>
        <v>_</v>
      </c>
      <c r="BB396" s="182"/>
      <c r="BC396" s="181" t="str">
        <f>IF(Ruimtestaat[[#This Row],[Frequentie weekend]]="","",_xlfn.CONCAT(Ruimtestaat[[#This Row],[Ruimte code]],"-",Ruimtestaat[[#This Row],[Frequentie weekend]]," ",Ruimtestaat[[#This Row],[Vloer code]]))</f>
        <v/>
      </c>
      <c r="BD396" s="185" t="str">
        <f>_xlfn.IFNA(VLOOKUP($BC396,Programma!$F$3:$G$1101,2,0),"")</f>
        <v/>
      </c>
      <c r="BE396" s="185" t="str">
        <f>_xlfn.IFNA(VLOOKUP($BC396,Programma!$F$3:$H$1101,3,0),"")</f>
        <v/>
      </c>
      <c r="BF396" s="185" t="str">
        <f>_xlfn.IFNA(VLOOKUP($BC396,Programma!$F$3:$I$1101,4,0),"")</f>
        <v/>
      </c>
      <c r="BG396" s="185" t="str">
        <f>_xlfn.IFNA(VLOOKUP($BC396,Programma!$F$3:$J$1101,5,0),"")</f>
        <v/>
      </c>
      <c r="BH396" s="185" t="str">
        <f>_xlfn.IFNA(VLOOKUP($BC396,Programma!$F$3:$K$1101,6,0),"")</f>
        <v/>
      </c>
      <c r="BI396" s="185" t="str">
        <f>_xlfn.IFNA(VLOOKUP($BC396,Programma!$F$3:$L$1101,7,0),"")</f>
        <v/>
      </c>
      <c r="BJ396" s="185" t="str">
        <f>_xlfn.IFNA(VLOOKUP($BC396,Programma!$F$3:$M$1101,8,0),"")</f>
        <v/>
      </c>
      <c r="BK396" s="185" t="str">
        <f>_xlfn.IFNA(VLOOKUP($BC396,Programma!$F$3:$N$1101,9,0),"")</f>
        <v/>
      </c>
      <c r="BL396" s="185" t="str">
        <f>_xlfn.IFNA(VLOOKUP($BC396,Programma!$F$3:$O$1101,10,0),"")</f>
        <v/>
      </c>
      <c r="BM396" s="185" t="str">
        <f>_xlfn.IFNA(VLOOKUP($BC396,Programma!$F$3:$P$1101,11,0),"")</f>
        <v/>
      </c>
      <c r="BN396" s="185" t="str">
        <f>_xlfn.IFNA(VLOOKUP($BC396,Programma!$F$3:$Q$1101,12,0),"")</f>
        <v/>
      </c>
      <c r="BO396" s="185" t="str">
        <f>_xlfn.IFNA(VLOOKUP($BC396,Programma!$F$3:$R$1101,13,0),"")</f>
        <v/>
      </c>
      <c r="BP396" s="185" t="str">
        <f>_xlfn.IFNA(VLOOKUP($BC396,Programma!$F$3:$S$1101,14,0),"")</f>
        <v/>
      </c>
      <c r="BQ396" s="185" t="str">
        <f>_xlfn.IFNA(VLOOKUP($BC396,Programma!$F$3:$T$1101,15,0),"")</f>
        <v/>
      </c>
      <c r="BR396" s="185" t="str">
        <f>_xlfn.IFNA(VLOOKUP($BC396,Programma!$F$3:$U$1101,16,0),"")</f>
        <v/>
      </c>
      <c r="BS396" s="185" t="str">
        <f>_xlfn.IFNA(VLOOKUP($BC396,Programma!$F$3:$V$1101,17,0),"")</f>
        <v/>
      </c>
      <c r="BT396" s="185" t="str">
        <f>_xlfn.IFNA(VLOOKUP($BC396,Programma!$F$3:$W$1101,18,0),"")</f>
        <v/>
      </c>
      <c r="BU396" s="185" t="str">
        <f>_xlfn.IFNA(VLOOKUP($BC396,Programma!$F$3:$X$1101,19,0),"")</f>
        <v/>
      </c>
      <c r="BV396" s="185" t="str">
        <f>_xlfn.IFNA(VLOOKUP($BC396,Programma!$F$3:$Y$1101,20,0),"")</f>
        <v/>
      </c>
    </row>
    <row r="397" spans="1:74" s="78" customFormat="1" ht="15" customHeight="1">
      <c r="A397" s="99">
        <v>12</v>
      </c>
      <c r="B397" s="176" t="str">
        <f>VLOOKUP(Ruimtestaat[[#This Row],[Code]],Locaties[[Code]:[Locatie]],2,FALSE)</f>
        <v>OMBS Het Zeggelt (Dr. Benthem)</v>
      </c>
      <c r="C397" s="176" t="str">
        <f>VLOOKUP(Ruimtestaat[[#This Row],[Code]],Locaties[[#All],[Code]:[Adres]],4,FALSE)</f>
        <v>Dr. Benthemstraat 14</v>
      </c>
      <c r="D397" s="176" t="str">
        <f>VLOOKUP(Ruimtestaat[[#This Row],[Code]],Locaties[[#All],[Code]:[Postcode]],5,FALSE)</f>
        <v>7514 CM</v>
      </c>
      <c r="E397" s="176" t="str">
        <f>VLOOKUP(Ruimtestaat[[#This Row],[Code]],Locaties[#All],6,FALSE)</f>
        <v>Enschede</v>
      </c>
      <c r="F397" s="183"/>
      <c r="G397" s="99" t="s">
        <v>1646</v>
      </c>
      <c r="H397" s="99" t="s">
        <v>1660</v>
      </c>
      <c r="I397" s="183" t="s">
        <v>1651</v>
      </c>
      <c r="J397" s="99">
        <v>16</v>
      </c>
      <c r="K397" s="183" t="str">
        <f>VLOOKUP(Ruimtestaat[[#This Row],[Ruimte code]],Ruimtegroepen[[#All],[Code]:[Ruimte omschrijving]],2,FALSE)</f>
        <v>Leslokalen</v>
      </c>
      <c r="L397" s="99" t="s">
        <v>100</v>
      </c>
      <c r="M397" s="99" t="s">
        <v>1697</v>
      </c>
      <c r="N397" s="177">
        <v>61.9</v>
      </c>
      <c r="O397" s="177"/>
      <c r="P397" s="178" t="str">
        <f>VLOOKUP(Ruimtestaat[[#This Row],[Ruimte code]],Ruimtegroepen[],4,FALSE)</f>
        <v>Le</v>
      </c>
      <c r="Q397" s="149">
        <v>40</v>
      </c>
      <c r="R397" s="149" t="s">
        <v>2</v>
      </c>
      <c r="S397" s="149">
        <f>IF(Q397&gt;0,IF(RIGHT(Ruimtestaat[[#This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7" s="149">
        <f>IF(S397&gt;0,VLOOKUP($J397,Ruimtegroepen[],3,FALSE)*VLOOKUP($L397,Vloersoorten[],3,FALSE)*VLOOKUP($R397,Frequenties[],3,FALSE)*VLOOKUP($A397,Locaties[],3,FALSE),0)</f>
        <v>0</v>
      </c>
      <c r="U397" s="149">
        <f>Ruimtestaat[[#This Row],[Uitvoeringen werkdagen]]*Ruimtestaat[[#This Row],[Oppervlak (netto)]]</f>
        <v>12380</v>
      </c>
      <c r="V397" s="179">
        <f>IF(T397&gt;0,Ruimtestaat[[#This Row],[Prest. (m2 /jaar) werkdagen]]/Ruimtestaat[[#This Row],[Norm (m2/uur) werkdagen]],0)</f>
        <v>0</v>
      </c>
      <c r="W397" s="180">
        <f>Ruimtestaat[[#This Row],[uren / jaar werkdagen]]*Tariefsopbouw!$E$35</f>
        <v>0</v>
      </c>
      <c r="X397" s="149"/>
      <c r="Y397" s="149">
        <f>IF(Ruimtestaat[[#This Row],[Frequentie weekend]]&gt;0,VALUE(LEFT(X397,1))*Q397,0)</f>
        <v>0</v>
      </c>
      <c r="Z397" s="148">
        <f>IF($Y397&gt;0,VLOOKUP($J397,Ruimtegroepen[],3,FALSE)*VLOOKUP($L397,Vloersoorten[],3,FALSE)*VLOOKUP($X397,Frequenties[],3,FALSE)*VLOOKUP(Ruimtestaat[[#This Row],[Code]],Locaties[],3,FALSE),0)</f>
        <v>0</v>
      </c>
      <c r="AA397" s="148">
        <f>Ruimtestaat[[#This Row],[Uitvoeringen weekend]]*Ruimtestaat[[#This Row],[Oppervlak (netto)]]</f>
        <v>0</v>
      </c>
      <c r="AB397" s="148">
        <f>IF(Z397&gt;0,Ruimtestaat[[#This Row],[Prest. (m2 /jaar) weekend]]/Ruimtestaat[[#This Row],[Norm (m2/uur) weekend]],0)</f>
        <v>0</v>
      </c>
      <c r="AC397" s="180">
        <f>Ruimtestaat[[#This Row],[uren / jaar weekend]]*Tariefsopbouw!$D$40</f>
        <v>0</v>
      </c>
      <c r="AD397" s="179">
        <f>Ruimtestaat[[#This Row],[Prest. (m2 /jaar) weekend]]+Ruimtestaat[[#This Row],[Prest. (m2 /jaar) werkdagen]]</f>
        <v>12380</v>
      </c>
      <c r="AE397" s="179">
        <f>Ruimtestaat[[#This Row],[uren / jaar weekend]]+Ruimtestaat[[#This Row],[uren / jaar werkdagen]]</f>
        <v>0</v>
      </c>
      <c r="AF397" s="174">
        <f>Ruimtestaat[[#This Row],[kosten / jaar weekend]]+Ruimtestaat[[#This Row],[kosten / jaar werkdagen]]</f>
        <v>0</v>
      </c>
      <c r="AG397" s="174"/>
      <c r="AH397" s="181" t="str">
        <f>IF(Ruimtestaat[[#This Row],[Frequentie werkdagen]]="","",_xlfn.CONCAT(Ruimtestaat[[#This Row],[Ruimte code]],"-",Ruimtestaat[[#This Row],[Frequentie werkdagen]]," ",Ruimtestaat[[#This Row],[Vloer code]]))</f>
        <v>16-5w L</v>
      </c>
      <c r="AI397" s="185" t="str">
        <f>_xlfn.IFNA(VLOOKUP($AH397,Programma!$F$3:$G$1101,2,0),"")</f>
        <v>_</v>
      </c>
      <c r="AJ397" s="185" t="str">
        <f>_xlfn.IFNA(VLOOKUP($AH397,Programma!$F$3:$H$1101,3,0),"")</f>
        <v>_</v>
      </c>
      <c r="AK397" s="185" t="str">
        <f>_xlfn.IFNA(VLOOKUP($AH397,Programma!$F$3:$I$1101,4,0),"")</f>
        <v>4w</v>
      </c>
      <c r="AL397" s="185" t="str">
        <f>_xlfn.IFNA(VLOOKUP($AH397,Programma!$F$3:$J$1101,5,0),"")</f>
        <v>1w</v>
      </c>
      <c r="AM397" s="185" t="str">
        <f>_xlfn.IFNA(VLOOKUP($AH397,Programma!$F$3:$K$1101,6,0),"")</f>
        <v>_</v>
      </c>
      <c r="AN397" s="185" t="str">
        <f>_xlfn.IFNA(VLOOKUP($AH397,Programma!$F$3:$L$1101,7,0),"")</f>
        <v>_</v>
      </c>
      <c r="AO397" s="185" t="str">
        <f>_xlfn.IFNA(VLOOKUP($AH397,Programma!$F$3:$M$1101,8,0),"")</f>
        <v>_</v>
      </c>
      <c r="AP397" s="185" t="str">
        <f>_xlfn.IFNA(VLOOKUP($AH397,Programma!$F$3:$N$1101,9,0),"")</f>
        <v>_</v>
      </c>
      <c r="AQ397" s="185" t="str">
        <f>_xlfn.IFNA(VLOOKUP($AH397,Programma!$F$3:$O$1101,10,0),"")</f>
        <v>5w</v>
      </c>
      <c r="AR397" s="185" t="str">
        <f>_xlfn.IFNA(VLOOKUP($AH397,Programma!$F$3:$P$1101,11,0),"")</f>
        <v>5w</v>
      </c>
      <c r="AS397" s="185" t="str">
        <f>_xlfn.IFNA(VLOOKUP($AH397,Programma!$F$3:$Q$1101,12,0),"")</f>
        <v>1w</v>
      </c>
      <c r="AT397" s="185" t="str">
        <f>_xlfn.IFNA(VLOOKUP($AH397,Programma!$F$3:$R$1101,13,0),"")</f>
        <v>1w</v>
      </c>
      <c r="AU397" s="185" t="str">
        <f>_xlfn.IFNA(VLOOKUP($AH397,Programma!$F$3:$S$1101,14,0),"")</f>
        <v>1m</v>
      </c>
      <c r="AV397" s="185" t="str">
        <f>_xlfn.IFNA(VLOOKUP($AH397,Programma!$F$3:$T$1101,15,0),"")</f>
        <v>2j</v>
      </c>
      <c r="AW397" s="185" t="str">
        <f>_xlfn.IFNA(VLOOKUP($AH397,Programma!$F$3:$U$1101,16,0),"")</f>
        <v>1j</v>
      </c>
      <c r="AX397" s="185" t="str">
        <f>_xlfn.IFNA(VLOOKUP($AH397,Programma!$F$3:$V$1101,17,0),"")</f>
        <v>_</v>
      </c>
      <c r="AY397" s="185" t="str">
        <f>_xlfn.IFNA(VLOOKUP($AH397,Programma!$F$3:$W$1101,18,0),"")</f>
        <v>_</v>
      </c>
      <c r="AZ397" s="185" t="str">
        <f>_xlfn.IFNA(VLOOKUP($AH397,Programma!$F$3:$X$1101,19,0),"")</f>
        <v>_</v>
      </c>
      <c r="BA397" s="185" t="str">
        <f>_xlfn.IFNA(VLOOKUP($AH397,Programma!$F$3:$Y$1101,20,0),"")</f>
        <v>_</v>
      </c>
      <c r="BB397" s="182"/>
      <c r="BC397" s="181" t="str">
        <f>IF(Ruimtestaat[[#This Row],[Frequentie weekend]]="","",_xlfn.CONCAT(Ruimtestaat[[#This Row],[Ruimte code]],"-",Ruimtestaat[[#This Row],[Frequentie weekend]]," ",Ruimtestaat[[#This Row],[Vloer code]]))</f>
        <v/>
      </c>
      <c r="BD397" s="185" t="str">
        <f>_xlfn.IFNA(VLOOKUP($BC397,Programma!$F$3:$G$1101,2,0),"")</f>
        <v/>
      </c>
      <c r="BE397" s="185" t="str">
        <f>_xlfn.IFNA(VLOOKUP($BC397,Programma!$F$3:$H$1101,3,0),"")</f>
        <v/>
      </c>
      <c r="BF397" s="185" t="str">
        <f>_xlfn.IFNA(VLOOKUP($BC397,Programma!$F$3:$I$1101,4,0),"")</f>
        <v/>
      </c>
      <c r="BG397" s="185" t="str">
        <f>_xlfn.IFNA(VLOOKUP($BC397,Programma!$F$3:$J$1101,5,0),"")</f>
        <v/>
      </c>
      <c r="BH397" s="185" t="str">
        <f>_xlfn.IFNA(VLOOKUP($BC397,Programma!$F$3:$K$1101,6,0),"")</f>
        <v/>
      </c>
      <c r="BI397" s="185" t="str">
        <f>_xlfn.IFNA(VLOOKUP($BC397,Programma!$F$3:$L$1101,7,0),"")</f>
        <v/>
      </c>
      <c r="BJ397" s="185" t="str">
        <f>_xlfn.IFNA(VLOOKUP($BC397,Programma!$F$3:$M$1101,8,0),"")</f>
        <v/>
      </c>
      <c r="BK397" s="185" t="str">
        <f>_xlfn.IFNA(VLOOKUP($BC397,Programma!$F$3:$N$1101,9,0),"")</f>
        <v/>
      </c>
      <c r="BL397" s="185" t="str">
        <f>_xlfn.IFNA(VLOOKUP($BC397,Programma!$F$3:$O$1101,10,0),"")</f>
        <v/>
      </c>
      <c r="BM397" s="185" t="str">
        <f>_xlfn.IFNA(VLOOKUP($BC397,Programma!$F$3:$P$1101,11,0),"")</f>
        <v/>
      </c>
      <c r="BN397" s="185" t="str">
        <f>_xlfn.IFNA(VLOOKUP($BC397,Programma!$F$3:$Q$1101,12,0),"")</f>
        <v/>
      </c>
      <c r="BO397" s="185" t="str">
        <f>_xlfn.IFNA(VLOOKUP($BC397,Programma!$F$3:$R$1101,13,0),"")</f>
        <v/>
      </c>
      <c r="BP397" s="185" t="str">
        <f>_xlfn.IFNA(VLOOKUP($BC397,Programma!$F$3:$S$1101,14,0),"")</f>
        <v/>
      </c>
      <c r="BQ397" s="185" t="str">
        <f>_xlfn.IFNA(VLOOKUP($BC397,Programma!$F$3:$T$1101,15,0),"")</f>
        <v/>
      </c>
      <c r="BR397" s="185" t="str">
        <f>_xlfn.IFNA(VLOOKUP($BC397,Programma!$F$3:$U$1101,16,0),"")</f>
        <v/>
      </c>
      <c r="BS397" s="185" t="str">
        <f>_xlfn.IFNA(VLOOKUP($BC397,Programma!$F$3:$V$1101,17,0),"")</f>
        <v/>
      </c>
      <c r="BT397" s="185" t="str">
        <f>_xlfn.IFNA(VLOOKUP($BC397,Programma!$F$3:$W$1101,18,0),"")</f>
        <v/>
      </c>
      <c r="BU397" s="185" t="str">
        <f>_xlfn.IFNA(VLOOKUP($BC397,Programma!$F$3:$X$1101,19,0),"")</f>
        <v/>
      </c>
      <c r="BV397" s="185" t="str">
        <f>_xlfn.IFNA(VLOOKUP($BC397,Programma!$F$3:$Y$1101,20,0),"")</f>
        <v/>
      </c>
    </row>
    <row r="398" spans="1:74" s="78" customFormat="1" ht="15" customHeight="1">
      <c r="A398" s="99">
        <v>12</v>
      </c>
      <c r="B398" s="176" t="str">
        <f>VLOOKUP(Ruimtestaat[[#This Row],[Code]],Locaties[[Code]:[Locatie]],2,FALSE)</f>
        <v>OMBS Het Zeggelt (Dr. Benthem)</v>
      </c>
      <c r="C398" s="176" t="str">
        <f>VLOOKUP(Ruimtestaat[[#This Row],[Code]],Locaties[[#All],[Code]:[Adres]],4,FALSE)</f>
        <v>Dr. Benthemstraat 14</v>
      </c>
      <c r="D398" s="176" t="str">
        <f>VLOOKUP(Ruimtestaat[[#This Row],[Code]],Locaties[[#All],[Code]:[Postcode]],5,FALSE)</f>
        <v>7514 CM</v>
      </c>
      <c r="E398" s="176" t="str">
        <f>VLOOKUP(Ruimtestaat[[#This Row],[Code]],Locaties[#All],6,FALSE)</f>
        <v>Enschede</v>
      </c>
      <c r="F398" s="183"/>
      <c r="G398" s="99" t="s">
        <v>1646</v>
      </c>
      <c r="H398" s="99" t="s">
        <v>1661</v>
      </c>
      <c r="I398" s="183" t="s">
        <v>1655</v>
      </c>
      <c r="J398" s="99">
        <v>5</v>
      </c>
      <c r="K398" s="183" t="str">
        <f>VLOOKUP(Ruimtestaat[[#This Row],[Ruimte code]],Ruimtegroepen[[#All],[Code]:[Ruimte omschrijving]],2,FALSE)</f>
        <v>Sanitair</v>
      </c>
      <c r="L398" s="99" t="s">
        <v>101</v>
      </c>
      <c r="M398" s="99" t="s">
        <v>1682</v>
      </c>
      <c r="N398" s="177">
        <v>4.5999999999999996</v>
      </c>
      <c r="O398" s="177"/>
      <c r="P398" s="178" t="str">
        <f>VLOOKUP(Ruimtestaat[[#This Row],[Ruimte code]],Ruimtegroepen[],4,FALSE)</f>
        <v>Sa</v>
      </c>
      <c r="Q398" s="149">
        <v>40</v>
      </c>
      <c r="R398" s="149" t="s">
        <v>2</v>
      </c>
      <c r="S398" s="149">
        <f>IF(Q398&gt;0,IF(RIGHT(Ruimtestaat[[#This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8" s="149">
        <f>IF(S398&gt;0,VLOOKUP($J398,Ruimtegroepen[],3,FALSE)*VLOOKUP($L398,Vloersoorten[],3,FALSE)*VLOOKUP($R398,Frequenties[],3,FALSE)*VLOOKUP($A398,Locaties[],3,FALSE),0)</f>
        <v>0</v>
      </c>
      <c r="U398" s="149">
        <f>Ruimtestaat[[#This Row],[Uitvoeringen werkdagen]]*Ruimtestaat[[#This Row],[Oppervlak (netto)]]</f>
        <v>919.99999999999989</v>
      </c>
      <c r="V398" s="179">
        <f>IF(T398&gt;0,Ruimtestaat[[#This Row],[Prest. (m2 /jaar) werkdagen]]/Ruimtestaat[[#This Row],[Norm (m2/uur) werkdagen]],0)</f>
        <v>0</v>
      </c>
      <c r="W398" s="180">
        <f>Ruimtestaat[[#This Row],[uren / jaar werkdagen]]*Tariefsopbouw!$E$35</f>
        <v>0</v>
      </c>
      <c r="X398" s="149"/>
      <c r="Y398" s="149">
        <f>IF(Ruimtestaat[[#This Row],[Frequentie weekend]]&gt;0,VALUE(LEFT(X398,1))*Q398,0)</f>
        <v>0</v>
      </c>
      <c r="Z398" s="148">
        <f>IF($Y398&gt;0,VLOOKUP($J398,Ruimtegroepen[],3,FALSE)*VLOOKUP($L398,Vloersoorten[],3,FALSE)*VLOOKUP($X398,Frequenties[],3,FALSE)*VLOOKUP(Ruimtestaat[[#This Row],[Code]],Locaties[],3,FALSE),0)</f>
        <v>0</v>
      </c>
      <c r="AA398" s="148">
        <f>Ruimtestaat[[#This Row],[Uitvoeringen weekend]]*Ruimtestaat[[#This Row],[Oppervlak (netto)]]</f>
        <v>0</v>
      </c>
      <c r="AB398" s="148">
        <f>IF(Z398&gt;0,Ruimtestaat[[#This Row],[Prest. (m2 /jaar) weekend]]/Ruimtestaat[[#This Row],[Norm (m2/uur) weekend]],0)</f>
        <v>0</v>
      </c>
      <c r="AC398" s="180">
        <f>Ruimtestaat[[#This Row],[uren / jaar weekend]]*Tariefsopbouw!$D$40</f>
        <v>0</v>
      </c>
      <c r="AD398" s="179">
        <f>Ruimtestaat[[#This Row],[Prest. (m2 /jaar) weekend]]+Ruimtestaat[[#This Row],[Prest. (m2 /jaar) werkdagen]]</f>
        <v>919.99999999999989</v>
      </c>
      <c r="AE398" s="179">
        <f>Ruimtestaat[[#This Row],[uren / jaar weekend]]+Ruimtestaat[[#This Row],[uren / jaar werkdagen]]</f>
        <v>0</v>
      </c>
      <c r="AF398" s="174">
        <f>Ruimtestaat[[#This Row],[kosten / jaar weekend]]+Ruimtestaat[[#This Row],[kosten / jaar werkdagen]]</f>
        <v>0</v>
      </c>
      <c r="AG398" s="174"/>
      <c r="AH398" s="181" t="str">
        <f>IF(Ruimtestaat[[#This Row],[Frequentie werkdagen]]="","",_xlfn.CONCAT(Ruimtestaat[[#This Row],[Ruimte code]],"-",Ruimtestaat[[#This Row],[Frequentie werkdagen]]," ",Ruimtestaat[[#This Row],[Vloer code]]))</f>
        <v>5-5w S</v>
      </c>
      <c r="AI398" s="185" t="str">
        <f>_xlfn.IFNA(VLOOKUP($AH398,Programma!$F$3:$G$1101,2,0),"")</f>
        <v>_</v>
      </c>
      <c r="AJ398" s="185" t="str">
        <f>_xlfn.IFNA(VLOOKUP($AH398,Programma!$F$3:$H$1101,3,0),"")</f>
        <v>_</v>
      </c>
      <c r="AK398" s="185" t="str">
        <f>_xlfn.IFNA(VLOOKUP($AH398,Programma!$F$3:$I$1101,4,0),"")</f>
        <v>_</v>
      </c>
      <c r="AL398" s="185" t="str">
        <f>_xlfn.IFNA(VLOOKUP($AH398,Programma!$F$3:$J$1101,5,0),"")</f>
        <v>4w</v>
      </c>
      <c r="AM398" s="185" t="str">
        <f>_xlfn.IFNA(VLOOKUP($AH398,Programma!$F$3:$K$1101,6,0),"")</f>
        <v>1w</v>
      </c>
      <c r="AN398" s="185" t="str">
        <f>_xlfn.IFNA(VLOOKUP($AH398,Programma!$F$3:$L$1101,7,0),"")</f>
        <v>_</v>
      </c>
      <c r="AO398" s="185" t="str">
        <f>_xlfn.IFNA(VLOOKUP($AH398,Programma!$F$3:$M$1101,8,0),"")</f>
        <v>_</v>
      </c>
      <c r="AP398" s="185" t="str">
        <f>_xlfn.IFNA(VLOOKUP($AH398,Programma!$F$3:$N$1101,9,0),"")</f>
        <v>_</v>
      </c>
      <c r="AQ398" s="185" t="str">
        <f>_xlfn.IFNA(VLOOKUP($AH398,Programma!$F$3:$O$1101,10,0),"")</f>
        <v>_</v>
      </c>
      <c r="AR398" s="185" t="str">
        <f>_xlfn.IFNA(VLOOKUP($AH398,Programma!$F$3:$P$1101,11,0),"")</f>
        <v>_</v>
      </c>
      <c r="AS398" s="185" t="str">
        <f>_xlfn.IFNA(VLOOKUP($AH398,Programma!$F$3:$Q$1101,12,0),"")</f>
        <v>_</v>
      </c>
      <c r="AT398" s="185" t="str">
        <f>_xlfn.IFNA(VLOOKUP($AH398,Programma!$F$3:$R$1101,13,0),"")</f>
        <v>_</v>
      </c>
      <c r="AU398" s="185" t="str">
        <f>_xlfn.IFNA(VLOOKUP($AH398,Programma!$F$3:$S$1101,14,0),"")</f>
        <v>_</v>
      </c>
      <c r="AV398" s="185" t="str">
        <f>_xlfn.IFNA(VLOOKUP($AH398,Programma!$F$3:$T$1101,15,0),"")</f>
        <v>_</v>
      </c>
      <c r="AW398" s="185" t="str">
        <f>_xlfn.IFNA(VLOOKUP($AH398,Programma!$F$3:$U$1101,16,0),"")</f>
        <v>_</v>
      </c>
      <c r="AX398" s="185" t="str">
        <f>_xlfn.IFNA(VLOOKUP($AH398,Programma!$F$3:$V$1101,17,0),"")</f>
        <v>_</v>
      </c>
      <c r="AY398" s="185" t="str">
        <f>_xlfn.IFNA(VLOOKUP($AH398,Programma!$F$3:$W$1101,18,0),"")</f>
        <v>4w</v>
      </c>
      <c r="AZ398" s="185" t="str">
        <f>_xlfn.IFNA(VLOOKUP($AH398,Programma!$F$3:$X$1101,19,0),"")</f>
        <v>1w</v>
      </c>
      <c r="BA398" s="185" t="str">
        <f>_xlfn.IFNA(VLOOKUP($AH398,Programma!$F$3:$Y$1101,20,0),"")</f>
        <v>_</v>
      </c>
      <c r="BB398" s="182"/>
      <c r="BC398" s="181" t="str">
        <f>IF(Ruimtestaat[[#This Row],[Frequentie weekend]]="","",_xlfn.CONCAT(Ruimtestaat[[#This Row],[Ruimte code]],"-",Ruimtestaat[[#This Row],[Frequentie weekend]]," ",Ruimtestaat[[#This Row],[Vloer code]]))</f>
        <v/>
      </c>
      <c r="BD398" s="185" t="str">
        <f>_xlfn.IFNA(VLOOKUP($BC398,Programma!$F$3:$G$1101,2,0),"")</f>
        <v/>
      </c>
      <c r="BE398" s="185" t="str">
        <f>_xlfn.IFNA(VLOOKUP($BC398,Programma!$F$3:$H$1101,3,0),"")</f>
        <v/>
      </c>
      <c r="BF398" s="185" t="str">
        <f>_xlfn.IFNA(VLOOKUP($BC398,Programma!$F$3:$I$1101,4,0),"")</f>
        <v/>
      </c>
      <c r="BG398" s="185" t="str">
        <f>_xlfn.IFNA(VLOOKUP($BC398,Programma!$F$3:$J$1101,5,0),"")</f>
        <v/>
      </c>
      <c r="BH398" s="185" t="str">
        <f>_xlfn.IFNA(VLOOKUP($BC398,Programma!$F$3:$K$1101,6,0),"")</f>
        <v/>
      </c>
      <c r="BI398" s="185" t="str">
        <f>_xlfn.IFNA(VLOOKUP($BC398,Programma!$F$3:$L$1101,7,0),"")</f>
        <v/>
      </c>
      <c r="BJ398" s="185" t="str">
        <f>_xlfn.IFNA(VLOOKUP($BC398,Programma!$F$3:$M$1101,8,0),"")</f>
        <v/>
      </c>
      <c r="BK398" s="185" t="str">
        <f>_xlfn.IFNA(VLOOKUP($BC398,Programma!$F$3:$N$1101,9,0),"")</f>
        <v/>
      </c>
      <c r="BL398" s="185" t="str">
        <f>_xlfn.IFNA(VLOOKUP($BC398,Programma!$F$3:$O$1101,10,0),"")</f>
        <v/>
      </c>
      <c r="BM398" s="185" t="str">
        <f>_xlfn.IFNA(VLOOKUP($BC398,Programma!$F$3:$P$1101,11,0),"")</f>
        <v/>
      </c>
      <c r="BN398" s="185" t="str">
        <f>_xlfn.IFNA(VLOOKUP($BC398,Programma!$F$3:$Q$1101,12,0),"")</f>
        <v/>
      </c>
      <c r="BO398" s="185" t="str">
        <f>_xlfn.IFNA(VLOOKUP($BC398,Programma!$F$3:$R$1101,13,0),"")</f>
        <v/>
      </c>
      <c r="BP398" s="185" t="str">
        <f>_xlfn.IFNA(VLOOKUP($BC398,Programma!$F$3:$S$1101,14,0),"")</f>
        <v/>
      </c>
      <c r="BQ398" s="185" t="str">
        <f>_xlfn.IFNA(VLOOKUP($BC398,Programma!$F$3:$T$1101,15,0),"")</f>
        <v/>
      </c>
      <c r="BR398" s="185" t="str">
        <f>_xlfn.IFNA(VLOOKUP($BC398,Programma!$F$3:$U$1101,16,0),"")</f>
        <v/>
      </c>
      <c r="BS398" s="185" t="str">
        <f>_xlfn.IFNA(VLOOKUP($BC398,Programma!$F$3:$V$1101,17,0),"")</f>
        <v/>
      </c>
      <c r="BT398" s="185" t="str">
        <f>_xlfn.IFNA(VLOOKUP($BC398,Programma!$F$3:$W$1101,18,0),"")</f>
        <v/>
      </c>
      <c r="BU398" s="185" t="str">
        <f>_xlfn.IFNA(VLOOKUP($BC398,Programma!$F$3:$X$1101,19,0),"")</f>
        <v/>
      </c>
      <c r="BV398" s="185" t="str">
        <f>_xlfn.IFNA(VLOOKUP($BC398,Programma!$F$3:$Y$1101,20,0),"")</f>
        <v/>
      </c>
    </row>
    <row r="399" spans="1:74" s="78" customFormat="1" ht="15" customHeight="1">
      <c r="A399" s="99">
        <v>12</v>
      </c>
      <c r="B399" s="176" t="str">
        <f>VLOOKUP(Ruimtestaat[[#This Row],[Code]],Locaties[[Code]:[Locatie]],2,FALSE)</f>
        <v>OMBS Het Zeggelt (Dr. Benthem)</v>
      </c>
      <c r="C399" s="176" t="str">
        <f>VLOOKUP(Ruimtestaat[[#This Row],[Code]],Locaties[[#All],[Code]:[Adres]],4,FALSE)</f>
        <v>Dr. Benthemstraat 14</v>
      </c>
      <c r="D399" s="176" t="str">
        <f>VLOOKUP(Ruimtestaat[[#This Row],[Code]],Locaties[[#All],[Code]:[Postcode]],5,FALSE)</f>
        <v>7514 CM</v>
      </c>
      <c r="E399" s="176" t="str">
        <f>VLOOKUP(Ruimtestaat[[#This Row],[Code]],Locaties[#All],6,FALSE)</f>
        <v>Enschede</v>
      </c>
      <c r="F399" s="183"/>
      <c r="G399" s="99" t="s">
        <v>1646</v>
      </c>
      <c r="H399" s="99" t="s">
        <v>1662</v>
      </c>
      <c r="I399" s="183" t="s">
        <v>1655</v>
      </c>
      <c r="J399" s="99">
        <v>5</v>
      </c>
      <c r="K399" s="183" t="str">
        <f>VLOOKUP(Ruimtestaat[[#This Row],[Ruimte code]],Ruimtegroepen[[#All],[Code]:[Ruimte omschrijving]],2,FALSE)</f>
        <v>Sanitair</v>
      </c>
      <c r="L399" s="99" t="s">
        <v>101</v>
      </c>
      <c r="M399" s="99" t="s">
        <v>1682</v>
      </c>
      <c r="N399" s="177">
        <v>4.5999999999999996</v>
      </c>
      <c r="O399" s="177"/>
      <c r="P399" s="178" t="str">
        <f>VLOOKUP(Ruimtestaat[[#This Row],[Ruimte code]],Ruimtegroepen[],4,FALSE)</f>
        <v>Sa</v>
      </c>
      <c r="Q399" s="149">
        <v>40</v>
      </c>
      <c r="R399" s="149" t="s">
        <v>2</v>
      </c>
      <c r="S399" s="149">
        <f>IF(Q399&gt;0,IF(RIGHT(Ruimtestaat[[#This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9" s="149">
        <f>IF(S399&gt;0,VLOOKUP($J399,Ruimtegroepen[],3,FALSE)*VLOOKUP($L399,Vloersoorten[],3,FALSE)*VLOOKUP($R399,Frequenties[],3,FALSE)*VLOOKUP($A399,Locaties[],3,FALSE),0)</f>
        <v>0</v>
      </c>
      <c r="U399" s="149">
        <f>Ruimtestaat[[#This Row],[Uitvoeringen werkdagen]]*Ruimtestaat[[#This Row],[Oppervlak (netto)]]</f>
        <v>919.99999999999989</v>
      </c>
      <c r="V399" s="179">
        <f>IF(T399&gt;0,Ruimtestaat[[#This Row],[Prest. (m2 /jaar) werkdagen]]/Ruimtestaat[[#This Row],[Norm (m2/uur) werkdagen]],0)</f>
        <v>0</v>
      </c>
      <c r="W399" s="180">
        <f>Ruimtestaat[[#This Row],[uren / jaar werkdagen]]*Tariefsopbouw!$E$35</f>
        <v>0</v>
      </c>
      <c r="X399" s="149"/>
      <c r="Y399" s="149">
        <f>IF(Ruimtestaat[[#This Row],[Frequentie weekend]]&gt;0,VALUE(LEFT(X399,1))*Q399,0)</f>
        <v>0</v>
      </c>
      <c r="Z399" s="148">
        <f>IF($Y399&gt;0,VLOOKUP($J399,Ruimtegroepen[],3,FALSE)*VLOOKUP($L399,Vloersoorten[],3,FALSE)*VLOOKUP($X399,Frequenties[],3,FALSE)*VLOOKUP(Ruimtestaat[[#This Row],[Code]],Locaties[],3,FALSE),0)</f>
        <v>0</v>
      </c>
      <c r="AA399" s="148">
        <f>Ruimtestaat[[#This Row],[Uitvoeringen weekend]]*Ruimtestaat[[#This Row],[Oppervlak (netto)]]</f>
        <v>0</v>
      </c>
      <c r="AB399" s="148">
        <f>IF(Z399&gt;0,Ruimtestaat[[#This Row],[Prest. (m2 /jaar) weekend]]/Ruimtestaat[[#This Row],[Norm (m2/uur) weekend]],0)</f>
        <v>0</v>
      </c>
      <c r="AC399" s="180">
        <f>Ruimtestaat[[#This Row],[uren / jaar weekend]]*Tariefsopbouw!$D$40</f>
        <v>0</v>
      </c>
      <c r="AD399" s="179">
        <f>Ruimtestaat[[#This Row],[Prest. (m2 /jaar) weekend]]+Ruimtestaat[[#This Row],[Prest. (m2 /jaar) werkdagen]]</f>
        <v>919.99999999999989</v>
      </c>
      <c r="AE399" s="179">
        <f>Ruimtestaat[[#This Row],[uren / jaar weekend]]+Ruimtestaat[[#This Row],[uren / jaar werkdagen]]</f>
        <v>0</v>
      </c>
      <c r="AF399" s="174">
        <f>Ruimtestaat[[#This Row],[kosten / jaar weekend]]+Ruimtestaat[[#This Row],[kosten / jaar werkdagen]]</f>
        <v>0</v>
      </c>
      <c r="AG399" s="174"/>
      <c r="AH399" s="181" t="str">
        <f>IF(Ruimtestaat[[#This Row],[Frequentie werkdagen]]="","",_xlfn.CONCAT(Ruimtestaat[[#This Row],[Ruimte code]],"-",Ruimtestaat[[#This Row],[Frequentie werkdagen]]," ",Ruimtestaat[[#This Row],[Vloer code]]))</f>
        <v>5-5w S</v>
      </c>
      <c r="AI399" s="185" t="str">
        <f>_xlfn.IFNA(VLOOKUP($AH399,Programma!$F$3:$G$1101,2,0),"")</f>
        <v>_</v>
      </c>
      <c r="AJ399" s="185" t="str">
        <f>_xlfn.IFNA(VLOOKUP($AH399,Programma!$F$3:$H$1101,3,0),"")</f>
        <v>_</v>
      </c>
      <c r="AK399" s="185" t="str">
        <f>_xlfn.IFNA(VLOOKUP($AH399,Programma!$F$3:$I$1101,4,0),"")</f>
        <v>_</v>
      </c>
      <c r="AL399" s="185" t="str">
        <f>_xlfn.IFNA(VLOOKUP($AH399,Programma!$F$3:$J$1101,5,0),"")</f>
        <v>4w</v>
      </c>
      <c r="AM399" s="185" t="str">
        <f>_xlfn.IFNA(VLOOKUP($AH399,Programma!$F$3:$K$1101,6,0),"")</f>
        <v>1w</v>
      </c>
      <c r="AN399" s="185" t="str">
        <f>_xlfn.IFNA(VLOOKUP($AH399,Programma!$F$3:$L$1101,7,0),"")</f>
        <v>_</v>
      </c>
      <c r="AO399" s="185" t="str">
        <f>_xlfn.IFNA(VLOOKUP($AH399,Programma!$F$3:$M$1101,8,0),"")</f>
        <v>_</v>
      </c>
      <c r="AP399" s="185" t="str">
        <f>_xlfn.IFNA(VLOOKUP($AH399,Programma!$F$3:$N$1101,9,0),"")</f>
        <v>_</v>
      </c>
      <c r="AQ399" s="185" t="str">
        <f>_xlfn.IFNA(VLOOKUP($AH399,Programma!$F$3:$O$1101,10,0),"")</f>
        <v>_</v>
      </c>
      <c r="AR399" s="185" t="str">
        <f>_xlfn.IFNA(VLOOKUP($AH399,Programma!$F$3:$P$1101,11,0),"")</f>
        <v>_</v>
      </c>
      <c r="AS399" s="185" t="str">
        <f>_xlfn.IFNA(VLOOKUP($AH399,Programma!$F$3:$Q$1101,12,0),"")</f>
        <v>_</v>
      </c>
      <c r="AT399" s="185" t="str">
        <f>_xlfn.IFNA(VLOOKUP($AH399,Programma!$F$3:$R$1101,13,0),"")</f>
        <v>_</v>
      </c>
      <c r="AU399" s="185" t="str">
        <f>_xlfn.IFNA(VLOOKUP($AH399,Programma!$F$3:$S$1101,14,0),"")</f>
        <v>_</v>
      </c>
      <c r="AV399" s="185" t="str">
        <f>_xlfn.IFNA(VLOOKUP($AH399,Programma!$F$3:$T$1101,15,0),"")</f>
        <v>_</v>
      </c>
      <c r="AW399" s="185" t="str">
        <f>_xlfn.IFNA(VLOOKUP($AH399,Programma!$F$3:$U$1101,16,0),"")</f>
        <v>_</v>
      </c>
      <c r="AX399" s="185" t="str">
        <f>_xlfn.IFNA(VLOOKUP($AH399,Programma!$F$3:$V$1101,17,0),"")</f>
        <v>_</v>
      </c>
      <c r="AY399" s="185" t="str">
        <f>_xlfn.IFNA(VLOOKUP($AH399,Programma!$F$3:$W$1101,18,0),"")</f>
        <v>4w</v>
      </c>
      <c r="AZ399" s="185" t="str">
        <f>_xlfn.IFNA(VLOOKUP($AH399,Programma!$F$3:$X$1101,19,0),"")</f>
        <v>1w</v>
      </c>
      <c r="BA399" s="185" t="str">
        <f>_xlfn.IFNA(VLOOKUP($AH399,Programma!$F$3:$Y$1101,20,0),"")</f>
        <v>_</v>
      </c>
      <c r="BB399" s="182"/>
      <c r="BC399" s="181" t="str">
        <f>IF(Ruimtestaat[[#This Row],[Frequentie weekend]]="","",_xlfn.CONCAT(Ruimtestaat[[#This Row],[Ruimte code]],"-",Ruimtestaat[[#This Row],[Frequentie weekend]]," ",Ruimtestaat[[#This Row],[Vloer code]]))</f>
        <v/>
      </c>
      <c r="BD399" s="185" t="str">
        <f>_xlfn.IFNA(VLOOKUP($BC399,Programma!$F$3:$G$1101,2,0),"")</f>
        <v/>
      </c>
      <c r="BE399" s="185" t="str">
        <f>_xlfn.IFNA(VLOOKUP($BC399,Programma!$F$3:$H$1101,3,0),"")</f>
        <v/>
      </c>
      <c r="BF399" s="185" t="str">
        <f>_xlfn.IFNA(VLOOKUP($BC399,Programma!$F$3:$I$1101,4,0),"")</f>
        <v/>
      </c>
      <c r="BG399" s="185" t="str">
        <f>_xlfn.IFNA(VLOOKUP($BC399,Programma!$F$3:$J$1101,5,0),"")</f>
        <v/>
      </c>
      <c r="BH399" s="185" t="str">
        <f>_xlfn.IFNA(VLOOKUP($BC399,Programma!$F$3:$K$1101,6,0),"")</f>
        <v/>
      </c>
      <c r="BI399" s="185" t="str">
        <f>_xlfn.IFNA(VLOOKUP($BC399,Programma!$F$3:$L$1101,7,0),"")</f>
        <v/>
      </c>
      <c r="BJ399" s="185" t="str">
        <f>_xlfn.IFNA(VLOOKUP($BC399,Programma!$F$3:$M$1101,8,0),"")</f>
        <v/>
      </c>
      <c r="BK399" s="185" t="str">
        <f>_xlfn.IFNA(VLOOKUP($BC399,Programma!$F$3:$N$1101,9,0),"")</f>
        <v/>
      </c>
      <c r="BL399" s="185" t="str">
        <f>_xlfn.IFNA(VLOOKUP($BC399,Programma!$F$3:$O$1101,10,0),"")</f>
        <v/>
      </c>
      <c r="BM399" s="185" t="str">
        <f>_xlfn.IFNA(VLOOKUP($BC399,Programma!$F$3:$P$1101,11,0),"")</f>
        <v/>
      </c>
      <c r="BN399" s="185" t="str">
        <f>_xlfn.IFNA(VLOOKUP($BC399,Programma!$F$3:$Q$1101,12,0),"")</f>
        <v/>
      </c>
      <c r="BO399" s="185" t="str">
        <f>_xlfn.IFNA(VLOOKUP($BC399,Programma!$F$3:$R$1101,13,0),"")</f>
        <v/>
      </c>
      <c r="BP399" s="185" t="str">
        <f>_xlfn.IFNA(VLOOKUP($BC399,Programma!$F$3:$S$1101,14,0),"")</f>
        <v/>
      </c>
      <c r="BQ399" s="185" t="str">
        <f>_xlfn.IFNA(VLOOKUP($BC399,Programma!$F$3:$T$1101,15,0),"")</f>
        <v/>
      </c>
      <c r="BR399" s="185" t="str">
        <f>_xlfn.IFNA(VLOOKUP($BC399,Programma!$F$3:$U$1101,16,0),"")</f>
        <v/>
      </c>
      <c r="BS399" s="185" t="str">
        <f>_xlfn.IFNA(VLOOKUP($BC399,Programma!$F$3:$V$1101,17,0),"")</f>
        <v/>
      </c>
      <c r="BT399" s="185" t="str">
        <f>_xlfn.IFNA(VLOOKUP($BC399,Programma!$F$3:$W$1101,18,0),"")</f>
        <v/>
      </c>
      <c r="BU399" s="185" t="str">
        <f>_xlfn.IFNA(VLOOKUP($BC399,Programma!$F$3:$X$1101,19,0),"")</f>
        <v/>
      </c>
      <c r="BV399" s="185" t="str">
        <f>_xlfn.IFNA(VLOOKUP($BC399,Programma!$F$3:$Y$1101,20,0),"")</f>
        <v/>
      </c>
    </row>
    <row r="400" spans="1:74" s="78" customFormat="1" ht="15" customHeight="1">
      <c r="A400" s="99">
        <v>12</v>
      </c>
      <c r="B400" s="176" t="str">
        <f>VLOOKUP(Ruimtestaat[[#This Row],[Code]],Locaties[[Code]:[Locatie]],2,FALSE)</f>
        <v>OMBS Het Zeggelt (Dr. Benthem)</v>
      </c>
      <c r="C400" s="176" t="str">
        <f>VLOOKUP(Ruimtestaat[[#This Row],[Code]],Locaties[[#All],[Code]:[Adres]],4,FALSE)</f>
        <v>Dr. Benthemstraat 14</v>
      </c>
      <c r="D400" s="176" t="str">
        <f>VLOOKUP(Ruimtestaat[[#This Row],[Code]],Locaties[[#All],[Code]:[Postcode]],5,FALSE)</f>
        <v>7514 CM</v>
      </c>
      <c r="E400" s="176" t="str">
        <f>VLOOKUP(Ruimtestaat[[#This Row],[Code]],Locaties[#All],6,FALSE)</f>
        <v>Enschede</v>
      </c>
      <c r="F400" s="183"/>
      <c r="G400" s="99" t="s">
        <v>1646</v>
      </c>
      <c r="H400" s="99" t="s">
        <v>1663</v>
      </c>
      <c r="I400" s="183" t="s">
        <v>1651</v>
      </c>
      <c r="J400" s="99">
        <v>16</v>
      </c>
      <c r="K400" s="183" t="str">
        <f>VLOOKUP(Ruimtestaat[[#This Row],[Ruimte code]],Ruimtegroepen[[#All],[Code]:[Ruimte omschrijving]],2,FALSE)</f>
        <v>Leslokalen</v>
      </c>
      <c r="L400" s="99" t="s">
        <v>100</v>
      </c>
      <c r="M400" s="99" t="s">
        <v>1697</v>
      </c>
      <c r="N400" s="177">
        <v>57</v>
      </c>
      <c r="O400" s="177"/>
      <c r="P400" s="178" t="str">
        <f>VLOOKUP(Ruimtestaat[[#This Row],[Ruimte code]],Ruimtegroepen[],4,FALSE)</f>
        <v>Le</v>
      </c>
      <c r="Q400" s="149">
        <v>40</v>
      </c>
      <c r="R400" s="149" t="s">
        <v>2</v>
      </c>
      <c r="S400" s="149">
        <f>IF(Q400&gt;0,IF(RIGHT(Ruimtestaat[[#This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0" s="149">
        <f>IF(S400&gt;0,VLOOKUP($J400,Ruimtegroepen[],3,FALSE)*VLOOKUP($L400,Vloersoorten[],3,FALSE)*VLOOKUP($R400,Frequenties[],3,FALSE)*VLOOKUP($A400,Locaties[],3,FALSE),0)</f>
        <v>0</v>
      </c>
      <c r="U400" s="149">
        <f>Ruimtestaat[[#This Row],[Uitvoeringen werkdagen]]*Ruimtestaat[[#This Row],[Oppervlak (netto)]]</f>
        <v>11400</v>
      </c>
      <c r="V400" s="179">
        <f>IF(T400&gt;0,Ruimtestaat[[#This Row],[Prest. (m2 /jaar) werkdagen]]/Ruimtestaat[[#This Row],[Norm (m2/uur) werkdagen]],0)</f>
        <v>0</v>
      </c>
      <c r="W400" s="180">
        <f>Ruimtestaat[[#This Row],[uren / jaar werkdagen]]*Tariefsopbouw!$E$35</f>
        <v>0</v>
      </c>
      <c r="X400" s="149"/>
      <c r="Y400" s="149">
        <f>IF(Ruimtestaat[[#This Row],[Frequentie weekend]]&gt;0,VALUE(LEFT(X400,1))*Q400,0)</f>
        <v>0</v>
      </c>
      <c r="Z400" s="148">
        <f>IF($Y400&gt;0,VLOOKUP($J400,Ruimtegroepen[],3,FALSE)*VLOOKUP($L400,Vloersoorten[],3,FALSE)*VLOOKUP($X400,Frequenties[],3,FALSE)*VLOOKUP(Ruimtestaat[[#This Row],[Code]],Locaties[],3,FALSE),0)</f>
        <v>0</v>
      </c>
      <c r="AA400" s="148">
        <f>Ruimtestaat[[#This Row],[Uitvoeringen weekend]]*Ruimtestaat[[#This Row],[Oppervlak (netto)]]</f>
        <v>0</v>
      </c>
      <c r="AB400" s="148">
        <f>IF(Z400&gt;0,Ruimtestaat[[#This Row],[Prest. (m2 /jaar) weekend]]/Ruimtestaat[[#This Row],[Norm (m2/uur) weekend]],0)</f>
        <v>0</v>
      </c>
      <c r="AC400" s="180">
        <f>Ruimtestaat[[#This Row],[uren / jaar weekend]]*Tariefsopbouw!$D$40</f>
        <v>0</v>
      </c>
      <c r="AD400" s="179">
        <f>Ruimtestaat[[#This Row],[Prest. (m2 /jaar) weekend]]+Ruimtestaat[[#This Row],[Prest. (m2 /jaar) werkdagen]]</f>
        <v>11400</v>
      </c>
      <c r="AE400" s="179">
        <f>Ruimtestaat[[#This Row],[uren / jaar weekend]]+Ruimtestaat[[#This Row],[uren / jaar werkdagen]]</f>
        <v>0</v>
      </c>
      <c r="AF400" s="174">
        <f>Ruimtestaat[[#This Row],[kosten / jaar weekend]]+Ruimtestaat[[#This Row],[kosten / jaar werkdagen]]</f>
        <v>0</v>
      </c>
      <c r="AG400" s="174"/>
      <c r="AH400" s="181" t="str">
        <f>IF(Ruimtestaat[[#This Row],[Frequentie werkdagen]]="","",_xlfn.CONCAT(Ruimtestaat[[#This Row],[Ruimte code]],"-",Ruimtestaat[[#This Row],[Frequentie werkdagen]]," ",Ruimtestaat[[#This Row],[Vloer code]]))</f>
        <v>16-5w L</v>
      </c>
      <c r="AI400" s="185" t="str">
        <f>_xlfn.IFNA(VLOOKUP($AH400,Programma!$F$3:$G$1101,2,0),"")</f>
        <v>_</v>
      </c>
      <c r="AJ400" s="185" t="str">
        <f>_xlfn.IFNA(VLOOKUP($AH400,Programma!$F$3:$H$1101,3,0),"")</f>
        <v>_</v>
      </c>
      <c r="AK400" s="185" t="str">
        <f>_xlfn.IFNA(VLOOKUP($AH400,Programma!$F$3:$I$1101,4,0),"")</f>
        <v>4w</v>
      </c>
      <c r="AL400" s="185" t="str">
        <f>_xlfn.IFNA(VLOOKUP($AH400,Programma!$F$3:$J$1101,5,0),"")</f>
        <v>1w</v>
      </c>
      <c r="AM400" s="185" t="str">
        <f>_xlfn.IFNA(VLOOKUP($AH400,Programma!$F$3:$K$1101,6,0),"")</f>
        <v>_</v>
      </c>
      <c r="AN400" s="185" t="str">
        <f>_xlfn.IFNA(VLOOKUP($AH400,Programma!$F$3:$L$1101,7,0),"")</f>
        <v>_</v>
      </c>
      <c r="AO400" s="185" t="str">
        <f>_xlfn.IFNA(VLOOKUP($AH400,Programma!$F$3:$M$1101,8,0),"")</f>
        <v>_</v>
      </c>
      <c r="AP400" s="185" t="str">
        <f>_xlfn.IFNA(VLOOKUP($AH400,Programma!$F$3:$N$1101,9,0),"")</f>
        <v>_</v>
      </c>
      <c r="AQ400" s="185" t="str">
        <f>_xlfn.IFNA(VLOOKUP($AH400,Programma!$F$3:$O$1101,10,0),"")</f>
        <v>5w</v>
      </c>
      <c r="AR400" s="185" t="str">
        <f>_xlfn.IFNA(VLOOKUP($AH400,Programma!$F$3:$P$1101,11,0),"")</f>
        <v>5w</v>
      </c>
      <c r="AS400" s="185" t="str">
        <f>_xlfn.IFNA(VLOOKUP($AH400,Programma!$F$3:$Q$1101,12,0),"")</f>
        <v>1w</v>
      </c>
      <c r="AT400" s="185" t="str">
        <f>_xlfn.IFNA(VLOOKUP($AH400,Programma!$F$3:$R$1101,13,0),"")</f>
        <v>1w</v>
      </c>
      <c r="AU400" s="185" t="str">
        <f>_xlfn.IFNA(VLOOKUP($AH400,Programma!$F$3:$S$1101,14,0),"")</f>
        <v>1m</v>
      </c>
      <c r="AV400" s="185" t="str">
        <f>_xlfn.IFNA(VLOOKUP($AH400,Programma!$F$3:$T$1101,15,0),"")</f>
        <v>2j</v>
      </c>
      <c r="AW400" s="185" t="str">
        <f>_xlfn.IFNA(VLOOKUP($AH400,Programma!$F$3:$U$1101,16,0),"")</f>
        <v>1j</v>
      </c>
      <c r="AX400" s="185" t="str">
        <f>_xlfn.IFNA(VLOOKUP($AH400,Programma!$F$3:$V$1101,17,0),"")</f>
        <v>_</v>
      </c>
      <c r="AY400" s="185" t="str">
        <f>_xlfn.IFNA(VLOOKUP($AH400,Programma!$F$3:$W$1101,18,0),"")</f>
        <v>_</v>
      </c>
      <c r="AZ400" s="185" t="str">
        <f>_xlfn.IFNA(VLOOKUP($AH400,Programma!$F$3:$X$1101,19,0),"")</f>
        <v>_</v>
      </c>
      <c r="BA400" s="185" t="str">
        <f>_xlfn.IFNA(VLOOKUP($AH400,Programma!$F$3:$Y$1101,20,0),"")</f>
        <v>_</v>
      </c>
      <c r="BB400" s="182"/>
      <c r="BC400" s="181" t="str">
        <f>IF(Ruimtestaat[[#This Row],[Frequentie weekend]]="","",_xlfn.CONCAT(Ruimtestaat[[#This Row],[Ruimte code]],"-",Ruimtestaat[[#This Row],[Frequentie weekend]]," ",Ruimtestaat[[#This Row],[Vloer code]]))</f>
        <v/>
      </c>
      <c r="BD400" s="185" t="str">
        <f>_xlfn.IFNA(VLOOKUP($BC400,Programma!$F$3:$G$1101,2,0),"")</f>
        <v/>
      </c>
      <c r="BE400" s="185" t="str">
        <f>_xlfn.IFNA(VLOOKUP($BC400,Programma!$F$3:$H$1101,3,0),"")</f>
        <v/>
      </c>
      <c r="BF400" s="185" t="str">
        <f>_xlfn.IFNA(VLOOKUP($BC400,Programma!$F$3:$I$1101,4,0),"")</f>
        <v/>
      </c>
      <c r="BG400" s="185" t="str">
        <f>_xlfn.IFNA(VLOOKUP($BC400,Programma!$F$3:$J$1101,5,0),"")</f>
        <v/>
      </c>
      <c r="BH400" s="185" t="str">
        <f>_xlfn.IFNA(VLOOKUP($BC400,Programma!$F$3:$K$1101,6,0),"")</f>
        <v/>
      </c>
      <c r="BI400" s="185" t="str">
        <f>_xlfn.IFNA(VLOOKUP($BC400,Programma!$F$3:$L$1101,7,0),"")</f>
        <v/>
      </c>
      <c r="BJ400" s="185" t="str">
        <f>_xlfn.IFNA(VLOOKUP($BC400,Programma!$F$3:$M$1101,8,0),"")</f>
        <v/>
      </c>
      <c r="BK400" s="185" t="str">
        <f>_xlfn.IFNA(VLOOKUP($BC400,Programma!$F$3:$N$1101,9,0),"")</f>
        <v/>
      </c>
      <c r="BL400" s="185" t="str">
        <f>_xlfn.IFNA(VLOOKUP($BC400,Programma!$F$3:$O$1101,10,0),"")</f>
        <v/>
      </c>
      <c r="BM400" s="185" t="str">
        <f>_xlfn.IFNA(VLOOKUP($BC400,Programma!$F$3:$P$1101,11,0),"")</f>
        <v/>
      </c>
      <c r="BN400" s="185" t="str">
        <f>_xlfn.IFNA(VLOOKUP($BC400,Programma!$F$3:$Q$1101,12,0),"")</f>
        <v/>
      </c>
      <c r="BO400" s="185" t="str">
        <f>_xlfn.IFNA(VLOOKUP($BC400,Programma!$F$3:$R$1101,13,0),"")</f>
        <v/>
      </c>
      <c r="BP400" s="185" t="str">
        <f>_xlfn.IFNA(VLOOKUP($BC400,Programma!$F$3:$S$1101,14,0),"")</f>
        <v/>
      </c>
      <c r="BQ400" s="185" t="str">
        <f>_xlfn.IFNA(VLOOKUP($BC400,Programma!$F$3:$T$1101,15,0),"")</f>
        <v/>
      </c>
      <c r="BR400" s="185" t="str">
        <f>_xlfn.IFNA(VLOOKUP($BC400,Programma!$F$3:$U$1101,16,0),"")</f>
        <v/>
      </c>
      <c r="BS400" s="185" t="str">
        <f>_xlfn.IFNA(VLOOKUP($BC400,Programma!$F$3:$V$1101,17,0),"")</f>
        <v/>
      </c>
      <c r="BT400" s="185" t="str">
        <f>_xlfn.IFNA(VLOOKUP($BC400,Programma!$F$3:$W$1101,18,0),"")</f>
        <v/>
      </c>
      <c r="BU400" s="185" t="str">
        <f>_xlfn.IFNA(VLOOKUP($BC400,Programma!$F$3:$X$1101,19,0),"")</f>
        <v/>
      </c>
      <c r="BV400" s="185" t="str">
        <f>_xlfn.IFNA(VLOOKUP($BC400,Programma!$F$3:$Y$1101,20,0),"")</f>
        <v/>
      </c>
    </row>
    <row r="401" spans="1:74" s="78" customFormat="1" ht="15" customHeight="1">
      <c r="A401" s="99">
        <v>12</v>
      </c>
      <c r="B401" s="176" t="str">
        <f>VLOOKUP(Ruimtestaat[[#This Row],[Code]],Locaties[[Code]:[Locatie]],2,FALSE)</f>
        <v>OMBS Het Zeggelt (Dr. Benthem)</v>
      </c>
      <c r="C401" s="176" t="str">
        <f>VLOOKUP(Ruimtestaat[[#This Row],[Code]],Locaties[[#All],[Code]:[Adres]],4,FALSE)</f>
        <v>Dr. Benthemstraat 14</v>
      </c>
      <c r="D401" s="176" t="str">
        <f>VLOOKUP(Ruimtestaat[[#This Row],[Code]],Locaties[[#All],[Code]:[Postcode]],5,FALSE)</f>
        <v>7514 CM</v>
      </c>
      <c r="E401" s="176" t="str">
        <f>VLOOKUP(Ruimtestaat[[#This Row],[Code]],Locaties[#All],6,FALSE)</f>
        <v>Enschede</v>
      </c>
      <c r="F401" s="183"/>
      <c r="G401" s="99" t="s">
        <v>1646</v>
      </c>
      <c r="H401" s="99" t="s">
        <v>1664</v>
      </c>
      <c r="I401" s="183" t="s">
        <v>1651</v>
      </c>
      <c r="J401" s="99">
        <v>16</v>
      </c>
      <c r="K401" s="183" t="str">
        <f>VLOOKUP(Ruimtestaat[[#This Row],[Ruimte code]],Ruimtegroepen[[#All],[Code]:[Ruimte omschrijving]],2,FALSE)</f>
        <v>Leslokalen</v>
      </c>
      <c r="L401" s="99" t="s">
        <v>100</v>
      </c>
      <c r="M401" s="99" t="s">
        <v>1697</v>
      </c>
      <c r="N401" s="177">
        <v>38.200000000000003</v>
      </c>
      <c r="O401" s="177"/>
      <c r="P401" s="178" t="str">
        <f>VLOOKUP(Ruimtestaat[[#This Row],[Ruimte code]],Ruimtegroepen[],4,FALSE)</f>
        <v>Le</v>
      </c>
      <c r="Q401" s="149">
        <v>40</v>
      </c>
      <c r="R401" s="149" t="s">
        <v>2</v>
      </c>
      <c r="S401" s="149">
        <f>IF(Q401&gt;0,IF(RIGHT(Ruimtestaat[[#This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1" s="149">
        <f>IF(S401&gt;0,VLOOKUP($J401,Ruimtegroepen[],3,FALSE)*VLOOKUP($L401,Vloersoorten[],3,FALSE)*VLOOKUP($R401,Frequenties[],3,FALSE)*VLOOKUP($A401,Locaties[],3,FALSE),0)</f>
        <v>0</v>
      </c>
      <c r="U401" s="149">
        <f>Ruimtestaat[[#This Row],[Uitvoeringen werkdagen]]*Ruimtestaat[[#This Row],[Oppervlak (netto)]]</f>
        <v>7640.0000000000009</v>
      </c>
      <c r="V401" s="179">
        <f>IF(T401&gt;0,Ruimtestaat[[#This Row],[Prest. (m2 /jaar) werkdagen]]/Ruimtestaat[[#This Row],[Norm (m2/uur) werkdagen]],0)</f>
        <v>0</v>
      </c>
      <c r="W401" s="180">
        <f>Ruimtestaat[[#This Row],[uren / jaar werkdagen]]*Tariefsopbouw!$E$35</f>
        <v>0</v>
      </c>
      <c r="X401" s="149"/>
      <c r="Y401" s="149">
        <f>IF(Ruimtestaat[[#This Row],[Frequentie weekend]]&gt;0,VALUE(LEFT(X401,1))*Q401,0)</f>
        <v>0</v>
      </c>
      <c r="Z401" s="148">
        <f>IF($Y401&gt;0,VLOOKUP($J401,Ruimtegroepen[],3,FALSE)*VLOOKUP($L401,Vloersoorten[],3,FALSE)*VLOOKUP($X401,Frequenties[],3,FALSE)*VLOOKUP(Ruimtestaat[[#This Row],[Code]],Locaties[],3,FALSE),0)</f>
        <v>0</v>
      </c>
      <c r="AA401" s="148">
        <f>Ruimtestaat[[#This Row],[Uitvoeringen weekend]]*Ruimtestaat[[#This Row],[Oppervlak (netto)]]</f>
        <v>0</v>
      </c>
      <c r="AB401" s="148">
        <f>IF(Z401&gt;0,Ruimtestaat[[#This Row],[Prest. (m2 /jaar) weekend]]/Ruimtestaat[[#This Row],[Norm (m2/uur) weekend]],0)</f>
        <v>0</v>
      </c>
      <c r="AC401" s="180">
        <f>Ruimtestaat[[#This Row],[uren / jaar weekend]]*Tariefsopbouw!$D$40</f>
        <v>0</v>
      </c>
      <c r="AD401" s="179">
        <f>Ruimtestaat[[#This Row],[Prest. (m2 /jaar) weekend]]+Ruimtestaat[[#This Row],[Prest. (m2 /jaar) werkdagen]]</f>
        <v>7640.0000000000009</v>
      </c>
      <c r="AE401" s="179">
        <f>Ruimtestaat[[#This Row],[uren / jaar weekend]]+Ruimtestaat[[#This Row],[uren / jaar werkdagen]]</f>
        <v>0</v>
      </c>
      <c r="AF401" s="174">
        <f>Ruimtestaat[[#This Row],[kosten / jaar weekend]]+Ruimtestaat[[#This Row],[kosten / jaar werkdagen]]</f>
        <v>0</v>
      </c>
      <c r="AG401" s="174"/>
      <c r="AH401" s="181" t="str">
        <f>IF(Ruimtestaat[[#This Row],[Frequentie werkdagen]]="","",_xlfn.CONCAT(Ruimtestaat[[#This Row],[Ruimte code]],"-",Ruimtestaat[[#This Row],[Frequentie werkdagen]]," ",Ruimtestaat[[#This Row],[Vloer code]]))</f>
        <v>16-5w L</v>
      </c>
      <c r="AI401" s="185" t="str">
        <f>_xlfn.IFNA(VLOOKUP($AH401,Programma!$F$3:$G$1101,2,0),"")</f>
        <v>_</v>
      </c>
      <c r="AJ401" s="185" t="str">
        <f>_xlfn.IFNA(VLOOKUP($AH401,Programma!$F$3:$H$1101,3,0),"")</f>
        <v>_</v>
      </c>
      <c r="AK401" s="185" t="str">
        <f>_xlfn.IFNA(VLOOKUP($AH401,Programma!$F$3:$I$1101,4,0),"")</f>
        <v>4w</v>
      </c>
      <c r="AL401" s="185" t="str">
        <f>_xlfn.IFNA(VLOOKUP($AH401,Programma!$F$3:$J$1101,5,0),"")</f>
        <v>1w</v>
      </c>
      <c r="AM401" s="185" t="str">
        <f>_xlfn.IFNA(VLOOKUP($AH401,Programma!$F$3:$K$1101,6,0),"")</f>
        <v>_</v>
      </c>
      <c r="AN401" s="185" t="str">
        <f>_xlfn.IFNA(VLOOKUP($AH401,Programma!$F$3:$L$1101,7,0),"")</f>
        <v>_</v>
      </c>
      <c r="AO401" s="185" t="str">
        <f>_xlfn.IFNA(VLOOKUP($AH401,Programma!$F$3:$M$1101,8,0),"")</f>
        <v>_</v>
      </c>
      <c r="AP401" s="185" t="str">
        <f>_xlfn.IFNA(VLOOKUP($AH401,Programma!$F$3:$N$1101,9,0),"")</f>
        <v>_</v>
      </c>
      <c r="AQ401" s="185" t="str">
        <f>_xlfn.IFNA(VLOOKUP($AH401,Programma!$F$3:$O$1101,10,0),"")</f>
        <v>5w</v>
      </c>
      <c r="AR401" s="185" t="str">
        <f>_xlfn.IFNA(VLOOKUP($AH401,Programma!$F$3:$P$1101,11,0),"")</f>
        <v>5w</v>
      </c>
      <c r="AS401" s="185" t="str">
        <f>_xlfn.IFNA(VLOOKUP($AH401,Programma!$F$3:$Q$1101,12,0),"")</f>
        <v>1w</v>
      </c>
      <c r="AT401" s="185" t="str">
        <f>_xlfn.IFNA(VLOOKUP($AH401,Programma!$F$3:$R$1101,13,0),"")</f>
        <v>1w</v>
      </c>
      <c r="AU401" s="185" t="str">
        <f>_xlfn.IFNA(VLOOKUP($AH401,Programma!$F$3:$S$1101,14,0),"")</f>
        <v>1m</v>
      </c>
      <c r="AV401" s="185" t="str">
        <f>_xlfn.IFNA(VLOOKUP($AH401,Programma!$F$3:$T$1101,15,0),"")</f>
        <v>2j</v>
      </c>
      <c r="AW401" s="185" t="str">
        <f>_xlfn.IFNA(VLOOKUP($AH401,Programma!$F$3:$U$1101,16,0),"")</f>
        <v>1j</v>
      </c>
      <c r="AX401" s="185" t="str">
        <f>_xlfn.IFNA(VLOOKUP($AH401,Programma!$F$3:$V$1101,17,0),"")</f>
        <v>_</v>
      </c>
      <c r="AY401" s="185" t="str">
        <f>_xlfn.IFNA(VLOOKUP($AH401,Programma!$F$3:$W$1101,18,0),"")</f>
        <v>_</v>
      </c>
      <c r="AZ401" s="185" t="str">
        <f>_xlfn.IFNA(VLOOKUP($AH401,Programma!$F$3:$X$1101,19,0),"")</f>
        <v>_</v>
      </c>
      <c r="BA401" s="185" t="str">
        <f>_xlfn.IFNA(VLOOKUP($AH401,Programma!$F$3:$Y$1101,20,0),"")</f>
        <v>_</v>
      </c>
      <c r="BB401" s="182"/>
      <c r="BC401" s="181" t="str">
        <f>IF(Ruimtestaat[[#This Row],[Frequentie weekend]]="","",_xlfn.CONCAT(Ruimtestaat[[#This Row],[Ruimte code]],"-",Ruimtestaat[[#This Row],[Frequentie weekend]]," ",Ruimtestaat[[#This Row],[Vloer code]]))</f>
        <v/>
      </c>
      <c r="BD401" s="185" t="str">
        <f>_xlfn.IFNA(VLOOKUP($BC401,Programma!$F$3:$G$1101,2,0),"")</f>
        <v/>
      </c>
      <c r="BE401" s="185" t="str">
        <f>_xlfn.IFNA(VLOOKUP($BC401,Programma!$F$3:$H$1101,3,0),"")</f>
        <v/>
      </c>
      <c r="BF401" s="185" t="str">
        <f>_xlfn.IFNA(VLOOKUP($BC401,Programma!$F$3:$I$1101,4,0),"")</f>
        <v/>
      </c>
      <c r="BG401" s="185" t="str">
        <f>_xlfn.IFNA(VLOOKUP($BC401,Programma!$F$3:$J$1101,5,0),"")</f>
        <v/>
      </c>
      <c r="BH401" s="185" t="str">
        <f>_xlfn.IFNA(VLOOKUP($BC401,Programma!$F$3:$K$1101,6,0),"")</f>
        <v/>
      </c>
      <c r="BI401" s="185" t="str">
        <f>_xlfn.IFNA(VLOOKUP($BC401,Programma!$F$3:$L$1101,7,0),"")</f>
        <v/>
      </c>
      <c r="BJ401" s="185" t="str">
        <f>_xlfn.IFNA(VLOOKUP($BC401,Programma!$F$3:$M$1101,8,0),"")</f>
        <v/>
      </c>
      <c r="BK401" s="185" t="str">
        <f>_xlfn.IFNA(VLOOKUP($BC401,Programma!$F$3:$N$1101,9,0),"")</f>
        <v/>
      </c>
      <c r="BL401" s="185" t="str">
        <f>_xlfn.IFNA(VLOOKUP($BC401,Programma!$F$3:$O$1101,10,0),"")</f>
        <v/>
      </c>
      <c r="BM401" s="185" t="str">
        <f>_xlfn.IFNA(VLOOKUP($BC401,Programma!$F$3:$P$1101,11,0),"")</f>
        <v/>
      </c>
      <c r="BN401" s="185" t="str">
        <f>_xlfn.IFNA(VLOOKUP($BC401,Programma!$F$3:$Q$1101,12,0),"")</f>
        <v/>
      </c>
      <c r="BO401" s="185" t="str">
        <f>_xlfn.IFNA(VLOOKUP($BC401,Programma!$F$3:$R$1101,13,0),"")</f>
        <v/>
      </c>
      <c r="BP401" s="185" t="str">
        <f>_xlfn.IFNA(VLOOKUP($BC401,Programma!$F$3:$S$1101,14,0),"")</f>
        <v/>
      </c>
      <c r="BQ401" s="185" t="str">
        <f>_xlfn.IFNA(VLOOKUP($BC401,Programma!$F$3:$T$1101,15,0),"")</f>
        <v/>
      </c>
      <c r="BR401" s="185" t="str">
        <f>_xlfn.IFNA(VLOOKUP($BC401,Programma!$F$3:$U$1101,16,0),"")</f>
        <v/>
      </c>
      <c r="BS401" s="185" t="str">
        <f>_xlfn.IFNA(VLOOKUP($BC401,Programma!$F$3:$V$1101,17,0),"")</f>
        <v/>
      </c>
      <c r="BT401" s="185" t="str">
        <f>_xlfn.IFNA(VLOOKUP($BC401,Programma!$F$3:$W$1101,18,0),"")</f>
        <v/>
      </c>
      <c r="BU401" s="185" t="str">
        <f>_xlfn.IFNA(VLOOKUP($BC401,Programma!$F$3:$X$1101,19,0),"")</f>
        <v/>
      </c>
      <c r="BV401" s="185" t="str">
        <f>_xlfn.IFNA(VLOOKUP($BC401,Programma!$F$3:$Y$1101,20,0),"")</f>
        <v/>
      </c>
    </row>
    <row r="402" spans="1:74" s="78" customFormat="1" ht="15" customHeight="1">
      <c r="A402" s="99">
        <v>12</v>
      </c>
      <c r="B402" s="176" t="str">
        <f>VLOOKUP(Ruimtestaat[[#This Row],[Code]],Locaties[[Code]:[Locatie]],2,FALSE)</f>
        <v>OMBS Het Zeggelt (Dr. Benthem)</v>
      </c>
      <c r="C402" s="176" t="str">
        <f>VLOOKUP(Ruimtestaat[[#This Row],[Code]],Locaties[[#All],[Code]:[Adres]],4,FALSE)</f>
        <v>Dr. Benthemstraat 14</v>
      </c>
      <c r="D402" s="176" t="str">
        <f>VLOOKUP(Ruimtestaat[[#This Row],[Code]],Locaties[[#All],[Code]:[Postcode]],5,FALSE)</f>
        <v>7514 CM</v>
      </c>
      <c r="E402" s="176" t="str">
        <f>VLOOKUP(Ruimtestaat[[#This Row],[Code]],Locaties[#All],6,FALSE)</f>
        <v>Enschede</v>
      </c>
      <c r="F402" s="183"/>
      <c r="G402" s="99" t="s">
        <v>1646</v>
      </c>
      <c r="H402" s="99" t="s">
        <v>1666</v>
      </c>
      <c r="I402" s="183" t="s">
        <v>1649</v>
      </c>
      <c r="J402" s="99">
        <v>2</v>
      </c>
      <c r="K402" s="183" t="str">
        <f>VLOOKUP(Ruimtestaat[[#This Row],[Ruimte code]],Ruimtegroepen[[#All],[Code]:[Ruimte omschrijving]],2,FALSE)</f>
        <v>Kantoren</v>
      </c>
      <c r="L402" s="99" t="s">
        <v>101</v>
      </c>
      <c r="M402" s="99" t="s">
        <v>1682</v>
      </c>
      <c r="N402" s="177">
        <v>11.9</v>
      </c>
      <c r="O402" s="177"/>
      <c r="P402" s="178" t="str">
        <f>VLOOKUP(Ruimtestaat[[#This Row],[Ruimte code]],Ruimtegroepen[],4,FALSE)</f>
        <v>Bu</v>
      </c>
      <c r="Q402" s="149">
        <v>40</v>
      </c>
      <c r="R402" s="149" t="s">
        <v>18</v>
      </c>
      <c r="S402" s="149">
        <f>IF(Q402&gt;0,IF(RIGHT(Ruimtestaat[[#This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02" s="149">
        <f>IF(S402&gt;0,VLOOKUP($J402,Ruimtegroepen[],3,FALSE)*VLOOKUP($L402,Vloersoorten[],3,FALSE)*VLOOKUP($R402,Frequenties[],3,FALSE)*VLOOKUP($A402,Locaties[],3,FALSE),0)</f>
        <v>0</v>
      </c>
      <c r="U402" s="149">
        <f>Ruimtestaat[[#This Row],[Uitvoeringen werkdagen]]*Ruimtestaat[[#This Row],[Oppervlak (netto)]]</f>
        <v>1428</v>
      </c>
      <c r="V402" s="179">
        <f>IF(T402&gt;0,Ruimtestaat[[#This Row],[Prest. (m2 /jaar) werkdagen]]/Ruimtestaat[[#This Row],[Norm (m2/uur) werkdagen]],0)</f>
        <v>0</v>
      </c>
      <c r="W402" s="180">
        <f>Ruimtestaat[[#This Row],[uren / jaar werkdagen]]*Tariefsopbouw!$E$35</f>
        <v>0</v>
      </c>
      <c r="X402" s="149"/>
      <c r="Y402" s="149">
        <f>IF(Ruimtestaat[[#This Row],[Frequentie weekend]]&gt;0,VALUE(LEFT(X402,1))*Q402,0)</f>
        <v>0</v>
      </c>
      <c r="Z402" s="148">
        <f>IF($Y402&gt;0,VLOOKUP($J402,Ruimtegroepen[],3,FALSE)*VLOOKUP($L402,Vloersoorten[],3,FALSE)*VLOOKUP($X402,Frequenties[],3,FALSE)*VLOOKUP(Ruimtestaat[[#This Row],[Code]],Locaties[],3,FALSE),0)</f>
        <v>0</v>
      </c>
      <c r="AA402" s="148">
        <f>Ruimtestaat[[#This Row],[Uitvoeringen weekend]]*Ruimtestaat[[#This Row],[Oppervlak (netto)]]</f>
        <v>0</v>
      </c>
      <c r="AB402" s="148">
        <f>IF(Z402&gt;0,Ruimtestaat[[#This Row],[Prest. (m2 /jaar) weekend]]/Ruimtestaat[[#This Row],[Norm (m2/uur) weekend]],0)</f>
        <v>0</v>
      </c>
      <c r="AC402" s="180">
        <f>Ruimtestaat[[#This Row],[uren / jaar weekend]]*Tariefsopbouw!$D$40</f>
        <v>0</v>
      </c>
      <c r="AD402" s="179">
        <f>Ruimtestaat[[#This Row],[Prest. (m2 /jaar) weekend]]+Ruimtestaat[[#This Row],[Prest. (m2 /jaar) werkdagen]]</f>
        <v>1428</v>
      </c>
      <c r="AE402" s="179">
        <f>Ruimtestaat[[#This Row],[uren / jaar weekend]]+Ruimtestaat[[#This Row],[uren / jaar werkdagen]]</f>
        <v>0</v>
      </c>
      <c r="AF402" s="174">
        <f>Ruimtestaat[[#This Row],[kosten / jaar weekend]]+Ruimtestaat[[#This Row],[kosten / jaar werkdagen]]</f>
        <v>0</v>
      </c>
      <c r="AG402" s="174"/>
      <c r="AH402" s="181" t="str">
        <f>IF(Ruimtestaat[[#This Row],[Frequentie werkdagen]]="","",_xlfn.CONCAT(Ruimtestaat[[#This Row],[Ruimte code]],"-",Ruimtestaat[[#This Row],[Frequentie werkdagen]]," ",Ruimtestaat[[#This Row],[Vloer code]]))</f>
        <v>2-3w S</v>
      </c>
      <c r="AI402" s="185" t="str">
        <f>_xlfn.IFNA(VLOOKUP($AH402,Programma!$F$3:$G$1101,2,0),"")</f>
        <v>_</v>
      </c>
      <c r="AJ402" s="185" t="str">
        <f>_xlfn.IFNA(VLOOKUP($AH402,Programma!$F$3:$H$1101,3,0),"")</f>
        <v>_</v>
      </c>
      <c r="AK402" s="185" t="str">
        <f>_xlfn.IFNA(VLOOKUP($AH402,Programma!$F$3:$I$1101,4,0),"")</f>
        <v>2w</v>
      </c>
      <c r="AL402" s="185" t="str">
        <f>_xlfn.IFNA(VLOOKUP($AH402,Programma!$F$3:$J$1101,5,0),"")</f>
        <v>1w</v>
      </c>
      <c r="AM402" s="185" t="str">
        <f>_xlfn.IFNA(VLOOKUP($AH402,Programma!$F$3:$K$1101,6,0),"")</f>
        <v>1j</v>
      </c>
      <c r="AN402" s="185" t="str">
        <f>_xlfn.IFNA(VLOOKUP($AH402,Programma!$F$3:$L$1101,7,0),"")</f>
        <v>_</v>
      </c>
      <c r="AO402" s="185" t="str">
        <f>_xlfn.IFNA(VLOOKUP($AH402,Programma!$F$3:$M$1101,8,0),"")</f>
        <v>_</v>
      </c>
      <c r="AP402" s="185" t="str">
        <f>_xlfn.IFNA(VLOOKUP($AH402,Programma!$F$3:$N$1101,9,0),"")</f>
        <v>_</v>
      </c>
      <c r="AQ402" s="185" t="str">
        <f>_xlfn.IFNA(VLOOKUP($AH402,Programma!$F$3:$O$1101,10,0),"")</f>
        <v>3w</v>
      </c>
      <c r="AR402" s="185" t="str">
        <f>_xlfn.IFNA(VLOOKUP($AH402,Programma!$F$3:$P$1101,11,0),"")</f>
        <v>3w</v>
      </c>
      <c r="AS402" s="185" t="str">
        <f>_xlfn.IFNA(VLOOKUP($AH402,Programma!$F$3:$Q$1101,12,0),"")</f>
        <v>1w</v>
      </c>
      <c r="AT402" s="185" t="str">
        <f>_xlfn.IFNA(VLOOKUP($AH402,Programma!$F$3:$R$1101,13,0),"")</f>
        <v>1w</v>
      </c>
      <c r="AU402" s="185" t="str">
        <f>_xlfn.IFNA(VLOOKUP($AH402,Programma!$F$3:$S$1101,14,0),"")</f>
        <v>1m</v>
      </c>
      <c r="AV402" s="185" t="str">
        <f>_xlfn.IFNA(VLOOKUP($AH402,Programma!$F$3:$T$1101,15,0),"")</f>
        <v>2j</v>
      </c>
      <c r="AW402" s="185" t="str">
        <f>_xlfn.IFNA(VLOOKUP($AH402,Programma!$F$3:$U$1101,16,0),"")</f>
        <v>1j</v>
      </c>
      <c r="AX402" s="185" t="str">
        <f>_xlfn.IFNA(VLOOKUP($AH402,Programma!$F$3:$V$1101,17,0),"")</f>
        <v>_</v>
      </c>
      <c r="AY402" s="185" t="str">
        <f>_xlfn.IFNA(VLOOKUP($AH402,Programma!$F$3:$W$1101,18,0),"")</f>
        <v>_</v>
      </c>
      <c r="AZ402" s="185" t="str">
        <f>_xlfn.IFNA(VLOOKUP($AH402,Programma!$F$3:$X$1101,19,0),"")</f>
        <v>_</v>
      </c>
      <c r="BA402" s="185" t="str">
        <f>_xlfn.IFNA(VLOOKUP($AH402,Programma!$F$3:$Y$1101,20,0),"")</f>
        <v>_</v>
      </c>
      <c r="BB402" s="182"/>
      <c r="BC402" s="181" t="str">
        <f>IF(Ruimtestaat[[#This Row],[Frequentie weekend]]="","",_xlfn.CONCAT(Ruimtestaat[[#This Row],[Ruimte code]],"-",Ruimtestaat[[#This Row],[Frequentie weekend]]," ",Ruimtestaat[[#This Row],[Vloer code]]))</f>
        <v/>
      </c>
      <c r="BD402" s="185" t="str">
        <f>_xlfn.IFNA(VLOOKUP($BC402,Programma!$F$3:$G$1101,2,0),"")</f>
        <v/>
      </c>
      <c r="BE402" s="185" t="str">
        <f>_xlfn.IFNA(VLOOKUP($BC402,Programma!$F$3:$H$1101,3,0),"")</f>
        <v/>
      </c>
      <c r="BF402" s="185" t="str">
        <f>_xlfn.IFNA(VLOOKUP($BC402,Programma!$F$3:$I$1101,4,0),"")</f>
        <v/>
      </c>
      <c r="BG402" s="185" t="str">
        <f>_xlfn.IFNA(VLOOKUP($BC402,Programma!$F$3:$J$1101,5,0),"")</f>
        <v/>
      </c>
      <c r="BH402" s="185" t="str">
        <f>_xlfn.IFNA(VLOOKUP($BC402,Programma!$F$3:$K$1101,6,0),"")</f>
        <v/>
      </c>
      <c r="BI402" s="185" t="str">
        <f>_xlfn.IFNA(VLOOKUP($BC402,Programma!$F$3:$L$1101,7,0),"")</f>
        <v/>
      </c>
      <c r="BJ402" s="185" t="str">
        <f>_xlfn.IFNA(VLOOKUP($BC402,Programma!$F$3:$M$1101,8,0),"")</f>
        <v/>
      </c>
      <c r="BK402" s="185" t="str">
        <f>_xlfn.IFNA(VLOOKUP($BC402,Programma!$F$3:$N$1101,9,0),"")</f>
        <v/>
      </c>
      <c r="BL402" s="185" t="str">
        <f>_xlfn.IFNA(VLOOKUP($BC402,Programma!$F$3:$O$1101,10,0),"")</f>
        <v/>
      </c>
      <c r="BM402" s="185" t="str">
        <f>_xlfn.IFNA(VLOOKUP($BC402,Programma!$F$3:$P$1101,11,0),"")</f>
        <v/>
      </c>
      <c r="BN402" s="185" t="str">
        <f>_xlfn.IFNA(VLOOKUP($BC402,Programma!$F$3:$Q$1101,12,0),"")</f>
        <v/>
      </c>
      <c r="BO402" s="185" t="str">
        <f>_xlfn.IFNA(VLOOKUP($BC402,Programma!$F$3:$R$1101,13,0),"")</f>
        <v/>
      </c>
      <c r="BP402" s="185" t="str">
        <f>_xlfn.IFNA(VLOOKUP($BC402,Programma!$F$3:$S$1101,14,0),"")</f>
        <v/>
      </c>
      <c r="BQ402" s="185" t="str">
        <f>_xlfn.IFNA(VLOOKUP($BC402,Programma!$F$3:$T$1101,15,0),"")</f>
        <v/>
      </c>
      <c r="BR402" s="185" t="str">
        <f>_xlfn.IFNA(VLOOKUP($BC402,Programma!$F$3:$U$1101,16,0),"")</f>
        <v/>
      </c>
      <c r="BS402" s="185" t="str">
        <f>_xlfn.IFNA(VLOOKUP($BC402,Programma!$F$3:$V$1101,17,0),"")</f>
        <v/>
      </c>
      <c r="BT402" s="185" t="str">
        <f>_xlfn.IFNA(VLOOKUP($BC402,Programma!$F$3:$W$1101,18,0),"")</f>
        <v/>
      </c>
      <c r="BU402" s="185" t="str">
        <f>_xlfn.IFNA(VLOOKUP($BC402,Programma!$F$3:$X$1101,19,0),"")</f>
        <v/>
      </c>
      <c r="BV402" s="185" t="str">
        <f>_xlfn.IFNA(VLOOKUP($BC402,Programma!$F$3:$Y$1101,20,0),"")</f>
        <v/>
      </c>
    </row>
    <row r="403" spans="1:74" s="78" customFormat="1" ht="15" customHeight="1">
      <c r="A403" s="99">
        <v>12</v>
      </c>
      <c r="B403" s="176" t="str">
        <f>VLOOKUP(Ruimtestaat[[#This Row],[Code]],Locaties[[Code]:[Locatie]],2,FALSE)</f>
        <v>OMBS Het Zeggelt (Dr. Benthem)</v>
      </c>
      <c r="C403" s="176" t="str">
        <f>VLOOKUP(Ruimtestaat[[#This Row],[Code]],Locaties[[#All],[Code]:[Adres]],4,FALSE)</f>
        <v>Dr. Benthemstraat 14</v>
      </c>
      <c r="D403" s="176" t="str">
        <f>VLOOKUP(Ruimtestaat[[#This Row],[Code]],Locaties[[#All],[Code]:[Postcode]],5,FALSE)</f>
        <v>7514 CM</v>
      </c>
      <c r="E403" s="176" t="str">
        <f>VLOOKUP(Ruimtestaat[[#This Row],[Code]],Locaties[#All],6,FALSE)</f>
        <v>Enschede</v>
      </c>
      <c r="F403" s="183"/>
      <c r="G403" s="99" t="s">
        <v>1646</v>
      </c>
      <c r="H403" s="99" t="s">
        <v>1668</v>
      </c>
      <c r="I403" s="183" t="s">
        <v>38</v>
      </c>
      <c r="J403" s="99">
        <v>7</v>
      </c>
      <c r="K403" s="183" t="str">
        <f>VLOOKUP(Ruimtestaat[[#This Row],[Ruimte code]],Ruimtegroepen[[#All],[Code]:[Ruimte omschrijving]],2,FALSE)</f>
        <v>Entree</v>
      </c>
      <c r="L403" s="99" t="s">
        <v>99</v>
      </c>
      <c r="M403" s="99" t="s">
        <v>1700</v>
      </c>
      <c r="N403" s="177">
        <v>5.4</v>
      </c>
      <c r="O403" s="177"/>
      <c r="P403" s="178" t="str">
        <f>VLOOKUP(Ruimtestaat[[#This Row],[Ruimte code]],Ruimtegroepen[],4,FALSE)</f>
        <v>Ve</v>
      </c>
      <c r="Q403" s="149">
        <v>40</v>
      </c>
      <c r="R403" s="149" t="s">
        <v>2</v>
      </c>
      <c r="S403" s="149">
        <f>IF(Q403&gt;0,IF(RIGHT(Ruimtestaat[[#This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3" s="149">
        <f>IF(S403&gt;0,VLOOKUP($J403,Ruimtegroepen[],3,FALSE)*VLOOKUP($L403,Vloersoorten[],3,FALSE)*VLOOKUP($R403,Frequenties[],3,FALSE)*VLOOKUP($A403,Locaties[],3,FALSE),0)</f>
        <v>0</v>
      </c>
      <c r="U403" s="149">
        <f>Ruimtestaat[[#This Row],[Uitvoeringen werkdagen]]*Ruimtestaat[[#This Row],[Oppervlak (netto)]]</f>
        <v>1080</v>
      </c>
      <c r="V403" s="179">
        <f>IF(T403&gt;0,Ruimtestaat[[#This Row],[Prest. (m2 /jaar) werkdagen]]/Ruimtestaat[[#This Row],[Norm (m2/uur) werkdagen]],0)</f>
        <v>0</v>
      </c>
      <c r="W403" s="180">
        <f>Ruimtestaat[[#This Row],[uren / jaar werkdagen]]*Tariefsopbouw!$E$35</f>
        <v>0</v>
      </c>
      <c r="X403" s="149"/>
      <c r="Y403" s="149">
        <f>IF(Ruimtestaat[[#This Row],[Frequentie weekend]]&gt;0,VALUE(LEFT(X403,1))*Q403,0)</f>
        <v>0</v>
      </c>
      <c r="Z403" s="148">
        <f>IF($Y403&gt;0,VLOOKUP($J403,Ruimtegroepen[],3,FALSE)*VLOOKUP($L403,Vloersoorten[],3,FALSE)*VLOOKUP($X403,Frequenties[],3,FALSE)*VLOOKUP(Ruimtestaat[[#This Row],[Code]],Locaties[],3,FALSE),0)</f>
        <v>0</v>
      </c>
      <c r="AA403" s="148">
        <f>Ruimtestaat[[#This Row],[Uitvoeringen weekend]]*Ruimtestaat[[#This Row],[Oppervlak (netto)]]</f>
        <v>0</v>
      </c>
      <c r="AB403" s="148">
        <f>IF(Z403&gt;0,Ruimtestaat[[#This Row],[Prest. (m2 /jaar) weekend]]/Ruimtestaat[[#This Row],[Norm (m2/uur) weekend]],0)</f>
        <v>0</v>
      </c>
      <c r="AC403" s="180">
        <f>Ruimtestaat[[#This Row],[uren / jaar weekend]]*Tariefsopbouw!$D$40</f>
        <v>0</v>
      </c>
      <c r="AD403" s="179">
        <f>Ruimtestaat[[#This Row],[Prest. (m2 /jaar) weekend]]+Ruimtestaat[[#This Row],[Prest. (m2 /jaar) werkdagen]]</f>
        <v>1080</v>
      </c>
      <c r="AE403" s="179">
        <f>Ruimtestaat[[#This Row],[uren / jaar weekend]]+Ruimtestaat[[#This Row],[uren / jaar werkdagen]]</f>
        <v>0</v>
      </c>
      <c r="AF403" s="174">
        <f>Ruimtestaat[[#This Row],[kosten / jaar weekend]]+Ruimtestaat[[#This Row],[kosten / jaar werkdagen]]</f>
        <v>0</v>
      </c>
      <c r="AG403" s="174"/>
      <c r="AH403" s="181" t="str">
        <f>IF(Ruimtestaat[[#This Row],[Frequentie werkdagen]]="","",_xlfn.CONCAT(Ruimtestaat[[#This Row],[Ruimte code]],"-",Ruimtestaat[[#This Row],[Frequentie werkdagen]]," ",Ruimtestaat[[#This Row],[Vloer code]]))</f>
        <v>7-5w T</v>
      </c>
      <c r="AI403" s="185" t="str">
        <f>_xlfn.IFNA(VLOOKUP($AH403,Programma!$F$3:$G$1101,2,0),"")</f>
        <v>_</v>
      </c>
      <c r="AJ403" s="185" t="str">
        <f>_xlfn.IFNA(VLOOKUP($AH403,Programma!$F$3:$H$1101,3,0),"")</f>
        <v>5w</v>
      </c>
      <c r="AK403" s="185" t="str">
        <f>_xlfn.IFNA(VLOOKUP($AH403,Programma!$F$3:$I$1101,4,0),"")</f>
        <v>_</v>
      </c>
      <c r="AL403" s="185" t="str">
        <f>_xlfn.IFNA(VLOOKUP($AH403,Programma!$F$3:$J$1101,5,0),"")</f>
        <v>_</v>
      </c>
      <c r="AM403" s="185" t="str">
        <f>_xlfn.IFNA(VLOOKUP($AH403,Programma!$F$3:$K$1101,6,0),"")</f>
        <v>_</v>
      </c>
      <c r="AN403" s="185" t="str">
        <f>_xlfn.IFNA(VLOOKUP($AH403,Programma!$F$3:$L$1101,7,0),"")</f>
        <v>_</v>
      </c>
      <c r="AO403" s="185" t="str">
        <f>_xlfn.IFNA(VLOOKUP($AH403,Programma!$F$3:$M$1101,8,0),"")</f>
        <v>_</v>
      </c>
      <c r="AP403" s="185" t="str">
        <f>_xlfn.IFNA(VLOOKUP($AH403,Programma!$F$3:$N$1101,9,0),"")</f>
        <v>_</v>
      </c>
      <c r="AQ403" s="185" t="str">
        <f>_xlfn.IFNA(VLOOKUP($AH403,Programma!$F$3:$O$1101,10,0),"")</f>
        <v>5w</v>
      </c>
      <c r="AR403" s="185" t="str">
        <f>_xlfn.IFNA(VLOOKUP($AH403,Programma!$F$3:$P$1101,11,0),"")</f>
        <v>5w</v>
      </c>
      <c r="AS403" s="185" t="str">
        <f>_xlfn.IFNA(VLOOKUP($AH403,Programma!$F$3:$Q$1101,12,0),"")</f>
        <v>1w</v>
      </c>
      <c r="AT403" s="185" t="str">
        <f>_xlfn.IFNA(VLOOKUP($AH403,Programma!$F$3:$R$1101,13,0),"")</f>
        <v>1w</v>
      </c>
      <c r="AU403" s="185" t="str">
        <f>_xlfn.IFNA(VLOOKUP($AH403,Programma!$F$3:$S$1101,14,0),"")</f>
        <v>1m</v>
      </c>
      <c r="AV403" s="185" t="str">
        <f>_xlfn.IFNA(VLOOKUP($AH403,Programma!$F$3:$T$1101,15,0),"")</f>
        <v>2j</v>
      </c>
      <c r="AW403" s="185" t="str">
        <f>_xlfn.IFNA(VLOOKUP($AH403,Programma!$F$3:$U$1101,16,0),"")</f>
        <v>1j</v>
      </c>
      <c r="AX403" s="185" t="str">
        <f>_xlfn.IFNA(VLOOKUP($AH403,Programma!$F$3:$V$1101,17,0),"")</f>
        <v>_</v>
      </c>
      <c r="AY403" s="185" t="str">
        <f>_xlfn.IFNA(VLOOKUP($AH403,Programma!$F$3:$W$1101,18,0),"")</f>
        <v>_</v>
      </c>
      <c r="AZ403" s="185" t="str">
        <f>_xlfn.IFNA(VLOOKUP($AH403,Programma!$F$3:$X$1101,19,0),"")</f>
        <v>_</v>
      </c>
      <c r="BA403" s="185" t="str">
        <f>_xlfn.IFNA(VLOOKUP($AH403,Programma!$F$3:$Y$1101,20,0),"")</f>
        <v>_</v>
      </c>
      <c r="BB403" s="182"/>
      <c r="BC403" s="181" t="str">
        <f>IF(Ruimtestaat[[#This Row],[Frequentie weekend]]="","",_xlfn.CONCAT(Ruimtestaat[[#This Row],[Ruimte code]],"-",Ruimtestaat[[#This Row],[Frequentie weekend]]," ",Ruimtestaat[[#This Row],[Vloer code]]))</f>
        <v/>
      </c>
      <c r="BD403" s="185" t="str">
        <f>_xlfn.IFNA(VLOOKUP($BC403,Programma!$F$3:$G$1101,2,0),"")</f>
        <v/>
      </c>
      <c r="BE403" s="185" t="str">
        <f>_xlfn.IFNA(VLOOKUP($BC403,Programma!$F$3:$H$1101,3,0),"")</f>
        <v/>
      </c>
      <c r="BF403" s="185" t="str">
        <f>_xlfn.IFNA(VLOOKUP($BC403,Programma!$F$3:$I$1101,4,0),"")</f>
        <v/>
      </c>
      <c r="BG403" s="185" t="str">
        <f>_xlfn.IFNA(VLOOKUP($BC403,Programma!$F$3:$J$1101,5,0),"")</f>
        <v/>
      </c>
      <c r="BH403" s="185" t="str">
        <f>_xlfn.IFNA(VLOOKUP($BC403,Programma!$F$3:$K$1101,6,0),"")</f>
        <v/>
      </c>
      <c r="BI403" s="185" t="str">
        <f>_xlfn.IFNA(VLOOKUP($BC403,Programma!$F$3:$L$1101,7,0),"")</f>
        <v/>
      </c>
      <c r="BJ403" s="185" t="str">
        <f>_xlfn.IFNA(VLOOKUP($BC403,Programma!$F$3:$M$1101,8,0),"")</f>
        <v/>
      </c>
      <c r="BK403" s="185" t="str">
        <f>_xlfn.IFNA(VLOOKUP($BC403,Programma!$F$3:$N$1101,9,0),"")</f>
        <v/>
      </c>
      <c r="BL403" s="185" t="str">
        <f>_xlfn.IFNA(VLOOKUP($BC403,Programma!$F$3:$O$1101,10,0),"")</f>
        <v/>
      </c>
      <c r="BM403" s="185" t="str">
        <f>_xlfn.IFNA(VLOOKUP($BC403,Programma!$F$3:$P$1101,11,0),"")</f>
        <v/>
      </c>
      <c r="BN403" s="185" t="str">
        <f>_xlfn.IFNA(VLOOKUP($BC403,Programma!$F$3:$Q$1101,12,0),"")</f>
        <v/>
      </c>
      <c r="BO403" s="185" t="str">
        <f>_xlfn.IFNA(VLOOKUP($BC403,Programma!$F$3:$R$1101,13,0),"")</f>
        <v/>
      </c>
      <c r="BP403" s="185" t="str">
        <f>_xlfn.IFNA(VLOOKUP($BC403,Programma!$F$3:$S$1101,14,0),"")</f>
        <v/>
      </c>
      <c r="BQ403" s="185" t="str">
        <f>_xlfn.IFNA(VLOOKUP($BC403,Programma!$F$3:$T$1101,15,0),"")</f>
        <v/>
      </c>
      <c r="BR403" s="185" t="str">
        <f>_xlfn.IFNA(VLOOKUP($BC403,Programma!$F$3:$U$1101,16,0),"")</f>
        <v/>
      </c>
      <c r="BS403" s="185" t="str">
        <f>_xlfn.IFNA(VLOOKUP($BC403,Programma!$F$3:$V$1101,17,0),"")</f>
        <v/>
      </c>
      <c r="BT403" s="185" t="str">
        <f>_xlfn.IFNA(VLOOKUP($BC403,Programma!$F$3:$W$1101,18,0),"")</f>
        <v/>
      </c>
      <c r="BU403" s="185" t="str">
        <f>_xlfn.IFNA(VLOOKUP($BC403,Programma!$F$3:$X$1101,19,0),"")</f>
        <v/>
      </c>
      <c r="BV403" s="185" t="str">
        <f>_xlfn.IFNA(VLOOKUP($BC403,Programma!$F$3:$Y$1101,20,0),"")</f>
        <v/>
      </c>
    </row>
    <row r="404" spans="1:74" s="78" customFormat="1" ht="15" customHeight="1">
      <c r="A404" s="99">
        <v>12</v>
      </c>
      <c r="B404" s="176" t="str">
        <f>VLOOKUP(Ruimtestaat[[#This Row],[Code]],Locaties[[Code]:[Locatie]],2,FALSE)</f>
        <v>OMBS Het Zeggelt (Dr. Benthem)</v>
      </c>
      <c r="C404" s="176" t="str">
        <f>VLOOKUP(Ruimtestaat[[#This Row],[Code]],Locaties[[#All],[Code]:[Adres]],4,FALSE)</f>
        <v>Dr. Benthemstraat 14</v>
      </c>
      <c r="D404" s="176" t="str">
        <f>VLOOKUP(Ruimtestaat[[#This Row],[Code]],Locaties[[#All],[Code]:[Postcode]],5,FALSE)</f>
        <v>7514 CM</v>
      </c>
      <c r="E404" s="176" t="str">
        <f>VLOOKUP(Ruimtestaat[[#This Row],[Code]],Locaties[#All],6,FALSE)</f>
        <v>Enschede</v>
      </c>
      <c r="F404" s="183"/>
      <c r="G404" s="99" t="s">
        <v>1646</v>
      </c>
      <c r="H404" s="99" t="s">
        <v>1669</v>
      </c>
      <c r="I404" s="183" t="s">
        <v>1658</v>
      </c>
      <c r="J404" s="99">
        <v>6</v>
      </c>
      <c r="K404" s="183" t="str">
        <f>VLOOKUP(Ruimtestaat[[#This Row],[Ruimte code]],Ruimtegroepen[[#All],[Code]:[Ruimte omschrijving]],2,FALSE)</f>
        <v>Gangen/hallen</v>
      </c>
      <c r="L404" s="99" t="s">
        <v>100</v>
      </c>
      <c r="M404" s="99" t="s">
        <v>1697</v>
      </c>
      <c r="N404" s="177">
        <v>35.700000000000003</v>
      </c>
      <c r="O404" s="177"/>
      <c r="P404" s="178" t="str">
        <f>VLOOKUP(Ruimtestaat[[#This Row],[Ruimte code]],Ruimtegroepen[],4,FALSE)</f>
        <v>Ve</v>
      </c>
      <c r="Q404" s="149">
        <v>40</v>
      </c>
      <c r="R404" s="149" t="s">
        <v>2</v>
      </c>
      <c r="S404" s="149">
        <f>IF(Q404&gt;0,IF(RIGHT(Ruimtestaat[[#This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4" s="149">
        <f>IF(S404&gt;0,VLOOKUP($J404,Ruimtegroepen[],3,FALSE)*VLOOKUP($L404,Vloersoorten[],3,FALSE)*VLOOKUP($R404,Frequenties[],3,FALSE)*VLOOKUP($A404,Locaties[],3,FALSE),0)</f>
        <v>0</v>
      </c>
      <c r="U404" s="149">
        <f>Ruimtestaat[[#This Row],[Uitvoeringen werkdagen]]*Ruimtestaat[[#This Row],[Oppervlak (netto)]]</f>
        <v>7140.0000000000009</v>
      </c>
      <c r="V404" s="179">
        <f>IF(T404&gt;0,Ruimtestaat[[#This Row],[Prest. (m2 /jaar) werkdagen]]/Ruimtestaat[[#This Row],[Norm (m2/uur) werkdagen]],0)</f>
        <v>0</v>
      </c>
      <c r="W404" s="180">
        <f>Ruimtestaat[[#This Row],[uren / jaar werkdagen]]*Tariefsopbouw!$E$35</f>
        <v>0</v>
      </c>
      <c r="X404" s="149"/>
      <c r="Y404" s="149">
        <f>IF(Ruimtestaat[[#This Row],[Frequentie weekend]]&gt;0,VALUE(LEFT(X404,1))*Q404,0)</f>
        <v>0</v>
      </c>
      <c r="Z404" s="148">
        <f>IF($Y404&gt;0,VLOOKUP($J404,Ruimtegroepen[],3,FALSE)*VLOOKUP($L404,Vloersoorten[],3,FALSE)*VLOOKUP($X404,Frequenties[],3,FALSE)*VLOOKUP(Ruimtestaat[[#This Row],[Code]],Locaties[],3,FALSE),0)</f>
        <v>0</v>
      </c>
      <c r="AA404" s="148">
        <f>Ruimtestaat[[#This Row],[Uitvoeringen weekend]]*Ruimtestaat[[#This Row],[Oppervlak (netto)]]</f>
        <v>0</v>
      </c>
      <c r="AB404" s="148">
        <f>IF(Z404&gt;0,Ruimtestaat[[#This Row],[Prest. (m2 /jaar) weekend]]/Ruimtestaat[[#This Row],[Norm (m2/uur) weekend]],0)</f>
        <v>0</v>
      </c>
      <c r="AC404" s="180">
        <f>Ruimtestaat[[#This Row],[uren / jaar weekend]]*Tariefsopbouw!$D$40</f>
        <v>0</v>
      </c>
      <c r="AD404" s="179">
        <f>Ruimtestaat[[#This Row],[Prest. (m2 /jaar) weekend]]+Ruimtestaat[[#This Row],[Prest. (m2 /jaar) werkdagen]]</f>
        <v>7140.0000000000009</v>
      </c>
      <c r="AE404" s="179">
        <f>Ruimtestaat[[#This Row],[uren / jaar weekend]]+Ruimtestaat[[#This Row],[uren / jaar werkdagen]]</f>
        <v>0</v>
      </c>
      <c r="AF404" s="174">
        <f>Ruimtestaat[[#This Row],[kosten / jaar weekend]]+Ruimtestaat[[#This Row],[kosten / jaar werkdagen]]</f>
        <v>0</v>
      </c>
      <c r="AG404" s="174"/>
      <c r="AH404" s="181" t="str">
        <f>IF(Ruimtestaat[[#This Row],[Frequentie werkdagen]]="","",_xlfn.CONCAT(Ruimtestaat[[#This Row],[Ruimte code]],"-",Ruimtestaat[[#This Row],[Frequentie werkdagen]]," ",Ruimtestaat[[#This Row],[Vloer code]]))</f>
        <v>6-5w L</v>
      </c>
      <c r="AI404" s="185" t="str">
        <f>_xlfn.IFNA(VLOOKUP($AH404,Programma!$F$3:$G$1101,2,0),"")</f>
        <v>_</v>
      </c>
      <c r="AJ404" s="185" t="str">
        <f>_xlfn.IFNA(VLOOKUP($AH404,Programma!$F$3:$H$1101,3,0),"")</f>
        <v>_</v>
      </c>
      <c r="AK404" s="185" t="str">
        <f>_xlfn.IFNA(VLOOKUP($AH404,Programma!$F$3:$I$1101,4,0),"")</f>
        <v>_</v>
      </c>
      <c r="AL404" s="185" t="str">
        <f>_xlfn.IFNA(VLOOKUP($AH404,Programma!$F$3:$J$1101,5,0),"")</f>
        <v>5w</v>
      </c>
      <c r="AM404" s="185" t="str">
        <f>_xlfn.IFNA(VLOOKUP($AH404,Programma!$F$3:$K$1101,6,0),"")</f>
        <v>_</v>
      </c>
      <c r="AN404" s="185" t="str">
        <f>_xlfn.IFNA(VLOOKUP($AH404,Programma!$F$3:$L$1101,7,0),"")</f>
        <v>_</v>
      </c>
      <c r="AO404" s="185" t="str">
        <f>_xlfn.IFNA(VLOOKUP($AH404,Programma!$F$3:$M$1101,8,0),"")</f>
        <v>_</v>
      </c>
      <c r="AP404" s="185" t="str">
        <f>_xlfn.IFNA(VLOOKUP($AH404,Programma!$F$3:$N$1101,9,0),"")</f>
        <v>_</v>
      </c>
      <c r="AQ404" s="185" t="str">
        <f>_xlfn.IFNA(VLOOKUP($AH404,Programma!$F$3:$O$1101,10,0),"")</f>
        <v>5w</v>
      </c>
      <c r="AR404" s="185" t="str">
        <f>_xlfn.IFNA(VLOOKUP($AH404,Programma!$F$3:$P$1101,11,0),"")</f>
        <v>5w</v>
      </c>
      <c r="AS404" s="185" t="str">
        <f>_xlfn.IFNA(VLOOKUP($AH404,Programma!$F$3:$Q$1101,12,0),"")</f>
        <v>1w</v>
      </c>
      <c r="AT404" s="185" t="str">
        <f>_xlfn.IFNA(VLOOKUP($AH404,Programma!$F$3:$R$1101,13,0),"")</f>
        <v>1w</v>
      </c>
      <c r="AU404" s="185" t="str">
        <f>_xlfn.IFNA(VLOOKUP($AH404,Programma!$F$3:$S$1101,14,0),"")</f>
        <v>1m</v>
      </c>
      <c r="AV404" s="185" t="str">
        <f>_xlfn.IFNA(VLOOKUP($AH404,Programma!$F$3:$T$1101,15,0),"")</f>
        <v>2j</v>
      </c>
      <c r="AW404" s="185" t="str">
        <f>_xlfn.IFNA(VLOOKUP($AH404,Programma!$F$3:$U$1101,16,0),"")</f>
        <v>1j</v>
      </c>
      <c r="AX404" s="185" t="str">
        <f>_xlfn.IFNA(VLOOKUP($AH404,Programma!$F$3:$V$1101,17,0),"")</f>
        <v>_</v>
      </c>
      <c r="AY404" s="185" t="str">
        <f>_xlfn.IFNA(VLOOKUP($AH404,Programma!$F$3:$W$1101,18,0),"")</f>
        <v>_</v>
      </c>
      <c r="AZ404" s="185" t="str">
        <f>_xlfn.IFNA(VLOOKUP($AH404,Programma!$F$3:$X$1101,19,0),"")</f>
        <v>_</v>
      </c>
      <c r="BA404" s="185" t="str">
        <f>_xlfn.IFNA(VLOOKUP($AH404,Programma!$F$3:$Y$1101,20,0),"")</f>
        <v>_</v>
      </c>
      <c r="BB404" s="182"/>
      <c r="BC404" s="181" t="str">
        <f>IF(Ruimtestaat[[#This Row],[Frequentie weekend]]="","",_xlfn.CONCAT(Ruimtestaat[[#This Row],[Ruimte code]],"-",Ruimtestaat[[#This Row],[Frequentie weekend]]," ",Ruimtestaat[[#This Row],[Vloer code]]))</f>
        <v/>
      </c>
      <c r="BD404" s="185" t="str">
        <f>_xlfn.IFNA(VLOOKUP($BC404,Programma!$F$3:$G$1101,2,0),"")</f>
        <v/>
      </c>
      <c r="BE404" s="185" t="str">
        <f>_xlfn.IFNA(VLOOKUP($BC404,Programma!$F$3:$H$1101,3,0),"")</f>
        <v/>
      </c>
      <c r="BF404" s="185" t="str">
        <f>_xlfn.IFNA(VLOOKUP($BC404,Programma!$F$3:$I$1101,4,0),"")</f>
        <v/>
      </c>
      <c r="BG404" s="185" t="str">
        <f>_xlfn.IFNA(VLOOKUP($BC404,Programma!$F$3:$J$1101,5,0),"")</f>
        <v/>
      </c>
      <c r="BH404" s="185" t="str">
        <f>_xlfn.IFNA(VLOOKUP($BC404,Programma!$F$3:$K$1101,6,0),"")</f>
        <v/>
      </c>
      <c r="BI404" s="185" t="str">
        <f>_xlfn.IFNA(VLOOKUP($BC404,Programma!$F$3:$L$1101,7,0),"")</f>
        <v/>
      </c>
      <c r="BJ404" s="185" t="str">
        <f>_xlfn.IFNA(VLOOKUP($BC404,Programma!$F$3:$M$1101,8,0),"")</f>
        <v/>
      </c>
      <c r="BK404" s="185" t="str">
        <f>_xlfn.IFNA(VLOOKUP($BC404,Programma!$F$3:$N$1101,9,0),"")</f>
        <v/>
      </c>
      <c r="BL404" s="185" t="str">
        <f>_xlfn.IFNA(VLOOKUP($BC404,Programma!$F$3:$O$1101,10,0),"")</f>
        <v/>
      </c>
      <c r="BM404" s="185" t="str">
        <f>_xlfn.IFNA(VLOOKUP($BC404,Programma!$F$3:$P$1101,11,0),"")</f>
        <v/>
      </c>
      <c r="BN404" s="185" t="str">
        <f>_xlfn.IFNA(VLOOKUP($BC404,Programma!$F$3:$Q$1101,12,0),"")</f>
        <v/>
      </c>
      <c r="BO404" s="185" t="str">
        <f>_xlfn.IFNA(VLOOKUP($BC404,Programma!$F$3:$R$1101,13,0),"")</f>
        <v/>
      </c>
      <c r="BP404" s="185" t="str">
        <f>_xlfn.IFNA(VLOOKUP($BC404,Programma!$F$3:$S$1101,14,0),"")</f>
        <v/>
      </c>
      <c r="BQ404" s="185" t="str">
        <f>_xlfn.IFNA(VLOOKUP($BC404,Programma!$F$3:$T$1101,15,0),"")</f>
        <v/>
      </c>
      <c r="BR404" s="185" t="str">
        <f>_xlfn.IFNA(VLOOKUP($BC404,Programma!$F$3:$U$1101,16,0),"")</f>
        <v/>
      </c>
      <c r="BS404" s="185" t="str">
        <f>_xlfn.IFNA(VLOOKUP($BC404,Programma!$F$3:$V$1101,17,0),"")</f>
        <v/>
      </c>
      <c r="BT404" s="185" t="str">
        <f>_xlfn.IFNA(VLOOKUP($BC404,Programma!$F$3:$W$1101,18,0),"")</f>
        <v/>
      </c>
      <c r="BU404" s="185" t="str">
        <f>_xlfn.IFNA(VLOOKUP($BC404,Programma!$F$3:$X$1101,19,0),"")</f>
        <v/>
      </c>
      <c r="BV404" s="185" t="str">
        <f>_xlfn.IFNA(VLOOKUP($BC404,Programma!$F$3:$Y$1101,20,0),"")</f>
        <v/>
      </c>
    </row>
    <row r="405" spans="1:74" s="78" customFormat="1" ht="15" customHeight="1">
      <c r="A405" s="99">
        <v>12</v>
      </c>
      <c r="B405" s="176" t="str">
        <f>VLOOKUP(Ruimtestaat[[#This Row],[Code]],Locaties[[Code]:[Locatie]],2,FALSE)</f>
        <v>OMBS Het Zeggelt (Dr. Benthem)</v>
      </c>
      <c r="C405" s="176" t="str">
        <f>VLOOKUP(Ruimtestaat[[#This Row],[Code]],Locaties[[#All],[Code]:[Adres]],4,FALSE)</f>
        <v>Dr. Benthemstraat 14</v>
      </c>
      <c r="D405" s="176" t="str">
        <f>VLOOKUP(Ruimtestaat[[#This Row],[Code]],Locaties[[#All],[Code]:[Postcode]],5,FALSE)</f>
        <v>7514 CM</v>
      </c>
      <c r="E405" s="176" t="str">
        <f>VLOOKUP(Ruimtestaat[[#This Row],[Code]],Locaties[#All],6,FALSE)</f>
        <v>Enschede</v>
      </c>
      <c r="F405" s="183"/>
      <c r="G405" s="99" t="s">
        <v>1646</v>
      </c>
      <c r="H405" s="99" t="s">
        <v>1670</v>
      </c>
      <c r="I405" s="183" t="s">
        <v>1655</v>
      </c>
      <c r="J405" s="99">
        <v>5</v>
      </c>
      <c r="K405" s="183" t="str">
        <f>VLOOKUP(Ruimtestaat[[#This Row],[Ruimte code]],Ruimtegroepen[[#All],[Code]:[Ruimte omschrijving]],2,FALSE)</f>
        <v>Sanitair</v>
      </c>
      <c r="L405" s="99" t="s">
        <v>101</v>
      </c>
      <c r="M405" s="99" t="s">
        <v>1682</v>
      </c>
      <c r="N405" s="177">
        <v>8.6999999999999993</v>
      </c>
      <c r="O405" s="177"/>
      <c r="P405" s="178" t="str">
        <f>VLOOKUP(Ruimtestaat[[#This Row],[Ruimte code]],Ruimtegroepen[],4,FALSE)</f>
        <v>Sa</v>
      </c>
      <c r="Q405" s="149">
        <v>40</v>
      </c>
      <c r="R405" s="149" t="s">
        <v>2</v>
      </c>
      <c r="S405" s="149">
        <f>IF(Q405&gt;0,IF(RIGHT(Ruimtestaat[[#This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5" s="149">
        <f>IF(S405&gt;0,VLOOKUP($J405,Ruimtegroepen[],3,FALSE)*VLOOKUP($L405,Vloersoorten[],3,FALSE)*VLOOKUP($R405,Frequenties[],3,FALSE)*VLOOKUP($A405,Locaties[],3,FALSE),0)</f>
        <v>0</v>
      </c>
      <c r="U405" s="149">
        <f>Ruimtestaat[[#This Row],[Uitvoeringen werkdagen]]*Ruimtestaat[[#This Row],[Oppervlak (netto)]]</f>
        <v>1739.9999999999998</v>
      </c>
      <c r="V405" s="179">
        <f>IF(T405&gt;0,Ruimtestaat[[#This Row],[Prest. (m2 /jaar) werkdagen]]/Ruimtestaat[[#This Row],[Norm (m2/uur) werkdagen]],0)</f>
        <v>0</v>
      </c>
      <c r="W405" s="180">
        <f>Ruimtestaat[[#This Row],[uren / jaar werkdagen]]*Tariefsopbouw!$E$35</f>
        <v>0</v>
      </c>
      <c r="X405" s="149"/>
      <c r="Y405" s="149">
        <f>IF(Ruimtestaat[[#This Row],[Frequentie weekend]]&gt;0,VALUE(LEFT(X405,1))*Q405,0)</f>
        <v>0</v>
      </c>
      <c r="Z405" s="148">
        <f>IF($Y405&gt;0,VLOOKUP($J405,Ruimtegroepen[],3,FALSE)*VLOOKUP($L405,Vloersoorten[],3,FALSE)*VLOOKUP($X405,Frequenties[],3,FALSE)*VLOOKUP(Ruimtestaat[[#This Row],[Code]],Locaties[],3,FALSE),0)</f>
        <v>0</v>
      </c>
      <c r="AA405" s="148">
        <f>Ruimtestaat[[#This Row],[Uitvoeringen weekend]]*Ruimtestaat[[#This Row],[Oppervlak (netto)]]</f>
        <v>0</v>
      </c>
      <c r="AB405" s="148">
        <f>IF(Z405&gt;0,Ruimtestaat[[#This Row],[Prest. (m2 /jaar) weekend]]/Ruimtestaat[[#This Row],[Norm (m2/uur) weekend]],0)</f>
        <v>0</v>
      </c>
      <c r="AC405" s="180">
        <f>Ruimtestaat[[#This Row],[uren / jaar weekend]]*Tariefsopbouw!$D$40</f>
        <v>0</v>
      </c>
      <c r="AD405" s="179">
        <f>Ruimtestaat[[#This Row],[Prest. (m2 /jaar) weekend]]+Ruimtestaat[[#This Row],[Prest. (m2 /jaar) werkdagen]]</f>
        <v>1739.9999999999998</v>
      </c>
      <c r="AE405" s="179">
        <f>Ruimtestaat[[#This Row],[uren / jaar weekend]]+Ruimtestaat[[#This Row],[uren / jaar werkdagen]]</f>
        <v>0</v>
      </c>
      <c r="AF405" s="174">
        <f>Ruimtestaat[[#This Row],[kosten / jaar weekend]]+Ruimtestaat[[#This Row],[kosten / jaar werkdagen]]</f>
        <v>0</v>
      </c>
      <c r="AG405" s="174"/>
      <c r="AH405" s="181" t="str">
        <f>IF(Ruimtestaat[[#This Row],[Frequentie werkdagen]]="","",_xlfn.CONCAT(Ruimtestaat[[#This Row],[Ruimte code]],"-",Ruimtestaat[[#This Row],[Frequentie werkdagen]]," ",Ruimtestaat[[#This Row],[Vloer code]]))</f>
        <v>5-5w S</v>
      </c>
      <c r="AI405" s="185" t="str">
        <f>_xlfn.IFNA(VLOOKUP($AH405,Programma!$F$3:$G$1101,2,0),"")</f>
        <v>_</v>
      </c>
      <c r="AJ405" s="185" t="str">
        <f>_xlfn.IFNA(VLOOKUP($AH405,Programma!$F$3:$H$1101,3,0),"")</f>
        <v>_</v>
      </c>
      <c r="AK405" s="185" t="str">
        <f>_xlfn.IFNA(VLOOKUP($AH405,Programma!$F$3:$I$1101,4,0),"")</f>
        <v>_</v>
      </c>
      <c r="AL405" s="185" t="str">
        <f>_xlfn.IFNA(VLOOKUP($AH405,Programma!$F$3:$J$1101,5,0),"")</f>
        <v>4w</v>
      </c>
      <c r="AM405" s="185" t="str">
        <f>_xlfn.IFNA(VLOOKUP($AH405,Programma!$F$3:$K$1101,6,0),"")</f>
        <v>1w</v>
      </c>
      <c r="AN405" s="185" t="str">
        <f>_xlfn.IFNA(VLOOKUP($AH405,Programma!$F$3:$L$1101,7,0),"")</f>
        <v>_</v>
      </c>
      <c r="AO405" s="185" t="str">
        <f>_xlfn.IFNA(VLOOKUP($AH405,Programma!$F$3:$M$1101,8,0),"")</f>
        <v>_</v>
      </c>
      <c r="AP405" s="185" t="str">
        <f>_xlfn.IFNA(VLOOKUP($AH405,Programma!$F$3:$N$1101,9,0),"")</f>
        <v>_</v>
      </c>
      <c r="AQ405" s="185" t="str">
        <f>_xlfn.IFNA(VLOOKUP($AH405,Programma!$F$3:$O$1101,10,0),"")</f>
        <v>_</v>
      </c>
      <c r="AR405" s="185" t="str">
        <f>_xlfn.IFNA(VLOOKUP($AH405,Programma!$F$3:$P$1101,11,0),"")</f>
        <v>_</v>
      </c>
      <c r="AS405" s="185" t="str">
        <f>_xlfn.IFNA(VLOOKUP($AH405,Programma!$F$3:$Q$1101,12,0),"")</f>
        <v>_</v>
      </c>
      <c r="AT405" s="185" t="str">
        <f>_xlfn.IFNA(VLOOKUP($AH405,Programma!$F$3:$R$1101,13,0),"")</f>
        <v>_</v>
      </c>
      <c r="AU405" s="185" t="str">
        <f>_xlfn.IFNA(VLOOKUP($AH405,Programma!$F$3:$S$1101,14,0),"")</f>
        <v>_</v>
      </c>
      <c r="AV405" s="185" t="str">
        <f>_xlfn.IFNA(VLOOKUP($AH405,Programma!$F$3:$T$1101,15,0),"")</f>
        <v>_</v>
      </c>
      <c r="AW405" s="185" t="str">
        <f>_xlfn.IFNA(VLOOKUP($AH405,Programma!$F$3:$U$1101,16,0),"")</f>
        <v>_</v>
      </c>
      <c r="AX405" s="185" t="str">
        <f>_xlfn.IFNA(VLOOKUP($AH405,Programma!$F$3:$V$1101,17,0),"")</f>
        <v>_</v>
      </c>
      <c r="AY405" s="185" t="str">
        <f>_xlfn.IFNA(VLOOKUP($AH405,Programma!$F$3:$W$1101,18,0),"")</f>
        <v>4w</v>
      </c>
      <c r="AZ405" s="185" t="str">
        <f>_xlfn.IFNA(VLOOKUP($AH405,Programma!$F$3:$X$1101,19,0),"")</f>
        <v>1w</v>
      </c>
      <c r="BA405" s="185" t="str">
        <f>_xlfn.IFNA(VLOOKUP($AH405,Programma!$F$3:$Y$1101,20,0),"")</f>
        <v>_</v>
      </c>
      <c r="BB405" s="182"/>
      <c r="BC405" s="181" t="str">
        <f>IF(Ruimtestaat[[#This Row],[Frequentie weekend]]="","",_xlfn.CONCAT(Ruimtestaat[[#This Row],[Ruimte code]],"-",Ruimtestaat[[#This Row],[Frequentie weekend]]," ",Ruimtestaat[[#This Row],[Vloer code]]))</f>
        <v/>
      </c>
      <c r="BD405" s="185" t="str">
        <f>_xlfn.IFNA(VLOOKUP($BC405,Programma!$F$3:$G$1101,2,0),"")</f>
        <v/>
      </c>
      <c r="BE405" s="185" t="str">
        <f>_xlfn.IFNA(VLOOKUP($BC405,Programma!$F$3:$H$1101,3,0),"")</f>
        <v/>
      </c>
      <c r="BF405" s="185" t="str">
        <f>_xlfn.IFNA(VLOOKUP($BC405,Programma!$F$3:$I$1101,4,0),"")</f>
        <v/>
      </c>
      <c r="BG405" s="185" t="str">
        <f>_xlfn.IFNA(VLOOKUP($BC405,Programma!$F$3:$J$1101,5,0),"")</f>
        <v/>
      </c>
      <c r="BH405" s="185" t="str">
        <f>_xlfn.IFNA(VLOOKUP($BC405,Programma!$F$3:$K$1101,6,0),"")</f>
        <v/>
      </c>
      <c r="BI405" s="185" t="str">
        <f>_xlfn.IFNA(VLOOKUP($BC405,Programma!$F$3:$L$1101,7,0),"")</f>
        <v/>
      </c>
      <c r="BJ405" s="185" t="str">
        <f>_xlfn.IFNA(VLOOKUP($BC405,Programma!$F$3:$M$1101,8,0),"")</f>
        <v/>
      </c>
      <c r="BK405" s="185" t="str">
        <f>_xlfn.IFNA(VLOOKUP($BC405,Programma!$F$3:$N$1101,9,0),"")</f>
        <v/>
      </c>
      <c r="BL405" s="185" t="str">
        <f>_xlfn.IFNA(VLOOKUP($BC405,Programma!$F$3:$O$1101,10,0),"")</f>
        <v/>
      </c>
      <c r="BM405" s="185" t="str">
        <f>_xlfn.IFNA(VLOOKUP($BC405,Programma!$F$3:$P$1101,11,0),"")</f>
        <v/>
      </c>
      <c r="BN405" s="185" t="str">
        <f>_xlfn.IFNA(VLOOKUP($BC405,Programma!$F$3:$Q$1101,12,0),"")</f>
        <v/>
      </c>
      <c r="BO405" s="185" t="str">
        <f>_xlfn.IFNA(VLOOKUP($BC405,Programma!$F$3:$R$1101,13,0),"")</f>
        <v/>
      </c>
      <c r="BP405" s="185" t="str">
        <f>_xlfn.IFNA(VLOOKUP($BC405,Programma!$F$3:$S$1101,14,0),"")</f>
        <v/>
      </c>
      <c r="BQ405" s="185" t="str">
        <f>_xlfn.IFNA(VLOOKUP($BC405,Programma!$F$3:$T$1101,15,0),"")</f>
        <v/>
      </c>
      <c r="BR405" s="185" t="str">
        <f>_xlfn.IFNA(VLOOKUP($BC405,Programma!$F$3:$U$1101,16,0),"")</f>
        <v/>
      </c>
      <c r="BS405" s="185" t="str">
        <f>_xlfn.IFNA(VLOOKUP($BC405,Programma!$F$3:$V$1101,17,0),"")</f>
        <v/>
      </c>
      <c r="BT405" s="185" t="str">
        <f>_xlfn.IFNA(VLOOKUP($BC405,Programma!$F$3:$W$1101,18,0),"")</f>
        <v/>
      </c>
      <c r="BU405" s="185" t="str">
        <f>_xlfn.IFNA(VLOOKUP($BC405,Programma!$F$3:$X$1101,19,0),"")</f>
        <v/>
      </c>
      <c r="BV405" s="185" t="str">
        <f>_xlfn.IFNA(VLOOKUP($BC405,Programma!$F$3:$Y$1101,20,0),"")</f>
        <v/>
      </c>
    </row>
    <row r="406" spans="1:74" s="78" customFormat="1" ht="15" customHeight="1">
      <c r="A406" s="99">
        <v>12</v>
      </c>
      <c r="B406" s="176" t="str">
        <f>VLOOKUP(Ruimtestaat[[#This Row],[Code]],Locaties[[Code]:[Locatie]],2,FALSE)</f>
        <v>OMBS Het Zeggelt (Dr. Benthem)</v>
      </c>
      <c r="C406" s="176" t="str">
        <f>VLOOKUP(Ruimtestaat[[#This Row],[Code]],Locaties[[#All],[Code]:[Adres]],4,FALSE)</f>
        <v>Dr. Benthemstraat 14</v>
      </c>
      <c r="D406" s="176" t="str">
        <f>VLOOKUP(Ruimtestaat[[#This Row],[Code]],Locaties[[#All],[Code]:[Postcode]],5,FALSE)</f>
        <v>7514 CM</v>
      </c>
      <c r="E406" s="176" t="str">
        <f>VLOOKUP(Ruimtestaat[[#This Row],[Code]],Locaties[#All],6,FALSE)</f>
        <v>Enschede</v>
      </c>
      <c r="F406" s="183"/>
      <c r="G406" s="99" t="s">
        <v>1646</v>
      </c>
      <c r="H406" s="99" t="s">
        <v>1671</v>
      </c>
      <c r="I406" s="183" t="s">
        <v>1651</v>
      </c>
      <c r="J406" s="99">
        <v>16</v>
      </c>
      <c r="K406" s="183" t="str">
        <f>VLOOKUP(Ruimtestaat[[#This Row],[Ruimte code]],Ruimtegroepen[[#All],[Code]:[Ruimte omschrijving]],2,FALSE)</f>
        <v>Leslokalen</v>
      </c>
      <c r="L406" s="99" t="s">
        <v>100</v>
      </c>
      <c r="M406" s="99" t="s">
        <v>1697</v>
      </c>
      <c r="N406" s="177">
        <v>66.099999999999994</v>
      </c>
      <c r="O406" s="177"/>
      <c r="P406" s="178" t="str">
        <f>VLOOKUP(Ruimtestaat[[#This Row],[Ruimte code]],Ruimtegroepen[],4,FALSE)</f>
        <v>Le</v>
      </c>
      <c r="Q406" s="149">
        <v>40</v>
      </c>
      <c r="R406" s="149" t="s">
        <v>2</v>
      </c>
      <c r="S406" s="149">
        <f>IF(Q406&gt;0,IF(RIGHT(Ruimtestaat[[#This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6" s="149">
        <f>IF(S406&gt;0,VLOOKUP($J406,Ruimtegroepen[],3,FALSE)*VLOOKUP($L406,Vloersoorten[],3,FALSE)*VLOOKUP($R406,Frequenties[],3,FALSE)*VLOOKUP($A406,Locaties[],3,FALSE),0)</f>
        <v>0</v>
      </c>
      <c r="U406" s="149">
        <f>Ruimtestaat[[#This Row],[Uitvoeringen werkdagen]]*Ruimtestaat[[#This Row],[Oppervlak (netto)]]</f>
        <v>13219.999999999998</v>
      </c>
      <c r="V406" s="179">
        <f>IF(T406&gt;0,Ruimtestaat[[#This Row],[Prest. (m2 /jaar) werkdagen]]/Ruimtestaat[[#This Row],[Norm (m2/uur) werkdagen]],0)</f>
        <v>0</v>
      </c>
      <c r="W406" s="180">
        <f>Ruimtestaat[[#This Row],[uren / jaar werkdagen]]*Tariefsopbouw!$E$35</f>
        <v>0</v>
      </c>
      <c r="X406" s="149"/>
      <c r="Y406" s="149">
        <f>IF(Ruimtestaat[[#This Row],[Frequentie weekend]]&gt;0,VALUE(LEFT(X406,1))*Q406,0)</f>
        <v>0</v>
      </c>
      <c r="Z406" s="148">
        <f>IF($Y406&gt;0,VLOOKUP($J406,Ruimtegroepen[],3,FALSE)*VLOOKUP($L406,Vloersoorten[],3,FALSE)*VLOOKUP($X406,Frequenties[],3,FALSE)*VLOOKUP(Ruimtestaat[[#This Row],[Code]],Locaties[],3,FALSE),0)</f>
        <v>0</v>
      </c>
      <c r="AA406" s="148">
        <f>Ruimtestaat[[#This Row],[Uitvoeringen weekend]]*Ruimtestaat[[#This Row],[Oppervlak (netto)]]</f>
        <v>0</v>
      </c>
      <c r="AB406" s="148">
        <f>IF(Z406&gt;0,Ruimtestaat[[#This Row],[Prest. (m2 /jaar) weekend]]/Ruimtestaat[[#This Row],[Norm (m2/uur) weekend]],0)</f>
        <v>0</v>
      </c>
      <c r="AC406" s="180">
        <f>Ruimtestaat[[#This Row],[uren / jaar weekend]]*Tariefsopbouw!$D$40</f>
        <v>0</v>
      </c>
      <c r="AD406" s="179">
        <f>Ruimtestaat[[#This Row],[Prest. (m2 /jaar) weekend]]+Ruimtestaat[[#This Row],[Prest. (m2 /jaar) werkdagen]]</f>
        <v>13219.999999999998</v>
      </c>
      <c r="AE406" s="179">
        <f>Ruimtestaat[[#This Row],[uren / jaar weekend]]+Ruimtestaat[[#This Row],[uren / jaar werkdagen]]</f>
        <v>0</v>
      </c>
      <c r="AF406" s="174">
        <f>Ruimtestaat[[#This Row],[kosten / jaar weekend]]+Ruimtestaat[[#This Row],[kosten / jaar werkdagen]]</f>
        <v>0</v>
      </c>
      <c r="AG406" s="174"/>
      <c r="AH406" s="181" t="str">
        <f>IF(Ruimtestaat[[#This Row],[Frequentie werkdagen]]="","",_xlfn.CONCAT(Ruimtestaat[[#This Row],[Ruimte code]],"-",Ruimtestaat[[#This Row],[Frequentie werkdagen]]," ",Ruimtestaat[[#This Row],[Vloer code]]))</f>
        <v>16-5w L</v>
      </c>
      <c r="AI406" s="185" t="str">
        <f>_xlfn.IFNA(VLOOKUP($AH406,Programma!$F$3:$G$1101,2,0),"")</f>
        <v>_</v>
      </c>
      <c r="AJ406" s="185" t="str">
        <f>_xlfn.IFNA(VLOOKUP($AH406,Programma!$F$3:$H$1101,3,0),"")</f>
        <v>_</v>
      </c>
      <c r="AK406" s="185" t="str">
        <f>_xlfn.IFNA(VLOOKUP($AH406,Programma!$F$3:$I$1101,4,0),"")</f>
        <v>4w</v>
      </c>
      <c r="AL406" s="185" t="str">
        <f>_xlfn.IFNA(VLOOKUP($AH406,Programma!$F$3:$J$1101,5,0),"")</f>
        <v>1w</v>
      </c>
      <c r="AM406" s="185" t="str">
        <f>_xlfn.IFNA(VLOOKUP($AH406,Programma!$F$3:$K$1101,6,0),"")</f>
        <v>_</v>
      </c>
      <c r="AN406" s="185" t="str">
        <f>_xlfn.IFNA(VLOOKUP($AH406,Programma!$F$3:$L$1101,7,0),"")</f>
        <v>_</v>
      </c>
      <c r="AO406" s="185" t="str">
        <f>_xlfn.IFNA(VLOOKUP($AH406,Programma!$F$3:$M$1101,8,0),"")</f>
        <v>_</v>
      </c>
      <c r="AP406" s="185" t="str">
        <f>_xlfn.IFNA(VLOOKUP($AH406,Programma!$F$3:$N$1101,9,0),"")</f>
        <v>_</v>
      </c>
      <c r="AQ406" s="185" t="str">
        <f>_xlfn.IFNA(VLOOKUP($AH406,Programma!$F$3:$O$1101,10,0),"")</f>
        <v>5w</v>
      </c>
      <c r="AR406" s="185" t="str">
        <f>_xlfn.IFNA(VLOOKUP($AH406,Programma!$F$3:$P$1101,11,0),"")</f>
        <v>5w</v>
      </c>
      <c r="AS406" s="185" t="str">
        <f>_xlfn.IFNA(VLOOKUP($AH406,Programma!$F$3:$Q$1101,12,0),"")</f>
        <v>1w</v>
      </c>
      <c r="AT406" s="185" t="str">
        <f>_xlfn.IFNA(VLOOKUP($AH406,Programma!$F$3:$R$1101,13,0),"")</f>
        <v>1w</v>
      </c>
      <c r="AU406" s="185" t="str">
        <f>_xlfn.IFNA(VLOOKUP($AH406,Programma!$F$3:$S$1101,14,0),"")</f>
        <v>1m</v>
      </c>
      <c r="AV406" s="185" t="str">
        <f>_xlfn.IFNA(VLOOKUP($AH406,Programma!$F$3:$T$1101,15,0),"")</f>
        <v>2j</v>
      </c>
      <c r="AW406" s="185" t="str">
        <f>_xlfn.IFNA(VLOOKUP($AH406,Programma!$F$3:$U$1101,16,0),"")</f>
        <v>1j</v>
      </c>
      <c r="AX406" s="185" t="str">
        <f>_xlfn.IFNA(VLOOKUP($AH406,Programma!$F$3:$V$1101,17,0),"")</f>
        <v>_</v>
      </c>
      <c r="AY406" s="185" t="str">
        <f>_xlfn.IFNA(VLOOKUP($AH406,Programma!$F$3:$W$1101,18,0),"")</f>
        <v>_</v>
      </c>
      <c r="AZ406" s="185" t="str">
        <f>_xlfn.IFNA(VLOOKUP($AH406,Programma!$F$3:$X$1101,19,0),"")</f>
        <v>_</v>
      </c>
      <c r="BA406" s="185" t="str">
        <f>_xlfn.IFNA(VLOOKUP($AH406,Programma!$F$3:$Y$1101,20,0),"")</f>
        <v>_</v>
      </c>
      <c r="BB406" s="182"/>
      <c r="BC406" s="181" t="str">
        <f>IF(Ruimtestaat[[#This Row],[Frequentie weekend]]="","",_xlfn.CONCAT(Ruimtestaat[[#This Row],[Ruimte code]],"-",Ruimtestaat[[#This Row],[Frequentie weekend]]," ",Ruimtestaat[[#This Row],[Vloer code]]))</f>
        <v/>
      </c>
      <c r="BD406" s="185" t="str">
        <f>_xlfn.IFNA(VLOOKUP($BC406,Programma!$F$3:$G$1101,2,0),"")</f>
        <v/>
      </c>
      <c r="BE406" s="185" t="str">
        <f>_xlfn.IFNA(VLOOKUP($BC406,Programma!$F$3:$H$1101,3,0),"")</f>
        <v/>
      </c>
      <c r="BF406" s="185" t="str">
        <f>_xlfn.IFNA(VLOOKUP($BC406,Programma!$F$3:$I$1101,4,0),"")</f>
        <v/>
      </c>
      <c r="BG406" s="185" t="str">
        <f>_xlfn.IFNA(VLOOKUP($BC406,Programma!$F$3:$J$1101,5,0),"")</f>
        <v/>
      </c>
      <c r="BH406" s="185" t="str">
        <f>_xlfn.IFNA(VLOOKUP($BC406,Programma!$F$3:$K$1101,6,0),"")</f>
        <v/>
      </c>
      <c r="BI406" s="185" t="str">
        <f>_xlfn.IFNA(VLOOKUP($BC406,Programma!$F$3:$L$1101,7,0),"")</f>
        <v/>
      </c>
      <c r="BJ406" s="185" t="str">
        <f>_xlfn.IFNA(VLOOKUP($BC406,Programma!$F$3:$M$1101,8,0),"")</f>
        <v/>
      </c>
      <c r="BK406" s="185" t="str">
        <f>_xlfn.IFNA(VLOOKUP($BC406,Programma!$F$3:$N$1101,9,0),"")</f>
        <v/>
      </c>
      <c r="BL406" s="185" t="str">
        <f>_xlfn.IFNA(VLOOKUP($BC406,Programma!$F$3:$O$1101,10,0),"")</f>
        <v/>
      </c>
      <c r="BM406" s="185" t="str">
        <f>_xlfn.IFNA(VLOOKUP($BC406,Programma!$F$3:$P$1101,11,0),"")</f>
        <v/>
      </c>
      <c r="BN406" s="185" t="str">
        <f>_xlfn.IFNA(VLOOKUP($BC406,Programma!$F$3:$Q$1101,12,0),"")</f>
        <v/>
      </c>
      <c r="BO406" s="185" t="str">
        <f>_xlfn.IFNA(VLOOKUP($BC406,Programma!$F$3:$R$1101,13,0),"")</f>
        <v/>
      </c>
      <c r="BP406" s="185" t="str">
        <f>_xlfn.IFNA(VLOOKUP($BC406,Programma!$F$3:$S$1101,14,0),"")</f>
        <v/>
      </c>
      <c r="BQ406" s="185" t="str">
        <f>_xlfn.IFNA(VLOOKUP($BC406,Programma!$F$3:$T$1101,15,0),"")</f>
        <v/>
      </c>
      <c r="BR406" s="185" t="str">
        <f>_xlfn.IFNA(VLOOKUP($BC406,Programma!$F$3:$U$1101,16,0),"")</f>
        <v/>
      </c>
      <c r="BS406" s="185" t="str">
        <f>_xlfn.IFNA(VLOOKUP($BC406,Programma!$F$3:$V$1101,17,0),"")</f>
        <v/>
      </c>
      <c r="BT406" s="185" t="str">
        <f>_xlfn.IFNA(VLOOKUP($BC406,Programma!$F$3:$W$1101,18,0),"")</f>
        <v/>
      </c>
      <c r="BU406" s="185" t="str">
        <f>_xlfn.IFNA(VLOOKUP($BC406,Programma!$F$3:$X$1101,19,0),"")</f>
        <v/>
      </c>
      <c r="BV406" s="185" t="str">
        <f>_xlfn.IFNA(VLOOKUP($BC406,Programma!$F$3:$Y$1101,20,0),"")</f>
        <v/>
      </c>
    </row>
    <row r="407" spans="1:74" s="78" customFormat="1" ht="15" customHeight="1">
      <c r="A407" s="99">
        <v>12</v>
      </c>
      <c r="B407" s="176" t="str">
        <f>VLOOKUP(Ruimtestaat[[#This Row],[Code]],Locaties[[Code]:[Locatie]],2,FALSE)</f>
        <v>OMBS Het Zeggelt (Dr. Benthem)</v>
      </c>
      <c r="C407" s="176" t="str">
        <f>VLOOKUP(Ruimtestaat[[#This Row],[Code]],Locaties[[#All],[Code]:[Adres]],4,FALSE)</f>
        <v>Dr. Benthemstraat 14</v>
      </c>
      <c r="D407" s="176" t="str">
        <f>VLOOKUP(Ruimtestaat[[#This Row],[Code]],Locaties[[#All],[Code]:[Postcode]],5,FALSE)</f>
        <v>7514 CM</v>
      </c>
      <c r="E407" s="176" t="str">
        <f>VLOOKUP(Ruimtestaat[[#This Row],[Code]],Locaties[#All],6,FALSE)</f>
        <v>Enschede</v>
      </c>
      <c r="F407" s="183"/>
      <c r="G407" s="99" t="s">
        <v>1646</v>
      </c>
      <c r="H407" s="99" t="s">
        <v>1672</v>
      </c>
      <c r="I407" s="183" t="s">
        <v>1651</v>
      </c>
      <c r="J407" s="99">
        <v>16</v>
      </c>
      <c r="K407" s="183" t="str">
        <f>VLOOKUP(Ruimtestaat[[#This Row],[Ruimte code]],Ruimtegroepen[[#All],[Code]:[Ruimte omschrijving]],2,FALSE)</f>
        <v>Leslokalen</v>
      </c>
      <c r="L407" s="99" t="s">
        <v>100</v>
      </c>
      <c r="M407" s="99" t="s">
        <v>1697</v>
      </c>
      <c r="N407" s="177">
        <v>63</v>
      </c>
      <c r="O407" s="177"/>
      <c r="P407" s="178" t="str">
        <f>VLOOKUP(Ruimtestaat[[#This Row],[Ruimte code]],Ruimtegroepen[],4,FALSE)</f>
        <v>Le</v>
      </c>
      <c r="Q407" s="149">
        <v>40</v>
      </c>
      <c r="R407" s="149" t="s">
        <v>2</v>
      </c>
      <c r="S407" s="149">
        <f>IF(Q407&gt;0,IF(RIGHT(Ruimtestaat[[#This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7" s="149">
        <f>IF(S407&gt;0,VLOOKUP($J407,Ruimtegroepen[],3,FALSE)*VLOOKUP($L407,Vloersoorten[],3,FALSE)*VLOOKUP($R407,Frequenties[],3,FALSE)*VLOOKUP($A407,Locaties[],3,FALSE),0)</f>
        <v>0</v>
      </c>
      <c r="U407" s="149">
        <f>Ruimtestaat[[#This Row],[Uitvoeringen werkdagen]]*Ruimtestaat[[#This Row],[Oppervlak (netto)]]</f>
        <v>12600</v>
      </c>
      <c r="V407" s="179">
        <f>IF(T407&gt;0,Ruimtestaat[[#This Row],[Prest. (m2 /jaar) werkdagen]]/Ruimtestaat[[#This Row],[Norm (m2/uur) werkdagen]],0)</f>
        <v>0</v>
      </c>
      <c r="W407" s="180">
        <f>Ruimtestaat[[#This Row],[uren / jaar werkdagen]]*Tariefsopbouw!$E$35</f>
        <v>0</v>
      </c>
      <c r="X407" s="149"/>
      <c r="Y407" s="149">
        <f>IF(Ruimtestaat[[#This Row],[Frequentie weekend]]&gt;0,VALUE(LEFT(X407,1))*Q407,0)</f>
        <v>0</v>
      </c>
      <c r="Z407" s="148">
        <f>IF($Y407&gt;0,VLOOKUP($J407,Ruimtegroepen[],3,FALSE)*VLOOKUP($L407,Vloersoorten[],3,FALSE)*VLOOKUP($X407,Frequenties[],3,FALSE)*VLOOKUP(Ruimtestaat[[#This Row],[Code]],Locaties[],3,FALSE),0)</f>
        <v>0</v>
      </c>
      <c r="AA407" s="148">
        <f>Ruimtestaat[[#This Row],[Uitvoeringen weekend]]*Ruimtestaat[[#This Row],[Oppervlak (netto)]]</f>
        <v>0</v>
      </c>
      <c r="AB407" s="148">
        <f>IF(Z407&gt;0,Ruimtestaat[[#This Row],[Prest. (m2 /jaar) weekend]]/Ruimtestaat[[#This Row],[Norm (m2/uur) weekend]],0)</f>
        <v>0</v>
      </c>
      <c r="AC407" s="180">
        <f>Ruimtestaat[[#This Row],[uren / jaar weekend]]*Tariefsopbouw!$D$40</f>
        <v>0</v>
      </c>
      <c r="AD407" s="179">
        <f>Ruimtestaat[[#This Row],[Prest. (m2 /jaar) weekend]]+Ruimtestaat[[#This Row],[Prest. (m2 /jaar) werkdagen]]</f>
        <v>12600</v>
      </c>
      <c r="AE407" s="179">
        <f>Ruimtestaat[[#This Row],[uren / jaar weekend]]+Ruimtestaat[[#This Row],[uren / jaar werkdagen]]</f>
        <v>0</v>
      </c>
      <c r="AF407" s="174">
        <f>Ruimtestaat[[#This Row],[kosten / jaar weekend]]+Ruimtestaat[[#This Row],[kosten / jaar werkdagen]]</f>
        <v>0</v>
      </c>
      <c r="AG407" s="174"/>
      <c r="AH407" s="181" t="str">
        <f>IF(Ruimtestaat[[#This Row],[Frequentie werkdagen]]="","",_xlfn.CONCAT(Ruimtestaat[[#This Row],[Ruimte code]],"-",Ruimtestaat[[#This Row],[Frequentie werkdagen]]," ",Ruimtestaat[[#This Row],[Vloer code]]))</f>
        <v>16-5w L</v>
      </c>
      <c r="AI407" s="185" t="str">
        <f>_xlfn.IFNA(VLOOKUP($AH407,Programma!$F$3:$G$1101,2,0),"")</f>
        <v>_</v>
      </c>
      <c r="AJ407" s="185" t="str">
        <f>_xlfn.IFNA(VLOOKUP($AH407,Programma!$F$3:$H$1101,3,0),"")</f>
        <v>_</v>
      </c>
      <c r="AK407" s="185" t="str">
        <f>_xlfn.IFNA(VLOOKUP($AH407,Programma!$F$3:$I$1101,4,0),"")</f>
        <v>4w</v>
      </c>
      <c r="AL407" s="185" t="str">
        <f>_xlfn.IFNA(VLOOKUP($AH407,Programma!$F$3:$J$1101,5,0),"")</f>
        <v>1w</v>
      </c>
      <c r="AM407" s="185" t="str">
        <f>_xlfn.IFNA(VLOOKUP($AH407,Programma!$F$3:$K$1101,6,0),"")</f>
        <v>_</v>
      </c>
      <c r="AN407" s="185" t="str">
        <f>_xlfn.IFNA(VLOOKUP($AH407,Programma!$F$3:$L$1101,7,0),"")</f>
        <v>_</v>
      </c>
      <c r="AO407" s="185" t="str">
        <f>_xlfn.IFNA(VLOOKUP($AH407,Programma!$F$3:$M$1101,8,0),"")</f>
        <v>_</v>
      </c>
      <c r="AP407" s="185" t="str">
        <f>_xlfn.IFNA(VLOOKUP($AH407,Programma!$F$3:$N$1101,9,0),"")</f>
        <v>_</v>
      </c>
      <c r="AQ407" s="185" t="str">
        <f>_xlfn.IFNA(VLOOKUP($AH407,Programma!$F$3:$O$1101,10,0),"")</f>
        <v>5w</v>
      </c>
      <c r="AR407" s="185" t="str">
        <f>_xlfn.IFNA(VLOOKUP($AH407,Programma!$F$3:$P$1101,11,0),"")</f>
        <v>5w</v>
      </c>
      <c r="AS407" s="185" t="str">
        <f>_xlfn.IFNA(VLOOKUP($AH407,Programma!$F$3:$Q$1101,12,0),"")</f>
        <v>1w</v>
      </c>
      <c r="AT407" s="185" t="str">
        <f>_xlfn.IFNA(VLOOKUP($AH407,Programma!$F$3:$R$1101,13,0),"")</f>
        <v>1w</v>
      </c>
      <c r="AU407" s="185" t="str">
        <f>_xlfn.IFNA(VLOOKUP($AH407,Programma!$F$3:$S$1101,14,0),"")</f>
        <v>1m</v>
      </c>
      <c r="AV407" s="185" t="str">
        <f>_xlfn.IFNA(VLOOKUP($AH407,Programma!$F$3:$T$1101,15,0),"")</f>
        <v>2j</v>
      </c>
      <c r="AW407" s="185" t="str">
        <f>_xlfn.IFNA(VLOOKUP($AH407,Programma!$F$3:$U$1101,16,0),"")</f>
        <v>1j</v>
      </c>
      <c r="AX407" s="185" t="str">
        <f>_xlfn.IFNA(VLOOKUP($AH407,Programma!$F$3:$V$1101,17,0),"")</f>
        <v>_</v>
      </c>
      <c r="AY407" s="185" t="str">
        <f>_xlfn.IFNA(VLOOKUP($AH407,Programma!$F$3:$W$1101,18,0),"")</f>
        <v>_</v>
      </c>
      <c r="AZ407" s="185" t="str">
        <f>_xlfn.IFNA(VLOOKUP($AH407,Programma!$F$3:$X$1101,19,0),"")</f>
        <v>_</v>
      </c>
      <c r="BA407" s="185" t="str">
        <f>_xlfn.IFNA(VLOOKUP($AH407,Programma!$F$3:$Y$1101,20,0),"")</f>
        <v>_</v>
      </c>
      <c r="BB407" s="182"/>
      <c r="BC407" s="181" t="str">
        <f>IF(Ruimtestaat[[#This Row],[Frequentie weekend]]="","",_xlfn.CONCAT(Ruimtestaat[[#This Row],[Ruimte code]],"-",Ruimtestaat[[#This Row],[Frequentie weekend]]," ",Ruimtestaat[[#This Row],[Vloer code]]))</f>
        <v/>
      </c>
      <c r="BD407" s="185" t="str">
        <f>_xlfn.IFNA(VLOOKUP($BC407,Programma!$F$3:$G$1101,2,0),"")</f>
        <v/>
      </c>
      <c r="BE407" s="185" t="str">
        <f>_xlfn.IFNA(VLOOKUP($BC407,Programma!$F$3:$H$1101,3,0),"")</f>
        <v/>
      </c>
      <c r="BF407" s="185" t="str">
        <f>_xlfn.IFNA(VLOOKUP($BC407,Programma!$F$3:$I$1101,4,0),"")</f>
        <v/>
      </c>
      <c r="BG407" s="185" t="str">
        <f>_xlfn.IFNA(VLOOKUP($BC407,Programma!$F$3:$J$1101,5,0),"")</f>
        <v/>
      </c>
      <c r="BH407" s="185" t="str">
        <f>_xlfn.IFNA(VLOOKUP($BC407,Programma!$F$3:$K$1101,6,0),"")</f>
        <v/>
      </c>
      <c r="BI407" s="185" t="str">
        <f>_xlfn.IFNA(VLOOKUP($BC407,Programma!$F$3:$L$1101,7,0),"")</f>
        <v/>
      </c>
      <c r="BJ407" s="185" t="str">
        <f>_xlfn.IFNA(VLOOKUP($BC407,Programma!$F$3:$M$1101,8,0),"")</f>
        <v/>
      </c>
      <c r="BK407" s="185" t="str">
        <f>_xlfn.IFNA(VLOOKUP($BC407,Programma!$F$3:$N$1101,9,0),"")</f>
        <v/>
      </c>
      <c r="BL407" s="185" t="str">
        <f>_xlfn.IFNA(VLOOKUP($BC407,Programma!$F$3:$O$1101,10,0),"")</f>
        <v/>
      </c>
      <c r="BM407" s="185" t="str">
        <f>_xlfn.IFNA(VLOOKUP($BC407,Programma!$F$3:$P$1101,11,0),"")</f>
        <v/>
      </c>
      <c r="BN407" s="185" t="str">
        <f>_xlfn.IFNA(VLOOKUP($BC407,Programma!$F$3:$Q$1101,12,0),"")</f>
        <v/>
      </c>
      <c r="BO407" s="185" t="str">
        <f>_xlfn.IFNA(VLOOKUP($BC407,Programma!$F$3:$R$1101,13,0),"")</f>
        <v/>
      </c>
      <c r="BP407" s="185" t="str">
        <f>_xlfn.IFNA(VLOOKUP($BC407,Programma!$F$3:$S$1101,14,0),"")</f>
        <v/>
      </c>
      <c r="BQ407" s="185" t="str">
        <f>_xlfn.IFNA(VLOOKUP($BC407,Programma!$F$3:$T$1101,15,0),"")</f>
        <v/>
      </c>
      <c r="BR407" s="185" t="str">
        <f>_xlfn.IFNA(VLOOKUP($BC407,Programma!$F$3:$U$1101,16,0),"")</f>
        <v/>
      </c>
      <c r="BS407" s="185" t="str">
        <f>_xlfn.IFNA(VLOOKUP($BC407,Programma!$F$3:$V$1101,17,0),"")</f>
        <v/>
      </c>
      <c r="BT407" s="185" t="str">
        <f>_xlfn.IFNA(VLOOKUP($BC407,Programma!$F$3:$W$1101,18,0),"")</f>
        <v/>
      </c>
      <c r="BU407" s="185" t="str">
        <f>_xlfn.IFNA(VLOOKUP($BC407,Programma!$F$3:$X$1101,19,0),"")</f>
        <v/>
      </c>
      <c r="BV407" s="185" t="str">
        <f>_xlfn.IFNA(VLOOKUP($BC407,Programma!$F$3:$Y$1101,20,0),"")</f>
        <v/>
      </c>
    </row>
    <row r="408" spans="1:74" s="78" customFormat="1" ht="15" customHeight="1">
      <c r="A408" s="99">
        <v>12</v>
      </c>
      <c r="B408" s="176" t="str">
        <f>VLOOKUP(Ruimtestaat[[#This Row],[Code]],Locaties[[Code]:[Locatie]],2,FALSE)</f>
        <v>OMBS Het Zeggelt (Dr. Benthem)</v>
      </c>
      <c r="C408" s="176" t="str">
        <f>VLOOKUP(Ruimtestaat[[#This Row],[Code]],Locaties[[#All],[Code]:[Adres]],4,FALSE)</f>
        <v>Dr. Benthemstraat 14</v>
      </c>
      <c r="D408" s="176" t="str">
        <f>VLOOKUP(Ruimtestaat[[#This Row],[Code]],Locaties[[#All],[Code]:[Postcode]],5,FALSE)</f>
        <v>7514 CM</v>
      </c>
      <c r="E408" s="176" t="str">
        <f>VLOOKUP(Ruimtestaat[[#This Row],[Code]],Locaties[#All],6,FALSE)</f>
        <v>Enschede</v>
      </c>
      <c r="F408" s="183"/>
      <c r="G408" s="99" t="s">
        <v>1646</v>
      </c>
      <c r="H408" s="99" t="s">
        <v>1673</v>
      </c>
      <c r="I408" s="183" t="s">
        <v>1655</v>
      </c>
      <c r="J408" s="99">
        <v>5</v>
      </c>
      <c r="K408" s="183" t="str">
        <f>VLOOKUP(Ruimtestaat[[#This Row],[Ruimte code]],Ruimtegroepen[[#All],[Code]:[Ruimte omschrijving]],2,FALSE)</f>
        <v>Sanitair</v>
      </c>
      <c r="L408" s="99" t="s">
        <v>101</v>
      </c>
      <c r="M408" s="99" t="s">
        <v>1682</v>
      </c>
      <c r="N408" s="177">
        <v>13.2</v>
      </c>
      <c r="O408" s="177"/>
      <c r="P408" s="178" t="str">
        <f>VLOOKUP(Ruimtestaat[[#This Row],[Ruimte code]],Ruimtegroepen[],4,FALSE)</f>
        <v>Sa</v>
      </c>
      <c r="Q408" s="149">
        <v>40</v>
      </c>
      <c r="R408" s="149" t="s">
        <v>2</v>
      </c>
      <c r="S408" s="149">
        <f>IF(Q408&gt;0,IF(RIGHT(Ruimtestaat[[#This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8" s="149">
        <f>IF(S408&gt;0,VLOOKUP($J408,Ruimtegroepen[],3,FALSE)*VLOOKUP($L408,Vloersoorten[],3,FALSE)*VLOOKUP($R408,Frequenties[],3,FALSE)*VLOOKUP($A408,Locaties[],3,FALSE),0)</f>
        <v>0</v>
      </c>
      <c r="U408" s="149">
        <f>Ruimtestaat[[#This Row],[Uitvoeringen werkdagen]]*Ruimtestaat[[#This Row],[Oppervlak (netto)]]</f>
        <v>2640</v>
      </c>
      <c r="V408" s="179">
        <f>IF(T408&gt;0,Ruimtestaat[[#This Row],[Prest. (m2 /jaar) werkdagen]]/Ruimtestaat[[#This Row],[Norm (m2/uur) werkdagen]],0)</f>
        <v>0</v>
      </c>
      <c r="W408" s="180">
        <f>Ruimtestaat[[#This Row],[uren / jaar werkdagen]]*Tariefsopbouw!$E$35</f>
        <v>0</v>
      </c>
      <c r="X408" s="149"/>
      <c r="Y408" s="149">
        <f>IF(Ruimtestaat[[#This Row],[Frequentie weekend]]&gt;0,VALUE(LEFT(X408,1))*Q408,0)</f>
        <v>0</v>
      </c>
      <c r="Z408" s="148">
        <f>IF($Y408&gt;0,VLOOKUP($J408,Ruimtegroepen[],3,FALSE)*VLOOKUP($L408,Vloersoorten[],3,FALSE)*VLOOKUP($X408,Frequenties[],3,FALSE)*VLOOKUP(Ruimtestaat[[#This Row],[Code]],Locaties[],3,FALSE),0)</f>
        <v>0</v>
      </c>
      <c r="AA408" s="148">
        <f>Ruimtestaat[[#This Row],[Uitvoeringen weekend]]*Ruimtestaat[[#This Row],[Oppervlak (netto)]]</f>
        <v>0</v>
      </c>
      <c r="AB408" s="148">
        <f>IF(Z408&gt;0,Ruimtestaat[[#This Row],[Prest. (m2 /jaar) weekend]]/Ruimtestaat[[#This Row],[Norm (m2/uur) weekend]],0)</f>
        <v>0</v>
      </c>
      <c r="AC408" s="180">
        <f>Ruimtestaat[[#This Row],[uren / jaar weekend]]*Tariefsopbouw!$D$40</f>
        <v>0</v>
      </c>
      <c r="AD408" s="179">
        <f>Ruimtestaat[[#This Row],[Prest. (m2 /jaar) weekend]]+Ruimtestaat[[#This Row],[Prest. (m2 /jaar) werkdagen]]</f>
        <v>2640</v>
      </c>
      <c r="AE408" s="179">
        <f>Ruimtestaat[[#This Row],[uren / jaar weekend]]+Ruimtestaat[[#This Row],[uren / jaar werkdagen]]</f>
        <v>0</v>
      </c>
      <c r="AF408" s="174">
        <f>Ruimtestaat[[#This Row],[kosten / jaar weekend]]+Ruimtestaat[[#This Row],[kosten / jaar werkdagen]]</f>
        <v>0</v>
      </c>
      <c r="AG408" s="174"/>
      <c r="AH408" s="181" t="str">
        <f>IF(Ruimtestaat[[#This Row],[Frequentie werkdagen]]="","",_xlfn.CONCAT(Ruimtestaat[[#This Row],[Ruimte code]],"-",Ruimtestaat[[#This Row],[Frequentie werkdagen]]," ",Ruimtestaat[[#This Row],[Vloer code]]))</f>
        <v>5-5w S</v>
      </c>
      <c r="AI408" s="185" t="str">
        <f>_xlfn.IFNA(VLOOKUP($AH408,Programma!$F$3:$G$1101,2,0),"")</f>
        <v>_</v>
      </c>
      <c r="AJ408" s="185" t="str">
        <f>_xlfn.IFNA(VLOOKUP($AH408,Programma!$F$3:$H$1101,3,0),"")</f>
        <v>_</v>
      </c>
      <c r="AK408" s="185" t="str">
        <f>_xlfn.IFNA(VLOOKUP($AH408,Programma!$F$3:$I$1101,4,0),"")</f>
        <v>_</v>
      </c>
      <c r="AL408" s="185" t="str">
        <f>_xlfn.IFNA(VLOOKUP($AH408,Programma!$F$3:$J$1101,5,0),"")</f>
        <v>4w</v>
      </c>
      <c r="AM408" s="185" t="str">
        <f>_xlfn.IFNA(VLOOKUP($AH408,Programma!$F$3:$K$1101,6,0),"")</f>
        <v>1w</v>
      </c>
      <c r="AN408" s="185" t="str">
        <f>_xlfn.IFNA(VLOOKUP($AH408,Programma!$F$3:$L$1101,7,0),"")</f>
        <v>_</v>
      </c>
      <c r="AO408" s="185" t="str">
        <f>_xlfn.IFNA(VLOOKUP($AH408,Programma!$F$3:$M$1101,8,0),"")</f>
        <v>_</v>
      </c>
      <c r="AP408" s="185" t="str">
        <f>_xlfn.IFNA(VLOOKUP($AH408,Programma!$F$3:$N$1101,9,0),"")</f>
        <v>_</v>
      </c>
      <c r="AQ408" s="185" t="str">
        <f>_xlfn.IFNA(VLOOKUP($AH408,Programma!$F$3:$O$1101,10,0),"")</f>
        <v>_</v>
      </c>
      <c r="AR408" s="185" t="str">
        <f>_xlfn.IFNA(VLOOKUP($AH408,Programma!$F$3:$P$1101,11,0),"")</f>
        <v>_</v>
      </c>
      <c r="AS408" s="185" t="str">
        <f>_xlfn.IFNA(VLOOKUP($AH408,Programma!$F$3:$Q$1101,12,0),"")</f>
        <v>_</v>
      </c>
      <c r="AT408" s="185" t="str">
        <f>_xlfn.IFNA(VLOOKUP($AH408,Programma!$F$3:$R$1101,13,0),"")</f>
        <v>_</v>
      </c>
      <c r="AU408" s="185" t="str">
        <f>_xlfn.IFNA(VLOOKUP($AH408,Programma!$F$3:$S$1101,14,0),"")</f>
        <v>_</v>
      </c>
      <c r="AV408" s="185" t="str">
        <f>_xlfn.IFNA(VLOOKUP($AH408,Programma!$F$3:$T$1101,15,0),"")</f>
        <v>_</v>
      </c>
      <c r="AW408" s="185" t="str">
        <f>_xlfn.IFNA(VLOOKUP($AH408,Programma!$F$3:$U$1101,16,0),"")</f>
        <v>_</v>
      </c>
      <c r="AX408" s="185" t="str">
        <f>_xlfn.IFNA(VLOOKUP($AH408,Programma!$F$3:$V$1101,17,0),"")</f>
        <v>_</v>
      </c>
      <c r="AY408" s="185" t="str">
        <f>_xlfn.IFNA(VLOOKUP($AH408,Programma!$F$3:$W$1101,18,0),"")</f>
        <v>4w</v>
      </c>
      <c r="AZ408" s="185" t="str">
        <f>_xlfn.IFNA(VLOOKUP($AH408,Programma!$F$3:$X$1101,19,0),"")</f>
        <v>1w</v>
      </c>
      <c r="BA408" s="185" t="str">
        <f>_xlfn.IFNA(VLOOKUP($AH408,Programma!$F$3:$Y$1101,20,0),"")</f>
        <v>_</v>
      </c>
      <c r="BB408" s="182"/>
      <c r="BC408" s="181" t="str">
        <f>IF(Ruimtestaat[[#This Row],[Frequentie weekend]]="","",_xlfn.CONCAT(Ruimtestaat[[#This Row],[Ruimte code]],"-",Ruimtestaat[[#This Row],[Frequentie weekend]]," ",Ruimtestaat[[#This Row],[Vloer code]]))</f>
        <v/>
      </c>
      <c r="BD408" s="185" t="str">
        <f>_xlfn.IFNA(VLOOKUP($BC408,Programma!$F$3:$G$1101,2,0),"")</f>
        <v/>
      </c>
      <c r="BE408" s="185" t="str">
        <f>_xlfn.IFNA(VLOOKUP($BC408,Programma!$F$3:$H$1101,3,0),"")</f>
        <v/>
      </c>
      <c r="BF408" s="185" t="str">
        <f>_xlfn.IFNA(VLOOKUP($BC408,Programma!$F$3:$I$1101,4,0),"")</f>
        <v/>
      </c>
      <c r="BG408" s="185" t="str">
        <f>_xlfn.IFNA(VLOOKUP($BC408,Programma!$F$3:$J$1101,5,0),"")</f>
        <v/>
      </c>
      <c r="BH408" s="185" t="str">
        <f>_xlfn.IFNA(VLOOKUP($BC408,Programma!$F$3:$K$1101,6,0),"")</f>
        <v/>
      </c>
      <c r="BI408" s="185" t="str">
        <f>_xlfn.IFNA(VLOOKUP($BC408,Programma!$F$3:$L$1101,7,0),"")</f>
        <v/>
      </c>
      <c r="BJ408" s="185" t="str">
        <f>_xlfn.IFNA(VLOOKUP($BC408,Programma!$F$3:$M$1101,8,0),"")</f>
        <v/>
      </c>
      <c r="BK408" s="185" t="str">
        <f>_xlfn.IFNA(VLOOKUP($BC408,Programma!$F$3:$N$1101,9,0),"")</f>
        <v/>
      </c>
      <c r="BL408" s="185" t="str">
        <f>_xlfn.IFNA(VLOOKUP($BC408,Programma!$F$3:$O$1101,10,0),"")</f>
        <v/>
      </c>
      <c r="BM408" s="185" t="str">
        <f>_xlfn.IFNA(VLOOKUP($BC408,Programma!$F$3:$P$1101,11,0),"")</f>
        <v/>
      </c>
      <c r="BN408" s="185" t="str">
        <f>_xlfn.IFNA(VLOOKUP($BC408,Programma!$F$3:$Q$1101,12,0),"")</f>
        <v/>
      </c>
      <c r="BO408" s="185" t="str">
        <f>_xlfn.IFNA(VLOOKUP($BC408,Programma!$F$3:$R$1101,13,0),"")</f>
        <v/>
      </c>
      <c r="BP408" s="185" t="str">
        <f>_xlfn.IFNA(VLOOKUP($BC408,Programma!$F$3:$S$1101,14,0),"")</f>
        <v/>
      </c>
      <c r="BQ408" s="185" t="str">
        <f>_xlfn.IFNA(VLOOKUP($BC408,Programma!$F$3:$T$1101,15,0),"")</f>
        <v/>
      </c>
      <c r="BR408" s="185" t="str">
        <f>_xlfn.IFNA(VLOOKUP($BC408,Programma!$F$3:$U$1101,16,0),"")</f>
        <v/>
      </c>
      <c r="BS408" s="185" t="str">
        <f>_xlfn.IFNA(VLOOKUP($BC408,Programma!$F$3:$V$1101,17,0),"")</f>
        <v/>
      </c>
      <c r="BT408" s="185" t="str">
        <f>_xlfn.IFNA(VLOOKUP($BC408,Programma!$F$3:$W$1101,18,0),"")</f>
        <v/>
      </c>
      <c r="BU408" s="185" t="str">
        <f>_xlfn.IFNA(VLOOKUP($BC408,Programma!$F$3:$X$1101,19,0),"")</f>
        <v/>
      </c>
      <c r="BV408" s="185" t="str">
        <f>_xlfn.IFNA(VLOOKUP($BC408,Programma!$F$3:$Y$1101,20,0),"")</f>
        <v/>
      </c>
    </row>
    <row r="409" spans="1:74" s="78" customFormat="1" ht="15" customHeight="1">
      <c r="A409" s="99">
        <v>12</v>
      </c>
      <c r="B409" s="176" t="str">
        <f>VLOOKUP(Ruimtestaat[[#This Row],[Code]],Locaties[[Code]:[Locatie]],2,FALSE)</f>
        <v>OMBS Het Zeggelt (Dr. Benthem)</v>
      </c>
      <c r="C409" s="176" t="str">
        <f>VLOOKUP(Ruimtestaat[[#This Row],[Code]],Locaties[[#All],[Code]:[Adres]],4,FALSE)</f>
        <v>Dr. Benthemstraat 14</v>
      </c>
      <c r="D409" s="176" t="str">
        <f>VLOOKUP(Ruimtestaat[[#This Row],[Code]],Locaties[[#All],[Code]:[Postcode]],5,FALSE)</f>
        <v>7514 CM</v>
      </c>
      <c r="E409" s="176" t="str">
        <f>VLOOKUP(Ruimtestaat[[#This Row],[Code]],Locaties[#All],6,FALSE)</f>
        <v>Enschede</v>
      </c>
      <c r="F409" s="183"/>
      <c r="G409" s="99" t="s">
        <v>1646</v>
      </c>
      <c r="H409" s="99" t="s">
        <v>1674</v>
      </c>
      <c r="I409" s="183" t="s">
        <v>1655</v>
      </c>
      <c r="J409" s="99">
        <v>5</v>
      </c>
      <c r="K409" s="183" t="str">
        <f>VLOOKUP(Ruimtestaat[[#This Row],[Ruimte code]],Ruimtegroepen[[#All],[Code]:[Ruimte omschrijving]],2,FALSE)</f>
        <v>Sanitair</v>
      </c>
      <c r="L409" s="99" t="s">
        <v>101</v>
      </c>
      <c r="M409" s="99" t="s">
        <v>1682</v>
      </c>
      <c r="N409" s="177">
        <v>5.7</v>
      </c>
      <c r="O409" s="177"/>
      <c r="P409" s="178" t="str">
        <f>VLOOKUP(Ruimtestaat[[#This Row],[Ruimte code]],Ruimtegroepen[],4,FALSE)</f>
        <v>Sa</v>
      </c>
      <c r="Q409" s="149">
        <v>40</v>
      </c>
      <c r="R409" s="149" t="s">
        <v>2</v>
      </c>
      <c r="S409" s="149">
        <f>IF(Q409&gt;0,IF(RIGHT(Ruimtestaat[[#This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9" s="149">
        <f>IF(S409&gt;0,VLOOKUP($J409,Ruimtegroepen[],3,FALSE)*VLOOKUP($L409,Vloersoorten[],3,FALSE)*VLOOKUP($R409,Frequenties[],3,FALSE)*VLOOKUP($A409,Locaties[],3,FALSE),0)</f>
        <v>0</v>
      </c>
      <c r="U409" s="149">
        <f>Ruimtestaat[[#This Row],[Uitvoeringen werkdagen]]*Ruimtestaat[[#This Row],[Oppervlak (netto)]]</f>
        <v>1140</v>
      </c>
      <c r="V409" s="179">
        <f>IF(T409&gt;0,Ruimtestaat[[#This Row],[Prest. (m2 /jaar) werkdagen]]/Ruimtestaat[[#This Row],[Norm (m2/uur) werkdagen]],0)</f>
        <v>0</v>
      </c>
      <c r="W409" s="180">
        <f>Ruimtestaat[[#This Row],[uren / jaar werkdagen]]*Tariefsopbouw!$E$35</f>
        <v>0</v>
      </c>
      <c r="X409" s="149"/>
      <c r="Y409" s="149">
        <f>IF(Ruimtestaat[[#This Row],[Frequentie weekend]]&gt;0,VALUE(LEFT(X409,1))*Q409,0)</f>
        <v>0</v>
      </c>
      <c r="Z409" s="148">
        <f>IF($Y409&gt;0,VLOOKUP($J409,Ruimtegroepen[],3,FALSE)*VLOOKUP($L409,Vloersoorten[],3,FALSE)*VLOOKUP($X409,Frequenties[],3,FALSE)*VLOOKUP(Ruimtestaat[[#This Row],[Code]],Locaties[],3,FALSE),0)</f>
        <v>0</v>
      </c>
      <c r="AA409" s="148">
        <f>Ruimtestaat[[#This Row],[Uitvoeringen weekend]]*Ruimtestaat[[#This Row],[Oppervlak (netto)]]</f>
        <v>0</v>
      </c>
      <c r="AB409" s="148">
        <f>IF(Z409&gt;0,Ruimtestaat[[#This Row],[Prest. (m2 /jaar) weekend]]/Ruimtestaat[[#This Row],[Norm (m2/uur) weekend]],0)</f>
        <v>0</v>
      </c>
      <c r="AC409" s="180">
        <f>Ruimtestaat[[#This Row],[uren / jaar weekend]]*Tariefsopbouw!$D$40</f>
        <v>0</v>
      </c>
      <c r="AD409" s="179">
        <f>Ruimtestaat[[#This Row],[Prest. (m2 /jaar) weekend]]+Ruimtestaat[[#This Row],[Prest. (m2 /jaar) werkdagen]]</f>
        <v>1140</v>
      </c>
      <c r="AE409" s="179">
        <f>Ruimtestaat[[#This Row],[uren / jaar weekend]]+Ruimtestaat[[#This Row],[uren / jaar werkdagen]]</f>
        <v>0</v>
      </c>
      <c r="AF409" s="174">
        <f>Ruimtestaat[[#This Row],[kosten / jaar weekend]]+Ruimtestaat[[#This Row],[kosten / jaar werkdagen]]</f>
        <v>0</v>
      </c>
      <c r="AG409" s="174"/>
      <c r="AH409" s="181" t="str">
        <f>IF(Ruimtestaat[[#This Row],[Frequentie werkdagen]]="","",_xlfn.CONCAT(Ruimtestaat[[#This Row],[Ruimte code]],"-",Ruimtestaat[[#This Row],[Frequentie werkdagen]]," ",Ruimtestaat[[#This Row],[Vloer code]]))</f>
        <v>5-5w S</v>
      </c>
      <c r="AI409" s="185" t="str">
        <f>_xlfn.IFNA(VLOOKUP($AH409,Programma!$F$3:$G$1101,2,0),"")</f>
        <v>_</v>
      </c>
      <c r="AJ409" s="185" t="str">
        <f>_xlfn.IFNA(VLOOKUP($AH409,Programma!$F$3:$H$1101,3,0),"")</f>
        <v>_</v>
      </c>
      <c r="AK409" s="185" t="str">
        <f>_xlfn.IFNA(VLOOKUP($AH409,Programma!$F$3:$I$1101,4,0),"")</f>
        <v>_</v>
      </c>
      <c r="AL409" s="185" t="str">
        <f>_xlfn.IFNA(VLOOKUP($AH409,Programma!$F$3:$J$1101,5,0),"")</f>
        <v>4w</v>
      </c>
      <c r="AM409" s="185" t="str">
        <f>_xlfn.IFNA(VLOOKUP($AH409,Programma!$F$3:$K$1101,6,0),"")</f>
        <v>1w</v>
      </c>
      <c r="AN409" s="185" t="str">
        <f>_xlfn.IFNA(VLOOKUP($AH409,Programma!$F$3:$L$1101,7,0),"")</f>
        <v>_</v>
      </c>
      <c r="AO409" s="185" t="str">
        <f>_xlfn.IFNA(VLOOKUP($AH409,Programma!$F$3:$M$1101,8,0),"")</f>
        <v>_</v>
      </c>
      <c r="AP409" s="185" t="str">
        <f>_xlfn.IFNA(VLOOKUP($AH409,Programma!$F$3:$N$1101,9,0),"")</f>
        <v>_</v>
      </c>
      <c r="AQ409" s="185" t="str">
        <f>_xlfn.IFNA(VLOOKUP($AH409,Programma!$F$3:$O$1101,10,0),"")</f>
        <v>_</v>
      </c>
      <c r="AR409" s="185" t="str">
        <f>_xlfn.IFNA(VLOOKUP($AH409,Programma!$F$3:$P$1101,11,0),"")</f>
        <v>_</v>
      </c>
      <c r="AS409" s="185" t="str">
        <f>_xlfn.IFNA(VLOOKUP($AH409,Programma!$F$3:$Q$1101,12,0),"")</f>
        <v>_</v>
      </c>
      <c r="AT409" s="185" t="str">
        <f>_xlfn.IFNA(VLOOKUP($AH409,Programma!$F$3:$R$1101,13,0),"")</f>
        <v>_</v>
      </c>
      <c r="AU409" s="185" t="str">
        <f>_xlfn.IFNA(VLOOKUP($AH409,Programma!$F$3:$S$1101,14,0),"")</f>
        <v>_</v>
      </c>
      <c r="AV409" s="185" t="str">
        <f>_xlfn.IFNA(VLOOKUP($AH409,Programma!$F$3:$T$1101,15,0),"")</f>
        <v>_</v>
      </c>
      <c r="AW409" s="185" t="str">
        <f>_xlfn.IFNA(VLOOKUP($AH409,Programma!$F$3:$U$1101,16,0),"")</f>
        <v>_</v>
      </c>
      <c r="AX409" s="185" t="str">
        <f>_xlfn.IFNA(VLOOKUP($AH409,Programma!$F$3:$V$1101,17,0),"")</f>
        <v>_</v>
      </c>
      <c r="AY409" s="185" t="str">
        <f>_xlfn.IFNA(VLOOKUP($AH409,Programma!$F$3:$W$1101,18,0),"")</f>
        <v>4w</v>
      </c>
      <c r="AZ409" s="185" t="str">
        <f>_xlfn.IFNA(VLOOKUP($AH409,Programma!$F$3:$X$1101,19,0),"")</f>
        <v>1w</v>
      </c>
      <c r="BA409" s="185" t="str">
        <f>_xlfn.IFNA(VLOOKUP($AH409,Programma!$F$3:$Y$1101,20,0),"")</f>
        <v>_</v>
      </c>
      <c r="BB409" s="182"/>
      <c r="BC409" s="181" t="str">
        <f>IF(Ruimtestaat[[#This Row],[Frequentie weekend]]="","",_xlfn.CONCAT(Ruimtestaat[[#This Row],[Ruimte code]],"-",Ruimtestaat[[#This Row],[Frequentie weekend]]," ",Ruimtestaat[[#This Row],[Vloer code]]))</f>
        <v/>
      </c>
      <c r="BD409" s="185" t="str">
        <f>_xlfn.IFNA(VLOOKUP($BC409,Programma!$F$3:$G$1101,2,0),"")</f>
        <v/>
      </c>
      <c r="BE409" s="185" t="str">
        <f>_xlfn.IFNA(VLOOKUP($BC409,Programma!$F$3:$H$1101,3,0),"")</f>
        <v/>
      </c>
      <c r="BF409" s="185" t="str">
        <f>_xlfn.IFNA(VLOOKUP($BC409,Programma!$F$3:$I$1101,4,0),"")</f>
        <v/>
      </c>
      <c r="BG409" s="185" t="str">
        <f>_xlfn.IFNA(VLOOKUP($BC409,Programma!$F$3:$J$1101,5,0),"")</f>
        <v/>
      </c>
      <c r="BH409" s="185" t="str">
        <f>_xlfn.IFNA(VLOOKUP($BC409,Programma!$F$3:$K$1101,6,0),"")</f>
        <v/>
      </c>
      <c r="BI409" s="185" t="str">
        <f>_xlfn.IFNA(VLOOKUP($BC409,Programma!$F$3:$L$1101,7,0),"")</f>
        <v/>
      </c>
      <c r="BJ409" s="185" t="str">
        <f>_xlfn.IFNA(VLOOKUP($BC409,Programma!$F$3:$M$1101,8,0),"")</f>
        <v/>
      </c>
      <c r="BK409" s="185" t="str">
        <f>_xlfn.IFNA(VLOOKUP($BC409,Programma!$F$3:$N$1101,9,0),"")</f>
        <v/>
      </c>
      <c r="BL409" s="185" t="str">
        <f>_xlfn.IFNA(VLOOKUP($BC409,Programma!$F$3:$O$1101,10,0),"")</f>
        <v/>
      </c>
      <c r="BM409" s="185" t="str">
        <f>_xlfn.IFNA(VLOOKUP($BC409,Programma!$F$3:$P$1101,11,0),"")</f>
        <v/>
      </c>
      <c r="BN409" s="185" t="str">
        <f>_xlfn.IFNA(VLOOKUP($BC409,Programma!$F$3:$Q$1101,12,0),"")</f>
        <v/>
      </c>
      <c r="BO409" s="185" t="str">
        <f>_xlfn.IFNA(VLOOKUP($BC409,Programma!$F$3:$R$1101,13,0),"")</f>
        <v/>
      </c>
      <c r="BP409" s="185" t="str">
        <f>_xlfn.IFNA(VLOOKUP($BC409,Programma!$F$3:$S$1101,14,0),"")</f>
        <v/>
      </c>
      <c r="BQ409" s="185" t="str">
        <f>_xlfn.IFNA(VLOOKUP($BC409,Programma!$F$3:$T$1101,15,0),"")</f>
        <v/>
      </c>
      <c r="BR409" s="185" t="str">
        <f>_xlfn.IFNA(VLOOKUP($BC409,Programma!$F$3:$U$1101,16,0),"")</f>
        <v/>
      </c>
      <c r="BS409" s="185" t="str">
        <f>_xlfn.IFNA(VLOOKUP($BC409,Programma!$F$3:$V$1101,17,0),"")</f>
        <v/>
      </c>
      <c r="BT409" s="185" t="str">
        <f>_xlfn.IFNA(VLOOKUP($BC409,Programma!$F$3:$W$1101,18,0),"")</f>
        <v/>
      </c>
      <c r="BU409" s="185" t="str">
        <f>_xlfn.IFNA(VLOOKUP($BC409,Programma!$F$3:$X$1101,19,0),"")</f>
        <v/>
      </c>
      <c r="BV409" s="185" t="str">
        <f>_xlfn.IFNA(VLOOKUP($BC409,Programma!$F$3:$Y$1101,20,0),"")</f>
        <v/>
      </c>
    </row>
    <row r="410" spans="1:74" s="78" customFormat="1" ht="15" customHeight="1">
      <c r="A410" s="99">
        <v>12</v>
      </c>
      <c r="B410" s="176" t="str">
        <f>VLOOKUP(Ruimtestaat[[#This Row],[Code]],Locaties[[Code]:[Locatie]],2,FALSE)</f>
        <v>OMBS Het Zeggelt (Dr. Benthem)</v>
      </c>
      <c r="C410" s="176" t="str">
        <f>VLOOKUP(Ruimtestaat[[#This Row],[Code]],Locaties[[#All],[Code]:[Adres]],4,FALSE)</f>
        <v>Dr. Benthemstraat 14</v>
      </c>
      <c r="D410" s="176" t="str">
        <f>VLOOKUP(Ruimtestaat[[#This Row],[Code]],Locaties[[#All],[Code]:[Postcode]],5,FALSE)</f>
        <v>7514 CM</v>
      </c>
      <c r="E410" s="176" t="str">
        <f>VLOOKUP(Ruimtestaat[[#This Row],[Code]],Locaties[#All],6,FALSE)</f>
        <v>Enschede</v>
      </c>
      <c r="F410" s="183"/>
      <c r="G410" s="99" t="s">
        <v>1646</v>
      </c>
      <c r="H410" s="99" t="s">
        <v>1675</v>
      </c>
      <c r="I410" s="183" t="s">
        <v>1651</v>
      </c>
      <c r="J410" s="99">
        <v>16</v>
      </c>
      <c r="K410" s="183" t="str">
        <f>VLOOKUP(Ruimtestaat[[#This Row],[Ruimte code]],Ruimtegroepen[[#All],[Code]:[Ruimte omschrijving]],2,FALSE)</f>
        <v>Leslokalen</v>
      </c>
      <c r="L410" s="99" t="s">
        <v>100</v>
      </c>
      <c r="M410" s="99" t="s">
        <v>1697</v>
      </c>
      <c r="N410" s="177">
        <v>57.2</v>
      </c>
      <c r="O410" s="177"/>
      <c r="P410" s="178" t="str">
        <f>VLOOKUP(Ruimtestaat[[#This Row],[Ruimte code]],Ruimtegroepen[],4,FALSE)</f>
        <v>Le</v>
      </c>
      <c r="Q410" s="149">
        <v>40</v>
      </c>
      <c r="R410" s="149" t="s">
        <v>2</v>
      </c>
      <c r="S410" s="149">
        <f>IF(Q410&gt;0,IF(RIGHT(Ruimtestaat[[#This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0" s="149">
        <f>IF(S410&gt;0,VLOOKUP($J410,Ruimtegroepen[],3,FALSE)*VLOOKUP($L410,Vloersoorten[],3,FALSE)*VLOOKUP($R410,Frequenties[],3,FALSE)*VLOOKUP($A410,Locaties[],3,FALSE),0)</f>
        <v>0</v>
      </c>
      <c r="U410" s="149">
        <f>Ruimtestaat[[#This Row],[Uitvoeringen werkdagen]]*Ruimtestaat[[#This Row],[Oppervlak (netto)]]</f>
        <v>11440</v>
      </c>
      <c r="V410" s="179">
        <f>IF(T410&gt;0,Ruimtestaat[[#This Row],[Prest. (m2 /jaar) werkdagen]]/Ruimtestaat[[#This Row],[Norm (m2/uur) werkdagen]],0)</f>
        <v>0</v>
      </c>
      <c r="W410" s="180">
        <f>Ruimtestaat[[#This Row],[uren / jaar werkdagen]]*Tariefsopbouw!$E$35</f>
        <v>0</v>
      </c>
      <c r="X410" s="149"/>
      <c r="Y410" s="149">
        <f>IF(Ruimtestaat[[#This Row],[Frequentie weekend]]&gt;0,VALUE(LEFT(X410,1))*Q410,0)</f>
        <v>0</v>
      </c>
      <c r="Z410" s="148">
        <f>IF($Y410&gt;0,VLOOKUP($J410,Ruimtegroepen[],3,FALSE)*VLOOKUP($L410,Vloersoorten[],3,FALSE)*VLOOKUP($X410,Frequenties[],3,FALSE)*VLOOKUP(Ruimtestaat[[#This Row],[Code]],Locaties[],3,FALSE),0)</f>
        <v>0</v>
      </c>
      <c r="AA410" s="148">
        <f>Ruimtestaat[[#This Row],[Uitvoeringen weekend]]*Ruimtestaat[[#This Row],[Oppervlak (netto)]]</f>
        <v>0</v>
      </c>
      <c r="AB410" s="148">
        <f>IF(Z410&gt;0,Ruimtestaat[[#This Row],[Prest. (m2 /jaar) weekend]]/Ruimtestaat[[#This Row],[Norm (m2/uur) weekend]],0)</f>
        <v>0</v>
      </c>
      <c r="AC410" s="180">
        <f>Ruimtestaat[[#This Row],[uren / jaar weekend]]*Tariefsopbouw!$D$40</f>
        <v>0</v>
      </c>
      <c r="AD410" s="179">
        <f>Ruimtestaat[[#This Row],[Prest. (m2 /jaar) weekend]]+Ruimtestaat[[#This Row],[Prest. (m2 /jaar) werkdagen]]</f>
        <v>11440</v>
      </c>
      <c r="AE410" s="179">
        <f>Ruimtestaat[[#This Row],[uren / jaar weekend]]+Ruimtestaat[[#This Row],[uren / jaar werkdagen]]</f>
        <v>0</v>
      </c>
      <c r="AF410" s="174">
        <f>Ruimtestaat[[#This Row],[kosten / jaar weekend]]+Ruimtestaat[[#This Row],[kosten / jaar werkdagen]]</f>
        <v>0</v>
      </c>
      <c r="AG410" s="174"/>
      <c r="AH410" s="181" t="str">
        <f>IF(Ruimtestaat[[#This Row],[Frequentie werkdagen]]="","",_xlfn.CONCAT(Ruimtestaat[[#This Row],[Ruimte code]],"-",Ruimtestaat[[#This Row],[Frequentie werkdagen]]," ",Ruimtestaat[[#This Row],[Vloer code]]))</f>
        <v>16-5w L</v>
      </c>
      <c r="AI410" s="185" t="str">
        <f>_xlfn.IFNA(VLOOKUP($AH410,Programma!$F$3:$G$1101,2,0),"")</f>
        <v>_</v>
      </c>
      <c r="AJ410" s="185" t="str">
        <f>_xlfn.IFNA(VLOOKUP($AH410,Programma!$F$3:$H$1101,3,0),"")</f>
        <v>_</v>
      </c>
      <c r="AK410" s="185" t="str">
        <f>_xlfn.IFNA(VLOOKUP($AH410,Programma!$F$3:$I$1101,4,0),"")</f>
        <v>4w</v>
      </c>
      <c r="AL410" s="185" t="str">
        <f>_xlfn.IFNA(VLOOKUP($AH410,Programma!$F$3:$J$1101,5,0),"")</f>
        <v>1w</v>
      </c>
      <c r="AM410" s="185" t="str">
        <f>_xlfn.IFNA(VLOOKUP($AH410,Programma!$F$3:$K$1101,6,0),"")</f>
        <v>_</v>
      </c>
      <c r="AN410" s="185" t="str">
        <f>_xlfn.IFNA(VLOOKUP($AH410,Programma!$F$3:$L$1101,7,0),"")</f>
        <v>_</v>
      </c>
      <c r="AO410" s="185" t="str">
        <f>_xlfn.IFNA(VLOOKUP($AH410,Programma!$F$3:$M$1101,8,0),"")</f>
        <v>_</v>
      </c>
      <c r="AP410" s="185" t="str">
        <f>_xlfn.IFNA(VLOOKUP($AH410,Programma!$F$3:$N$1101,9,0),"")</f>
        <v>_</v>
      </c>
      <c r="AQ410" s="185" t="str">
        <f>_xlfn.IFNA(VLOOKUP($AH410,Programma!$F$3:$O$1101,10,0),"")</f>
        <v>5w</v>
      </c>
      <c r="AR410" s="185" t="str">
        <f>_xlfn.IFNA(VLOOKUP($AH410,Programma!$F$3:$P$1101,11,0),"")</f>
        <v>5w</v>
      </c>
      <c r="AS410" s="185" t="str">
        <f>_xlfn.IFNA(VLOOKUP($AH410,Programma!$F$3:$Q$1101,12,0),"")</f>
        <v>1w</v>
      </c>
      <c r="AT410" s="185" t="str">
        <f>_xlfn.IFNA(VLOOKUP($AH410,Programma!$F$3:$R$1101,13,0),"")</f>
        <v>1w</v>
      </c>
      <c r="AU410" s="185" t="str">
        <f>_xlfn.IFNA(VLOOKUP($AH410,Programma!$F$3:$S$1101,14,0),"")</f>
        <v>1m</v>
      </c>
      <c r="AV410" s="185" t="str">
        <f>_xlfn.IFNA(VLOOKUP($AH410,Programma!$F$3:$T$1101,15,0),"")</f>
        <v>2j</v>
      </c>
      <c r="AW410" s="185" t="str">
        <f>_xlfn.IFNA(VLOOKUP($AH410,Programma!$F$3:$U$1101,16,0),"")</f>
        <v>1j</v>
      </c>
      <c r="AX410" s="185" t="str">
        <f>_xlfn.IFNA(VLOOKUP($AH410,Programma!$F$3:$V$1101,17,0),"")</f>
        <v>_</v>
      </c>
      <c r="AY410" s="185" t="str">
        <f>_xlfn.IFNA(VLOOKUP($AH410,Programma!$F$3:$W$1101,18,0),"")</f>
        <v>_</v>
      </c>
      <c r="AZ410" s="185" t="str">
        <f>_xlfn.IFNA(VLOOKUP($AH410,Programma!$F$3:$X$1101,19,0),"")</f>
        <v>_</v>
      </c>
      <c r="BA410" s="185" t="str">
        <f>_xlfn.IFNA(VLOOKUP($AH410,Programma!$F$3:$Y$1101,20,0),"")</f>
        <v>_</v>
      </c>
      <c r="BB410" s="182"/>
      <c r="BC410" s="181" t="str">
        <f>IF(Ruimtestaat[[#This Row],[Frequentie weekend]]="","",_xlfn.CONCAT(Ruimtestaat[[#This Row],[Ruimte code]],"-",Ruimtestaat[[#This Row],[Frequentie weekend]]," ",Ruimtestaat[[#This Row],[Vloer code]]))</f>
        <v/>
      </c>
      <c r="BD410" s="185" t="str">
        <f>_xlfn.IFNA(VLOOKUP($BC410,Programma!$F$3:$G$1101,2,0),"")</f>
        <v/>
      </c>
      <c r="BE410" s="185" t="str">
        <f>_xlfn.IFNA(VLOOKUP($BC410,Programma!$F$3:$H$1101,3,0),"")</f>
        <v/>
      </c>
      <c r="BF410" s="185" t="str">
        <f>_xlfn.IFNA(VLOOKUP($BC410,Programma!$F$3:$I$1101,4,0),"")</f>
        <v/>
      </c>
      <c r="BG410" s="185" t="str">
        <f>_xlfn.IFNA(VLOOKUP($BC410,Programma!$F$3:$J$1101,5,0),"")</f>
        <v/>
      </c>
      <c r="BH410" s="185" t="str">
        <f>_xlfn.IFNA(VLOOKUP($BC410,Programma!$F$3:$K$1101,6,0),"")</f>
        <v/>
      </c>
      <c r="BI410" s="185" t="str">
        <f>_xlfn.IFNA(VLOOKUP($BC410,Programma!$F$3:$L$1101,7,0),"")</f>
        <v/>
      </c>
      <c r="BJ410" s="185" t="str">
        <f>_xlfn.IFNA(VLOOKUP($BC410,Programma!$F$3:$M$1101,8,0),"")</f>
        <v/>
      </c>
      <c r="BK410" s="185" t="str">
        <f>_xlfn.IFNA(VLOOKUP($BC410,Programma!$F$3:$N$1101,9,0),"")</f>
        <v/>
      </c>
      <c r="BL410" s="185" t="str">
        <f>_xlfn.IFNA(VLOOKUP($BC410,Programma!$F$3:$O$1101,10,0),"")</f>
        <v/>
      </c>
      <c r="BM410" s="185" t="str">
        <f>_xlfn.IFNA(VLOOKUP($BC410,Programma!$F$3:$P$1101,11,0),"")</f>
        <v/>
      </c>
      <c r="BN410" s="185" t="str">
        <f>_xlfn.IFNA(VLOOKUP($BC410,Programma!$F$3:$Q$1101,12,0),"")</f>
        <v/>
      </c>
      <c r="BO410" s="185" t="str">
        <f>_xlfn.IFNA(VLOOKUP($BC410,Programma!$F$3:$R$1101,13,0),"")</f>
        <v/>
      </c>
      <c r="BP410" s="185" t="str">
        <f>_xlfn.IFNA(VLOOKUP($BC410,Programma!$F$3:$S$1101,14,0),"")</f>
        <v/>
      </c>
      <c r="BQ410" s="185" t="str">
        <f>_xlfn.IFNA(VLOOKUP($BC410,Programma!$F$3:$T$1101,15,0),"")</f>
        <v/>
      </c>
      <c r="BR410" s="185" t="str">
        <f>_xlfn.IFNA(VLOOKUP($BC410,Programma!$F$3:$U$1101,16,0),"")</f>
        <v/>
      </c>
      <c r="BS410" s="185" t="str">
        <f>_xlfn.IFNA(VLOOKUP($BC410,Programma!$F$3:$V$1101,17,0),"")</f>
        <v/>
      </c>
      <c r="BT410" s="185" t="str">
        <f>_xlfn.IFNA(VLOOKUP($BC410,Programma!$F$3:$W$1101,18,0),"")</f>
        <v/>
      </c>
      <c r="BU410" s="185" t="str">
        <f>_xlfn.IFNA(VLOOKUP($BC410,Programma!$F$3:$X$1101,19,0),"")</f>
        <v/>
      </c>
      <c r="BV410" s="185" t="str">
        <f>_xlfn.IFNA(VLOOKUP($BC410,Programma!$F$3:$Y$1101,20,0),"")</f>
        <v/>
      </c>
    </row>
    <row r="411" spans="1:74" s="78" customFormat="1" ht="15" customHeight="1">
      <c r="A411" s="99">
        <v>12</v>
      </c>
      <c r="B411" s="176" t="str">
        <f>VLOOKUP(Ruimtestaat[[#This Row],[Code]],Locaties[[Code]:[Locatie]],2,FALSE)</f>
        <v>OMBS Het Zeggelt (Dr. Benthem)</v>
      </c>
      <c r="C411" s="176" t="str">
        <f>VLOOKUP(Ruimtestaat[[#This Row],[Code]],Locaties[[#All],[Code]:[Adres]],4,FALSE)</f>
        <v>Dr. Benthemstraat 14</v>
      </c>
      <c r="D411" s="176" t="str">
        <f>VLOOKUP(Ruimtestaat[[#This Row],[Code]],Locaties[[#All],[Code]:[Postcode]],5,FALSE)</f>
        <v>7514 CM</v>
      </c>
      <c r="E411" s="176" t="str">
        <f>VLOOKUP(Ruimtestaat[[#This Row],[Code]],Locaties[#All],6,FALSE)</f>
        <v>Enschede</v>
      </c>
      <c r="F411" s="183"/>
      <c r="G411" s="99" t="s">
        <v>1646</v>
      </c>
      <c r="H411" s="99" t="s">
        <v>1676</v>
      </c>
      <c r="I411" s="183" t="s">
        <v>1679</v>
      </c>
      <c r="J411" s="99">
        <v>15</v>
      </c>
      <c r="K411" s="183" t="str">
        <f>VLOOKUP(Ruimtestaat[[#This Row],[Ruimte code]],Ruimtegroepen[[#All],[Code]:[Ruimte omschrijving]],2,FALSE)</f>
        <v>Keuken/pantry</v>
      </c>
      <c r="L411" s="99" t="s">
        <v>101</v>
      </c>
      <c r="M411" s="99" t="s">
        <v>119</v>
      </c>
      <c r="N411" s="177">
        <v>2.9</v>
      </c>
      <c r="O411" s="177"/>
      <c r="P411" s="178" t="str">
        <f>VLOOKUP(Ruimtestaat[[#This Row],[Ruimte code]],Ruimtegroepen[],4,FALSE)</f>
        <v>Ve</v>
      </c>
      <c r="Q411" s="149">
        <v>40</v>
      </c>
      <c r="R411" s="149" t="s">
        <v>2</v>
      </c>
      <c r="S411" s="149">
        <f>IF(Q411&gt;0,IF(RIGHT(Ruimtestaat[[#This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1" s="149">
        <f>IF(S411&gt;0,VLOOKUP($J411,Ruimtegroepen[],3,FALSE)*VLOOKUP($L411,Vloersoorten[],3,FALSE)*VLOOKUP($R411,Frequenties[],3,FALSE)*VLOOKUP($A411,Locaties[],3,FALSE),0)</f>
        <v>0</v>
      </c>
      <c r="U411" s="149">
        <f>Ruimtestaat[[#This Row],[Uitvoeringen werkdagen]]*Ruimtestaat[[#This Row],[Oppervlak (netto)]]</f>
        <v>580</v>
      </c>
      <c r="V411" s="179">
        <f>IF(T411&gt;0,Ruimtestaat[[#This Row],[Prest. (m2 /jaar) werkdagen]]/Ruimtestaat[[#This Row],[Norm (m2/uur) werkdagen]],0)</f>
        <v>0</v>
      </c>
      <c r="W411" s="180">
        <f>Ruimtestaat[[#This Row],[uren / jaar werkdagen]]*Tariefsopbouw!$E$35</f>
        <v>0</v>
      </c>
      <c r="X411" s="149"/>
      <c r="Y411" s="149">
        <f>IF(Ruimtestaat[[#This Row],[Frequentie weekend]]&gt;0,VALUE(LEFT(X411,1))*Q411,0)</f>
        <v>0</v>
      </c>
      <c r="Z411" s="148">
        <f>IF($Y411&gt;0,VLOOKUP($J411,Ruimtegroepen[],3,FALSE)*VLOOKUP($L411,Vloersoorten[],3,FALSE)*VLOOKUP($X411,Frequenties[],3,FALSE)*VLOOKUP(Ruimtestaat[[#This Row],[Code]],Locaties[],3,FALSE),0)</f>
        <v>0</v>
      </c>
      <c r="AA411" s="148">
        <f>Ruimtestaat[[#This Row],[Uitvoeringen weekend]]*Ruimtestaat[[#This Row],[Oppervlak (netto)]]</f>
        <v>0</v>
      </c>
      <c r="AB411" s="148">
        <f>IF(Z411&gt;0,Ruimtestaat[[#This Row],[Prest. (m2 /jaar) weekend]]/Ruimtestaat[[#This Row],[Norm (m2/uur) weekend]],0)</f>
        <v>0</v>
      </c>
      <c r="AC411" s="180">
        <f>Ruimtestaat[[#This Row],[uren / jaar weekend]]*Tariefsopbouw!$D$40</f>
        <v>0</v>
      </c>
      <c r="AD411" s="179">
        <f>Ruimtestaat[[#This Row],[Prest. (m2 /jaar) weekend]]+Ruimtestaat[[#This Row],[Prest. (m2 /jaar) werkdagen]]</f>
        <v>580</v>
      </c>
      <c r="AE411" s="179">
        <f>Ruimtestaat[[#This Row],[uren / jaar weekend]]+Ruimtestaat[[#This Row],[uren / jaar werkdagen]]</f>
        <v>0</v>
      </c>
      <c r="AF411" s="174">
        <f>Ruimtestaat[[#This Row],[kosten / jaar weekend]]+Ruimtestaat[[#This Row],[kosten / jaar werkdagen]]</f>
        <v>0</v>
      </c>
      <c r="AG411" s="174"/>
      <c r="AH411" s="181" t="str">
        <f>IF(Ruimtestaat[[#This Row],[Frequentie werkdagen]]="","",_xlfn.CONCAT(Ruimtestaat[[#This Row],[Ruimte code]],"-",Ruimtestaat[[#This Row],[Frequentie werkdagen]]," ",Ruimtestaat[[#This Row],[Vloer code]]))</f>
        <v>15-5w S</v>
      </c>
      <c r="AI411" s="185" t="str">
        <f>_xlfn.IFNA(VLOOKUP($AH411,Programma!$F$3:$G$1101,2,0),"")</f>
        <v>_</v>
      </c>
      <c r="AJ411" s="185" t="str">
        <f>_xlfn.IFNA(VLOOKUP($AH411,Programma!$F$3:$H$1101,3,0),"")</f>
        <v>_</v>
      </c>
      <c r="AK411" s="185" t="str">
        <f>_xlfn.IFNA(VLOOKUP($AH411,Programma!$F$3:$I$1101,4,0),"")</f>
        <v>5w</v>
      </c>
      <c r="AL411" s="185" t="str">
        <f>_xlfn.IFNA(VLOOKUP($AH411,Programma!$F$3:$J$1101,5,0),"")</f>
        <v>_</v>
      </c>
      <c r="AM411" s="185" t="str">
        <f>_xlfn.IFNA(VLOOKUP($AH411,Programma!$F$3:$K$1101,6,0),"")</f>
        <v>5w</v>
      </c>
      <c r="AN411" s="185" t="str">
        <f>_xlfn.IFNA(VLOOKUP($AH411,Programma!$F$3:$L$1101,7,0),"")</f>
        <v>_</v>
      </c>
      <c r="AO411" s="185" t="str">
        <f>_xlfn.IFNA(VLOOKUP($AH411,Programma!$F$3:$M$1101,8,0),"")</f>
        <v>_</v>
      </c>
      <c r="AP411" s="185" t="str">
        <f>_xlfn.IFNA(VLOOKUP($AH411,Programma!$F$3:$N$1101,9,0),"")</f>
        <v>_</v>
      </c>
      <c r="AQ411" s="185" t="str">
        <f>_xlfn.IFNA(VLOOKUP($AH411,Programma!$F$3:$O$1101,10,0),"")</f>
        <v>5w</v>
      </c>
      <c r="AR411" s="185" t="str">
        <f>_xlfn.IFNA(VLOOKUP($AH411,Programma!$F$3:$P$1101,11,0),"")</f>
        <v>5w</v>
      </c>
      <c r="AS411" s="185" t="str">
        <f>_xlfn.IFNA(VLOOKUP($AH411,Programma!$F$3:$Q$1101,12,0),"")</f>
        <v>1w</v>
      </c>
      <c r="AT411" s="185" t="str">
        <f>_xlfn.IFNA(VLOOKUP($AH411,Programma!$F$3:$R$1101,13,0),"")</f>
        <v>1w</v>
      </c>
      <c r="AU411" s="185" t="str">
        <f>_xlfn.IFNA(VLOOKUP($AH411,Programma!$F$3:$S$1101,14,0),"")</f>
        <v>1m</v>
      </c>
      <c r="AV411" s="185" t="str">
        <f>_xlfn.IFNA(VLOOKUP($AH411,Programma!$F$3:$T$1101,15,0),"")</f>
        <v>2j</v>
      </c>
      <c r="AW411" s="185" t="str">
        <f>_xlfn.IFNA(VLOOKUP($AH411,Programma!$F$3:$U$1101,16,0),"")</f>
        <v>1j</v>
      </c>
      <c r="AX411" s="185" t="str">
        <f>_xlfn.IFNA(VLOOKUP($AH411,Programma!$F$3:$V$1101,17,0),"")</f>
        <v>_</v>
      </c>
      <c r="AY411" s="185" t="str">
        <f>_xlfn.IFNA(VLOOKUP($AH411,Programma!$F$3:$W$1101,18,0),"")</f>
        <v>_</v>
      </c>
      <c r="AZ411" s="185" t="str">
        <f>_xlfn.IFNA(VLOOKUP($AH411,Programma!$F$3:$X$1101,19,0),"")</f>
        <v>_</v>
      </c>
      <c r="BA411" s="185" t="str">
        <f>_xlfn.IFNA(VLOOKUP($AH411,Programma!$F$3:$Y$1101,20,0),"")</f>
        <v>_</v>
      </c>
      <c r="BB411" s="182"/>
      <c r="BC411" s="181" t="str">
        <f>IF(Ruimtestaat[[#This Row],[Frequentie weekend]]="","",_xlfn.CONCAT(Ruimtestaat[[#This Row],[Ruimte code]],"-",Ruimtestaat[[#This Row],[Frequentie weekend]]," ",Ruimtestaat[[#This Row],[Vloer code]]))</f>
        <v/>
      </c>
      <c r="BD411" s="185" t="str">
        <f>_xlfn.IFNA(VLOOKUP($BC411,Programma!$F$3:$G$1101,2,0),"")</f>
        <v/>
      </c>
      <c r="BE411" s="185" t="str">
        <f>_xlfn.IFNA(VLOOKUP($BC411,Programma!$F$3:$H$1101,3,0),"")</f>
        <v/>
      </c>
      <c r="BF411" s="185" t="str">
        <f>_xlfn.IFNA(VLOOKUP($BC411,Programma!$F$3:$I$1101,4,0),"")</f>
        <v/>
      </c>
      <c r="BG411" s="185" t="str">
        <f>_xlfn.IFNA(VLOOKUP($BC411,Programma!$F$3:$J$1101,5,0),"")</f>
        <v/>
      </c>
      <c r="BH411" s="185" t="str">
        <f>_xlfn.IFNA(VLOOKUP($BC411,Programma!$F$3:$K$1101,6,0),"")</f>
        <v/>
      </c>
      <c r="BI411" s="185" t="str">
        <f>_xlfn.IFNA(VLOOKUP($BC411,Programma!$F$3:$L$1101,7,0),"")</f>
        <v/>
      </c>
      <c r="BJ411" s="185" t="str">
        <f>_xlfn.IFNA(VLOOKUP($BC411,Programma!$F$3:$M$1101,8,0),"")</f>
        <v/>
      </c>
      <c r="BK411" s="185" t="str">
        <f>_xlfn.IFNA(VLOOKUP($BC411,Programma!$F$3:$N$1101,9,0),"")</f>
        <v/>
      </c>
      <c r="BL411" s="185" t="str">
        <f>_xlfn.IFNA(VLOOKUP($BC411,Programma!$F$3:$O$1101,10,0),"")</f>
        <v/>
      </c>
      <c r="BM411" s="185" t="str">
        <f>_xlfn.IFNA(VLOOKUP($BC411,Programma!$F$3:$P$1101,11,0),"")</f>
        <v/>
      </c>
      <c r="BN411" s="185" t="str">
        <f>_xlfn.IFNA(VLOOKUP($BC411,Programma!$F$3:$Q$1101,12,0),"")</f>
        <v/>
      </c>
      <c r="BO411" s="185" t="str">
        <f>_xlfn.IFNA(VLOOKUP($BC411,Programma!$F$3:$R$1101,13,0),"")</f>
        <v/>
      </c>
      <c r="BP411" s="185" t="str">
        <f>_xlfn.IFNA(VLOOKUP($BC411,Programma!$F$3:$S$1101,14,0),"")</f>
        <v/>
      </c>
      <c r="BQ411" s="185" t="str">
        <f>_xlfn.IFNA(VLOOKUP($BC411,Programma!$F$3:$T$1101,15,0),"")</f>
        <v/>
      </c>
      <c r="BR411" s="185" t="str">
        <f>_xlfn.IFNA(VLOOKUP($BC411,Programma!$F$3:$U$1101,16,0),"")</f>
        <v/>
      </c>
      <c r="BS411" s="185" t="str">
        <f>_xlfn.IFNA(VLOOKUP($BC411,Programma!$F$3:$V$1101,17,0),"")</f>
        <v/>
      </c>
      <c r="BT411" s="185" t="str">
        <f>_xlfn.IFNA(VLOOKUP($BC411,Programma!$F$3:$W$1101,18,0),"")</f>
        <v/>
      </c>
      <c r="BU411" s="185" t="str">
        <f>_xlfn.IFNA(VLOOKUP($BC411,Programma!$F$3:$X$1101,19,0),"")</f>
        <v/>
      </c>
      <c r="BV411" s="185" t="str">
        <f>_xlfn.IFNA(VLOOKUP($BC411,Programma!$F$3:$Y$1101,20,0),"")</f>
        <v/>
      </c>
    </row>
    <row r="412" spans="1:74" s="78" customFormat="1" ht="15" customHeight="1">
      <c r="A412" s="99">
        <v>12</v>
      </c>
      <c r="B412" s="176" t="str">
        <f>VLOOKUP(Ruimtestaat[[#This Row],[Code]],Locaties[[Code]:[Locatie]],2,FALSE)</f>
        <v>OMBS Het Zeggelt (Dr. Benthem)</v>
      </c>
      <c r="C412" s="176" t="str">
        <f>VLOOKUP(Ruimtestaat[[#This Row],[Code]],Locaties[[#All],[Code]:[Adres]],4,FALSE)</f>
        <v>Dr. Benthemstraat 14</v>
      </c>
      <c r="D412" s="176" t="str">
        <f>VLOOKUP(Ruimtestaat[[#This Row],[Code]],Locaties[[#All],[Code]:[Postcode]],5,FALSE)</f>
        <v>7514 CM</v>
      </c>
      <c r="E412" s="176" t="str">
        <f>VLOOKUP(Ruimtestaat[[#This Row],[Code]],Locaties[#All],6,FALSE)</f>
        <v>Enschede</v>
      </c>
      <c r="F412" s="183"/>
      <c r="G412" s="99" t="s">
        <v>1646</v>
      </c>
      <c r="H412" s="99" t="s">
        <v>1678</v>
      </c>
      <c r="I412" s="183" t="s">
        <v>1690</v>
      </c>
      <c r="J412" s="99">
        <v>18</v>
      </c>
      <c r="K412" s="183" t="str">
        <f>VLOOKUP(Ruimtestaat[[#This Row],[Ruimte code]],Ruimtegroepen[[#All],[Code]:[Ruimte omschrijving]],2,FALSE)</f>
        <v>Gymzaal</v>
      </c>
      <c r="L412" s="99" t="s">
        <v>102</v>
      </c>
      <c r="M412" s="99" t="s">
        <v>120</v>
      </c>
      <c r="N412" s="177">
        <v>91.8</v>
      </c>
      <c r="O412" s="177"/>
      <c r="P412" s="178" t="str">
        <f>VLOOKUP(Ruimtestaat[[#This Row],[Ruimte code]],Ruimtegroepen[],4,FALSE)</f>
        <v>Sp</v>
      </c>
      <c r="Q412" s="149">
        <v>40</v>
      </c>
      <c r="R412" s="149" t="s">
        <v>2</v>
      </c>
      <c r="S412" s="149">
        <f>IF(Q412&gt;0,IF(RIGHT(Ruimtestaat[[#This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2" s="149">
        <f>IF(S412&gt;0,VLOOKUP($J412,Ruimtegroepen[],3,FALSE)*VLOOKUP($L412,Vloersoorten[],3,FALSE)*VLOOKUP($R412,Frequenties[],3,FALSE)*VLOOKUP($A412,Locaties[],3,FALSE),0)</f>
        <v>0</v>
      </c>
      <c r="U412" s="149">
        <f>Ruimtestaat[[#This Row],[Uitvoeringen werkdagen]]*Ruimtestaat[[#This Row],[Oppervlak (netto)]]</f>
        <v>18360</v>
      </c>
      <c r="V412" s="179">
        <f>IF(T412&gt;0,Ruimtestaat[[#This Row],[Prest. (m2 /jaar) werkdagen]]/Ruimtestaat[[#This Row],[Norm (m2/uur) werkdagen]],0)</f>
        <v>0</v>
      </c>
      <c r="W412" s="180">
        <f>Ruimtestaat[[#This Row],[uren / jaar werkdagen]]*Tariefsopbouw!$E$35</f>
        <v>0</v>
      </c>
      <c r="X412" s="149"/>
      <c r="Y412" s="149">
        <f>IF(Ruimtestaat[[#This Row],[Frequentie weekend]]&gt;0,VALUE(LEFT(X412,1))*Q412,0)</f>
        <v>0</v>
      </c>
      <c r="Z412" s="148">
        <f>IF($Y412&gt;0,VLOOKUP($J412,Ruimtegroepen[],3,FALSE)*VLOOKUP($L412,Vloersoorten[],3,FALSE)*VLOOKUP($X412,Frequenties[],3,FALSE)*VLOOKUP(Ruimtestaat[[#This Row],[Code]],Locaties[],3,FALSE),0)</f>
        <v>0</v>
      </c>
      <c r="AA412" s="148">
        <f>Ruimtestaat[[#This Row],[Uitvoeringen weekend]]*Ruimtestaat[[#This Row],[Oppervlak (netto)]]</f>
        <v>0</v>
      </c>
      <c r="AB412" s="148">
        <f>IF(Z412&gt;0,Ruimtestaat[[#This Row],[Prest. (m2 /jaar) weekend]]/Ruimtestaat[[#This Row],[Norm (m2/uur) weekend]],0)</f>
        <v>0</v>
      </c>
      <c r="AC412" s="180">
        <f>Ruimtestaat[[#This Row],[uren / jaar weekend]]*Tariefsopbouw!$D$40</f>
        <v>0</v>
      </c>
      <c r="AD412" s="179">
        <f>Ruimtestaat[[#This Row],[Prest. (m2 /jaar) weekend]]+Ruimtestaat[[#This Row],[Prest. (m2 /jaar) werkdagen]]</f>
        <v>18360</v>
      </c>
      <c r="AE412" s="179">
        <f>Ruimtestaat[[#This Row],[uren / jaar weekend]]+Ruimtestaat[[#This Row],[uren / jaar werkdagen]]</f>
        <v>0</v>
      </c>
      <c r="AF412" s="174">
        <f>Ruimtestaat[[#This Row],[kosten / jaar weekend]]+Ruimtestaat[[#This Row],[kosten / jaar werkdagen]]</f>
        <v>0</v>
      </c>
      <c r="AG412" s="174"/>
      <c r="AH412" s="181" t="str">
        <f>IF(Ruimtestaat[[#This Row],[Frequentie werkdagen]]="","",_xlfn.CONCAT(Ruimtestaat[[#This Row],[Ruimte code]],"-",Ruimtestaat[[#This Row],[Frequentie werkdagen]]," ",Ruimtestaat[[#This Row],[Vloer code]]))</f>
        <v>18-5w P</v>
      </c>
      <c r="AI412" s="185" t="str">
        <f>_xlfn.IFNA(VLOOKUP($AH412,Programma!$F$3:$G$1101,2,0),"")</f>
        <v>_</v>
      </c>
      <c r="AJ412" s="185" t="str">
        <f>_xlfn.IFNA(VLOOKUP($AH412,Programma!$F$3:$H$1101,3,0),"")</f>
        <v>_</v>
      </c>
      <c r="AK412" s="185" t="str">
        <f>_xlfn.IFNA(VLOOKUP($AH412,Programma!$F$3:$I$1101,4,0),"")</f>
        <v>4w</v>
      </c>
      <c r="AL412" s="185" t="str">
        <f>_xlfn.IFNA(VLOOKUP($AH412,Programma!$F$3:$J$1101,5,0),"")</f>
        <v>1w</v>
      </c>
      <c r="AM412" s="185" t="str">
        <f>_xlfn.IFNA(VLOOKUP($AH412,Programma!$F$3:$K$1101,6,0),"")</f>
        <v>4j</v>
      </c>
      <c r="AN412" s="185" t="str">
        <f>_xlfn.IFNA(VLOOKUP($AH412,Programma!$F$3:$L$1101,7,0),"")</f>
        <v>_</v>
      </c>
      <c r="AO412" s="185" t="str">
        <f>_xlfn.IFNA(VLOOKUP($AH412,Programma!$F$3:$M$1101,8,0),"")</f>
        <v>_</v>
      </c>
      <c r="AP412" s="185" t="str">
        <f>_xlfn.IFNA(VLOOKUP($AH412,Programma!$F$3:$N$1101,9,0),"")</f>
        <v>_</v>
      </c>
      <c r="AQ412" s="185" t="str">
        <f>_xlfn.IFNA(VLOOKUP($AH412,Programma!$F$3:$O$1101,10,0),"")</f>
        <v>5w</v>
      </c>
      <c r="AR412" s="185" t="str">
        <f>_xlfn.IFNA(VLOOKUP($AH412,Programma!$F$3:$P$1101,11,0),"")</f>
        <v>5w</v>
      </c>
      <c r="AS412" s="185" t="str">
        <f>_xlfn.IFNA(VLOOKUP($AH412,Programma!$F$3:$Q$1101,12,0),"")</f>
        <v>5w</v>
      </c>
      <c r="AT412" s="185" t="str">
        <f>_xlfn.IFNA(VLOOKUP($AH412,Programma!$F$3:$R$1101,13,0),"")</f>
        <v>5w</v>
      </c>
      <c r="AU412" s="185" t="str">
        <f>_xlfn.IFNA(VLOOKUP($AH412,Programma!$F$3:$S$1101,14,0),"")</f>
        <v>1m</v>
      </c>
      <c r="AV412" s="185" t="str">
        <f>_xlfn.IFNA(VLOOKUP($AH412,Programma!$F$3:$T$1101,15,0),"")</f>
        <v>2j</v>
      </c>
      <c r="AW412" s="185" t="str">
        <f>_xlfn.IFNA(VLOOKUP($AH412,Programma!$F$3:$U$1101,16,0),"")</f>
        <v>1j</v>
      </c>
      <c r="AX412" s="185" t="str">
        <f>_xlfn.IFNA(VLOOKUP($AH412,Programma!$F$3:$V$1101,17,0),"")</f>
        <v>_</v>
      </c>
      <c r="AY412" s="185" t="str">
        <f>_xlfn.IFNA(VLOOKUP($AH412,Programma!$F$3:$W$1101,18,0),"")</f>
        <v>_</v>
      </c>
      <c r="AZ412" s="185" t="str">
        <f>_xlfn.IFNA(VLOOKUP($AH412,Programma!$F$3:$X$1101,19,0),"")</f>
        <v>_</v>
      </c>
      <c r="BA412" s="185" t="str">
        <f>_xlfn.IFNA(VLOOKUP($AH412,Programma!$F$3:$Y$1101,20,0),"")</f>
        <v>_</v>
      </c>
      <c r="BB412" s="182"/>
      <c r="BC412" s="181" t="str">
        <f>IF(Ruimtestaat[[#This Row],[Frequentie weekend]]="","",_xlfn.CONCAT(Ruimtestaat[[#This Row],[Ruimte code]],"-",Ruimtestaat[[#This Row],[Frequentie weekend]]," ",Ruimtestaat[[#This Row],[Vloer code]]))</f>
        <v/>
      </c>
      <c r="BD412" s="185" t="str">
        <f>_xlfn.IFNA(VLOOKUP($BC412,Programma!$F$3:$G$1101,2,0),"")</f>
        <v/>
      </c>
      <c r="BE412" s="185" t="str">
        <f>_xlfn.IFNA(VLOOKUP($BC412,Programma!$F$3:$H$1101,3,0),"")</f>
        <v/>
      </c>
      <c r="BF412" s="185" t="str">
        <f>_xlfn.IFNA(VLOOKUP($BC412,Programma!$F$3:$I$1101,4,0),"")</f>
        <v/>
      </c>
      <c r="BG412" s="185" t="str">
        <f>_xlfn.IFNA(VLOOKUP($BC412,Programma!$F$3:$J$1101,5,0),"")</f>
        <v/>
      </c>
      <c r="BH412" s="185" t="str">
        <f>_xlfn.IFNA(VLOOKUP($BC412,Programma!$F$3:$K$1101,6,0),"")</f>
        <v/>
      </c>
      <c r="BI412" s="185" t="str">
        <f>_xlfn.IFNA(VLOOKUP($BC412,Programma!$F$3:$L$1101,7,0),"")</f>
        <v/>
      </c>
      <c r="BJ412" s="185" t="str">
        <f>_xlfn.IFNA(VLOOKUP($BC412,Programma!$F$3:$M$1101,8,0),"")</f>
        <v/>
      </c>
      <c r="BK412" s="185" t="str">
        <f>_xlfn.IFNA(VLOOKUP($BC412,Programma!$F$3:$N$1101,9,0),"")</f>
        <v/>
      </c>
      <c r="BL412" s="185" t="str">
        <f>_xlfn.IFNA(VLOOKUP($BC412,Programma!$F$3:$O$1101,10,0),"")</f>
        <v/>
      </c>
      <c r="BM412" s="185" t="str">
        <f>_xlfn.IFNA(VLOOKUP($BC412,Programma!$F$3:$P$1101,11,0),"")</f>
        <v/>
      </c>
      <c r="BN412" s="185" t="str">
        <f>_xlfn.IFNA(VLOOKUP($BC412,Programma!$F$3:$Q$1101,12,0),"")</f>
        <v/>
      </c>
      <c r="BO412" s="185" t="str">
        <f>_xlfn.IFNA(VLOOKUP($BC412,Programma!$F$3:$R$1101,13,0),"")</f>
        <v/>
      </c>
      <c r="BP412" s="185" t="str">
        <f>_xlfn.IFNA(VLOOKUP($BC412,Programma!$F$3:$S$1101,14,0),"")</f>
        <v/>
      </c>
      <c r="BQ412" s="185" t="str">
        <f>_xlfn.IFNA(VLOOKUP($BC412,Programma!$F$3:$T$1101,15,0),"")</f>
        <v/>
      </c>
      <c r="BR412" s="185" t="str">
        <f>_xlfn.IFNA(VLOOKUP($BC412,Programma!$F$3:$U$1101,16,0),"")</f>
        <v/>
      </c>
      <c r="BS412" s="185" t="str">
        <f>_xlfn.IFNA(VLOOKUP($BC412,Programma!$F$3:$V$1101,17,0),"")</f>
        <v/>
      </c>
      <c r="BT412" s="185" t="str">
        <f>_xlfn.IFNA(VLOOKUP($BC412,Programma!$F$3:$W$1101,18,0),"")</f>
        <v/>
      </c>
      <c r="BU412" s="185" t="str">
        <f>_xlfn.IFNA(VLOOKUP($BC412,Programma!$F$3:$X$1101,19,0),"")</f>
        <v/>
      </c>
      <c r="BV412" s="185" t="str">
        <f>_xlfn.IFNA(VLOOKUP($BC412,Programma!$F$3:$Y$1101,20,0),"")</f>
        <v/>
      </c>
    </row>
    <row r="413" spans="1:74" s="78" customFormat="1" ht="15" customHeight="1">
      <c r="A413" s="99">
        <v>12</v>
      </c>
      <c r="B413" s="176" t="str">
        <f>VLOOKUP(Ruimtestaat[[#This Row],[Code]],Locaties[[Code]:[Locatie]],2,FALSE)</f>
        <v>OMBS Het Zeggelt (Dr. Benthem)</v>
      </c>
      <c r="C413" s="176" t="str">
        <f>VLOOKUP(Ruimtestaat[[#This Row],[Code]],Locaties[[#All],[Code]:[Adres]],4,FALSE)</f>
        <v>Dr. Benthemstraat 14</v>
      </c>
      <c r="D413" s="176" t="str">
        <f>VLOOKUP(Ruimtestaat[[#This Row],[Code]],Locaties[[#All],[Code]:[Postcode]],5,FALSE)</f>
        <v>7514 CM</v>
      </c>
      <c r="E413" s="176" t="str">
        <f>VLOOKUP(Ruimtestaat[[#This Row],[Code]],Locaties[#All],6,FALSE)</f>
        <v>Enschede</v>
      </c>
      <c r="F413" s="183"/>
      <c r="G413" s="99" t="s">
        <v>1646</v>
      </c>
      <c r="H413" s="99" t="s">
        <v>1680</v>
      </c>
      <c r="I413" s="183" t="s">
        <v>1658</v>
      </c>
      <c r="J413" s="99">
        <v>6</v>
      </c>
      <c r="K413" s="183" t="str">
        <f>VLOOKUP(Ruimtestaat[[#This Row],[Ruimte code]],Ruimtegroepen[[#All],[Code]:[Ruimte omschrijving]],2,FALSE)</f>
        <v>Gangen/hallen</v>
      </c>
      <c r="L413" s="99" t="s">
        <v>102</v>
      </c>
      <c r="M413" s="99" t="s">
        <v>120</v>
      </c>
      <c r="N413" s="177">
        <v>168.2</v>
      </c>
      <c r="O413" s="177"/>
      <c r="P413" s="178" t="str">
        <f>VLOOKUP(Ruimtestaat[[#This Row],[Ruimte code]],Ruimtegroepen[],4,FALSE)</f>
        <v>Ve</v>
      </c>
      <c r="Q413" s="149">
        <v>40</v>
      </c>
      <c r="R413" s="149" t="s">
        <v>2</v>
      </c>
      <c r="S413" s="149">
        <f>IF(Q413&gt;0,IF(RIGHT(Ruimtestaat[[#This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3" s="149">
        <f>IF(S413&gt;0,VLOOKUP($J413,Ruimtegroepen[],3,FALSE)*VLOOKUP($L413,Vloersoorten[],3,FALSE)*VLOOKUP($R413,Frequenties[],3,FALSE)*VLOOKUP($A413,Locaties[],3,FALSE),0)</f>
        <v>0</v>
      </c>
      <c r="U413" s="149">
        <f>Ruimtestaat[[#This Row],[Uitvoeringen werkdagen]]*Ruimtestaat[[#This Row],[Oppervlak (netto)]]</f>
        <v>33640</v>
      </c>
      <c r="V413" s="179">
        <f>IF(T413&gt;0,Ruimtestaat[[#This Row],[Prest. (m2 /jaar) werkdagen]]/Ruimtestaat[[#This Row],[Norm (m2/uur) werkdagen]],0)</f>
        <v>0</v>
      </c>
      <c r="W413" s="180">
        <f>Ruimtestaat[[#This Row],[uren / jaar werkdagen]]*Tariefsopbouw!$E$35</f>
        <v>0</v>
      </c>
      <c r="X413" s="149"/>
      <c r="Y413" s="149">
        <f>IF(Ruimtestaat[[#This Row],[Frequentie weekend]]&gt;0,VALUE(LEFT(X413,1))*Q413,0)</f>
        <v>0</v>
      </c>
      <c r="Z413" s="148">
        <f>IF($Y413&gt;0,VLOOKUP($J413,Ruimtegroepen[],3,FALSE)*VLOOKUP($L413,Vloersoorten[],3,FALSE)*VLOOKUP($X413,Frequenties[],3,FALSE)*VLOOKUP(Ruimtestaat[[#This Row],[Code]],Locaties[],3,FALSE),0)</f>
        <v>0</v>
      </c>
      <c r="AA413" s="148">
        <f>Ruimtestaat[[#This Row],[Uitvoeringen weekend]]*Ruimtestaat[[#This Row],[Oppervlak (netto)]]</f>
        <v>0</v>
      </c>
      <c r="AB413" s="148">
        <f>IF(Z413&gt;0,Ruimtestaat[[#This Row],[Prest. (m2 /jaar) weekend]]/Ruimtestaat[[#This Row],[Norm (m2/uur) weekend]],0)</f>
        <v>0</v>
      </c>
      <c r="AC413" s="180">
        <f>Ruimtestaat[[#This Row],[uren / jaar weekend]]*Tariefsopbouw!$D$40</f>
        <v>0</v>
      </c>
      <c r="AD413" s="179">
        <f>Ruimtestaat[[#This Row],[Prest. (m2 /jaar) weekend]]+Ruimtestaat[[#This Row],[Prest. (m2 /jaar) werkdagen]]</f>
        <v>33640</v>
      </c>
      <c r="AE413" s="179">
        <f>Ruimtestaat[[#This Row],[uren / jaar weekend]]+Ruimtestaat[[#This Row],[uren / jaar werkdagen]]</f>
        <v>0</v>
      </c>
      <c r="AF413" s="174">
        <f>Ruimtestaat[[#This Row],[kosten / jaar weekend]]+Ruimtestaat[[#This Row],[kosten / jaar werkdagen]]</f>
        <v>0</v>
      </c>
      <c r="AG413" s="174"/>
      <c r="AH413" s="181" t="str">
        <f>IF(Ruimtestaat[[#This Row],[Frequentie werkdagen]]="","",_xlfn.CONCAT(Ruimtestaat[[#This Row],[Ruimte code]],"-",Ruimtestaat[[#This Row],[Frequentie werkdagen]]," ",Ruimtestaat[[#This Row],[Vloer code]]))</f>
        <v>6-5w P</v>
      </c>
      <c r="AI413" s="185" t="str">
        <f>_xlfn.IFNA(VLOOKUP($AH413,Programma!$F$3:$G$1101,2,0),"")</f>
        <v>_</v>
      </c>
      <c r="AJ413" s="185" t="str">
        <f>_xlfn.IFNA(VLOOKUP($AH413,Programma!$F$3:$H$1101,3,0),"")</f>
        <v>_</v>
      </c>
      <c r="AK413" s="185" t="str">
        <f>_xlfn.IFNA(VLOOKUP($AH413,Programma!$F$3:$I$1101,4,0),"")</f>
        <v>5w</v>
      </c>
      <c r="AL413" s="185" t="str">
        <f>_xlfn.IFNA(VLOOKUP($AH413,Programma!$F$3:$J$1101,5,0),"")</f>
        <v>_</v>
      </c>
      <c r="AM413" s="185" t="str">
        <f>_xlfn.IFNA(VLOOKUP($AH413,Programma!$F$3:$K$1101,6,0),"")</f>
        <v>5w</v>
      </c>
      <c r="AN413" s="185" t="str">
        <f>_xlfn.IFNA(VLOOKUP($AH413,Programma!$F$3:$L$1101,7,0),"")</f>
        <v>_</v>
      </c>
      <c r="AO413" s="185" t="str">
        <f>_xlfn.IFNA(VLOOKUP($AH413,Programma!$F$3:$M$1101,8,0),"")</f>
        <v>_</v>
      </c>
      <c r="AP413" s="185" t="str">
        <f>_xlfn.IFNA(VLOOKUP($AH413,Programma!$F$3:$N$1101,9,0),"")</f>
        <v>_</v>
      </c>
      <c r="AQ413" s="185" t="str">
        <f>_xlfn.IFNA(VLOOKUP($AH413,Programma!$F$3:$O$1101,10,0),"")</f>
        <v>5w</v>
      </c>
      <c r="AR413" s="185" t="str">
        <f>_xlfn.IFNA(VLOOKUP($AH413,Programma!$F$3:$P$1101,11,0),"")</f>
        <v>5w</v>
      </c>
      <c r="AS413" s="185" t="str">
        <f>_xlfn.IFNA(VLOOKUP($AH413,Programma!$F$3:$Q$1101,12,0),"")</f>
        <v>1w</v>
      </c>
      <c r="AT413" s="185" t="str">
        <f>_xlfn.IFNA(VLOOKUP($AH413,Programma!$F$3:$R$1101,13,0),"")</f>
        <v>1w</v>
      </c>
      <c r="AU413" s="185" t="str">
        <f>_xlfn.IFNA(VLOOKUP($AH413,Programma!$F$3:$S$1101,14,0),"")</f>
        <v>1m</v>
      </c>
      <c r="AV413" s="185" t="str">
        <f>_xlfn.IFNA(VLOOKUP($AH413,Programma!$F$3:$T$1101,15,0),"")</f>
        <v>2j</v>
      </c>
      <c r="AW413" s="185" t="str">
        <f>_xlfn.IFNA(VLOOKUP($AH413,Programma!$F$3:$U$1101,16,0),"")</f>
        <v>1j</v>
      </c>
      <c r="AX413" s="185" t="str">
        <f>_xlfn.IFNA(VLOOKUP($AH413,Programma!$F$3:$V$1101,17,0),"")</f>
        <v>_</v>
      </c>
      <c r="AY413" s="185" t="str">
        <f>_xlfn.IFNA(VLOOKUP($AH413,Programma!$F$3:$W$1101,18,0),"")</f>
        <v>_</v>
      </c>
      <c r="AZ413" s="185" t="str">
        <f>_xlfn.IFNA(VLOOKUP($AH413,Programma!$F$3:$X$1101,19,0),"")</f>
        <v>_</v>
      </c>
      <c r="BA413" s="185" t="str">
        <f>_xlfn.IFNA(VLOOKUP($AH413,Programma!$F$3:$Y$1101,20,0),"")</f>
        <v>_</v>
      </c>
      <c r="BB413" s="182"/>
      <c r="BC413" s="181" t="str">
        <f>IF(Ruimtestaat[[#This Row],[Frequentie weekend]]="","",_xlfn.CONCAT(Ruimtestaat[[#This Row],[Ruimte code]],"-",Ruimtestaat[[#This Row],[Frequentie weekend]]," ",Ruimtestaat[[#This Row],[Vloer code]]))</f>
        <v/>
      </c>
      <c r="BD413" s="185" t="str">
        <f>_xlfn.IFNA(VLOOKUP($BC413,Programma!$F$3:$G$1101,2,0),"")</f>
        <v/>
      </c>
      <c r="BE413" s="185" t="str">
        <f>_xlfn.IFNA(VLOOKUP($BC413,Programma!$F$3:$H$1101,3,0),"")</f>
        <v/>
      </c>
      <c r="BF413" s="185" t="str">
        <f>_xlfn.IFNA(VLOOKUP($BC413,Programma!$F$3:$I$1101,4,0),"")</f>
        <v/>
      </c>
      <c r="BG413" s="185" t="str">
        <f>_xlfn.IFNA(VLOOKUP($BC413,Programma!$F$3:$J$1101,5,0),"")</f>
        <v/>
      </c>
      <c r="BH413" s="185" t="str">
        <f>_xlfn.IFNA(VLOOKUP($BC413,Programma!$F$3:$K$1101,6,0),"")</f>
        <v/>
      </c>
      <c r="BI413" s="185" t="str">
        <f>_xlfn.IFNA(VLOOKUP($BC413,Programma!$F$3:$L$1101,7,0),"")</f>
        <v/>
      </c>
      <c r="BJ413" s="185" t="str">
        <f>_xlfn.IFNA(VLOOKUP($BC413,Programma!$F$3:$M$1101,8,0),"")</f>
        <v/>
      </c>
      <c r="BK413" s="185" t="str">
        <f>_xlfn.IFNA(VLOOKUP($BC413,Programma!$F$3:$N$1101,9,0),"")</f>
        <v/>
      </c>
      <c r="BL413" s="185" t="str">
        <f>_xlfn.IFNA(VLOOKUP($BC413,Programma!$F$3:$O$1101,10,0),"")</f>
        <v/>
      </c>
      <c r="BM413" s="185" t="str">
        <f>_xlfn.IFNA(VLOOKUP($BC413,Programma!$F$3:$P$1101,11,0),"")</f>
        <v/>
      </c>
      <c r="BN413" s="185" t="str">
        <f>_xlfn.IFNA(VLOOKUP($BC413,Programma!$F$3:$Q$1101,12,0),"")</f>
        <v/>
      </c>
      <c r="BO413" s="185" t="str">
        <f>_xlfn.IFNA(VLOOKUP($BC413,Programma!$F$3:$R$1101,13,0),"")</f>
        <v/>
      </c>
      <c r="BP413" s="185" t="str">
        <f>_xlfn.IFNA(VLOOKUP($BC413,Programma!$F$3:$S$1101,14,0),"")</f>
        <v/>
      </c>
      <c r="BQ413" s="185" t="str">
        <f>_xlfn.IFNA(VLOOKUP($BC413,Programma!$F$3:$T$1101,15,0),"")</f>
        <v/>
      </c>
      <c r="BR413" s="185" t="str">
        <f>_xlfn.IFNA(VLOOKUP($BC413,Programma!$F$3:$U$1101,16,0),"")</f>
        <v/>
      </c>
      <c r="BS413" s="185" t="str">
        <f>_xlfn.IFNA(VLOOKUP($BC413,Programma!$F$3:$V$1101,17,0),"")</f>
        <v/>
      </c>
      <c r="BT413" s="185" t="str">
        <f>_xlfn.IFNA(VLOOKUP($BC413,Programma!$F$3:$W$1101,18,0),"")</f>
        <v/>
      </c>
      <c r="BU413" s="185" t="str">
        <f>_xlfn.IFNA(VLOOKUP($BC413,Programma!$F$3:$X$1101,19,0),"")</f>
        <v/>
      </c>
      <c r="BV413" s="185" t="str">
        <f>_xlfn.IFNA(VLOOKUP($BC413,Programma!$F$3:$Y$1101,20,0),"")</f>
        <v/>
      </c>
    </row>
    <row r="414" spans="1:74" s="78" customFormat="1" ht="15" customHeight="1">
      <c r="A414" s="99">
        <v>12</v>
      </c>
      <c r="B414" s="176" t="str">
        <f>VLOOKUP(Ruimtestaat[[#This Row],[Code]],Locaties[[Code]:[Locatie]],2,FALSE)</f>
        <v>OMBS Het Zeggelt (Dr. Benthem)</v>
      </c>
      <c r="C414" s="176" t="str">
        <f>VLOOKUP(Ruimtestaat[[#This Row],[Code]],Locaties[[#All],[Code]:[Adres]],4,FALSE)</f>
        <v>Dr. Benthemstraat 14</v>
      </c>
      <c r="D414" s="176" t="str">
        <f>VLOOKUP(Ruimtestaat[[#This Row],[Code]],Locaties[[#All],[Code]:[Postcode]],5,FALSE)</f>
        <v>7514 CM</v>
      </c>
      <c r="E414" s="176" t="str">
        <f>VLOOKUP(Ruimtestaat[[#This Row],[Code]],Locaties[#All],6,FALSE)</f>
        <v>Enschede</v>
      </c>
      <c r="F414" s="183"/>
      <c r="G414" s="99" t="s">
        <v>1646</v>
      </c>
      <c r="H414" s="99" t="s">
        <v>1689</v>
      </c>
      <c r="I414" s="183" t="s">
        <v>1651</v>
      </c>
      <c r="J414" s="99">
        <v>16</v>
      </c>
      <c r="K414" s="183" t="str">
        <f>VLOOKUP(Ruimtestaat[[#This Row],[Ruimte code]],Ruimtegroepen[[#All],[Code]:[Ruimte omschrijving]],2,FALSE)</f>
        <v>Leslokalen</v>
      </c>
      <c r="L414" s="99" t="s">
        <v>100</v>
      </c>
      <c r="M414" s="99" t="s">
        <v>1697</v>
      </c>
      <c r="N414" s="177">
        <v>57.4</v>
      </c>
      <c r="O414" s="177"/>
      <c r="P414" s="178" t="str">
        <f>VLOOKUP(Ruimtestaat[[#This Row],[Ruimte code]],Ruimtegroepen[],4,FALSE)</f>
        <v>Le</v>
      </c>
      <c r="Q414" s="149">
        <v>40</v>
      </c>
      <c r="R414" s="149" t="s">
        <v>2</v>
      </c>
      <c r="S414" s="149">
        <f>IF(Q414&gt;0,IF(RIGHT(Ruimtestaat[[#This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4" s="149">
        <f>IF(S414&gt;0,VLOOKUP($J414,Ruimtegroepen[],3,FALSE)*VLOOKUP($L414,Vloersoorten[],3,FALSE)*VLOOKUP($R414,Frequenties[],3,FALSE)*VLOOKUP($A414,Locaties[],3,FALSE),0)</f>
        <v>0</v>
      </c>
      <c r="U414" s="149">
        <f>Ruimtestaat[[#This Row],[Uitvoeringen werkdagen]]*Ruimtestaat[[#This Row],[Oppervlak (netto)]]</f>
        <v>11480</v>
      </c>
      <c r="V414" s="179">
        <f>IF(T414&gt;0,Ruimtestaat[[#This Row],[Prest. (m2 /jaar) werkdagen]]/Ruimtestaat[[#This Row],[Norm (m2/uur) werkdagen]],0)</f>
        <v>0</v>
      </c>
      <c r="W414" s="180">
        <f>Ruimtestaat[[#This Row],[uren / jaar werkdagen]]*Tariefsopbouw!$E$35</f>
        <v>0</v>
      </c>
      <c r="X414" s="149"/>
      <c r="Y414" s="149">
        <f>IF(Ruimtestaat[[#This Row],[Frequentie weekend]]&gt;0,VALUE(LEFT(X414,1))*Q414,0)</f>
        <v>0</v>
      </c>
      <c r="Z414" s="148">
        <f>IF($Y414&gt;0,VLOOKUP($J414,Ruimtegroepen[],3,FALSE)*VLOOKUP($L414,Vloersoorten[],3,FALSE)*VLOOKUP($X414,Frequenties[],3,FALSE)*VLOOKUP(Ruimtestaat[[#This Row],[Code]],Locaties[],3,FALSE),0)</f>
        <v>0</v>
      </c>
      <c r="AA414" s="148">
        <f>Ruimtestaat[[#This Row],[Uitvoeringen weekend]]*Ruimtestaat[[#This Row],[Oppervlak (netto)]]</f>
        <v>0</v>
      </c>
      <c r="AB414" s="148">
        <f>IF(Z414&gt;0,Ruimtestaat[[#This Row],[Prest. (m2 /jaar) weekend]]/Ruimtestaat[[#This Row],[Norm (m2/uur) weekend]],0)</f>
        <v>0</v>
      </c>
      <c r="AC414" s="180">
        <f>Ruimtestaat[[#This Row],[uren / jaar weekend]]*Tariefsopbouw!$D$40</f>
        <v>0</v>
      </c>
      <c r="AD414" s="179">
        <f>Ruimtestaat[[#This Row],[Prest. (m2 /jaar) weekend]]+Ruimtestaat[[#This Row],[Prest. (m2 /jaar) werkdagen]]</f>
        <v>11480</v>
      </c>
      <c r="AE414" s="179">
        <f>Ruimtestaat[[#This Row],[uren / jaar weekend]]+Ruimtestaat[[#This Row],[uren / jaar werkdagen]]</f>
        <v>0</v>
      </c>
      <c r="AF414" s="174">
        <f>Ruimtestaat[[#This Row],[kosten / jaar weekend]]+Ruimtestaat[[#This Row],[kosten / jaar werkdagen]]</f>
        <v>0</v>
      </c>
      <c r="AG414" s="174"/>
      <c r="AH414" s="181" t="str">
        <f>IF(Ruimtestaat[[#This Row],[Frequentie werkdagen]]="","",_xlfn.CONCAT(Ruimtestaat[[#This Row],[Ruimte code]],"-",Ruimtestaat[[#This Row],[Frequentie werkdagen]]," ",Ruimtestaat[[#This Row],[Vloer code]]))</f>
        <v>16-5w L</v>
      </c>
      <c r="AI414" s="185" t="str">
        <f>_xlfn.IFNA(VLOOKUP($AH414,Programma!$F$3:$G$1101,2,0),"")</f>
        <v>_</v>
      </c>
      <c r="AJ414" s="185" t="str">
        <f>_xlfn.IFNA(VLOOKUP($AH414,Programma!$F$3:$H$1101,3,0),"")</f>
        <v>_</v>
      </c>
      <c r="AK414" s="185" t="str">
        <f>_xlfn.IFNA(VLOOKUP($AH414,Programma!$F$3:$I$1101,4,0),"")</f>
        <v>4w</v>
      </c>
      <c r="AL414" s="185" t="str">
        <f>_xlfn.IFNA(VLOOKUP($AH414,Programma!$F$3:$J$1101,5,0),"")</f>
        <v>1w</v>
      </c>
      <c r="AM414" s="185" t="str">
        <f>_xlfn.IFNA(VLOOKUP($AH414,Programma!$F$3:$K$1101,6,0),"")</f>
        <v>_</v>
      </c>
      <c r="AN414" s="185" t="str">
        <f>_xlfn.IFNA(VLOOKUP($AH414,Programma!$F$3:$L$1101,7,0),"")</f>
        <v>_</v>
      </c>
      <c r="AO414" s="185" t="str">
        <f>_xlfn.IFNA(VLOOKUP($AH414,Programma!$F$3:$M$1101,8,0),"")</f>
        <v>_</v>
      </c>
      <c r="AP414" s="185" t="str">
        <f>_xlfn.IFNA(VLOOKUP($AH414,Programma!$F$3:$N$1101,9,0),"")</f>
        <v>_</v>
      </c>
      <c r="AQ414" s="185" t="str">
        <f>_xlfn.IFNA(VLOOKUP($AH414,Programma!$F$3:$O$1101,10,0),"")</f>
        <v>5w</v>
      </c>
      <c r="AR414" s="185" t="str">
        <f>_xlfn.IFNA(VLOOKUP($AH414,Programma!$F$3:$P$1101,11,0),"")</f>
        <v>5w</v>
      </c>
      <c r="AS414" s="185" t="str">
        <f>_xlfn.IFNA(VLOOKUP($AH414,Programma!$F$3:$Q$1101,12,0),"")</f>
        <v>1w</v>
      </c>
      <c r="AT414" s="185" t="str">
        <f>_xlfn.IFNA(VLOOKUP($AH414,Programma!$F$3:$R$1101,13,0),"")</f>
        <v>1w</v>
      </c>
      <c r="AU414" s="185" t="str">
        <f>_xlfn.IFNA(VLOOKUP($AH414,Programma!$F$3:$S$1101,14,0),"")</f>
        <v>1m</v>
      </c>
      <c r="AV414" s="185" t="str">
        <f>_xlfn.IFNA(VLOOKUP($AH414,Programma!$F$3:$T$1101,15,0),"")</f>
        <v>2j</v>
      </c>
      <c r="AW414" s="185" t="str">
        <f>_xlfn.IFNA(VLOOKUP($AH414,Programma!$F$3:$U$1101,16,0),"")</f>
        <v>1j</v>
      </c>
      <c r="AX414" s="185" t="str">
        <f>_xlfn.IFNA(VLOOKUP($AH414,Programma!$F$3:$V$1101,17,0),"")</f>
        <v>_</v>
      </c>
      <c r="AY414" s="185" t="str">
        <f>_xlfn.IFNA(VLOOKUP($AH414,Programma!$F$3:$W$1101,18,0),"")</f>
        <v>_</v>
      </c>
      <c r="AZ414" s="185" t="str">
        <f>_xlfn.IFNA(VLOOKUP($AH414,Programma!$F$3:$X$1101,19,0),"")</f>
        <v>_</v>
      </c>
      <c r="BA414" s="185" t="str">
        <f>_xlfn.IFNA(VLOOKUP($AH414,Programma!$F$3:$Y$1101,20,0),"")</f>
        <v>_</v>
      </c>
      <c r="BB414" s="182"/>
      <c r="BC414" s="181" t="str">
        <f>IF(Ruimtestaat[[#This Row],[Frequentie weekend]]="","",_xlfn.CONCAT(Ruimtestaat[[#This Row],[Ruimte code]],"-",Ruimtestaat[[#This Row],[Frequentie weekend]]," ",Ruimtestaat[[#This Row],[Vloer code]]))</f>
        <v/>
      </c>
      <c r="BD414" s="185" t="str">
        <f>_xlfn.IFNA(VLOOKUP($BC414,Programma!$F$3:$G$1101,2,0),"")</f>
        <v/>
      </c>
      <c r="BE414" s="185" t="str">
        <f>_xlfn.IFNA(VLOOKUP($BC414,Programma!$F$3:$H$1101,3,0),"")</f>
        <v/>
      </c>
      <c r="BF414" s="185" t="str">
        <f>_xlfn.IFNA(VLOOKUP($BC414,Programma!$F$3:$I$1101,4,0),"")</f>
        <v/>
      </c>
      <c r="BG414" s="185" t="str">
        <f>_xlfn.IFNA(VLOOKUP($BC414,Programma!$F$3:$J$1101,5,0),"")</f>
        <v/>
      </c>
      <c r="BH414" s="185" t="str">
        <f>_xlfn.IFNA(VLOOKUP($BC414,Programma!$F$3:$K$1101,6,0),"")</f>
        <v/>
      </c>
      <c r="BI414" s="185" t="str">
        <f>_xlfn.IFNA(VLOOKUP($BC414,Programma!$F$3:$L$1101,7,0),"")</f>
        <v/>
      </c>
      <c r="BJ414" s="185" t="str">
        <f>_xlfn.IFNA(VLOOKUP($BC414,Programma!$F$3:$M$1101,8,0),"")</f>
        <v/>
      </c>
      <c r="BK414" s="185" t="str">
        <f>_xlfn.IFNA(VLOOKUP($BC414,Programma!$F$3:$N$1101,9,0),"")</f>
        <v/>
      </c>
      <c r="BL414" s="185" t="str">
        <f>_xlfn.IFNA(VLOOKUP($BC414,Programma!$F$3:$O$1101,10,0),"")</f>
        <v/>
      </c>
      <c r="BM414" s="185" t="str">
        <f>_xlfn.IFNA(VLOOKUP($BC414,Programma!$F$3:$P$1101,11,0),"")</f>
        <v/>
      </c>
      <c r="BN414" s="185" t="str">
        <f>_xlfn.IFNA(VLOOKUP($BC414,Programma!$F$3:$Q$1101,12,0),"")</f>
        <v/>
      </c>
      <c r="BO414" s="185" t="str">
        <f>_xlfn.IFNA(VLOOKUP($BC414,Programma!$F$3:$R$1101,13,0),"")</f>
        <v/>
      </c>
      <c r="BP414" s="185" t="str">
        <f>_xlfn.IFNA(VLOOKUP($BC414,Programma!$F$3:$S$1101,14,0),"")</f>
        <v/>
      </c>
      <c r="BQ414" s="185" t="str">
        <f>_xlfn.IFNA(VLOOKUP($BC414,Programma!$F$3:$T$1101,15,0),"")</f>
        <v/>
      </c>
      <c r="BR414" s="185" t="str">
        <f>_xlfn.IFNA(VLOOKUP($BC414,Programma!$F$3:$U$1101,16,0),"")</f>
        <v/>
      </c>
      <c r="BS414" s="185" t="str">
        <f>_xlfn.IFNA(VLOOKUP($BC414,Programma!$F$3:$V$1101,17,0),"")</f>
        <v/>
      </c>
      <c r="BT414" s="185" t="str">
        <f>_xlfn.IFNA(VLOOKUP($BC414,Programma!$F$3:$W$1101,18,0),"")</f>
        <v/>
      </c>
      <c r="BU414" s="185" t="str">
        <f>_xlfn.IFNA(VLOOKUP($BC414,Programma!$F$3:$X$1101,19,0),"")</f>
        <v/>
      </c>
      <c r="BV414" s="185" t="str">
        <f>_xlfn.IFNA(VLOOKUP($BC414,Programma!$F$3:$Y$1101,20,0),"")</f>
        <v/>
      </c>
    </row>
    <row r="415" spans="1:74" s="78" customFormat="1" ht="15" customHeight="1">
      <c r="A415" s="99">
        <v>12</v>
      </c>
      <c r="B415" s="176" t="str">
        <f>VLOOKUP(Ruimtestaat[[#This Row],[Code]],Locaties[[Code]:[Locatie]],2,FALSE)</f>
        <v>OMBS Het Zeggelt (Dr. Benthem)</v>
      </c>
      <c r="C415" s="176" t="str">
        <f>VLOOKUP(Ruimtestaat[[#This Row],[Code]],Locaties[[#All],[Code]:[Adres]],4,FALSE)</f>
        <v>Dr. Benthemstraat 14</v>
      </c>
      <c r="D415" s="176" t="str">
        <f>VLOOKUP(Ruimtestaat[[#This Row],[Code]],Locaties[[#All],[Code]:[Postcode]],5,FALSE)</f>
        <v>7514 CM</v>
      </c>
      <c r="E415" s="176" t="str">
        <f>VLOOKUP(Ruimtestaat[[#This Row],[Code]],Locaties[#All],6,FALSE)</f>
        <v>Enschede</v>
      </c>
      <c r="F415" s="183"/>
      <c r="G415" s="99" t="s">
        <v>1646</v>
      </c>
      <c r="H415" s="99" t="s">
        <v>1691</v>
      </c>
      <c r="I415" s="183" t="s">
        <v>38</v>
      </c>
      <c r="J415" s="99">
        <v>7</v>
      </c>
      <c r="K415" s="183" t="str">
        <f>VLOOKUP(Ruimtestaat[[#This Row],[Ruimte code]],Ruimtegroepen[[#All],[Code]:[Ruimte omschrijving]],2,FALSE)</f>
        <v>Entree</v>
      </c>
      <c r="L415" s="99" t="s">
        <v>99</v>
      </c>
      <c r="M415" s="99" t="s">
        <v>1700</v>
      </c>
      <c r="N415" s="177">
        <v>4</v>
      </c>
      <c r="O415" s="177"/>
      <c r="P415" s="178" t="str">
        <f>VLOOKUP(Ruimtestaat[[#This Row],[Ruimte code]],Ruimtegroepen[],4,FALSE)</f>
        <v>Ve</v>
      </c>
      <c r="Q415" s="149">
        <v>40</v>
      </c>
      <c r="R415" s="149" t="s">
        <v>2</v>
      </c>
      <c r="S415" s="149">
        <f>IF(Q415&gt;0,IF(RIGHT(Ruimtestaat[[#This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5" s="149">
        <f>IF(S415&gt;0,VLOOKUP($J415,Ruimtegroepen[],3,FALSE)*VLOOKUP($L415,Vloersoorten[],3,FALSE)*VLOOKUP($R415,Frequenties[],3,FALSE)*VLOOKUP($A415,Locaties[],3,FALSE),0)</f>
        <v>0</v>
      </c>
      <c r="U415" s="149">
        <f>Ruimtestaat[[#This Row],[Uitvoeringen werkdagen]]*Ruimtestaat[[#This Row],[Oppervlak (netto)]]</f>
        <v>800</v>
      </c>
      <c r="V415" s="179">
        <f>IF(T415&gt;0,Ruimtestaat[[#This Row],[Prest. (m2 /jaar) werkdagen]]/Ruimtestaat[[#This Row],[Norm (m2/uur) werkdagen]],0)</f>
        <v>0</v>
      </c>
      <c r="W415" s="180">
        <f>Ruimtestaat[[#This Row],[uren / jaar werkdagen]]*Tariefsopbouw!$E$35</f>
        <v>0</v>
      </c>
      <c r="X415" s="149"/>
      <c r="Y415" s="149">
        <f>IF(Ruimtestaat[[#This Row],[Frequentie weekend]]&gt;0,VALUE(LEFT(X415,1))*Q415,0)</f>
        <v>0</v>
      </c>
      <c r="Z415" s="148">
        <f>IF($Y415&gt;0,VLOOKUP($J415,Ruimtegroepen[],3,FALSE)*VLOOKUP($L415,Vloersoorten[],3,FALSE)*VLOOKUP($X415,Frequenties[],3,FALSE)*VLOOKUP(Ruimtestaat[[#This Row],[Code]],Locaties[],3,FALSE),0)</f>
        <v>0</v>
      </c>
      <c r="AA415" s="148">
        <f>Ruimtestaat[[#This Row],[Uitvoeringen weekend]]*Ruimtestaat[[#This Row],[Oppervlak (netto)]]</f>
        <v>0</v>
      </c>
      <c r="AB415" s="148">
        <f>IF(Z415&gt;0,Ruimtestaat[[#This Row],[Prest. (m2 /jaar) weekend]]/Ruimtestaat[[#This Row],[Norm (m2/uur) weekend]],0)</f>
        <v>0</v>
      </c>
      <c r="AC415" s="180">
        <f>Ruimtestaat[[#This Row],[uren / jaar weekend]]*Tariefsopbouw!$D$40</f>
        <v>0</v>
      </c>
      <c r="AD415" s="179">
        <f>Ruimtestaat[[#This Row],[Prest. (m2 /jaar) weekend]]+Ruimtestaat[[#This Row],[Prest. (m2 /jaar) werkdagen]]</f>
        <v>800</v>
      </c>
      <c r="AE415" s="179">
        <f>Ruimtestaat[[#This Row],[uren / jaar weekend]]+Ruimtestaat[[#This Row],[uren / jaar werkdagen]]</f>
        <v>0</v>
      </c>
      <c r="AF415" s="174">
        <f>Ruimtestaat[[#This Row],[kosten / jaar weekend]]+Ruimtestaat[[#This Row],[kosten / jaar werkdagen]]</f>
        <v>0</v>
      </c>
      <c r="AG415" s="174"/>
      <c r="AH415" s="181" t="str">
        <f>IF(Ruimtestaat[[#This Row],[Frequentie werkdagen]]="","",_xlfn.CONCAT(Ruimtestaat[[#This Row],[Ruimte code]],"-",Ruimtestaat[[#This Row],[Frequentie werkdagen]]," ",Ruimtestaat[[#This Row],[Vloer code]]))</f>
        <v>7-5w T</v>
      </c>
      <c r="AI415" s="185" t="str">
        <f>_xlfn.IFNA(VLOOKUP($AH415,Programma!$F$3:$G$1101,2,0),"")</f>
        <v>_</v>
      </c>
      <c r="AJ415" s="185" t="str">
        <f>_xlfn.IFNA(VLOOKUP($AH415,Programma!$F$3:$H$1101,3,0),"")</f>
        <v>5w</v>
      </c>
      <c r="AK415" s="185" t="str">
        <f>_xlfn.IFNA(VLOOKUP($AH415,Programma!$F$3:$I$1101,4,0),"")</f>
        <v>_</v>
      </c>
      <c r="AL415" s="185" t="str">
        <f>_xlfn.IFNA(VLOOKUP($AH415,Programma!$F$3:$J$1101,5,0),"")</f>
        <v>_</v>
      </c>
      <c r="AM415" s="185" t="str">
        <f>_xlfn.IFNA(VLOOKUP($AH415,Programma!$F$3:$K$1101,6,0),"")</f>
        <v>_</v>
      </c>
      <c r="AN415" s="185" t="str">
        <f>_xlfn.IFNA(VLOOKUP($AH415,Programma!$F$3:$L$1101,7,0),"")</f>
        <v>_</v>
      </c>
      <c r="AO415" s="185" t="str">
        <f>_xlfn.IFNA(VLOOKUP($AH415,Programma!$F$3:$M$1101,8,0),"")</f>
        <v>_</v>
      </c>
      <c r="AP415" s="185" t="str">
        <f>_xlfn.IFNA(VLOOKUP($AH415,Programma!$F$3:$N$1101,9,0),"")</f>
        <v>_</v>
      </c>
      <c r="AQ415" s="185" t="str">
        <f>_xlfn.IFNA(VLOOKUP($AH415,Programma!$F$3:$O$1101,10,0),"")</f>
        <v>5w</v>
      </c>
      <c r="AR415" s="185" t="str">
        <f>_xlfn.IFNA(VLOOKUP($AH415,Programma!$F$3:$P$1101,11,0),"")</f>
        <v>5w</v>
      </c>
      <c r="AS415" s="185" t="str">
        <f>_xlfn.IFNA(VLOOKUP($AH415,Programma!$F$3:$Q$1101,12,0),"")</f>
        <v>1w</v>
      </c>
      <c r="AT415" s="185" t="str">
        <f>_xlfn.IFNA(VLOOKUP($AH415,Programma!$F$3:$R$1101,13,0),"")</f>
        <v>1w</v>
      </c>
      <c r="AU415" s="185" t="str">
        <f>_xlfn.IFNA(VLOOKUP($AH415,Programma!$F$3:$S$1101,14,0),"")</f>
        <v>1m</v>
      </c>
      <c r="AV415" s="185" t="str">
        <f>_xlfn.IFNA(VLOOKUP($AH415,Programma!$F$3:$T$1101,15,0),"")</f>
        <v>2j</v>
      </c>
      <c r="AW415" s="185" t="str">
        <f>_xlfn.IFNA(VLOOKUP($AH415,Programma!$F$3:$U$1101,16,0),"")</f>
        <v>1j</v>
      </c>
      <c r="AX415" s="185" t="str">
        <f>_xlfn.IFNA(VLOOKUP($AH415,Programma!$F$3:$V$1101,17,0),"")</f>
        <v>_</v>
      </c>
      <c r="AY415" s="185" t="str">
        <f>_xlfn.IFNA(VLOOKUP($AH415,Programma!$F$3:$W$1101,18,0),"")</f>
        <v>_</v>
      </c>
      <c r="AZ415" s="185" t="str">
        <f>_xlfn.IFNA(VLOOKUP($AH415,Programma!$F$3:$X$1101,19,0),"")</f>
        <v>_</v>
      </c>
      <c r="BA415" s="185" t="str">
        <f>_xlfn.IFNA(VLOOKUP($AH415,Programma!$F$3:$Y$1101,20,0),"")</f>
        <v>_</v>
      </c>
      <c r="BB415" s="182"/>
      <c r="BC415" s="181" t="str">
        <f>IF(Ruimtestaat[[#This Row],[Frequentie weekend]]="","",_xlfn.CONCAT(Ruimtestaat[[#This Row],[Ruimte code]],"-",Ruimtestaat[[#This Row],[Frequentie weekend]]," ",Ruimtestaat[[#This Row],[Vloer code]]))</f>
        <v/>
      </c>
      <c r="BD415" s="185" t="str">
        <f>_xlfn.IFNA(VLOOKUP($BC415,Programma!$F$3:$G$1101,2,0),"")</f>
        <v/>
      </c>
      <c r="BE415" s="185" t="str">
        <f>_xlfn.IFNA(VLOOKUP($BC415,Programma!$F$3:$H$1101,3,0),"")</f>
        <v/>
      </c>
      <c r="BF415" s="185" t="str">
        <f>_xlfn.IFNA(VLOOKUP($BC415,Programma!$F$3:$I$1101,4,0),"")</f>
        <v/>
      </c>
      <c r="BG415" s="185" t="str">
        <f>_xlfn.IFNA(VLOOKUP($BC415,Programma!$F$3:$J$1101,5,0),"")</f>
        <v/>
      </c>
      <c r="BH415" s="185" t="str">
        <f>_xlfn.IFNA(VLOOKUP($BC415,Programma!$F$3:$K$1101,6,0),"")</f>
        <v/>
      </c>
      <c r="BI415" s="185" t="str">
        <f>_xlfn.IFNA(VLOOKUP($BC415,Programma!$F$3:$L$1101,7,0),"")</f>
        <v/>
      </c>
      <c r="BJ415" s="185" t="str">
        <f>_xlfn.IFNA(VLOOKUP($BC415,Programma!$F$3:$M$1101,8,0),"")</f>
        <v/>
      </c>
      <c r="BK415" s="185" t="str">
        <f>_xlfn.IFNA(VLOOKUP($BC415,Programma!$F$3:$N$1101,9,0),"")</f>
        <v/>
      </c>
      <c r="BL415" s="185" t="str">
        <f>_xlfn.IFNA(VLOOKUP($BC415,Programma!$F$3:$O$1101,10,0),"")</f>
        <v/>
      </c>
      <c r="BM415" s="185" t="str">
        <f>_xlfn.IFNA(VLOOKUP($BC415,Programma!$F$3:$P$1101,11,0),"")</f>
        <v/>
      </c>
      <c r="BN415" s="185" t="str">
        <f>_xlfn.IFNA(VLOOKUP($BC415,Programma!$F$3:$Q$1101,12,0),"")</f>
        <v/>
      </c>
      <c r="BO415" s="185" t="str">
        <f>_xlfn.IFNA(VLOOKUP($BC415,Programma!$F$3:$R$1101,13,0),"")</f>
        <v/>
      </c>
      <c r="BP415" s="185" t="str">
        <f>_xlfn.IFNA(VLOOKUP($BC415,Programma!$F$3:$S$1101,14,0),"")</f>
        <v/>
      </c>
      <c r="BQ415" s="185" t="str">
        <f>_xlfn.IFNA(VLOOKUP($BC415,Programma!$F$3:$T$1101,15,0),"")</f>
        <v/>
      </c>
      <c r="BR415" s="185" t="str">
        <f>_xlfn.IFNA(VLOOKUP($BC415,Programma!$F$3:$U$1101,16,0),"")</f>
        <v/>
      </c>
      <c r="BS415" s="185" t="str">
        <f>_xlfn.IFNA(VLOOKUP($BC415,Programma!$F$3:$V$1101,17,0),"")</f>
        <v/>
      </c>
      <c r="BT415" s="185" t="str">
        <f>_xlfn.IFNA(VLOOKUP($BC415,Programma!$F$3:$W$1101,18,0),"")</f>
        <v/>
      </c>
      <c r="BU415" s="185" t="str">
        <f>_xlfn.IFNA(VLOOKUP($BC415,Programma!$F$3:$X$1101,19,0),"")</f>
        <v/>
      </c>
      <c r="BV415" s="185" t="str">
        <f>_xlfn.IFNA(VLOOKUP($BC415,Programma!$F$3:$Y$1101,20,0),"")</f>
        <v/>
      </c>
    </row>
    <row r="416" spans="1:74" s="78" customFormat="1" ht="15" customHeight="1">
      <c r="A416" s="99">
        <v>12</v>
      </c>
      <c r="B416" s="176" t="str">
        <f>VLOOKUP(Ruimtestaat[[#This Row],[Code]],Locaties[[Code]:[Locatie]],2,FALSE)</f>
        <v>OMBS Het Zeggelt (Dr. Benthem)</v>
      </c>
      <c r="C416" s="176" t="str">
        <f>VLOOKUP(Ruimtestaat[[#This Row],[Code]],Locaties[[#All],[Code]:[Adres]],4,FALSE)</f>
        <v>Dr. Benthemstraat 14</v>
      </c>
      <c r="D416" s="176" t="str">
        <f>VLOOKUP(Ruimtestaat[[#This Row],[Code]],Locaties[[#All],[Code]:[Postcode]],5,FALSE)</f>
        <v>7514 CM</v>
      </c>
      <c r="E416" s="176" t="str">
        <f>VLOOKUP(Ruimtestaat[[#This Row],[Code]],Locaties[#All],6,FALSE)</f>
        <v>Enschede</v>
      </c>
      <c r="F416" s="183"/>
      <c r="G416" s="99" t="s">
        <v>1646</v>
      </c>
      <c r="H416" s="99" t="s">
        <v>1692</v>
      </c>
      <c r="I416" s="183" t="s">
        <v>1651</v>
      </c>
      <c r="J416" s="99">
        <v>16</v>
      </c>
      <c r="K416" s="183" t="str">
        <f>VLOOKUP(Ruimtestaat[[#This Row],[Ruimte code]],Ruimtegroepen[[#All],[Code]:[Ruimte omschrijving]],2,FALSE)</f>
        <v>Leslokalen</v>
      </c>
      <c r="L416" s="99" t="s">
        <v>100</v>
      </c>
      <c r="M416" s="99" t="s">
        <v>1697</v>
      </c>
      <c r="N416" s="177">
        <v>62.4</v>
      </c>
      <c r="O416" s="177"/>
      <c r="P416" s="178" t="str">
        <f>VLOOKUP(Ruimtestaat[[#This Row],[Ruimte code]],Ruimtegroepen[],4,FALSE)</f>
        <v>Le</v>
      </c>
      <c r="Q416" s="149">
        <v>40</v>
      </c>
      <c r="R416" s="149" t="s">
        <v>2</v>
      </c>
      <c r="S416" s="149">
        <f>IF(Q416&gt;0,IF(RIGHT(Ruimtestaat[[#This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6" s="149">
        <f>IF(S416&gt;0,VLOOKUP($J416,Ruimtegroepen[],3,FALSE)*VLOOKUP($L416,Vloersoorten[],3,FALSE)*VLOOKUP($R416,Frequenties[],3,FALSE)*VLOOKUP($A416,Locaties[],3,FALSE),0)</f>
        <v>0</v>
      </c>
      <c r="U416" s="149">
        <f>Ruimtestaat[[#This Row],[Uitvoeringen werkdagen]]*Ruimtestaat[[#This Row],[Oppervlak (netto)]]</f>
        <v>12480</v>
      </c>
      <c r="V416" s="179">
        <f>IF(T416&gt;0,Ruimtestaat[[#This Row],[Prest. (m2 /jaar) werkdagen]]/Ruimtestaat[[#This Row],[Norm (m2/uur) werkdagen]],0)</f>
        <v>0</v>
      </c>
      <c r="W416" s="180">
        <f>Ruimtestaat[[#This Row],[uren / jaar werkdagen]]*Tariefsopbouw!$E$35</f>
        <v>0</v>
      </c>
      <c r="X416" s="149"/>
      <c r="Y416" s="149">
        <f>IF(Ruimtestaat[[#This Row],[Frequentie weekend]]&gt;0,VALUE(LEFT(X416,1))*Q416,0)</f>
        <v>0</v>
      </c>
      <c r="Z416" s="148">
        <f>IF($Y416&gt;0,VLOOKUP($J416,Ruimtegroepen[],3,FALSE)*VLOOKUP($L416,Vloersoorten[],3,FALSE)*VLOOKUP($X416,Frequenties[],3,FALSE)*VLOOKUP(Ruimtestaat[[#This Row],[Code]],Locaties[],3,FALSE),0)</f>
        <v>0</v>
      </c>
      <c r="AA416" s="148">
        <f>Ruimtestaat[[#This Row],[Uitvoeringen weekend]]*Ruimtestaat[[#This Row],[Oppervlak (netto)]]</f>
        <v>0</v>
      </c>
      <c r="AB416" s="148">
        <f>IF(Z416&gt;0,Ruimtestaat[[#This Row],[Prest. (m2 /jaar) weekend]]/Ruimtestaat[[#This Row],[Norm (m2/uur) weekend]],0)</f>
        <v>0</v>
      </c>
      <c r="AC416" s="180">
        <f>Ruimtestaat[[#This Row],[uren / jaar weekend]]*Tariefsopbouw!$D$40</f>
        <v>0</v>
      </c>
      <c r="AD416" s="179">
        <f>Ruimtestaat[[#This Row],[Prest. (m2 /jaar) weekend]]+Ruimtestaat[[#This Row],[Prest. (m2 /jaar) werkdagen]]</f>
        <v>12480</v>
      </c>
      <c r="AE416" s="179">
        <f>Ruimtestaat[[#This Row],[uren / jaar weekend]]+Ruimtestaat[[#This Row],[uren / jaar werkdagen]]</f>
        <v>0</v>
      </c>
      <c r="AF416" s="174">
        <f>Ruimtestaat[[#This Row],[kosten / jaar weekend]]+Ruimtestaat[[#This Row],[kosten / jaar werkdagen]]</f>
        <v>0</v>
      </c>
      <c r="AG416" s="174"/>
      <c r="AH416" s="181" t="str">
        <f>IF(Ruimtestaat[[#This Row],[Frequentie werkdagen]]="","",_xlfn.CONCAT(Ruimtestaat[[#This Row],[Ruimte code]],"-",Ruimtestaat[[#This Row],[Frequentie werkdagen]]," ",Ruimtestaat[[#This Row],[Vloer code]]))</f>
        <v>16-5w L</v>
      </c>
      <c r="AI416" s="185" t="str">
        <f>_xlfn.IFNA(VLOOKUP($AH416,Programma!$F$3:$G$1101,2,0),"")</f>
        <v>_</v>
      </c>
      <c r="AJ416" s="185" t="str">
        <f>_xlfn.IFNA(VLOOKUP($AH416,Programma!$F$3:$H$1101,3,0),"")</f>
        <v>_</v>
      </c>
      <c r="AK416" s="185" t="str">
        <f>_xlfn.IFNA(VLOOKUP($AH416,Programma!$F$3:$I$1101,4,0),"")</f>
        <v>4w</v>
      </c>
      <c r="AL416" s="185" t="str">
        <f>_xlfn.IFNA(VLOOKUP($AH416,Programma!$F$3:$J$1101,5,0),"")</f>
        <v>1w</v>
      </c>
      <c r="AM416" s="185" t="str">
        <f>_xlfn.IFNA(VLOOKUP($AH416,Programma!$F$3:$K$1101,6,0),"")</f>
        <v>_</v>
      </c>
      <c r="AN416" s="185" t="str">
        <f>_xlfn.IFNA(VLOOKUP($AH416,Programma!$F$3:$L$1101,7,0),"")</f>
        <v>_</v>
      </c>
      <c r="AO416" s="185" t="str">
        <f>_xlfn.IFNA(VLOOKUP($AH416,Programma!$F$3:$M$1101,8,0),"")</f>
        <v>_</v>
      </c>
      <c r="AP416" s="185" t="str">
        <f>_xlfn.IFNA(VLOOKUP($AH416,Programma!$F$3:$N$1101,9,0),"")</f>
        <v>_</v>
      </c>
      <c r="AQ416" s="185" t="str">
        <f>_xlfn.IFNA(VLOOKUP($AH416,Programma!$F$3:$O$1101,10,0),"")</f>
        <v>5w</v>
      </c>
      <c r="AR416" s="185" t="str">
        <f>_xlfn.IFNA(VLOOKUP($AH416,Programma!$F$3:$P$1101,11,0),"")</f>
        <v>5w</v>
      </c>
      <c r="AS416" s="185" t="str">
        <f>_xlfn.IFNA(VLOOKUP($AH416,Programma!$F$3:$Q$1101,12,0),"")</f>
        <v>1w</v>
      </c>
      <c r="AT416" s="185" t="str">
        <f>_xlfn.IFNA(VLOOKUP($AH416,Programma!$F$3:$R$1101,13,0),"")</f>
        <v>1w</v>
      </c>
      <c r="AU416" s="185" t="str">
        <f>_xlfn.IFNA(VLOOKUP($AH416,Programma!$F$3:$S$1101,14,0),"")</f>
        <v>1m</v>
      </c>
      <c r="AV416" s="185" t="str">
        <f>_xlfn.IFNA(VLOOKUP($AH416,Programma!$F$3:$T$1101,15,0),"")</f>
        <v>2j</v>
      </c>
      <c r="AW416" s="185" t="str">
        <f>_xlfn.IFNA(VLOOKUP($AH416,Programma!$F$3:$U$1101,16,0),"")</f>
        <v>1j</v>
      </c>
      <c r="AX416" s="185" t="str">
        <f>_xlfn.IFNA(VLOOKUP($AH416,Programma!$F$3:$V$1101,17,0),"")</f>
        <v>_</v>
      </c>
      <c r="AY416" s="185" t="str">
        <f>_xlfn.IFNA(VLOOKUP($AH416,Programma!$F$3:$W$1101,18,0),"")</f>
        <v>_</v>
      </c>
      <c r="AZ416" s="185" t="str">
        <f>_xlfn.IFNA(VLOOKUP($AH416,Programma!$F$3:$X$1101,19,0),"")</f>
        <v>_</v>
      </c>
      <c r="BA416" s="185" t="str">
        <f>_xlfn.IFNA(VLOOKUP($AH416,Programma!$F$3:$Y$1101,20,0),"")</f>
        <v>_</v>
      </c>
      <c r="BB416" s="182"/>
      <c r="BC416" s="181" t="str">
        <f>IF(Ruimtestaat[[#This Row],[Frequentie weekend]]="","",_xlfn.CONCAT(Ruimtestaat[[#This Row],[Ruimte code]],"-",Ruimtestaat[[#This Row],[Frequentie weekend]]," ",Ruimtestaat[[#This Row],[Vloer code]]))</f>
        <v/>
      </c>
      <c r="BD416" s="185" t="str">
        <f>_xlfn.IFNA(VLOOKUP($BC416,Programma!$F$3:$G$1101,2,0),"")</f>
        <v/>
      </c>
      <c r="BE416" s="185" t="str">
        <f>_xlfn.IFNA(VLOOKUP($BC416,Programma!$F$3:$H$1101,3,0),"")</f>
        <v/>
      </c>
      <c r="BF416" s="185" t="str">
        <f>_xlfn.IFNA(VLOOKUP($BC416,Programma!$F$3:$I$1101,4,0),"")</f>
        <v/>
      </c>
      <c r="BG416" s="185" t="str">
        <f>_xlfn.IFNA(VLOOKUP($BC416,Programma!$F$3:$J$1101,5,0),"")</f>
        <v/>
      </c>
      <c r="BH416" s="185" t="str">
        <f>_xlfn.IFNA(VLOOKUP($BC416,Programma!$F$3:$K$1101,6,0),"")</f>
        <v/>
      </c>
      <c r="BI416" s="185" t="str">
        <f>_xlfn.IFNA(VLOOKUP($BC416,Programma!$F$3:$L$1101,7,0),"")</f>
        <v/>
      </c>
      <c r="BJ416" s="185" t="str">
        <f>_xlfn.IFNA(VLOOKUP($BC416,Programma!$F$3:$M$1101,8,0),"")</f>
        <v/>
      </c>
      <c r="BK416" s="185" t="str">
        <f>_xlfn.IFNA(VLOOKUP($BC416,Programma!$F$3:$N$1101,9,0),"")</f>
        <v/>
      </c>
      <c r="BL416" s="185" t="str">
        <f>_xlfn.IFNA(VLOOKUP($BC416,Programma!$F$3:$O$1101,10,0),"")</f>
        <v/>
      </c>
      <c r="BM416" s="185" t="str">
        <f>_xlfn.IFNA(VLOOKUP($BC416,Programma!$F$3:$P$1101,11,0),"")</f>
        <v/>
      </c>
      <c r="BN416" s="185" t="str">
        <f>_xlfn.IFNA(VLOOKUP($BC416,Programma!$F$3:$Q$1101,12,0),"")</f>
        <v/>
      </c>
      <c r="BO416" s="185" t="str">
        <f>_xlfn.IFNA(VLOOKUP($BC416,Programma!$F$3:$R$1101,13,0),"")</f>
        <v/>
      </c>
      <c r="BP416" s="185" t="str">
        <f>_xlfn.IFNA(VLOOKUP($BC416,Programma!$F$3:$S$1101,14,0),"")</f>
        <v/>
      </c>
      <c r="BQ416" s="185" t="str">
        <f>_xlfn.IFNA(VLOOKUP($BC416,Programma!$F$3:$T$1101,15,0),"")</f>
        <v/>
      </c>
      <c r="BR416" s="185" t="str">
        <f>_xlfn.IFNA(VLOOKUP($BC416,Programma!$F$3:$U$1101,16,0),"")</f>
        <v/>
      </c>
      <c r="BS416" s="185" t="str">
        <f>_xlfn.IFNA(VLOOKUP($BC416,Programma!$F$3:$V$1101,17,0),"")</f>
        <v/>
      </c>
      <c r="BT416" s="185" t="str">
        <f>_xlfn.IFNA(VLOOKUP($BC416,Programma!$F$3:$W$1101,18,0),"")</f>
        <v/>
      </c>
      <c r="BU416" s="185" t="str">
        <f>_xlfn.IFNA(VLOOKUP($BC416,Programma!$F$3:$X$1101,19,0),"")</f>
        <v/>
      </c>
      <c r="BV416" s="185" t="str">
        <f>_xlfn.IFNA(VLOOKUP($BC416,Programma!$F$3:$Y$1101,20,0),"")</f>
        <v/>
      </c>
    </row>
    <row r="417" spans="1:74" s="78" customFormat="1" ht="15" customHeight="1">
      <c r="A417" s="99">
        <v>12</v>
      </c>
      <c r="B417" s="176" t="str">
        <f>VLOOKUP(Ruimtestaat[[#This Row],[Code]],Locaties[[Code]:[Locatie]],2,FALSE)</f>
        <v>OMBS Het Zeggelt (Dr. Benthem)</v>
      </c>
      <c r="C417" s="176" t="str">
        <f>VLOOKUP(Ruimtestaat[[#This Row],[Code]],Locaties[[#All],[Code]:[Adres]],4,FALSE)</f>
        <v>Dr. Benthemstraat 14</v>
      </c>
      <c r="D417" s="176" t="str">
        <f>VLOOKUP(Ruimtestaat[[#This Row],[Code]],Locaties[[#All],[Code]:[Postcode]],5,FALSE)</f>
        <v>7514 CM</v>
      </c>
      <c r="E417" s="176" t="str">
        <f>VLOOKUP(Ruimtestaat[[#This Row],[Code]],Locaties[#All],6,FALSE)</f>
        <v>Enschede</v>
      </c>
      <c r="F417" s="183"/>
      <c r="G417" s="99" t="s">
        <v>1646</v>
      </c>
      <c r="H417" s="99" t="s">
        <v>1693</v>
      </c>
      <c r="I417" s="183" t="s">
        <v>1655</v>
      </c>
      <c r="J417" s="99">
        <v>5</v>
      </c>
      <c r="K417" s="183" t="str">
        <f>VLOOKUP(Ruimtestaat[[#This Row],[Ruimte code]],Ruimtegroepen[[#All],[Code]:[Ruimte omschrijving]],2,FALSE)</f>
        <v>Sanitair</v>
      </c>
      <c r="L417" s="99" t="s">
        <v>101</v>
      </c>
      <c r="M417" s="99" t="s">
        <v>1682</v>
      </c>
      <c r="N417" s="177">
        <v>4.2</v>
      </c>
      <c r="O417" s="177"/>
      <c r="P417" s="178" t="str">
        <f>VLOOKUP(Ruimtestaat[[#This Row],[Ruimte code]],Ruimtegroepen[],4,FALSE)</f>
        <v>Sa</v>
      </c>
      <c r="Q417" s="149">
        <v>40</v>
      </c>
      <c r="R417" s="149" t="s">
        <v>2</v>
      </c>
      <c r="S417" s="149">
        <f>IF(Q417&gt;0,IF(RIGHT(Ruimtestaat[[#This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7" s="149">
        <f>IF(S417&gt;0,VLOOKUP($J417,Ruimtegroepen[],3,FALSE)*VLOOKUP($L417,Vloersoorten[],3,FALSE)*VLOOKUP($R417,Frequenties[],3,FALSE)*VLOOKUP($A417,Locaties[],3,FALSE),0)</f>
        <v>0</v>
      </c>
      <c r="U417" s="149">
        <f>Ruimtestaat[[#This Row],[Uitvoeringen werkdagen]]*Ruimtestaat[[#This Row],[Oppervlak (netto)]]</f>
        <v>840</v>
      </c>
      <c r="V417" s="179">
        <f>IF(T417&gt;0,Ruimtestaat[[#This Row],[Prest. (m2 /jaar) werkdagen]]/Ruimtestaat[[#This Row],[Norm (m2/uur) werkdagen]],0)</f>
        <v>0</v>
      </c>
      <c r="W417" s="180">
        <f>Ruimtestaat[[#This Row],[uren / jaar werkdagen]]*Tariefsopbouw!$E$35</f>
        <v>0</v>
      </c>
      <c r="X417" s="149"/>
      <c r="Y417" s="149">
        <f>IF(Ruimtestaat[[#This Row],[Frequentie weekend]]&gt;0,VALUE(LEFT(X417,1))*Q417,0)</f>
        <v>0</v>
      </c>
      <c r="Z417" s="148">
        <f>IF($Y417&gt;0,VLOOKUP($J417,Ruimtegroepen[],3,FALSE)*VLOOKUP($L417,Vloersoorten[],3,FALSE)*VLOOKUP($X417,Frequenties[],3,FALSE)*VLOOKUP(Ruimtestaat[[#This Row],[Code]],Locaties[],3,FALSE),0)</f>
        <v>0</v>
      </c>
      <c r="AA417" s="148">
        <f>Ruimtestaat[[#This Row],[Uitvoeringen weekend]]*Ruimtestaat[[#This Row],[Oppervlak (netto)]]</f>
        <v>0</v>
      </c>
      <c r="AB417" s="148">
        <f>IF(Z417&gt;0,Ruimtestaat[[#This Row],[Prest. (m2 /jaar) weekend]]/Ruimtestaat[[#This Row],[Norm (m2/uur) weekend]],0)</f>
        <v>0</v>
      </c>
      <c r="AC417" s="180">
        <f>Ruimtestaat[[#This Row],[uren / jaar weekend]]*Tariefsopbouw!$D$40</f>
        <v>0</v>
      </c>
      <c r="AD417" s="179">
        <f>Ruimtestaat[[#This Row],[Prest. (m2 /jaar) weekend]]+Ruimtestaat[[#This Row],[Prest. (m2 /jaar) werkdagen]]</f>
        <v>840</v>
      </c>
      <c r="AE417" s="179">
        <f>Ruimtestaat[[#This Row],[uren / jaar weekend]]+Ruimtestaat[[#This Row],[uren / jaar werkdagen]]</f>
        <v>0</v>
      </c>
      <c r="AF417" s="174">
        <f>Ruimtestaat[[#This Row],[kosten / jaar weekend]]+Ruimtestaat[[#This Row],[kosten / jaar werkdagen]]</f>
        <v>0</v>
      </c>
      <c r="AG417" s="174"/>
      <c r="AH417" s="181" t="str">
        <f>IF(Ruimtestaat[[#This Row],[Frequentie werkdagen]]="","",_xlfn.CONCAT(Ruimtestaat[[#This Row],[Ruimte code]],"-",Ruimtestaat[[#This Row],[Frequentie werkdagen]]," ",Ruimtestaat[[#This Row],[Vloer code]]))</f>
        <v>5-5w S</v>
      </c>
      <c r="AI417" s="185" t="str">
        <f>_xlfn.IFNA(VLOOKUP($AH417,Programma!$F$3:$G$1101,2,0),"")</f>
        <v>_</v>
      </c>
      <c r="AJ417" s="185" t="str">
        <f>_xlfn.IFNA(VLOOKUP($AH417,Programma!$F$3:$H$1101,3,0),"")</f>
        <v>_</v>
      </c>
      <c r="AK417" s="185" t="str">
        <f>_xlfn.IFNA(VLOOKUP($AH417,Programma!$F$3:$I$1101,4,0),"")</f>
        <v>_</v>
      </c>
      <c r="AL417" s="185" t="str">
        <f>_xlfn.IFNA(VLOOKUP($AH417,Programma!$F$3:$J$1101,5,0),"")</f>
        <v>4w</v>
      </c>
      <c r="AM417" s="185" t="str">
        <f>_xlfn.IFNA(VLOOKUP($AH417,Programma!$F$3:$K$1101,6,0),"")</f>
        <v>1w</v>
      </c>
      <c r="AN417" s="185" t="str">
        <f>_xlfn.IFNA(VLOOKUP($AH417,Programma!$F$3:$L$1101,7,0),"")</f>
        <v>_</v>
      </c>
      <c r="AO417" s="185" t="str">
        <f>_xlfn.IFNA(VLOOKUP($AH417,Programma!$F$3:$M$1101,8,0),"")</f>
        <v>_</v>
      </c>
      <c r="AP417" s="185" t="str">
        <f>_xlfn.IFNA(VLOOKUP($AH417,Programma!$F$3:$N$1101,9,0),"")</f>
        <v>_</v>
      </c>
      <c r="AQ417" s="185" t="str">
        <f>_xlfn.IFNA(VLOOKUP($AH417,Programma!$F$3:$O$1101,10,0),"")</f>
        <v>_</v>
      </c>
      <c r="AR417" s="185" t="str">
        <f>_xlfn.IFNA(VLOOKUP($AH417,Programma!$F$3:$P$1101,11,0),"")</f>
        <v>_</v>
      </c>
      <c r="AS417" s="185" t="str">
        <f>_xlfn.IFNA(VLOOKUP($AH417,Programma!$F$3:$Q$1101,12,0),"")</f>
        <v>_</v>
      </c>
      <c r="AT417" s="185" t="str">
        <f>_xlfn.IFNA(VLOOKUP($AH417,Programma!$F$3:$R$1101,13,0),"")</f>
        <v>_</v>
      </c>
      <c r="AU417" s="185" t="str">
        <f>_xlfn.IFNA(VLOOKUP($AH417,Programma!$F$3:$S$1101,14,0),"")</f>
        <v>_</v>
      </c>
      <c r="AV417" s="185" t="str">
        <f>_xlfn.IFNA(VLOOKUP($AH417,Programma!$F$3:$T$1101,15,0),"")</f>
        <v>_</v>
      </c>
      <c r="AW417" s="185" t="str">
        <f>_xlfn.IFNA(VLOOKUP($AH417,Programma!$F$3:$U$1101,16,0),"")</f>
        <v>_</v>
      </c>
      <c r="AX417" s="185" t="str">
        <f>_xlfn.IFNA(VLOOKUP($AH417,Programma!$F$3:$V$1101,17,0),"")</f>
        <v>_</v>
      </c>
      <c r="AY417" s="185" t="str">
        <f>_xlfn.IFNA(VLOOKUP($AH417,Programma!$F$3:$W$1101,18,0),"")</f>
        <v>4w</v>
      </c>
      <c r="AZ417" s="185" t="str">
        <f>_xlfn.IFNA(VLOOKUP($AH417,Programma!$F$3:$X$1101,19,0),"")</f>
        <v>1w</v>
      </c>
      <c r="BA417" s="185" t="str">
        <f>_xlfn.IFNA(VLOOKUP($AH417,Programma!$F$3:$Y$1101,20,0),"")</f>
        <v>_</v>
      </c>
      <c r="BB417" s="182"/>
      <c r="BC417" s="181" t="str">
        <f>IF(Ruimtestaat[[#This Row],[Frequentie weekend]]="","",_xlfn.CONCAT(Ruimtestaat[[#This Row],[Ruimte code]],"-",Ruimtestaat[[#This Row],[Frequentie weekend]]," ",Ruimtestaat[[#This Row],[Vloer code]]))</f>
        <v/>
      </c>
      <c r="BD417" s="185" t="str">
        <f>_xlfn.IFNA(VLOOKUP($BC417,Programma!$F$3:$G$1101,2,0),"")</f>
        <v/>
      </c>
      <c r="BE417" s="185" t="str">
        <f>_xlfn.IFNA(VLOOKUP($BC417,Programma!$F$3:$H$1101,3,0),"")</f>
        <v/>
      </c>
      <c r="BF417" s="185" t="str">
        <f>_xlfn.IFNA(VLOOKUP($BC417,Programma!$F$3:$I$1101,4,0),"")</f>
        <v/>
      </c>
      <c r="BG417" s="185" t="str">
        <f>_xlfn.IFNA(VLOOKUP($BC417,Programma!$F$3:$J$1101,5,0),"")</f>
        <v/>
      </c>
      <c r="BH417" s="185" t="str">
        <f>_xlfn.IFNA(VLOOKUP($BC417,Programma!$F$3:$K$1101,6,0),"")</f>
        <v/>
      </c>
      <c r="BI417" s="185" t="str">
        <f>_xlfn.IFNA(VLOOKUP($BC417,Programma!$F$3:$L$1101,7,0),"")</f>
        <v/>
      </c>
      <c r="BJ417" s="185" t="str">
        <f>_xlfn.IFNA(VLOOKUP($BC417,Programma!$F$3:$M$1101,8,0),"")</f>
        <v/>
      </c>
      <c r="BK417" s="185" t="str">
        <f>_xlfn.IFNA(VLOOKUP($BC417,Programma!$F$3:$N$1101,9,0),"")</f>
        <v/>
      </c>
      <c r="BL417" s="185" t="str">
        <f>_xlfn.IFNA(VLOOKUP($BC417,Programma!$F$3:$O$1101,10,0),"")</f>
        <v/>
      </c>
      <c r="BM417" s="185" t="str">
        <f>_xlfn.IFNA(VLOOKUP($BC417,Programma!$F$3:$P$1101,11,0),"")</f>
        <v/>
      </c>
      <c r="BN417" s="185" t="str">
        <f>_xlfn.IFNA(VLOOKUP($BC417,Programma!$F$3:$Q$1101,12,0),"")</f>
        <v/>
      </c>
      <c r="BO417" s="185" t="str">
        <f>_xlfn.IFNA(VLOOKUP($BC417,Programma!$F$3:$R$1101,13,0),"")</f>
        <v/>
      </c>
      <c r="BP417" s="185" t="str">
        <f>_xlfn.IFNA(VLOOKUP($BC417,Programma!$F$3:$S$1101,14,0),"")</f>
        <v/>
      </c>
      <c r="BQ417" s="185" t="str">
        <f>_xlfn.IFNA(VLOOKUP($BC417,Programma!$F$3:$T$1101,15,0),"")</f>
        <v/>
      </c>
      <c r="BR417" s="185" t="str">
        <f>_xlfn.IFNA(VLOOKUP($BC417,Programma!$F$3:$U$1101,16,0),"")</f>
        <v/>
      </c>
      <c r="BS417" s="185" t="str">
        <f>_xlfn.IFNA(VLOOKUP($BC417,Programma!$F$3:$V$1101,17,0),"")</f>
        <v/>
      </c>
      <c r="BT417" s="185" t="str">
        <f>_xlfn.IFNA(VLOOKUP($BC417,Programma!$F$3:$W$1101,18,0),"")</f>
        <v/>
      </c>
      <c r="BU417" s="185" t="str">
        <f>_xlfn.IFNA(VLOOKUP($BC417,Programma!$F$3:$X$1101,19,0),"")</f>
        <v/>
      </c>
      <c r="BV417" s="185" t="str">
        <f>_xlfn.IFNA(VLOOKUP($BC417,Programma!$F$3:$Y$1101,20,0),"")</f>
        <v/>
      </c>
    </row>
    <row r="418" spans="1:74" s="78" customFormat="1" ht="15" customHeight="1">
      <c r="A418" s="99">
        <v>12</v>
      </c>
      <c r="B418" s="176" t="str">
        <f>VLOOKUP(Ruimtestaat[[#This Row],[Code]],Locaties[[Code]:[Locatie]],2,FALSE)</f>
        <v>OMBS Het Zeggelt (Dr. Benthem)</v>
      </c>
      <c r="C418" s="176" t="str">
        <f>VLOOKUP(Ruimtestaat[[#This Row],[Code]],Locaties[[#All],[Code]:[Adres]],4,FALSE)</f>
        <v>Dr. Benthemstraat 14</v>
      </c>
      <c r="D418" s="176" t="str">
        <f>VLOOKUP(Ruimtestaat[[#This Row],[Code]],Locaties[[#All],[Code]:[Postcode]],5,FALSE)</f>
        <v>7514 CM</v>
      </c>
      <c r="E418" s="176" t="str">
        <f>VLOOKUP(Ruimtestaat[[#This Row],[Code]],Locaties[#All],6,FALSE)</f>
        <v>Enschede</v>
      </c>
      <c r="F418" s="183"/>
      <c r="G418" s="99" t="s">
        <v>1646</v>
      </c>
      <c r="H418" s="99" t="s">
        <v>1694</v>
      </c>
      <c r="I418" s="183" t="s">
        <v>1655</v>
      </c>
      <c r="J418" s="99">
        <v>5</v>
      </c>
      <c r="K418" s="183" t="str">
        <f>VLOOKUP(Ruimtestaat[[#This Row],[Ruimte code]],Ruimtegroepen[[#All],[Code]:[Ruimte omschrijving]],2,FALSE)</f>
        <v>Sanitair</v>
      </c>
      <c r="L418" s="99" t="s">
        <v>101</v>
      </c>
      <c r="M418" s="99" t="s">
        <v>1682</v>
      </c>
      <c r="N418" s="177">
        <v>4.3</v>
      </c>
      <c r="O418" s="177"/>
      <c r="P418" s="178" t="str">
        <f>VLOOKUP(Ruimtestaat[[#This Row],[Ruimte code]],Ruimtegroepen[],4,FALSE)</f>
        <v>Sa</v>
      </c>
      <c r="Q418" s="149">
        <v>40</v>
      </c>
      <c r="R418" s="149" t="s">
        <v>2</v>
      </c>
      <c r="S418" s="149">
        <f>IF(Q418&gt;0,IF(RIGHT(Ruimtestaat[[#This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8" s="149">
        <f>IF(S418&gt;0,VLOOKUP($J418,Ruimtegroepen[],3,FALSE)*VLOOKUP($L418,Vloersoorten[],3,FALSE)*VLOOKUP($R418,Frequenties[],3,FALSE)*VLOOKUP($A418,Locaties[],3,FALSE),0)</f>
        <v>0</v>
      </c>
      <c r="U418" s="149">
        <f>Ruimtestaat[[#This Row],[Uitvoeringen werkdagen]]*Ruimtestaat[[#This Row],[Oppervlak (netto)]]</f>
        <v>860</v>
      </c>
      <c r="V418" s="179">
        <f>IF(T418&gt;0,Ruimtestaat[[#This Row],[Prest. (m2 /jaar) werkdagen]]/Ruimtestaat[[#This Row],[Norm (m2/uur) werkdagen]],0)</f>
        <v>0</v>
      </c>
      <c r="W418" s="180">
        <f>Ruimtestaat[[#This Row],[uren / jaar werkdagen]]*Tariefsopbouw!$E$35</f>
        <v>0</v>
      </c>
      <c r="X418" s="149"/>
      <c r="Y418" s="149">
        <f>IF(Ruimtestaat[[#This Row],[Frequentie weekend]]&gt;0,VALUE(LEFT(X418,1))*Q418,0)</f>
        <v>0</v>
      </c>
      <c r="Z418" s="148">
        <f>IF($Y418&gt;0,VLOOKUP($J418,Ruimtegroepen[],3,FALSE)*VLOOKUP($L418,Vloersoorten[],3,FALSE)*VLOOKUP($X418,Frequenties[],3,FALSE)*VLOOKUP(Ruimtestaat[[#This Row],[Code]],Locaties[],3,FALSE),0)</f>
        <v>0</v>
      </c>
      <c r="AA418" s="148">
        <f>Ruimtestaat[[#This Row],[Uitvoeringen weekend]]*Ruimtestaat[[#This Row],[Oppervlak (netto)]]</f>
        <v>0</v>
      </c>
      <c r="AB418" s="148">
        <f>IF(Z418&gt;0,Ruimtestaat[[#This Row],[Prest. (m2 /jaar) weekend]]/Ruimtestaat[[#This Row],[Norm (m2/uur) weekend]],0)</f>
        <v>0</v>
      </c>
      <c r="AC418" s="180">
        <f>Ruimtestaat[[#This Row],[uren / jaar weekend]]*Tariefsopbouw!$D$40</f>
        <v>0</v>
      </c>
      <c r="AD418" s="179">
        <f>Ruimtestaat[[#This Row],[Prest. (m2 /jaar) weekend]]+Ruimtestaat[[#This Row],[Prest. (m2 /jaar) werkdagen]]</f>
        <v>860</v>
      </c>
      <c r="AE418" s="179">
        <f>Ruimtestaat[[#This Row],[uren / jaar weekend]]+Ruimtestaat[[#This Row],[uren / jaar werkdagen]]</f>
        <v>0</v>
      </c>
      <c r="AF418" s="174">
        <f>Ruimtestaat[[#This Row],[kosten / jaar weekend]]+Ruimtestaat[[#This Row],[kosten / jaar werkdagen]]</f>
        <v>0</v>
      </c>
      <c r="AG418" s="174"/>
      <c r="AH418" s="181" t="str">
        <f>IF(Ruimtestaat[[#This Row],[Frequentie werkdagen]]="","",_xlfn.CONCAT(Ruimtestaat[[#This Row],[Ruimte code]],"-",Ruimtestaat[[#This Row],[Frequentie werkdagen]]," ",Ruimtestaat[[#This Row],[Vloer code]]))</f>
        <v>5-5w S</v>
      </c>
      <c r="AI418" s="185" t="str">
        <f>_xlfn.IFNA(VLOOKUP($AH418,Programma!$F$3:$G$1101,2,0),"")</f>
        <v>_</v>
      </c>
      <c r="AJ418" s="185" t="str">
        <f>_xlfn.IFNA(VLOOKUP($AH418,Programma!$F$3:$H$1101,3,0),"")</f>
        <v>_</v>
      </c>
      <c r="AK418" s="185" t="str">
        <f>_xlfn.IFNA(VLOOKUP($AH418,Programma!$F$3:$I$1101,4,0),"")</f>
        <v>_</v>
      </c>
      <c r="AL418" s="185" t="str">
        <f>_xlfn.IFNA(VLOOKUP($AH418,Programma!$F$3:$J$1101,5,0),"")</f>
        <v>4w</v>
      </c>
      <c r="AM418" s="185" t="str">
        <f>_xlfn.IFNA(VLOOKUP($AH418,Programma!$F$3:$K$1101,6,0),"")</f>
        <v>1w</v>
      </c>
      <c r="AN418" s="185" t="str">
        <f>_xlfn.IFNA(VLOOKUP($AH418,Programma!$F$3:$L$1101,7,0),"")</f>
        <v>_</v>
      </c>
      <c r="AO418" s="185" t="str">
        <f>_xlfn.IFNA(VLOOKUP($AH418,Programma!$F$3:$M$1101,8,0),"")</f>
        <v>_</v>
      </c>
      <c r="AP418" s="185" t="str">
        <f>_xlfn.IFNA(VLOOKUP($AH418,Programma!$F$3:$N$1101,9,0),"")</f>
        <v>_</v>
      </c>
      <c r="AQ418" s="185" t="str">
        <f>_xlfn.IFNA(VLOOKUP($AH418,Programma!$F$3:$O$1101,10,0),"")</f>
        <v>_</v>
      </c>
      <c r="AR418" s="185" t="str">
        <f>_xlfn.IFNA(VLOOKUP($AH418,Programma!$F$3:$P$1101,11,0),"")</f>
        <v>_</v>
      </c>
      <c r="AS418" s="185" t="str">
        <f>_xlfn.IFNA(VLOOKUP($AH418,Programma!$F$3:$Q$1101,12,0),"")</f>
        <v>_</v>
      </c>
      <c r="AT418" s="185" t="str">
        <f>_xlfn.IFNA(VLOOKUP($AH418,Programma!$F$3:$R$1101,13,0),"")</f>
        <v>_</v>
      </c>
      <c r="AU418" s="185" t="str">
        <f>_xlfn.IFNA(VLOOKUP($AH418,Programma!$F$3:$S$1101,14,0),"")</f>
        <v>_</v>
      </c>
      <c r="AV418" s="185" t="str">
        <f>_xlfn.IFNA(VLOOKUP($AH418,Programma!$F$3:$T$1101,15,0),"")</f>
        <v>_</v>
      </c>
      <c r="AW418" s="185" t="str">
        <f>_xlfn.IFNA(VLOOKUP($AH418,Programma!$F$3:$U$1101,16,0),"")</f>
        <v>_</v>
      </c>
      <c r="AX418" s="185" t="str">
        <f>_xlfn.IFNA(VLOOKUP($AH418,Programma!$F$3:$V$1101,17,0),"")</f>
        <v>_</v>
      </c>
      <c r="AY418" s="185" t="str">
        <f>_xlfn.IFNA(VLOOKUP($AH418,Programma!$F$3:$W$1101,18,0),"")</f>
        <v>4w</v>
      </c>
      <c r="AZ418" s="185" t="str">
        <f>_xlfn.IFNA(VLOOKUP($AH418,Programma!$F$3:$X$1101,19,0),"")</f>
        <v>1w</v>
      </c>
      <c r="BA418" s="185" t="str">
        <f>_xlfn.IFNA(VLOOKUP($AH418,Programma!$F$3:$Y$1101,20,0),"")</f>
        <v>_</v>
      </c>
      <c r="BB418" s="182"/>
      <c r="BC418" s="181" t="str">
        <f>IF(Ruimtestaat[[#This Row],[Frequentie weekend]]="","",_xlfn.CONCAT(Ruimtestaat[[#This Row],[Ruimte code]],"-",Ruimtestaat[[#This Row],[Frequentie weekend]]," ",Ruimtestaat[[#This Row],[Vloer code]]))</f>
        <v/>
      </c>
      <c r="BD418" s="185" t="str">
        <f>_xlfn.IFNA(VLOOKUP($BC418,Programma!$F$3:$G$1101,2,0),"")</f>
        <v/>
      </c>
      <c r="BE418" s="185" t="str">
        <f>_xlfn.IFNA(VLOOKUP($BC418,Programma!$F$3:$H$1101,3,0),"")</f>
        <v/>
      </c>
      <c r="BF418" s="185" t="str">
        <f>_xlfn.IFNA(VLOOKUP($BC418,Programma!$F$3:$I$1101,4,0),"")</f>
        <v/>
      </c>
      <c r="BG418" s="185" t="str">
        <f>_xlfn.IFNA(VLOOKUP($BC418,Programma!$F$3:$J$1101,5,0),"")</f>
        <v/>
      </c>
      <c r="BH418" s="185" t="str">
        <f>_xlfn.IFNA(VLOOKUP($BC418,Programma!$F$3:$K$1101,6,0),"")</f>
        <v/>
      </c>
      <c r="BI418" s="185" t="str">
        <f>_xlfn.IFNA(VLOOKUP($BC418,Programma!$F$3:$L$1101,7,0),"")</f>
        <v/>
      </c>
      <c r="BJ418" s="185" t="str">
        <f>_xlfn.IFNA(VLOOKUP($BC418,Programma!$F$3:$M$1101,8,0),"")</f>
        <v/>
      </c>
      <c r="BK418" s="185" t="str">
        <f>_xlfn.IFNA(VLOOKUP($BC418,Programma!$F$3:$N$1101,9,0),"")</f>
        <v/>
      </c>
      <c r="BL418" s="185" t="str">
        <f>_xlfn.IFNA(VLOOKUP($BC418,Programma!$F$3:$O$1101,10,0),"")</f>
        <v/>
      </c>
      <c r="BM418" s="185" t="str">
        <f>_xlfn.IFNA(VLOOKUP($BC418,Programma!$F$3:$P$1101,11,0),"")</f>
        <v/>
      </c>
      <c r="BN418" s="185" t="str">
        <f>_xlfn.IFNA(VLOOKUP($BC418,Programma!$F$3:$Q$1101,12,0),"")</f>
        <v/>
      </c>
      <c r="BO418" s="185" t="str">
        <f>_xlfn.IFNA(VLOOKUP($BC418,Programma!$F$3:$R$1101,13,0),"")</f>
        <v/>
      </c>
      <c r="BP418" s="185" t="str">
        <f>_xlfn.IFNA(VLOOKUP($BC418,Programma!$F$3:$S$1101,14,0),"")</f>
        <v/>
      </c>
      <c r="BQ418" s="185" t="str">
        <f>_xlfn.IFNA(VLOOKUP($BC418,Programma!$F$3:$T$1101,15,0),"")</f>
        <v/>
      </c>
      <c r="BR418" s="185" t="str">
        <f>_xlfn.IFNA(VLOOKUP($BC418,Programma!$F$3:$U$1101,16,0),"")</f>
        <v/>
      </c>
      <c r="BS418" s="185" t="str">
        <f>_xlfn.IFNA(VLOOKUP($BC418,Programma!$F$3:$V$1101,17,0),"")</f>
        <v/>
      </c>
      <c r="BT418" s="185" t="str">
        <f>_xlfn.IFNA(VLOOKUP($BC418,Programma!$F$3:$W$1101,18,0),"")</f>
        <v/>
      </c>
      <c r="BU418" s="185" t="str">
        <f>_xlfn.IFNA(VLOOKUP($BC418,Programma!$F$3:$X$1101,19,0),"")</f>
        <v/>
      </c>
      <c r="BV418" s="185" t="str">
        <f>_xlfn.IFNA(VLOOKUP($BC418,Programma!$F$3:$Y$1101,20,0),"")</f>
        <v/>
      </c>
    </row>
    <row r="419" spans="1:74" s="78" customFormat="1" ht="15" customHeight="1">
      <c r="A419" s="99">
        <v>12</v>
      </c>
      <c r="B419" s="176" t="str">
        <f>VLOOKUP(Ruimtestaat[[#This Row],[Code]],Locaties[[Code]:[Locatie]],2,FALSE)</f>
        <v>OMBS Het Zeggelt (Dr. Benthem)</v>
      </c>
      <c r="C419" s="176" t="str">
        <f>VLOOKUP(Ruimtestaat[[#This Row],[Code]],Locaties[[#All],[Code]:[Adres]],4,FALSE)</f>
        <v>Dr. Benthemstraat 14</v>
      </c>
      <c r="D419" s="176" t="str">
        <f>VLOOKUP(Ruimtestaat[[#This Row],[Code]],Locaties[[#All],[Code]:[Postcode]],5,FALSE)</f>
        <v>7514 CM</v>
      </c>
      <c r="E419" s="176" t="str">
        <f>VLOOKUP(Ruimtestaat[[#This Row],[Code]],Locaties[#All],6,FALSE)</f>
        <v>Enschede</v>
      </c>
      <c r="F419" s="183"/>
      <c r="G419" s="99" t="s">
        <v>1646</v>
      </c>
      <c r="H419" s="99" t="s">
        <v>1695</v>
      </c>
      <c r="I419" s="183" t="s">
        <v>1651</v>
      </c>
      <c r="J419" s="99">
        <v>16</v>
      </c>
      <c r="K419" s="183" t="str">
        <f>VLOOKUP(Ruimtestaat[[#This Row],[Ruimte code]],Ruimtegroepen[[#All],[Code]:[Ruimte omschrijving]],2,FALSE)</f>
        <v>Leslokalen</v>
      </c>
      <c r="L419" s="99" t="s">
        <v>100</v>
      </c>
      <c r="M419" s="99" t="s">
        <v>1697</v>
      </c>
      <c r="N419" s="177">
        <v>63.2</v>
      </c>
      <c r="O419" s="177"/>
      <c r="P419" s="178" t="str">
        <f>VLOOKUP(Ruimtestaat[[#This Row],[Ruimte code]],Ruimtegroepen[],4,FALSE)</f>
        <v>Le</v>
      </c>
      <c r="Q419" s="149">
        <v>40</v>
      </c>
      <c r="R419" s="149" t="s">
        <v>2</v>
      </c>
      <c r="S419" s="149">
        <f>IF(Q419&gt;0,IF(RIGHT(Ruimtestaat[[#This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9" s="149">
        <f>IF(S419&gt;0,VLOOKUP($J419,Ruimtegroepen[],3,FALSE)*VLOOKUP($L419,Vloersoorten[],3,FALSE)*VLOOKUP($R419,Frequenties[],3,FALSE)*VLOOKUP($A419,Locaties[],3,FALSE),0)</f>
        <v>0</v>
      </c>
      <c r="U419" s="149">
        <f>Ruimtestaat[[#This Row],[Uitvoeringen werkdagen]]*Ruimtestaat[[#This Row],[Oppervlak (netto)]]</f>
        <v>12640</v>
      </c>
      <c r="V419" s="179">
        <f>IF(T419&gt;0,Ruimtestaat[[#This Row],[Prest. (m2 /jaar) werkdagen]]/Ruimtestaat[[#This Row],[Norm (m2/uur) werkdagen]],0)</f>
        <v>0</v>
      </c>
      <c r="W419" s="180">
        <f>Ruimtestaat[[#This Row],[uren / jaar werkdagen]]*Tariefsopbouw!$E$35</f>
        <v>0</v>
      </c>
      <c r="X419" s="149"/>
      <c r="Y419" s="149">
        <f>IF(Ruimtestaat[[#This Row],[Frequentie weekend]]&gt;0,VALUE(LEFT(X419,1))*Q419,0)</f>
        <v>0</v>
      </c>
      <c r="Z419" s="148">
        <f>IF($Y419&gt;0,VLOOKUP($J419,Ruimtegroepen[],3,FALSE)*VLOOKUP($L419,Vloersoorten[],3,FALSE)*VLOOKUP($X419,Frequenties[],3,FALSE)*VLOOKUP(Ruimtestaat[[#This Row],[Code]],Locaties[],3,FALSE),0)</f>
        <v>0</v>
      </c>
      <c r="AA419" s="148">
        <f>Ruimtestaat[[#This Row],[Uitvoeringen weekend]]*Ruimtestaat[[#This Row],[Oppervlak (netto)]]</f>
        <v>0</v>
      </c>
      <c r="AB419" s="148">
        <f>IF(Z419&gt;0,Ruimtestaat[[#This Row],[Prest. (m2 /jaar) weekend]]/Ruimtestaat[[#This Row],[Norm (m2/uur) weekend]],0)</f>
        <v>0</v>
      </c>
      <c r="AC419" s="180">
        <f>Ruimtestaat[[#This Row],[uren / jaar weekend]]*Tariefsopbouw!$D$40</f>
        <v>0</v>
      </c>
      <c r="AD419" s="179">
        <f>Ruimtestaat[[#This Row],[Prest. (m2 /jaar) weekend]]+Ruimtestaat[[#This Row],[Prest. (m2 /jaar) werkdagen]]</f>
        <v>12640</v>
      </c>
      <c r="AE419" s="179">
        <f>Ruimtestaat[[#This Row],[uren / jaar weekend]]+Ruimtestaat[[#This Row],[uren / jaar werkdagen]]</f>
        <v>0</v>
      </c>
      <c r="AF419" s="174">
        <f>Ruimtestaat[[#This Row],[kosten / jaar weekend]]+Ruimtestaat[[#This Row],[kosten / jaar werkdagen]]</f>
        <v>0</v>
      </c>
      <c r="AG419" s="174"/>
      <c r="AH419" s="181" t="str">
        <f>IF(Ruimtestaat[[#This Row],[Frequentie werkdagen]]="","",_xlfn.CONCAT(Ruimtestaat[[#This Row],[Ruimte code]],"-",Ruimtestaat[[#This Row],[Frequentie werkdagen]]," ",Ruimtestaat[[#This Row],[Vloer code]]))</f>
        <v>16-5w L</v>
      </c>
      <c r="AI419" s="185" t="str">
        <f>_xlfn.IFNA(VLOOKUP($AH419,Programma!$F$3:$G$1101,2,0),"")</f>
        <v>_</v>
      </c>
      <c r="AJ419" s="185" t="str">
        <f>_xlfn.IFNA(VLOOKUP($AH419,Programma!$F$3:$H$1101,3,0),"")</f>
        <v>_</v>
      </c>
      <c r="AK419" s="185" t="str">
        <f>_xlfn.IFNA(VLOOKUP($AH419,Programma!$F$3:$I$1101,4,0),"")</f>
        <v>4w</v>
      </c>
      <c r="AL419" s="185" t="str">
        <f>_xlfn.IFNA(VLOOKUP($AH419,Programma!$F$3:$J$1101,5,0),"")</f>
        <v>1w</v>
      </c>
      <c r="AM419" s="185" t="str">
        <f>_xlfn.IFNA(VLOOKUP($AH419,Programma!$F$3:$K$1101,6,0),"")</f>
        <v>_</v>
      </c>
      <c r="AN419" s="185" t="str">
        <f>_xlfn.IFNA(VLOOKUP($AH419,Programma!$F$3:$L$1101,7,0),"")</f>
        <v>_</v>
      </c>
      <c r="AO419" s="185" t="str">
        <f>_xlfn.IFNA(VLOOKUP($AH419,Programma!$F$3:$M$1101,8,0),"")</f>
        <v>_</v>
      </c>
      <c r="AP419" s="185" t="str">
        <f>_xlfn.IFNA(VLOOKUP($AH419,Programma!$F$3:$N$1101,9,0),"")</f>
        <v>_</v>
      </c>
      <c r="AQ419" s="185" t="str">
        <f>_xlfn.IFNA(VLOOKUP($AH419,Programma!$F$3:$O$1101,10,0),"")</f>
        <v>5w</v>
      </c>
      <c r="AR419" s="185" t="str">
        <f>_xlfn.IFNA(VLOOKUP($AH419,Programma!$F$3:$P$1101,11,0),"")</f>
        <v>5w</v>
      </c>
      <c r="AS419" s="185" t="str">
        <f>_xlfn.IFNA(VLOOKUP($AH419,Programma!$F$3:$Q$1101,12,0),"")</f>
        <v>1w</v>
      </c>
      <c r="AT419" s="185" t="str">
        <f>_xlfn.IFNA(VLOOKUP($AH419,Programma!$F$3:$R$1101,13,0),"")</f>
        <v>1w</v>
      </c>
      <c r="AU419" s="185" t="str">
        <f>_xlfn.IFNA(VLOOKUP($AH419,Programma!$F$3:$S$1101,14,0),"")</f>
        <v>1m</v>
      </c>
      <c r="AV419" s="185" t="str">
        <f>_xlfn.IFNA(VLOOKUP($AH419,Programma!$F$3:$T$1101,15,0),"")</f>
        <v>2j</v>
      </c>
      <c r="AW419" s="185" t="str">
        <f>_xlfn.IFNA(VLOOKUP($AH419,Programma!$F$3:$U$1101,16,0),"")</f>
        <v>1j</v>
      </c>
      <c r="AX419" s="185" t="str">
        <f>_xlfn.IFNA(VLOOKUP($AH419,Programma!$F$3:$V$1101,17,0),"")</f>
        <v>_</v>
      </c>
      <c r="AY419" s="185" t="str">
        <f>_xlfn.IFNA(VLOOKUP($AH419,Programma!$F$3:$W$1101,18,0),"")</f>
        <v>_</v>
      </c>
      <c r="AZ419" s="185" t="str">
        <f>_xlfn.IFNA(VLOOKUP($AH419,Programma!$F$3:$X$1101,19,0),"")</f>
        <v>_</v>
      </c>
      <c r="BA419" s="185" t="str">
        <f>_xlfn.IFNA(VLOOKUP($AH419,Programma!$F$3:$Y$1101,20,0),"")</f>
        <v>_</v>
      </c>
      <c r="BB419" s="182"/>
      <c r="BC419" s="181" t="str">
        <f>IF(Ruimtestaat[[#This Row],[Frequentie weekend]]="","",_xlfn.CONCAT(Ruimtestaat[[#This Row],[Ruimte code]],"-",Ruimtestaat[[#This Row],[Frequentie weekend]]," ",Ruimtestaat[[#This Row],[Vloer code]]))</f>
        <v/>
      </c>
      <c r="BD419" s="185" t="str">
        <f>_xlfn.IFNA(VLOOKUP($BC419,Programma!$F$3:$G$1101,2,0),"")</f>
        <v/>
      </c>
      <c r="BE419" s="185" t="str">
        <f>_xlfn.IFNA(VLOOKUP($BC419,Programma!$F$3:$H$1101,3,0),"")</f>
        <v/>
      </c>
      <c r="BF419" s="185" t="str">
        <f>_xlfn.IFNA(VLOOKUP($BC419,Programma!$F$3:$I$1101,4,0),"")</f>
        <v/>
      </c>
      <c r="BG419" s="185" t="str">
        <f>_xlfn.IFNA(VLOOKUP($BC419,Programma!$F$3:$J$1101,5,0),"")</f>
        <v/>
      </c>
      <c r="BH419" s="185" t="str">
        <f>_xlfn.IFNA(VLOOKUP($BC419,Programma!$F$3:$K$1101,6,0),"")</f>
        <v/>
      </c>
      <c r="BI419" s="185" t="str">
        <f>_xlfn.IFNA(VLOOKUP($BC419,Programma!$F$3:$L$1101,7,0),"")</f>
        <v/>
      </c>
      <c r="BJ419" s="185" t="str">
        <f>_xlfn.IFNA(VLOOKUP($BC419,Programma!$F$3:$M$1101,8,0),"")</f>
        <v/>
      </c>
      <c r="BK419" s="185" t="str">
        <f>_xlfn.IFNA(VLOOKUP($BC419,Programma!$F$3:$N$1101,9,0),"")</f>
        <v/>
      </c>
      <c r="BL419" s="185" t="str">
        <f>_xlfn.IFNA(VLOOKUP($BC419,Programma!$F$3:$O$1101,10,0),"")</f>
        <v/>
      </c>
      <c r="BM419" s="185" t="str">
        <f>_xlfn.IFNA(VLOOKUP($BC419,Programma!$F$3:$P$1101,11,0),"")</f>
        <v/>
      </c>
      <c r="BN419" s="185" t="str">
        <f>_xlfn.IFNA(VLOOKUP($BC419,Programma!$F$3:$Q$1101,12,0),"")</f>
        <v/>
      </c>
      <c r="BO419" s="185" t="str">
        <f>_xlfn.IFNA(VLOOKUP($BC419,Programma!$F$3:$R$1101,13,0),"")</f>
        <v/>
      </c>
      <c r="BP419" s="185" t="str">
        <f>_xlfn.IFNA(VLOOKUP($BC419,Programma!$F$3:$S$1101,14,0),"")</f>
        <v/>
      </c>
      <c r="BQ419" s="185" t="str">
        <f>_xlfn.IFNA(VLOOKUP($BC419,Programma!$F$3:$T$1101,15,0),"")</f>
        <v/>
      </c>
      <c r="BR419" s="185" t="str">
        <f>_xlfn.IFNA(VLOOKUP($BC419,Programma!$F$3:$U$1101,16,0),"")</f>
        <v/>
      </c>
      <c r="BS419" s="185" t="str">
        <f>_xlfn.IFNA(VLOOKUP($BC419,Programma!$F$3:$V$1101,17,0),"")</f>
        <v/>
      </c>
      <c r="BT419" s="185" t="str">
        <f>_xlfn.IFNA(VLOOKUP($BC419,Programma!$F$3:$W$1101,18,0),"")</f>
        <v/>
      </c>
      <c r="BU419" s="185" t="str">
        <f>_xlfn.IFNA(VLOOKUP($BC419,Programma!$F$3:$X$1101,19,0),"")</f>
        <v/>
      </c>
      <c r="BV419" s="185" t="str">
        <f>_xlfn.IFNA(VLOOKUP($BC419,Programma!$F$3:$Y$1101,20,0),"")</f>
        <v/>
      </c>
    </row>
    <row r="420" spans="1:74" s="78" customFormat="1" ht="15" customHeight="1">
      <c r="A420" s="99">
        <v>12</v>
      </c>
      <c r="B420" s="176" t="str">
        <f>VLOOKUP(Ruimtestaat[[#This Row],[Code]],Locaties[[Code]:[Locatie]],2,FALSE)</f>
        <v>OMBS Het Zeggelt (Dr. Benthem)</v>
      </c>
      <c r="C420" s="176" t="str">
        <f>VLOOKUP(Ruimtestaat[[#This Row],[Code]],Locaties[[#All],[Code]:[Adres]],4,FALSE)</f>
        <v>Dr. Benthemstraat 14</v>
      </c>
      <c r="D420" s="176" t="str">
        <f>VLOOKUP(Ruimtestaat[[#This Row],[Code]],Locaties[[#All],[Code]:[Postcode]],5,FALSE)</f>
        <v>7514 CM</v>
      </c>
      <c r="E420" s="176" t="str">
        <f>VLOOKUP(Ruimtestaat[[#This Row],[Code]],Locaties[#All],6,FALSE)</f>
        <v>Enschede</v>
      </c>
      <c r="F420" s="183"/>
      <c r="G420" s="99" t="s">
        <v>1646</v>
      </c>
      <c r="H420" s="99" t="s">
        <v>1696</v>
      </c>
      <c r="I420" s="183" t="s">
        <v>1649</v>
      </c>
      <c r="J420" s="99">
        <v>2</v>
      </c>
      <c r="K420" s="183" t="str">
        <f>VLOOKUP(Ruimtestaat[[#This Row],[Ruimte code]],Ruimtegroepen[[#All],[Code]:[Ruimte omschrijving]],2,FALSE)</f>
        <v>Kantoren</v>
      </c>
      <c r="L420" s="99" t="s">
        <v>99</v>
      </c>
      <c r="M420" s="99" t="s">
        <v>1700</v>
      </c>
      <c r="N420" s="177">
        <v>14.9</v>
      </c>
      <c r="O420" s="177"/>
      <c r="P420" s="178" t="str">
        <f>VLOOKUP(Ruimtestaat[[#This Row],[Ruimte code]],Ruimtegroepen[],4,FALSE)</f>
        <v>Bu</v>
      </c>
      <c r="Q420" s="149">
        <v>40</v>
      </c>
      <c r="R420" s="149" t="s">
        <v>18</v>
      </c>
      <c r="S420" s="149">
        <f>IF(Q420&gt;0,IF(RIGHT(Ruimtestaat[[#This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20" s="149">
        <f>IF(S420&gt;0,VLOOKUP($J420,Ruimtegroepen[],3,FALSE)*VLOOKUP($L420,Vloersoorten[],3,FALSE)*VLOOKUP($R420,Frequenties[],3,FALSE)*VLOOKUP($A420,Locaties[],3,FALSE),0)</f>
        <v>0</v>
      </c>
      <c r="U420" s="149">
        <f>Ruimtestaat[[#This Row],[Uitvoeringen werkdagen]]*Ruimtestaat[[#This Row],[Oppervlak (netto)]]</f>
        <v>1788</v>
      </c>
      <c r="V420" s="179">
        <f>IF(T420&gt;0,Ruimtestaat[[#This Row],[Prest. (m2 /jaar) werkdagen]]/Ruimtestaat[[#This Row],[Norm (m2/uur) werkdagen]],0)</f>
        <v>0</v>
      </c>
      <c r="W420" s="180">
        <f>Ruimtestaat[[#This Row],[uren / jaar werkdagen]]*Tariefsopbouw!$E$35</f>
        <v>0</v>
      </c>
      <c r="X420" s="149"/>
      <c r="Y420" s="149">
        <f>IF(Ruimtestaat[[#This Row],[Frequentie weekend]]&gt;0,VALUE(LEFT(X420,1))*Q420,0)</f>
        <v>0</v>
      </c>
      <c r="Z420" s="148">
        <f>IF($Y420&gt;0,VLOOKUP($J420,Ruimtegroepen[],3,FALSE)*VLOOKUP($L420,Vloersoorten[],3,FALSE)*VLOOKUP($X420,Frequenties[],3,FALSE)*VLOOKUP(Ruimtestaat[[#This Row],[Code]],Locaties[],3,FALSE),0)</f>
        <v>0</v>
      </c>
      <c r="AA420" s="148">
        <f>Ruimtestaat[[#This Row],[Uitvoeringen weekend]]*Ruimtestaat[[#This Row],[Oppervlak (netto)]]</f>
        <v>0</v>
      </c>
      <c r="AB420" s="148">
        <f>IF(Z420&gt;0,Ruimtestaat[[#This Row],[Prest. (m2 /jaar) weekend]]/Ruimtestaat[[#This Row],[Norm (m2/uur) weekend]],0)</f>
        <v>0</v>
      </c>
      <c r="AC420" s="180">
        <f>Ruimtestaat[[#This Row],[uren / jaar weekend]]*Tariefsopbouw!$D$40</f>
        <v>0</v>
      </c>
      <c r="AD420" s="179">
        <f>Ruimtestaat[[#This Row],[Prest. (m2 /jaar) weekend]]+Ruimtestaat[[#This Row],[Prest. (m2 /jaar) werkdagen]]</f>
        <v>1788</v>
      </c>
      <c r="AE420" s="179">
        <f>Ruimtestaat[[#This Row],[uren / jaar weekend]]+Ruimtestaat[[#This Row],[uren / jaar werkdagen]]</f>
        <v>0</v>
      </c>
      <c r="AF420" s="174">
        <f>Ruimtestaat[[#This Row],[kosten / jaar weekend]]+Ruimtestaat[[#This Row],[kosten / jaar werkdagen]]</f>
        <v>0</v>
      </c>
      <c r="AG420" s="174"/>
      <c r="AH420" s="181" t="str">
        <f>IF(Ruimtestaat[[#This Row],[Frequentie werkdagen]]="","",_xlfn.CONCAT(Ruimtestaat[[#This Row],[Ruimte code]],"-",Ruimtestaat[[#This Row],[Frequentie werkdagen]]," ",Ruimtestaat[[#This Row],[Vloer code]]))</f>
        <v>2-3w T</v>
      </c>
      <c r="AI420" s="185" t="str">
        <f>_xlfn.IFNA(VLOOKUP($AH420,Programma!$F$3:$G$1101,2,0),"")</f>
        <v>2w</v>
      </c>
      <c r="AJ420" s="185" t="str">
        <f>_xlfn.IFNA(VLOOKUP($AH420,Programma!$F$3:$H$1101,3,0),"")</f>
        <v>1w</v>
      </c>
      <c r="AK420" s="185" t="str">
        <f>_xlfn.IFNA(VLOOKUP($AH420,Programma!$F$3:$I$1101,4,0),"")</f>
        <v>_</v>
      </c>
      <c r="AL420" s="185" t="str">
        <f>_xlfn.IFNA(VLOOKUP($AH420,Programma!$F$3:$J$1101,5,0),"")</f>
        <v>_</v>
      </c>
      <c r="AM420" s="185" t="str">
        <f>_xlfn.IFNA(VLOOKUP($AH420,Programma!$F$3:$K$1101,6,0),"")</f>
        <v>_</v>
      </c>
      <c r="AN420" s="185" t="str">
        <f>_xlfn.IFNA(VLOOKUP($AH420,Programma!$F$3:$L$1101,7,0),"")</f>
        <v>_</v>
      </c>
      <c r="AO420" s="185" t="str">
        <f>_xlfn.IFNA(VLOOKUP($AH420,Programma!$F$3:$M$1101,8,0),"")</f>
        <v>_</v>
      </c>
      <c r="AP420" s="185" t="str">
        <f>_xlfn.IFNA(VLOOKUP($AH420,Programma!$F$3:$N$1101,9,0),"")</f>
        <v>_</v>
      </c>
      <c r="AQ420" s="185" t="str">
        <f>_xlfn.IFNA(VLOOKUP($AH420,Programma!$F$3:$O$1101,10,0),"")</f>
        <v>3w</v>
      </c>
      <c r="AR420" s="185" t="str">
        <f>_xlfn.IFNA(VLOOKUP($AH420,Programma!$F$3:$P$1101,11,0),"")</f>
        <v>3w</v>
      </c>
      <c r="AS420" s="185" t="str">
        <f>_xlfn.IFNA(VLOOKUP($AH420,Programma!$F$3:$Q$1101,12,0),"")</f>
        <v>1w</v>
      </c>
      <c r="AT420" s="185" t="str">
        <f>_xlfn.IFNA(VLOOKUP($AH420,Programma!$F$3:$R$1101,13,0),"")</f>
        <v>1w</v>
      </c>
      <c r="AU420" s="185" t="str">
        <f>_xlfn.IFNA(VLOOKUP($AH420,Programma!$F$3:$S$1101,14,0),"")</f>
        <v>1m</v>
      </c>
      <c r="AV420" s="185" t="str">
        <f>_xlfn.IFNA(VLOOKUP($AH420,Programma!$F$3:$T$1101,15,0),"")</f>
        <v>2j</v>
      </c>
      <c r="AW420" s="185" t="str">
        <f>_xlfn.IFNA(VLOOKUP($AH420,Programma!$F$3:$U$1101,16,0),"")</f>
        <v>1j</v>
      </c>
      <c r="AX420" s="185" t="str">
        <f>_xlfn.IFNA(VLOOKUP($AH420,Programma!$F$3:$V$1101,17,0),"")</f>
        <v>_</v>
      </c>
      <c r="AY420" s="185" t="str">
        <f>_xlfn.IFNA(VLOOKUP($AH420,Programma!$F$3:$W$1101,18,0),"")</f>
        <v>_</v>
      </c>
      <c r="AZ420" s="185" t="str">
        <f>_xlfn.IFNA(VLOOKUP($AH420,Programma!$F$3:$X$1101,19,0),"")</f>
        <v>_</v>
      </c>
      <c r="BA420" s="185" t="str">
        <f>_xlfn.IFNA(VLOOKUP($AH420,Programma!$F$3:$Y$1101,20,0),"")</f>
        <v>_</v>
      </c>
      <c r="BB420" s="182"/>
      <c r="BC420" s="181" t="str">
        <f>IF(Ruimtestaat[[#This Row],[Frequentie weekend]]="","",_xlfn.CONCAT(Ruimtestaat[[#This Row],[Ruimte code]],"-",Ruimtestaat[[#This Row],[Frequentie weekend]]," ",Ruimtestaat[[#This Row],[Vloer code]]))</f>
        <v/>
      </c>
      <c r="BD420" s="185" t="str">
        <f>_xlfn.IFNA(VLOOKUP($BC420,Programma!$F$3:$G$1101,2,0),"")</f>
        <v/>
      </c>
      <c r="BE420" s="185" t="str">
        <f>_xlfn.IFNA(VLOOKUP($BC420,Programma!$F$3:$H$1101,3,0),"")</f>
        <v/>
      </c>
      <c r="BF420" s="185" t="str">
        <f>_xlfn.IFNA(VLOOKUP($BC420,Programma!$F$3:$I$1101,4,0),"")</f>
        <v/>
      </c>
      <c r="BG420" s="185" t="str">
        <f>_xlfn.IFNA(VLOOKUP($BC420,Programma!$F$3:$J$1101,5,0),"")</f>
        <v/>
      </c>
      <c r="BH420" s="185" t="str">
        <f>_xlfn.IFNA(VLOOKUP($BC420,Programma!$F$3:$K$1101,6,0),"")</f>
        <v/>
      </c>
      <c r="BI420" s="185" t="str">
        <f>_xlfn.IFNA(VLOOKUP($BC420,Programma!$F$3:$L$1101,7,0),"")</f>
        <v/>
      </c>
      <c r="BJ420" s="185" t="str">
        <f>_xlfn.IFNA(VLOOKUP($BC420,Programma!$F$3:$M$1101,8,0),"")</f>
        <v/>
      </c>
      <c r="BK420" s="185" t="str">
        <f>_xlfn.IFNA(VLOOKUP($BC420,Programma!$F$3:$N$1101,9,0),"")</f>
        <v/>
      </c>
      <c r="BL420" s="185" t="str">
        <f>_xlfn.IFNA(VLOOKUP($BC420,Programma!$F$3:$O$1101,10,0),"")</f>
        <v/>
      </c>
      <c r="BM420" s="185" t="str">
        <f>_xlfn.IFNA(VLOOKUP($BC420,Programma!$F$3:$P$1101,11,0),"")</f>
        <v/>
      </c>
      <c r="BN420" s="185" t="str">
        <f>_xlfn.IFNA(VLOOKUP($BC420,Programma!$F$3:$Q$1101,12,0),"")</f>
        <v/>
      </c>
      <c r="BO420" s="185" t="str">
        <f>_xlfn.IFNA(VLOOKUP($BC420,Programma!$F$3:$R$1101,13,0),"")</f>
        <v/>
      </c>
      <c r="BP420" s="185" t="str">
        <f>_xlfn.IFNA(VLOOKUP($BC420,Programma!$F$3:$S$1101,14,0),"")</f>
        <v/>
      </c>
      <c r="BQ420" s="185" t="str">
        <f>_xlfn.IFNA(VLOOKUP($BC420,Programma!$F$3:$T$1101,15,0),"")</f>
        <v/>
      </c>
      <c r="BR420" s="185" t="str">
        <f>_xlfn.IFNA(VLOOKUP($BC420,Programma!$F$3:$U$1101,16,0),"")</f>
        <v/>
      </c>
      <c r="BS420" s="185" t="str">
        <f>_xlfn.IFNA(VLOOKUP($BC420,Programma!$F$3:$V$1101,17,0),"")</f>
        <v/>
      </c>
      <c r="BT420" s="185" t="str">
        <f>_xlfn.IFNA(VLOOKUP($BC420,Programma!$F$3:$W$1101,18,0),"")</f>
        <v/>
      </c>
      <c r="BU420" s="185" t="str">
        <f>_xlfn.IFNA(VLOOKUP($BC420,Programma!$F$3:$X$1101,19,0),"")</f>
        <v/>
      </c>
      <c r="BV420" s="185" t="str">
        <f>_xlfn.IFNA(VLOOKUP($BC420,Programma!$F$3:$Y$1101,20,0),"")</f>
        <v/>
      </c>
    </row>
    <row r="421" spans="1:74" s="78" customFormat="1" ht="15" customHeight="1">
      <c r="A421" s="99">
        <v>12</v>
      </c>
      <c r="B421" s="176" t="str">
        <f>VLOOKUP(Ruimtestaat[[#This Row],[Code]],Locaties[[Code]:[Locatie]],2,FALSE)</f>
        <v>OMBS Het Zeggelt (Dr. Benthem)</v>
      </c>
      <c r="C421" s="176" t="str">
        <f>VLOOKUP(Ruimtestaat[[#This Row],[Code]],Locaties[[#All],[Code]:[Adres]],4,FALSE)</f>
        <v>Dr. Benthemstraat 14</v>
      </c>
      <c r="D421" s="176" t="str">
        <f>VLOOKUP(Ruimtestaat[[#This Row],[Code]],Locaties[[#All],[Code]:[Postcode]],5,FALSE)</f>
        <v>7514 CM</v>
      </c>
      <c r="E421" s="176" t="str">
        <f>VLOOKUP(Ruimtestaat[[#This Row],[Code]],Locaties[#All],6,FALSE)</f>
        <v>Enschede</v>
      </c>
      <c r="F421" s="183"/>
      <c r="G421" s="99" t="s">
        <v>1646</v>
      </c>
      <c r="H421" s="99" t="s">
        <v>1703</v>
      </c>
      <c r="I421" s="183" t="s">
        <v>1658</v>
      </c>
      <c r="J421" s="99">
        <v>6</v>
      </c>
      <c r="K421" s="183" t="str">
        <f>VLOOKUP(Ruimtestaat[[#This Row],[Ruimte code]],Ruimtegroepen[[#All],[Code]:[Ruimte omschrijving]],2,FALSE)</f>
        <v>Gangen/hallen</v>
      </c>
      <c r="L421" s="99" t="s">
        <v>99</v>
      </c>
      <c r="M421" s="99" t="s">
        <v>1700</v>
      </c>
      <c r="N421" s="177">
        <v>55.8</v>
      </c>
      <c r="O421" s="177"/>
      <c r="P421" s="178" t="str">
        <f>VLOOKUP(Ruimtestaat[[#This Row],[Ruimte code]],Ruimtegroepen[],4,FALSE)</f>
        <v>Ve</v>
      </c>
      <c r="Q421" s="149">
        <v>40</v>
      </c>
      <c r="R421" s="149" t="s">
        <v>2</v>
      </c>
      <c r="S421" s="149">
        <f>IF(Q421&gt;0,IF(RIGHT(Ruimtestaat[[#This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1" s="149">
        <f>IF(S421&gt;0,VLOOKUP($J421,Ruimtegroepen[],3,FALSE)*VLOOKUP($L421,Vloersoorten[],3,FALSE)*VLOOKUP($R421,Frequenties[],3,FALSE)*VLOOKUP($A421,Locaties[],3,FALSE),0)</f>
        <v>0</v>
      </c>
      <c r="U421" s="149">
        <f>Ruimtestaat[[#This Row],[Uitvoeringen werkdagen]]*Ruimtestaat[[#This Row],[Oppervlak (netto)]]</f>
        <v>11160</v>
      </c>
      <c r="V421" s="179">
        <f>IF(T421&gt;0,Ruimtestaat[[#This Row],[Prest. (m2 /jaar) werkdagen]]/Ruimtestaat[[#This Row],[Norm (m2/uur) werkdagen]],0)</f>
        <v>0</v>
      </c>
      <c r="W421" s="180">
        <f>Ruimtestaat[[#This Row],[uren / jaar werkdagen]]*Tariefsopbouw!$E$35</f>
        <v>0</v>
      </c>
      <c r="X421" s="149"/>
      <c r="Y421" s="149">
        <f>IF(Ruimtestaat[[#This Row],[Frequentie weekend]]&gt;0,VALUE(LEFT(X421,1))*Q421,0)</f>
        <v>0</v>
      </c>
      <c r="Z421" s="148">
        <f>IF($Y421&gt;0,VLOOKUP($J421,Ruimtegroepen[],3,FALSE)*VLOOKUP($L421,Vloersoorten[],3,FALSE)*VLOOKUP($X421,Frequenties[],3,FALSE)*VLOOKUP(Ruimtestaat[[#This Row],[Code]],Locaties[],3,FALSE),0)</f>
        <v>0</v>
      </c>
      <c r="AA421" s="148">
        <f>Ruimtestaat[[#This Row],[Uitvoeringen weekend]]*Ruimtestaat[[#This Row],[Oppervlak (netto)]]</f>
        <v>0</v>
      </c>
      <c r="AB421" s="148">
        <f>IF(Z421&gt;0,Ruimtestaat[[#This Row],[Prest. (m2 /jaar) weekend]]/Ruimtestaat[[#This Row],[Norm (m2/uur) weekend]],0)</f>
        <v>0</v>
      </c>
      <c r="AC421" s="180">
        <f>Ruimtestaat[[#This Row],[uren / jaar weekend]]*Tariefsopbouw!$D$40</f>
        <v>0</v>
      </c>
      <c r="AD421" s="179">
        <f>Ruimtestaat[[#This Row],[Prest. (m2 /jaar) weekend]]+Ruimtestaat[[#This Row],[Prest. (m2 /jaar) werkdagen]]</f>
        <v>11160</v>
      </c>
      <c r="AE421" s="179">
        <f>Ruimtestaat[[#This Row],[uren / jaar weekend]]+Ruimtestaat[[#This Row],[uren / jaar werkdagen]]</f>
        <v>0</v>
      </c>
      <c r="AF421" s="174">
        <f>Ruimtestaat[[#This Row],[kosten / jaar weekend]]+Ruimtestaat[[#This Row],[kosten / jaar werkdagen]]</f>
        <v>0</v>
      </c>
      <c r="AG421" s="174"/>
      <c r="AH421" s="181" t="str">
        <f>IF(Ruimtestaat[[#This Row],[Frequentie werkdagen]]="","",_xlfn.CONCAT(Ruimtestaat[[#This Row],[Ruimte code]],"-",Ruimtestaat[[#This Row],[Frequentie werkdagen]]," ",Ruimtestaat[[#This Row],[Vloer code]]))</f>
        <v>6-5w T</v>
      </c>
      <c r="AI421" s="185" t="str">
        <f>_xlfn.IFNA(VLOOKUP($AH421,Programma!$F$3:$G$1101,2,0),"")</f>
        <v>_</v>
      </c>
      <c r="AJ421" s="185" t="str">
        <f>_xlfn.IFNA(VLOOKUP($AH421,Programma!$F$3:$H$1101,3,0),"")</f>
        <v>5w</v>
      </c>
      <c r="AK421" s="185" t="str">
        <f>_xlfn.IFNA(VLOOKUP($AH421,Programma!$F$3:$I$1101,4,0),"")</f>
        <v>_</v>
      </c>
      <c r="AL421" s="185" t="str">
        <f>_xlfn.IFNA(VLOOKUP($AH421,Programma!$F$3:$J$1101,5,0),"")</f>
        <v>_</v>
      </c>
      <c r="AM421" s="185" t="str">
        <f>_xlfn.IFNA(VLOOKUP($AH421,Programma!$F$3:$K$1101,6,0),"")</f>
        <v>_</v>
      </c>
      <c r="AN421" s="185" t="str">
        <f>_xlfn.IFNA(VLOOKUP($AH421,Programma!$F$3:$L$1101,7,0),"")</f>
        <v>_</v>
      </c>
      <c r="AO421" s="185" t="str">
        <f>_xlfn.IFNA(VLOOKUP($AH421,Programma!$F$3:$M$1101,8,0),"")</f>
        <v>_</v>
      </c>
      <c r="AP421" s="185" t="str">
        <f>_xlfn.IFNA(VLOOKUP($AH421,Programma!$F$3:$N$1101,9,0),"")</f>
        <v>_</v>
      </c>
      <c r="AQ421" s="185" t="str">
        <f>_xlfn.IFNA(VLOOKUP($AH421,Programma!$F$3:$O$1101,10,0),"")</f>
        <v>5w</v>
      </c>
      <c r="AR421" s="185" t="str">
        <f>_xlfn.IFNA(VLOOKUP($AH421,Programma!$F$3:$P$1101,11,0),"")</f>
        <v>5w</v>
      </c>
      <c r="AS421" s="185" t="str">
        <f>_xlfn.IFNA(VLOOKUP($AH421,Programma!$F$3:$Q$1101,12,0),"")</f>
        <v>1w</v>
      </c>
      <c r="AT421" s="185" t="str">
        <f>_xlfn.IFNA(VLOOKUP($AH421,Programma!$F$3:$R$1101,13,0),"")</f>
        <v>1w</v>
      </c>
      <c r="AU421" s="185" t="str">
        <f>_xlfn.IFNA(VLOOKUP($AH421,Programma!$F$3:$S$1101,14,0),"")</f>
        <v>1m</v>
      </c>
      <c r="AV421" s="185" t="str">
        <f>_xlfn.IFNA(VLOOKUP($AH421,Programma!$F$3:$T$1101,15,0),"")</f>
        <v>2j</v>
      </c>
      <c r="AW421" s="185" t="str">
        <f>_xlfn.IFNA(VLOOKUP($AH421,Programma!$F$3:$U$1101,16,0),"")</f>
        <v>1j</v>
      </c>
      <c r="AX421" s="185" t="str">
        <f>_xlfn.IFNA(VLOOKUP($AH421,Programma!$F$3:$V$1101,17,0),"")</f>
        <v>_</v>
      </c>
      <c r="AY421" s="185" t="str">
        <f>_xlfn.IFNA(VLOOKUP($AH421,Programma!$F$3:$W$1101,18,0),"")</f>
        <v>_</v>
      </c>
      <c r="AZ421" s="185" t="str">
        <f>_xlfn.IFNA(VLOOKUP($AH421,Programma!$F$3:$X$1101,19,0),"")</f>
        <v>_</v>
      </c>
      <c r="BA421" s="185" t="str">
        <f>_xlfn.IFNA(VLOOKUP($AH421,Programma!$F$3:$Y$1101,20,0),"")</f>
        <v>_</v>
      </c>
      <c r="BB421" s="182"/>
      <c r="BC421" s="181" t="str">
        <f>IF(Ruimtestaat[[#This Row],[Frequentie weekend]]="","",_xlfn.CONCAT(Ruimtestaat[[#This Row],[Ruimte code]],"-",Ruimtestaat[[#This Row],[Frequentie weekend]]," ",Ruimtestaat[[#This Row],[Vloer code]]))</f>
        <v/>
      </c>
      <c r="BD421" s="185" t="str">
        <f>_xlfn.IFNA(VLOOKUP($BC421,Programma!$F$3:$G$1101,2,0),"")</f>
        <v/>
      </c>
      <c r="BE421" s="185" t="str">
        <f>_xlfn.IFNA(VLOOKUP($BC421,Programma!$F$3:$H$1101,3,0),"")</f>
        <v/>
      </c>
      <c r="BF421" s="185" t="str">
        <f>_xlfn.IFNA(VLOOKUP($BC421,Programma!$F$3:$I$1101,4,0),"")</f>
        <v/>
      </c>
      <c r="BG421" s="185" t="str">
        <f>_xlfn.IFNA(VLOOKUP($BC421,Programma!$F$3:$J$1101,5,0),"")</f>
        <v/>
      </c>
      <c r="BH421" s="185" t="str">
        <f>_xlfn.IFNA(VLOOKUP($BC421,Programma!$F$3:$K$1101,6,0),"")</f>
        <v/>
      </c>
      <c r="BI421" s="185" t="str">
        <f>_xlfn.IFNA(VLOOKUP($BC421,Programma!$F$3:$L$1101,7,0),"")</f>
        <v/>
      </c>
      <c r="BJ421" s="185" t="str">
        <f>_xlfn.IFNA(VLOOKUP($BC421,Programma!$F$3:$M$1101,8,0),"")</f>
        <v/>
      </c>
      <c r="BK421" s="185" t="str">
        <f>_xlfn.IFNA(VLOOKUP($BC421,Programma!$F$3:$N$1101,9,0),"")</f>
        <v/>
      </c>
      <c r="BL421" s="185" t="str">
        <f>_xlfn.IFNA(VLOOKUP($BC421,Programma!$F$3:$O$1101,10,0),"")</f>
        <v/>
      </c>
      <c r="BM421" s="185" t="str">
        <f>_xlfn.IFNA(VLOOKUP($BC421,Programma!$F$3:$P$1101,11,0),"")</f>
        <v/>
      </c>
      <c r="BN421" s="185" t="str">
        <f>_xlfn.IFNA(VLOOKUP($BC421,Programma!$F$3:$Q$1101,12,0),"")</f>
        <v/>
      </c>
      <c r="BO421" s="185" t="str">
        <f>_xlfn.IFNA(VLOOKUP($BC421,Programma!$F$3:$R$1101,13,0),"")</f>
        <v/>
      </c>
      <c r="BP421" s="185" t="str">
        <f>_xlfn.IFNA(VLOOKUP($BC421,Programma!$F$3:$S$1101,14,0),"")</f>
        <v/>
      </c>
      <c r="BQ421" s="185" t="str">
        <f>_xlfn.IFNA(VLOOKUP($BC421,Programma!$F$3:$T$1101,15,0),"")</f>
        <v/>
      </c>
      <c r="BR421" s="185" t="str">
        <f>_xlfn.IFNA(VLOOKUP($BC421,Programma!$F$3:$U$1101,16,0),"")</f>
        <v/>
      </c>
      <c r="BS421" s="185" t="str">
        <f>_xlfn.IFNA(VLOOKUP($BC421,Programma!$F$3:$V$1101,17,0),"")</f>
        <v/>
      </c>
      <c r="BT421" s="185" t="str">
        <f>_xlfn.IFNA(VLOOKUP($BC421,Programma!$F$3:$W$1101,18,0),"")</f>
        <v/>
      </c>
      <c r="BU421" s="185" t="str">
        <f>_xlfn.IFNA(VLOOKUP($BC421,Programma!$F$3:$X$1101,19,0),"")</f>
        <v/>
      </c>
      <c r="BV421" s="185" t="str">
        <f>_xlfn.IFNA(VLOOKUP($BC421,Programma!$F$3:$Y$1101,20,0),"")</f>
        <v/>
      </c>
    </row>
    <row r="422" spans="1:74" s="78" customFormat="1" ht="15" customHeight="1">
      <c r="A422" s="99">
        <v>13</v>
      </c>
      <c r="B422" s="176" t="str">
        <f>VLOOKUP(Ruimtestaat[[#This Row],[Code]],Locaties[[Code]:[Locatie]],2,FALSE)</f>
        <v>OMBS Het Zeggelt (Meeuwen)</v>
      </c>
      <c r="C422" s="176" t="str">
        <f>VLOOKUP(Ruimtestaat[[#This Row],[Code]],Locaties[[#All],[Code]:[Adres]],4,FALSE)</f>
        <v>Meeuwenstraat 4</v>
      </c>
      <c r="D422" s="176" t="str">
        <f>VLOOKUP(Ruimtestaat[[#This Row],[Code]],Locaties[[#All],[Code]:[Postcode]],5,FALSE)</f>
        <v>7523 XV</v>
      </c>
      <c r="E422" s="176" t="str">
        <f>VLOOKUP(Ruimtestaat[[#This Row],[Code]],Locaties[#All],6,FALSE)</f>
        <v>Enschede</v>
      </c>
      <c r="F422" s="183"/>
      <c r="G422" s="99" t="s">
        <v>1646</v>
      </c>
      <c r="H422" s="99" t="s">
        <v>1647</v>
      </c>
      <c r="I422" s="183" t="s">
        <v>38</v>
      </c>
      <c r="J422" s="99">
        <v>7</v>
      </c>
      <c r="K422" s="183" t="str">
        <f>VLOOKUP(Ruimtestaat[[#This Row],[Ruimte code]],Ruimtegroepen[[#All],[Code]:[Ruimte omschrijving]],2,FALSE)</f>
        <v>Entree</v>
      </c>
      <c r="L422" s="99" t="s">
        <v>99</v>
      </c>
      <c r="M422" s="99" t="s">
        <v>1700</v>
      </c>
      <c r="N422" s="177">
        <v>9.5</v>
      </c>
      <c r="O422" s="177"/>
      <c r="P422" s="178" t="str">
        <f>VLOOKUP(Ruimtestaat[[#This Row],[Ruimte code]],Ruimtegroepen[],4,FALSE)</f>
        <v>Ve</v>
      </c>
      <c r="Q422" s="149">
        <v>40</v>
      </c>
      <c r="R422" s="149" t="s">
        <v>2</v>
      </c>
      <c r="S422" s="149">
        <f>IF(Q422&gt;0,IF(RIGHT(Ruimtestaat[[#This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2" s="149">
        <f>IF(S422&gt;0,VLOOKUP($J422,Ruimtegroepen[],3,FALSE)*VLOOKUP($L422,Vloersoorten[],3,FALSE)*VLOOKUP($R422,Frequenties[],3,FALSE)*VLOOKUP($A422,Locaties[],3,FALSE),0)</f>
        <v>0</v>
      </c>
      <c r="U422" s="149">
        <f>Ruimtestaat[[#This Row],[Uitvoeringen werkdagen]]*Ruimtestaat[[#This Row],[Oppervlak (netto)]]</f>
        <v>1900</v>
      </c>
      <c r="V422" s="179">
        <f>IF(T422&gt;0,Ruimtestaat[[#This Row],[Prest. (m2 /jaar) werkdagen]]/Ruimtestaat[[#This Row],[Norm (m2/uur) werkdagen]],0)</f>
        <v>0</v>
      </c>
      <c r="W422" s="180">
        <f>Ruimtestaat[[#This Row],[uren / jaar werkdagen]]*Tariefsopbouw!$E$35</f>
        <v>0</v>
      </c>
      <c r="X422" s="149"/>
      <c r="Y422" s="149">
        <f>IF(Ruimtestaat[[#This Row],[Frequentie weekend]]&gt;0,VALUE(LEFT(X422,1))*Q422,0)</f>
        <v>0</v>
      </c>
      <c r="Z422" s="148">
        <f>IF($Y422&gt;0,VLOOKUP($J422,Ruimtegroepen[],3,FALSE)*VLOOKUP($L422,Vloersoorten[],3,FALSE)*VLOOKUP($X422,Frequenties[],3,FALSE)*VLOOKUP(Ruimtestaat[[#This Row],[Code]],Locaties[],3,FALSE),0)</f>
        <v>0</v>
      </c>
      <c r="AA422" s="148">
        <f>Ruimtestaat[[#This Row],[Uitvoeringen weekend]]*Ruimtestaat[[#This Row],[Oppervlak (netto)]]</f>
        <v>0</v>
      </c>
      <c r="AB422" s="148">
        <f>IF(Z422&gt;0,Ruimtestaat[[#This Row],[Prest. (m2 /jaar) weekend]]/Ruimtestaat[[#This Row],[Norm (m2/uur) weekend]],0)</f>
        <v>0</v>
      </c>
      <c r="AC422" s="180">
        <f>Ruimtestaat[[#This Row],[uren / jaar weekend]]*Tariefsopbouw!$D$40</f>
        <v>0</v>
      </c>
      <c r="AD422" s="179">
        <f>Ruimtestaat[[#This Row],[Prest. (m2 /jaar) weekend]]+Ruimtestaat[[#This Row],[Prest. (m2 /jaar) werkdagen]]</f>
        <v>1900</v>
      </c>
      <c r="AE422" s="179">
        <f>Ruimtestaat[[#This Row],[uren / jaar weekend]]+Ruimtestaat[[#This Row],[uren / jaar werkdagen]]</f>
        <v>0</v>
      </c>
      <c r="AF422" s="174">
        <f>Ruimtestaat[[#This Row],[kosten / jaar weekend]]+Ruimtestaat[[#This Row],[kosten / jaar werkdagen]]</f>
        <v>0</v>
      </c>
      <c r="AG422" s="174"/>
      <c r="AH422" s="181" t="str">
        <f>IF(Ruimtestaat[[#This Row],[Frequentie werkdagen]]="","",_xlfn.CONCAT(Ruimtestaat[[#This Row],[Ruimte code]],"-",Ruimtestaat[[#This Row],[Frequentie werkdagen]]," ",Ruimtestaat[[#This Row],[Vloer code]]))</f>
        <v>7-5w T</v>
      </c>
      <c r="AI422" s="185" t="str">
        <f>_xlfn.IFNA(VLOOKUP($AH422,Programma!$F$3:$G$1101,2,0),"")</f>
        <v>_</v>
      </c>
      <c r="AJ422" s="185" t="str">
        <f>_xlfn.IFNA(VLOOKUP($AH422,Programma!$F$3:$H$1101,3,0),"")</f>
        <v>5w</v>
      </c>
      <c r="AK422" s="185" t="str">
        <f>_xlfn.IFNA(VLOOKUP($AH422,Programma!$F$3:$I$1101,4,0),"")</f>
        <v>_</v>
      </c>
      <c r="AL422" s="185" t="str">
        <f>_xlfn.IFNA(VLOOKUP($AH422,Programma!$F$3:$J$1101,5,0),"")</f>
        <v>_</v>
      </c>
      <c r="AM422" s="185" t="str">
        <f>_xlfn.IFNA(VLOOKUP($AH422,Programma!$F$3:$K$1101,6,0),"")</f>
        <v>_</v>
      </c>
      <c r="AN422" s="185" t="str">
        <f>_xlfn.IFNA(VLOOKUP($AH422,Programma!$F$3:$L$1101,7,0),"")</f>
        <v>_</v>
      </c>
      <c r="AO422" s="185" t="str">
        <f>_xlfn.IFNA(VLOOKUP($AH422,Programma!$F$3:$M$1101,8,0),"")</f>
        <v>_</v>
      </c>
      <c r="AP422" s="185" t="str">
        <f>_xlfn.IFNA(VLOOKUP($AH422,Programma!$F$3:$N$1101,9,0),"")</f>
        <v>_</v>
      </c>
      <c r="AQ422" s="185" t="str">
        <f>_xlfn.IFNA(VLOOKUP($AH422,Programma!$F$3:$O$1101,10,0),"")</f>
        <v>5w</v>
      </c>
      <c r="AR422" s="185" t="str">
        <f>_xlfn.IFNA(VLOOKUP($AH422,Programma!$F$3:$P$1101,11,0),"")</f>
        <v>5w</v>
      </c>
      <c r="AS422" s="185" t="str">
        <f>_xlfn.IFNA(VLOOKUP($AH422,Programma!$F$3:$Q$1101,12,0),"")</f>
        <v>1w</v>
      </c>
      <c r="AT422" s="185" t="str">
        <f>_xlfn.IFNA(VLOOKUP($AH422,Programma!$F$3:$R$1101,13,0),"")</f>
        <v>1w</v>
      </c>
      <c r="AU422" s="185" t="str">
        <f>_xlfn.IFNA(VLOOKUP($AH422,Programma!$F$3:$S$1101,14,0),"")</f>
        <v>1m</v>
      </c>
      <c r="AV422" s="185" t="str">
        <f>_xlfn.IFNA(VLOOKUP($AH422,Programma!$F$3:$T$1101,15,0),"")</f>
        <v>2j</v>
      </c>
      <c r="AW422" s="185" t="str">
        <f>_xlfn.IFNA(VLOOKUP($AH422,Programma!$F$3:$U$1101,16,0),"")</f>
        <v>1j</v>
      </c>
      <c r="AX422" s="185" t="str">
        <f>_xlfn.IFNA(VLOOKUP($AH422,Programma!$F$3:$V$1101,17,0),"")</f>
        <v>_</v>
      </c>
      <c r="AY422" s="185" t="str">
        <f>_xlfn.IFNA(VLOOKUP($AH422,Programma!$F$3:$W$1101,18,0),"")</f>
        <v>_</v>
      </c>
      <c r="AZ422" s="185" t="str">
        <f>_xlfn.IFNA(VLOOKUP($AH422,Programma!$F$3:$X$1101,19,0),"")</f>
        <v>_</v>
      </c>
      <c r="BA422" s="185" t="str">
        <f>_xlfn.IFNA(VLOOKUP($AH422,Programma!$F$3:$Y$1101,20,0),"")</f>
        <v>_</v>
      </c>
      <c r="BB422" s="182"/>
      <c r="BC422" s="181" t="str">
        <f>IF(Ruimtestaat[[#This Row],[Frequentie weekend]]="","",_xlfn.CONCAT(Ruimtestaat[[#This Row],[Ruimte code]],"-",Ruimtestaat[[#This Row],[Frequentie weekend]]," ",Ruimtestaat[[#This Row],[Vloer code]]))</f>
        <v/>
      </c>
      <c r="BD422" s="185" t="str">
        <f>_xlfn.IFNA(VLOOKUP($BC422,Programma!$F$3:$G$1101,2,0),"")</f>
        <v/>
      </c>
      <c r="BE422" s="185" t="str">
        <f>_xlfn.IFNA(VLOOKUP($BC422,Programma!$F$3:$H$1101,3,0),"")</f>
        <v/>
      </c>
      <c r="BF422" s="185" t="str">
        <f>_xlfn.IFNA(VLOOKUP($BC422,Programma!$F$3:$I$1101,4,0),"")</f>
        <v/>
      </c>
      <c r="BG422" s="185" t="str">
        <f>_xlfn.IFNA(VLOOKUP($BC422,Programma!$F$3:$J$1101,5,0),"")</f>
        <v/>
      </c>
      <c r="BH422" s="185" t="str">
        <f>_xlfn.IFNA(VLOOKUP($BC422,Programma!$F$3:$K$1101,6,0),"")</f>
        <v/>
      </c>
      <c r="BI422" s="185" t="str">
        <f>_xlfn.IFNA(VLOOKUP($BC422,Programma!$F$3:$L$1101,7,0),"")</f>
        <v/>
      </c>
      <c r="BJ422" s="185" t="str">
        <f>_xlfn.IFNA(VLOOKUP($BC422,Programma!$F$3:$M$1101,8,0),"")</f>
        <v/>
      </c>
      <c r="BK422" s="185" t="str">
        <f>_xlfn.IFNA(VLOOKUP($BC422,Programma!$F$3:$N$1101,9,0),"")</f>
        <v/>
      </c>
      <c r="BL422" s="185" t="str">
        <f>_xlfn.IFNA(VLOOKUP($BC422,Programma!$F$3:$O$1101,10,0),"")</f>
        <v/>
      </c>
      <c r="BM422" s="185" t="str">
        <f>_xlfn.IFNA(VLOOKUP($BC422,Programma!$F$3:$P$1101,11,0),"")</f>
        <v/>
      </c>
      <c r="BN422" s="185" t="str">
        <f>_xlfn.IFNA(VLOOKUP($BC422,Programma!$F$3:$Q$1101,12,0),"")</f>
        <v/>
      </c>
      <c r="BO422" s="185" t="str">
        <f>_xlfn.IFNA(VLOOKUP($BC422,Programma!$F$3:$R$1101,13,0),"")</f>
        <v/>
      </c>
      <c r="BP422" s="185" t="str">
        <f>_xlfn.IFNA(VLOOKUP($BC422,Programma!$F$3:$S$1101,14,0),"")</f>
        <v/>
      </c>
      <c r="BQ422" s="185" t="str">
        <f>_xlfn.IFNA(VLOOKUP($BC422,Programma!$F$3:$T$1101,15,0),"")</f>
        <v/>
      </c>
      <c r="BR422" s="185" t="str">
        <f>_xlfn.IFNA(VLOOKUP($BC422,Programma!$F$3:$U$1101,16,0),"")</f>
        <v/>
      </c>
      <c r="BS422" s="185" t="str">
        <f>_xlfn.IFNA(VLOOKUP($BC422,Programma!$F$3:$V$1101,17,0),"")</f>
        <v/>
      </c>
      <c r="BT422" s="185" t="str">
        <f>_xlfn.IFNA(VLOOKUP($BC422,Programma!$F$3:$W$1101,18,0),"")</f>
        <v/>
      </c>
      <c r="BU422" s="185" t="str">
        <f>_xlfn.IFNA(VLOOKUP($BC422,Programma!$F$3:$X$1101,19,0),"")</f>
        <v/>
      </c>
      <c r="BV422" s="185" t="str">
        <f>_xlfn.IFNA(VLOOKUP($BC422,Programma!$F$3:$Y$1101,20,0),"")</f>
        <v/>
      </c>
    </row>
    <row r="423" spans="1:74" s="78" customFormat="1" ht="15" customHeight="1">
      <c r="A423" s="99">
        <v>13</v>
      </c>
      <c r="B423" s="176" t="str">
        <f>VLOOKUP(Ruimtestaat[[#This Row],[Code]],Locaties[[Code]:[Locatie]],2,FALSE)</f>
        <v>OMBS Het Zeggelt (Meeuwen)</v>
      </c>
      <c r="C423" s="176" t="str">
        <f>VLOOKUP(Ruimtestaat[[#This Row],[Code]],Locaties[[#All],[Code]:[Adres]],4,FALSE)</f>
        <v>Meeuwenstraat 4</v>
      </c>
      <c r="D423" s="176" t="str">
        <f>VLOOKUP(Ruimtestaat[[#This Row],[Code]],Locaties[[#All],[Code]:[Postcode]],5,FALSE)</f>
        <v>7523 XV</v>
      </c>
      <c r="E423" s="176" t="str">
        <f>VLOOKUP(Ruimtestaat[[#This Row],[Code]],Locaties[#All],6,FALSE)</f>
        <v>Enschede</v>
      </c>
      <c r="F423" s="183"/>
      <c r="G423" s="99" t="s">
        <v>1646</v>
      </c>
      <c r="H423" s="99" t="s">
        <v>1648</v>
      </c>
      <c r="I423" s="183" t="s">
        <v>1649</v>
      </c>
      <c r="J423" s="99">
        <v>2</v>
      </c>
      <c r="K423" s="183" t="str">
        <f>VLOOKUP(Ruimtestaat[[#This Row],[Ruimte code]],Ruimtegroepen[[#All],[Code]:[Ruimte omschrijving]],2,FALSE)</f>
        <v>Kantoren</v>
      </c>
      <c r="L423" s="99" t="s">
        <v>99</v>
      </c>
      <c r="M423" s="99" t="s">
        <v>36</v>
      </c>
      <c r="N423" s="177">
        <v>15.2</v>
      </c>
      <c r="O423" s="177"/>
      <c r="P423" s="178" t="str">
        <f>VLOOKUP(Ruimtestaat[[#This Row],[Ruimte code]],Ruimtegroepen[],4,FALSE)</f>
        <v>Bu</v>
      </c>
      <c r="Q423" s="149">
        <v>40</v>
      </c>
      <c r="R423" s="149" t="s">
        <v>18</v>
      </c>
      <c r="S423" s="149">
        <f>IF(Q423&gt;0,IF(RIGHT(Ruimtestaat[[#This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23" s="149">
        <f>IF(S423&gt;0,VLOOKUP($J423,Ruimtegroepen[],3,FALSE)*VLOOKUP($L423,Vloersoorten[],3,FALSE)*VLOOKUP($R423,Frequenties[],3,FALSE)*VLOOKUP($A423,Locaties[],3,FALSE),0)</f>
        <v>0</v>
      </c>
      <c r="U423" s="149">
        <f>Ruimtestaat[[#This Row],[Uitvoeringen werkdagen]]*Ruimtestaat[[#This Row],[Oppervlak (netto)]]</f>
        <v>1824</v>
      </c>
      <c r="V423" s="179">
        <f>IF(T423&gt;0,Ruimtestaat[[#This Row],[Prest. (m2 /jaar) werkdagen]]/Ruimtestaat[[#This Row],[Norm (m2/uur) werkdagen]],0)</f>
        <v>0</v>
      </c>
      <c r="W423" s="180">
        <f>Ruimtestaat[[#This Row],[uren / jaar werkdagen]]*Tariefsopbouw!$E$35</f>
        <v>0</v>
      </c>
      <c r="X423" s="149"/>
      <c r="Y423" s="149">
        <f>IF(Ruimtestaat[[#This Row],[Frequentie weekend]]&gt;0,VALUE(LEFT(X423,1))*Q423,0)</f>
        <v>0</v>
      </c>
      <c r="Z423" s="148">
        <f>IF($Y423&gt;0,VLOOKUP($J423,Ruimtegroepen[],3,FALSE)*VLOOKUP($L423,Vloersoorten[],3,FALSE)*VLOOKUP($X423,Frequenties[],3,FALSE)*VLOOKUP(Ruimtestaat[[#This Row],[Code]],Locaties[],3,FALSE),0)</f>
        <v>0</v>
      </c>
      <c r="AA423" s="148">
        <f>Ruimtestaat[[#This Row],[Uitvoeringen weekend]]*Ruimtestaat[[#This Row],[Oppervlak (netto)]]</f>
        <v>0</v>
      </c>
      <c r="AB423" s="148">
        <f>IF(Z423&gt;0,Ruimtestaat[[#This Row],[Prest. (m2 /jaar) weekend]]/Ruimtestaat[[#This Row],[Norm (m2/uur) weekend]],0)</f>
        <v>0</v>
      </c>
      <c r="AC423" s="180">
        <f>Ruimtestaat[[#This Row],[uren / jaar weekend]]*Tariefsopbouw!$D$40</f>
        <v>0</v>
      </c>
      <c r="AD423" s="179">
        <f>Ruimtestaat[[#This Row],[Prest. (m2 /jaar) weekend]]+Ruimtestaat[[#This Row],[Prest. (m2 /jaar) werkdagen]]</f>
        <v>1824</v>
      </c>
      <c r="AE423" s="179">
        <f>Ruimtestaat[[#This Row],[uren / jaar weekend]]+Ruimtestaat[[#This Row],[uren / jaar werkdagen]]</f>
        <v>0</v>
      </c>
      <c r="AF423" s="174">
        <f>Ruimtestaat[[#This Row],[kosten / jaar weekend]]+Ruimtestaat[[#This Row],[kosten / jaar werkdagen]]</f>
        <v>0</v>
      </c>
      <c r="AG423" s="174"/>
      <c r="AH423" s="181" t="str">
        <f>IF(Ruimtestaat[[#This Row],[Frequentie werkdagen]]="","",_xlfn.CONCAT(Ruimtestaat[[#This Row],[Ruimte code]],"-",Ruimtestaat[[#This Row],[Frequentie werkdagen]]," ",Ruimtestaat[[#This Row],[Vloer code]]))</f>
        <v>2-3w T</v>
      </c>
      <c r="AI423" s="185" t="str">
        <f>_xlfn.IFNA(VLOOKUP($AH423,Programma!$F$3:$G$1101,2,0),"")</f>
        <v>2w</v>
      </c>
      <c r="AJ423" s="185" t="str">
        <f>_xlfn.IFNA(VLOOKUP($AH423,Programma!$F$3:$H$1101,3,0),"")</f>
        <v>1w</v>
      </c>
      <c r="AK423" s="185" t="str">
        <f>_xlfn.IFNA(VLOOKUP($AH423,Programma!$F$3:$I$1101,4,0),"")</f>
        <v>_</v>
      </c>
      <c r="AL423" s="185" t="str">
        <f>_xlfn.IFNA(VLOOKUP($AH423,Programma!$F$3:$J$1101,5,0),"")</f>
        <v>_</v>
      </c>
      <c r="AM423" s="185" t="str">
        <f>_xlfn.IFNA(VLOOKUP($AH423,Programma!$F$3:$K$1101,6,0),"")</f>
        <v>_</v>
      </c>
      <c r="AN423" s="185" t="str">
        <f>_xlfn.IFNA(VLOOKUP($AH423,Programma!$F$3:$L$1101,7,0),"")</f>
        <v>_</v>
      </c>
      <c r="AO423" s="185" t="str">
        <f>_xlfn.IFNA(VLOOKUP($AH423,Programma!$F$3:$M$1101,8,0),"")</f>
        <v>_</v>
      </c>
      <c r="AP423" s="185" t="str">
        <f>_xlfn.IFNA(VLOOKUP($AH423,Programma!$F$3:$N$1101,9,0),"")</f>
        <v>_</v>
      </c>
      <c r="AQ423" s="185" t="str">
        <f>_xlfn.IFNA(VLOOKUP($AH423,Programma!$F$3:$O$1101,10,0),"")</f>
        <v>3w</v>
      </c>
      <c r="AR423" s="185" t="str">
        <f>_xlfn.IFNA(VLOOKUP($AH423,Programma!$F$3:$P$1101,11,0),"")</f>
        <v>3w</v>
      </c>
      <c r="AS423" s="185" t="str">
        <f>_xlfn.IFNA(VLOOKUP($AH423,Programma!$F$3:$Q$1101,12,0),"")</f>
        <v>1w</v>
      </c>
      <c r="AT423" s="185" t="str">
        <f>_xlfn.IFNA(VLOOKUP($AH423,Programma!$F$3:$R$1101,13,0),"")</f>
        <v>1w</v>
      </c>
      <c r="AU423" s="185" t="str">
        <f>_xlfn.IFNA(VLOOKUP($AH423,Programma!$F$3:$S$1101,14,0),"")</f>
        <v>1m</v>
      </c>
      <c r="AV423" s="185" t="str">
        <f>_xlfn.IFNA(VLOOKUP($AH423,Programma!$F$3:$T$1101,15,0),"")</f>
        <v>2j</v>
      </c>
      <c r="AW423" s="185" t="str">
        <f>_xlfn.IFNA(VLOOKUP($AH423,Programma!$F$3:$U$1101,16,0),"")</f>
        <v>1j</v>
      </c>
      <c r="AX423" s="185" t="str">
        <f>_xlfn.IFNA(VLOOKUP($AH423,Programma!$F$3:$V$1101,17,0),"")</f>
        <v>_</v>
      </c>
      <c r="AY423" s="185" t="str">
        <f>_xlfn.IFNA(VLOOKUP($AH423,Programma!$F$3:$W$1101,18,0),"")</f>
        <v>_</v>
      </c>
      <c r="AZ423" s="185" t="str">
        <f>_xlfn.IFNA(VLOOKUP($AH423,Programma!$F$3:$X$1101,19,0),"")</f>
        <v>_</v>
      </c>
      <c r="BA423" s="185" t="str">
        <f>_xlfn.IFNA(VLOOKUP($AH423,Programma!$F$3:$Y$1101,20,0),"")</f>
        <v>_</v>
      </c>
      <c r="BB423" s="182"/>
      <c r="BC423" s="181" t="str">
        <f>IF(Ruimtestaat[[#This Row],[Frequentie weekend]]="","",_xlfn.CONCAT(Ruimtestaat[[#This Row],[Ruimte code]],"-",Ruimtestaat[[#This Row],[Frequentie weekend]]," ",Ruimtestaat[[#This Row],[Vloer code]]))</f>
        <v/>
      </c>
      <c r="BD423" s="185" t="str">
        <f>_xlfn.IFNA(VLOOKUP($BC423,Programma!$F$3:$G$1101,2,0),"")</f>
        <v/>
      </c>
      <c r="BE423" s="185" t="str">
        <f>_xlfn.IFNA(VLOOKUP($BC423,Programma!$F$3:$H$1101,3,0),"")</f>
        <v/>
      </c>
      <c r="BF423" s="185" t="str">
        <f>_xlfn.IFNA(VLOOKUP($BC423,Programma!$F$3:$I$1101,4,0),"")</f>
        <v/>
      </c>
      <c r="BG423" s="185" t="str">
        <f>_xlfn.IFNA(VLOOKUP($BC423,Programma!$F$3:$J$1101,5,0),"")</f>
        <v/>
      </c>
      <c r="BH423" s="185" t="str">
        <f>_xlfn.IFNA(VLOOKUP($BC423,Programma!$F$3:$K$1101,6,0),"")</f>
        <v/>
      </c>
      <c r="BI423" s="185" t="str">
        <f>_xlfn.IFNA(VLOOKUP($BC423,Programma!$F$3:$L$1101,7,0),"")</f>
        <v/>
      </c>
      <c r="BJ423" s="185" t="str">
        <f>_xlfn.IFNA(VLOOKUP($BC423,Programma!$F$3:$M$1101,8,0),"")</f>
        <v/>
      </c>
      <c r="BK423" s="185" t="str">
        <f>_xlfn.IFNA(VLOOKUP($BC423,Programma!$F$3:$N$1101,9,0),"")</f>
        <v/>
      </c>
      <c r="BL423" s="185" t="str">
        <f>_xlfn.IFNA(VLOOKUP($BC423,Programma!$F$3:$O$1101,10,0),"")</f>
        <v/>
      </c>
      <c r="BM423" s="185" t="str">
        <f>_xlfn.IFNA(VLOOKUP($BC423,Programma!$F$3:$P$1101,11,0),"")</f>
        <v/>
      </c>
      <c r="BN423" s="185" t="str">
        <f>_xlfn.IFNA(VLOOKUP($BC423,Programma!$F$3:$Q$1101,12,0),"")</f>
        <v/>
      </c>
      <c r="BO423" s="185" t="str">
        <f>_xlfn.IFNA(VLOOKUP($BC423,Programma!$F$3:$R$1101,13,0),"")</f>
        <v/>
      </c>
      <c r="BP423" s="185" t="str">
        <f>_xlfn.IFNA(VLOOKUP($BC423,Programma!$F$3:$S$1101,14,0),"")</f>
        <v/>
      </c>
      <c r="BQ423" s="185" t="str">
        <f>_xlfn.IFNA(VLOOKUP($BC423,Programma!$F$3:$T$1101,15,0),"")</f>
        <v/>
      </c>
      <c r="BR423" s="185" t="str">
        <f>_xlfn.IFNA(VLOOKUP($BC423,Programma!$F$3:$U$1101,16,0),"")</f>
        <v/>
      </c>
      <c r="BS423" s="185" t="str">
        <f>_xlfn.IFNA(VLOOKUP($BC423,Programma!$F$3:$V$1101,17,0),"")</f>
        <v/>
      </c>
      <c r="BT423" s="185" t="str">
        <f>_xlfn.IFNA(VLOOKUP($BC423,Programma!$F$3:$W$1101,18,0),"")</f>
        <v/>
      </c>
      <c r="BU423" s="185" t="str">
        <f>_xlfn.IFNA(VLOOKUP($BC423,Programma!$F$3:$X$1101,19,0),"")</f>
        <v/>
      </c>
      <c r="BV423" s="185" t="str">
        <f>_xlfn.IFNA(VLOOKUP($BC423,Programma!$F$3:$Y$1101,20,0),"")</f>
        <v/>
      </c>
    </row>
    <row r="424" spans="1:74" s="78" customFormat="1" ht="15" customHeight="1">
      <c r="A424" s="99">
        <v>13</v>
      </c>
      <c r="B424" s="176" t="str">
        <f>VLOOKUP(Ruimtestaat[[#This Row],[Code]],Locaties[[Code]:[Locatie]],2,FALSE)</f>
        <v>OMBS Het Zeggelt (Meeuwen)</v>
      </c>
      <c r="C424" s="176" t="str">
        <f>VLOOKUP(Ruimtestaat[[#This Row],[Code]],Locaties[[#All],[Code]:[Adres]],4,FALSE)</f>
        <v>Meeuwenstraat 4</v>
      </c>
      <c r="D424" s="176" t="str">
        <f>VLOOKUP(Ruimtestaat[[#This Row],[Code]],Locaties[[#All],[Code]:[Postcode]],5,FALSE)</f>
        <v>7523 XV</v>
      </c>
      <c r="E424" s="176" t="str">
        <f>VLOOKUP(Ruimtestaat[[#This Row],[Code]],Locaties[#All],6,FALSE)</f>
        <v>Enschede</v>
      </c>
      <c r="F424" s="183"/>
      <c r="G424" s="99" t="s">
        <v>1646</v>
      </c>
      <c r="H424" s="99" t="s">
        <v>1650</v>
      </c>
      <c r="I424" s="183" t="s">
        <v>1798</v>
      </c>
      <c r="J424" s="99">
        <v>19</v>
      </c>
      <c r="K424" s="183" t="str">
        <f>VLOOKUP(Ruimtestaat[[#This Row],[Ruimte code]],Ruimtegroepen[[#All],[Code]:[Ruimte omschrijving]],2,FALSE)</f>
        <v>Kleedruimtes</v>
      </c>
      <c r="L424" s="99" t="s">
        <v>101</v>
      </c>
      <c r="M424" s="99" t="s">
        <v>1682</v>
      </c>
      <c r="N424" s="177">
        <v>15.1</v>
      </c>
      <c r="O424" s="177"/>
      <c r="P424" s="178" t="str">
        <f>VLOOKUP(Ruimtestaat[[#This Row],[Ruimte code]],Ruimtegroepen[],4,FALSE)</f>
        <v>Ve</v>
      </c>
      <c r="Q424" s="149">
        <v>40</v>
      </c>
      <c r="R424" s="149" t="s">
        <v>2</v>
      </c>
      <c r="S424" s="149">
        <f>IF(Q424&gt;0,IF(RIGHT(Ruimtestaat[[#This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4" s="149">
        <f>IF(S424&gt;0,VLOOKUP($J424,Ruimtegroepen[],3,FALSE)*VLOOKUP($L424,Vloersoorten[],3,FALSE)*VLOOKUP($R424,Frequenties[],3,FALSE)*VLOOKUP($A424,Locaties[],3,FALSE),0)</f>
        <v>0</v>
      </c>
      <c r="U424" s="149">
        <f>Ruimtestaat[[#This Row],[Uitvoeringen werkdagen]]*Ruimtestaat[[#This Row],[Oppervlak (netto)]]</f>
        <v>3020</v>
      </c>
      <c r="V424" s="179">
        <f>IF(T424&gt;0,Ruimtestaat[[#This Row],[Prest. (m2 /jaar) werkdagen]]/Ruimtestaat[[#This Row],[Norm (m2/uur) werkdagen]],0)</f>
        <v>0</v>
      </c>
      <c r="W424" s="180">
        <f>Ruimtestaat[[#This Row],[uren / jaar werkdagen]]*Tariefsopbouw!$E$35</f>
        <v>0</v>
      </c>
      <c r="X424" s="149"/>
      <c r="Y424" s="149">
        <f>IF(Ruimtestaat[[#This Row],[Frequentie weekend]]&gt;0,VALUE(LEFT(X424,1))*Q424,0)</f>
        <v>0</v>
      </c>
      <c r="Z424" s="148">
        <f>IF($Y424&gt;0,VLOOKUP($J424,Ruimtegroepen[],3,FALSE)*VLOOKUP($L424,Vloersoorten[],3,FALSE)*VLOOKUP($X424,Frequenties[],3,FALSE)*VLOOKUP(Ruimtestaat[[#This Row],[Code]],Locaties[],3,FALSE),0)</f>
        <v>0</v>
      </c>
      <c r="AA424" s="148">
        <f>Ruimtestaat[[#This Row],[Uitvoeringen weekend]]*Ruimtestaat[[#This Row],[Oppervlak (netto)]]</f>
        <v>0</v>
      </c>
      <c r="AB424" s="148">
        <f>IF(Z424&gt;0,Ruimtestaat[[#This Row],[Prest. (m2 /jaar) weekend]]/Ruimtestaat[[#This Row],[Norm (m2/uur) weekend]],0)</f>
        <v>0</v>
      </c>
      <c r="AC424" s="180">
        <f>Ruimtestaat[[#This Row],[uren / jaar weekend]]*Tariefsopbouw!$D$40</f>
        <v>0</v>
      </c>
      <c r="AD424" s="179">
        <f>Ruimtestaat[[#This Row],[Prest. (m2 /jaar) weekend]]+Ruimtestaat[[#This Row],[Prest. (m2 /jaar) werkdagen]]</f>
        <v>3020</v>
      </c>
      <c r="AE424" s="179">
        <f>Ruimtestaat[[#This Row],[uren / jaar weekend]]+Ruimtestaat[[#This Row],[uren / jaar werkdagen]]</f>
        <v>0</v>
      </c>
      <c r="AF424" s="174">
        <f>Ruimtestaat[[#This Row],[kosten / jaar weekend]]+Ruimtestaat[[#This Row],[kosten / jaar werkdagen]]</f>
        <v>0</v>
      </c>
      <c r="AG424" s="174"/>
      <c r="AH424" s="181" t="str">
        <f>IF(Ruimtestaat[[#This Row],[Frequentie werkdagen]]="","",_xlfn.CONCAT(Ruimtestaat[[#This Row],[Ruimte code]],"-",Ruimtestaat[[#This Row],[Frequentie werkdagen]]," ",Ruimtestaat[[#This Row],[Vloer code]]))</f>
        <v>19-5w S</v>
      </c>
      <c r="AI424" s="185" t="str">
        <f>_xlfn.IFNA(VLOOKUP($AH424,Programma!$F$3:$G$1101,2,0),"")</f>
        <v>_</v>
      </c>
      <c r="AJ424" s="185" t="str">
        <f>_xlfn.IFNA(VLOOKUP($AH424,Programma!$F$3:$H$1101,3,0),"")</f>
        <v>_</v>
      </c>
      <c r="AK424" s="185" t="str">
        <f>_xlfn.IFNA(VLOOKUP($AH424,Programma!$F$3:$I$1101,4,0),"")</f>
        <v>5w</v>
      </c>
      <c r="AL424" s="185" t="str">
        <f>_xlfn.IFNA(VLOOKUP($AH424,Programma!$F$3:$J$1101,5,0),"")</f>
        <v>_</v>
      </c>
      <c r="AM424" s="185" t="str">
        <f>_xlfn.IFNA(VLOOKUP($AH424,Programma!$F$3:$K$1101,6,0),"")</f>
        <v>5w</v>
      </c>
      <c r="AN424" s="185" t="str">
        <f>_xlfn.IFNA(VLOOKUP($AH424,Programma!$F$3:$L$1101,7,0),"")</f>
        <v>_</v>
      </c>
      <c r="AO424" s="185" t="str">
        <f>_xlfn.IFNA(VLOOKUP($AH424,Programma!$F$3:$M$1101,8,0),"")</f>
        <v>_</v>
      </c>
      <c r="AP424" s="185" t="str">
        <f>_xlfn.IFNA(VLOOKUP($AH424,Programma!$F$3:$N$1101,9,0),"")</f>
        <v>_</v>
      </c>
      <c r="AQ424" s="185" t="str">
        <f>_xlfn.IFNA(VLOOKUP($AH424,Programma!$F$3:$O$1101,10,0),"")</f>
        <v>5w</v>
      </c>
      <c r="AR424" s="185" t="str">
        <f>_xlfn.IFNA(VLOOKUP($AH424,Programma!$F$3:$P$1101,11,0),"")</f>
        <v>5w</v>
      </c>
      <c r="AS424" s="185" t="str">
        <f>_xlfn.IFNA(VLOOKUP($AH424,Programma!$F$3:$Q$1101,12,0),"")</f>
        <v>1w</v>
      </c>
      <c r="AT424" s="185" t="str">
        <f>_xlfn.IFNA(VLOOKUP($AH424,Programma!$F$3:$R$1101,13,0),"")</f>
        <v>1w</v>
      </c>
      <c r="AU424" s="185" t="str">
        <f>_xlfn.IFNA(VLOOKUP($AH424,Programma!$F$3:$S$1101,14,0),"")</f>
        <v>1m</v>
      </c>
      <c r="AV424" s="185" t="str">
        <f>_xlfn.IFNA(VLOOKUP($AH424,Programma!$F$3:$T$1101,15,0),"")</f>
        <v>2j</v>
      </c>
      <c r="AW424" s="185" t="str">
        <f>_xlfn.IFNA(VLOOKUP($AH424,Programma!$F$3:$U$1101,16,0),"")</f>
        <v>1j</v>
      </c>
      <c r="AX424" s="185" t="str">
        <f>_xlfn.IFNA(VLOOKUP($AH424,Programma!$F$3:$V$1101,17,0),"")</f>
        <v>_</v>
      </c>
      <c r="AY424" s="185" t="str">
        <f>_xlfn.IFNA(VLOOKUP($AH424,Programma!$F$3:$W$1101,18,0),"")</f>
        <v>_</v>
      </c>
      <c r="AZ424" s="185" t="str">
        <f>_xlfn.IFNA(VLOOKUP($AH424,Programma!$F$3:$X$1101,19,0),"")</f>
        <v>_</v>
      </c>
      <c r="BA424" s="185" t="str">
        <f>_xlfn.IFNA(VLOOKUP($AH424,Programma!$F$3:$Y$1101,20,0),"")</f>
        <v>_</v>
      </c>
      <c r="BB424" s="182"/>
      <c r="BC424" s="181" t="str">
        <f>IF(Ruimtestaat[[#This Row],[Frequentie weekend]]="","",_xlfn.CONCAT(Ruimtestaat[[#This Row],[Ruimte code]],"-",Ruimtestaat[[#This Row],[Frequentie weekend]]," ",Ruimtestaat[[#This Row],[Vloer code]]))</f>
        <v/>
      </c>
      <c r="BD424" s="185" t="str">
        <f>_xlfn.IFNA(VLOOKUP($BC424,Programma!$F$3:$G$1101,2,0),"")</f>
        <v/>
      </c>
      <c r="BE424" s="185" t="str">
        <f>_xlfn.IFNA(VLOOKUP($BC424,Programma!$F$3:$H$1101,3,0),"")</f>
        <v/>
      </c>
      <c r="BF424" s="185" t="str">
        <f>_xlfn.IFNA(VLOOKUP($BC424,Programma!$F$3:$I$1101,4,0),"")</f>
        <v/>
      </c>
      <c r="BG424" s="185" t="str">
        <f>_xlfn.IFNA(VLOOKUP($BC424,Programma!$F$3:$J$1101,5,0),"")</f>
        <v/>
      </c>
      <c r="BH424" s="185" t="str">
        <f>_xlfn.IFNA(VLOOKUP($BC424,Programma!$F$3:$K$1101,6,0),"")</f>
        <v/>
      </c>
      <c r="BI424" s="185" t="str">
        <f>_xlfn.IFNA(VLOOKUP($BC424,Programma!$F$3:$L$1101,7,0),"")</f>
        <v/>
      </c>
      <c r="BJ424" s="185" t="str">
        <f>_xlfn.IFNA(VLOOKUP($BC424,Programma!$F$3:$M$1101,8,0),"")</f>
        <v/>
      </c>
      <c r="BK424" s="185" t="str">
        <f>_xlfn.IFNA(VLOOKUP($BC424,Programma!$F$3:$N$1101,9,0),"")</f>
        <v/>
      </c>
      <c r="BL424" s="185" t="str">
        <f>_xlfn.IFNA(VLOOKUP($BC424,Programma!$F$3:$O$1101,10,0),"")</f>
        <v/>
      </c>
      <c r="BM424" s="185" t="str">
        <f>_xlfn.IFNA(VLOOKUP($BC424,Programma!$F$3:$P$1101,11,0),"")</f>
        <v/>
      </c>
      <c r="BN424" s="185" t="str">
        <f>_xlfn.IFNA(VLOOKUP($BC424,Programma!$F$3:$Q$1101,12,0),"")</f>
        <v/>
      </c>
      <c r="BO424" s="185" t="str">
        <f>_xlfn.IFNA(VLOOKUP($BC424,Programma!$F$3:$R$1101,13,0),"")</f>
        <v/>
      </c>
      <c r="BP424" s="185" t="str">
        <f>_xlfn.IFNA(VLOOKUP($BC424,Programma!$F$3:$S$1101,14,0),"")</f>
        <v/>
      </c>
      <c r="BQ424" s="185" t="str">
        <f>_xlfn.IFNA(VLOOKUP($BC424,Programma!$F$3:$T$1101,15,0),"")</f>
        <v/>
      </c>
      <c r="BR424" s="185" t="str">
        <f>_xlfn.IFNA(VLOOKUP($BC424,Programma!$F$3:$U$1101,16,0),"")</f>
        <v/>
      </c>
      <c r="BS424" s="185" t="str">
        <f>_xlfn.IFNA(VLOOKUP($BC424,Programma!$F$3:$V$1101,17,0),"")</f>
        <v/>
      </c>
      <c r="BT424" s="185" t="str">
        <f>_xlfn.IFNA(VLOOKUP($BC424,Programma!$F$3:$W$1101,18,0),"")</f>
        <v/>
      </c>
      <c r="BU424" s="185" t="str">
        <f>_xlfn.IFNA(VLOOKUP($BC424,Programma!$F$3:$X$1101,19,0),"")</f>
        <v/>
      </c>
      <c r="BV424" s="185" t="str">
        <f>_xlfn.IFNA(VLOOKUP($BC424,Programma!$F$3:$Y$1101,20,0),"")</f>
        <v/>
      </c>
    </row>
    <row r="425" spans="1:74" s="78" customFormat="1" ht="15" customHeight="1">
      <c r="A425" s="99">
        <v>13</v>
      </c>
      <c r="B425" s="176" t="str">
        <f>VLOOKUP(Ruimtestaat[[#This Row],[Code]],Locaties[[Code]:[Locatie]],2,FALSE)</f>
        <v>OMBS Het Zeggelt (Meeuwen)</v>
      </c>
      <c r="C425" s="176" t="str">
        <f>VLOOKUP(Ruimtestaat[[#This Row],[Code]],Locaties[[#All],[Code]:[Adres]],4,FALSE)</f>
        <v>Meeuwenstraat 4</v>
      </c>
      <c r="D425" s="176" t="str">
        <f>VLOOKUP(Ruimtestaat[[#This Row],[Code]],Locaties[[#All],[Code]:[Postcode]],5,FALSE)</f>
        <v>7523 XV</v>
      </c>
      <c r="E425" s="176" t="str">
        <f>VLOOKUP(Ruimtestaat[[#This Row],[Code]],Locaties[#All],6,FALSE)</f>
        <v>Enschede</v>
      </c>
      <c r="F425" s="183"/>
      <c r="G425" s="99" t="s">
        <v>1646</v>
      </c>
      <c r="H425" s="99" t="s">
        <v>1653</v>
      </c>
      <c r="I425" s="183" t="s">
        <v>1798</v>
      </c>
      <c r="J425" s="99">
        <v>19</v>
      </c>
      <c r="K425" s="183" t="str">
        <f>VLOOKUP(Ruimtestaat[[#This Row],[Ruimte code]],Ruimtegroepen[[#All],[Code]:[Ruimte omschrijving]],2,FALSE)</f>
        <v>Kleedruimtes</v>
      </c>
      <c r="L425" s="99" t="s">
        <v>101</v>
      </c>
      <c r="M425" s="99" t="s">
        <v>1682</v>
      </c>
      <c r="N425" s="177">
        <v>18.100000000000001</v>
      </c>
      <c r="O425" s="177"/>
      <c r="P425" s="178" t="str">
        <f>VLOOKUP(Ruimtestaat[[#This Row],[Ruimte code]],Ruimtegroepen[],4,FALSE)</f>
        <v>Ve</v>
      </c>
      <c r="Q425" s="149">
        <v>40</v>
      </c>
      <c r="R425" s="149" t="s">
        <v>2</v>
      </c>
      <c r="S425" s="149">
        <f>IF(Q425&gt;0,IF(RIGHT(Ruimtestaat[[#This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5" s="149">
        <f>IF(S425&gt;0,VLOOKUP($J425,Ruimtegroepen[],3,FALSE)*VLOOKUP($L425,Vloersoorten[],3,FALSE)*VLOOKUP($R425,Frequenties[],3,FALSE)*VLOOKUP($A425,Locaties[],3,FALSE),0)</f>
        <v>0</v>
      </c>
      <c r="U425" s="149">
        <f>Ruimtestaat[[#This Row],[Uitvoeringen werkdagen]]*Ruimtestaat[[#This Row],[Oppervlak (netto)]]</f>
        <v>3620.0000000000005</v>
      </c>
      <c r="V425" s="179">
        <f>IF(T425&gt;0,Ruimtestaat[[#This Row],[Prest. (m2 /jaar) werkdagen]]/Ruimtestaat[[#This Row],[Norm (m2/uur) werkdagen]],0)</f>
        <v>0</v>
      </c>
      <c r="W425" s="180">
        <f>Ruimtestaat[[#This Row],[uren / jaar werkdagen]]*Tariefsopbouw!$E$35</f>
        <v>0</v>
      </c>
      <c r="X425" s="149"/>
      <c r="Y425" s="149">
        <f>IF(Ruimtestaat[[#This Row],[Frequentie weekend]]&gt;0,VALUE(LEFT(X425,1))*Q425,0)</f>
        <v>0</v>
      </c>
      <c r="Z425" s="148">
        <f>IF($Y425&gt;0,VLOOKUP($J425,Ruimtegroepen[],3,FALSE)*VLOOKUP($L425,Vloersoorten[],3,FALSE)*VLOOKUP($X425,Frequenties[],3,FALSE)*VLOOKUP(Ruimtestaat[[#This Row],[Code]],Locaties[],3,FALSE),0)</f>
        <v>0</v>
      </c>
      <c r="AA425" s="148">
        <f>Ruimtestaat[[#This Row],[Uitvoeringen weekend]]*Ruimtestaat[[#This Row],[Oppervlak (netto)]]</f>
        <v>0</v>
      </c>
      <c r="AB425" s="148">
        <f>IF(Z425&gt;0,Ruimtestaat[[#This Row],[Prest. (m2 /jaar) weekend]]/Ruimtestaat[[#This Row],[Norm (m2/uur) weekend]],0)</f>
        <v>0</v>
      </c>
      <c r="AC425" s="180">
        <f>Ruimtestaat[[#This Row],[uren / jaar weekend]]*Tariefsopbouw!$D$40</f>
        <v>0</v>
      </c>
      <c r="AD425" s="179">
        <f>Ruimtestaat[[#This Row],[Prest. (m2 /jaar) weekend]]+Ruimtestaat[[#This Row],[Prest. (m2 /jaar) werkdagen]]</f>
        <v>3620.0000000000005</v>
      </c>
      <c r="AE425" s="179">
        <f>Ruimtestaat[[#This Row],[uren / jaar weekend]]+Ruimtestaat[[#This Row],[uren / jaar werkdagen]]</f>
        <v>0</v>
      </c>
      <c r="AF425" s="174">
        <f>Ruimtestaat[[#This Row],[kosten / jaar weekend]]+Ruimtestaat[[#This Row],[kosten / jaar werkdagen]]</f>
        <v>0</v>
      </c>
      <c r="AG425" s="174"/>
      <c r="AH425" s="181" t="str">
        <f>IF(Ruimtestaat[[#This Row],[Frequentie werkdagen]]="","",_xlfn.CONCAT(Ruimtestaat[[#This Row],[Ruimte code]],"-",Ruimtestaat[[#This Row],[Frequentie werkdagen]]," ",Ruimtestaat[[#This Row],[Vloer code]]))</f>
        <v>19-5w S</v>
      </c>
      <c r="AI425" s="185" t="str">
        <f>_xlfn.IFNA(VLOOKUP($AH425,Programma!$F$3:$G$1101,2,0),"")</f>
        <v>_</v>
      </c>
      <c r="AJ425" s="185" t="str">
        <f>_xlfn.IFNA(VLOOKUP($AH425,Programma!$F$3:$H$1101,3,0),"")</f>
        <v>_</v>
      </c>
      <c r="AK425" s="185" t="str">
        <f>_xlfn.IFNA(VLOOKUP($AH425,Programma!$F$3:$I$1101,4,0),"")</f>
        <v>5w</v>
      </c>
      <c r="AL425" s="185" t="str">
        <f>_xlfn.IFNA(VLOOKUP($AH425,Programma!$F$3:$J$1101,5,0),"")</f>
        <v>_</v>
      </c>
      <c r="AM425" s="185" t="str">
        <f>_xlfn.IFNA(VLOOKUP($AH425,Programma!$F$3:$K$1101,6,0),"")</f>
        <v>5w</v>
      </c>
      <c r="AN425" s="185" t="str">
        <f>_xlfn.IFNA(VLOOKUP($AH425,Programma!$F$3:$L$1101,7,0),"")</f>
        <v>_</v>
      </c>
      <c r="AO425" s="185" t="str">
        <f>_xlfn.IFNA(VLOOKUP($AH425,Programma!$F$3:$M$1101,8,0),"")</f>
        <v>_</v>
      </c>
      <c r="AP425" s="185" t="str">
        <f>_xlfn.IFNA(VLOOKUP($AH425,Programma!$F$3:$N$1101,9,0),"")</f>
        <v>_</v>
      </c>
      <c r="AQ425" s="185" t="str">
        <f>_xlfn.IFNA(VLOOKUP($AH425,Programma!$F$3:$O$1101,10,0),"")</f>
        <v>5w</v>
      </c>
      <c r="AR425" s="185" t="str">
        <f>_xlfn.IFNA(VLOOKUP($AH425,Programma!$F$3:$P$1101,11,0),"")</f>
        <v>5w</v>
      </c>
      <c r="AS425" s="185" t="str">
        <f>_xlfn.IFNA(VLOOKUP($AH425,Programma!$F$3:$Q$1101,12,0),"")</f>
        <v>1w</v>
      </c>
      <c r="AT425" s="185" t="str">
        <f>_xlfn.IFNA(VLOOKUP($AH425,Programma!$F$3:$R$1101,13,0),"")</f>
        <v>1w</v>
      </c>
      <c r="AU425" s="185" t="str">
        <f>_xlfn.IFNA(VLOOKUP($AH425,Programma!$F$3:$S$1101,14,0),"")</f>
        <v>1m</v>
      </c>
      <c r="AV425" s="185" t="str">
        <f>_xlfn.IFNA(VLOOKUP($AH425,Programma!$F$3:$T$1101,15,0),"")</f>
        <v>2j</v>
      </c>
      <c r="AW425" s="185" t="str">
        <f>_xlfn.IFNA(VLOOKUP($AH425,Programma!$F$3:$U$1101,16,0),"")</f>
        <v>1j</v>
      </c>
      <c r="AX425" s="185" t="str">
        <f>_xlfn.IFNA(VLOOKUP($AH425,Programma!$F$3:$V$1101,17,0),"")</f>
        <v>_</v>
      </c>
      <c r="AY425" s="185" t="str">
        <f>_xlfn.IFNA(VLOOKUP($AH425,Programma!$F$3:$W$1101,18,0),"")</f>
        <v>_</v>
      </c>
      <c r="AZ425" s="185" t="str">
        <f>_xlfn.IFNA(VLOOKUP($AH425,Programma!$F$3:$X$1101,19,0),"")</f>
        <v>_</v>
      </c>
      <c r="BA425" s="185" t="str">
        <f>_xlfn.IFNA(VLOOKUP($AH425,Programma!$F$3:$Y$1101,20,0),"")</f>
        <v>_</v>
      </c>
      <c r="BB425" s="182"/>
      <c r="BC425" s="181" t="str">
        <f>IF(Ruimtestaat[[#This Row],[Frequentie weekend]]="","",_xlfn.CONCAT(Ruimtestaat[[#This Row],[Ruimte code]],"-",Ruimtestaat[[#This Row],[Frequentie weekend]]," ",Ruimtestaat[[#This Row],[Vloer code]]))</f>
        <v/>
      </c>
      <c r="BD425" s="185" t="str">
        <f>_xlfn.IFNA(VLOOKUP($BC425,Programma!$F$3:$G$1101,2,0),"")</f>
        <v/>
      </c>
      <c r="BE425" s="185" t="str">
        <f>_xlfn.IFNA(VLOOKUP($BC425,Programma!$F$3:$H$1101,3,0),"")</f>
        <v/>
      </c>
      <c r="BF425" s="185" t="str">
        <f>_xlfn.IFNA(VLOOKUP($BC425,Programma!$F$3:$I$1101,4,0),"")</f>
        <v/>
      </c>
      <c r="BG425" s="185" t="str">
        <f>_xlfn.IFNA(VLOOKUP($BC425,Programma!$F$3:$J$1101,5,0),"")</f>
        <v/>
      </c>
      <c r="BH425" s="185" t="str">
        <f>_xlfn.IFNA(VLOOKUP($BC425,Programma!$F$3:$K$1101,6,0),"")</f>
        <v/>
      </c>
      <c r="BI425" s="185" t="str">
        <f>_xlfn.IFNA(VLOOKUP($BC425,Programma!$F$3:$L$1101,7,0),"")</f>
        <v/>
      </c>
      <c r="BJ425" s="185" t="str">
        <f>_xlfn.IFNA(VLOOKUP($BC425,Programma!$F$3:$M$1101,8,0),"")</f>
        <v/>
      </c>
      <c r="BK425" s="185" t="str">
        <f>_xlfn.IFNA(VLOOKUP($BC425,Programma!$F$3:$N$1101,9,0),"")</f>
        <v/>
      </c>
      <c r="BL425" s="185" t="str">
        <f>_xlfn.IFNA(VLOOKUP($BC425,Programma!$F$3:$O$1101,10,0),"")</f>
        <v/>
      </c>
      <c r="BM425" s="185" t="str">
        <f>_xlfn.IFNA(VLOOKUP($BC425,Programma!$F$3:$P$1101,11,0),"")</f>
        <v/>
      </c>
      <c r="BN425" s="185" t="str">
        <f>_xlfn.IFNA(VLOOKUP($BC425,Programma!$F$3:$Q$1101,12,0),"")</f>
        <v/>
      </c>
      <c r="BO425" s="185" t="str">
        <f>_xlfn.IFNA(VLOOKUP($BC425,Programma!$F$3:$R$1101,13,0),"")</f>
        <v/>
      </c>
      <c r="BP425" s="185" t="str">
        <f>_xlfn.IFNA(VLOOKUP($BC425,Programma!$F$3:$S$1101,14,0),"")</f>
        <v/>
      </c>
      <c r="BQ425" s="185" t="str">
        <f>_xlfn.IFNA(VLOOKUP($BC425,Programma!$F$3:$T$1101,15,0),"")</f>
        <v/>
      </c>
      <c r="BR425" s="185" t="str">
        <f>_xlfn.IFNA(VLOOKUP($BC425,Programma!$F$3:$U$1101,16,0),"")</f>
        <v/>
      </c>
      <c r="BS425" s="185" t="str">
        <f>_xlfn.IFNA(VLOOKUP($BC425,Programma!$F$3:$V$1101,17,0),"")</f>
        <v/>
      </c>
      <c r="BT425" s="185" t="str">
        <f>_xlfn.IFNA(VLOOKUP($BC425,Programma!$F$3:$W$1101,18,0),"")</f>
        <v/>
      </c>
      <c r="BU425" s="185" t="str">
        <f>_xlfn.IFNA(VLOOKUP($BC425,Programma!$F$3:$X$1101,19,0),"")</f>
        <v/>
      </c>
      <c r="BV425" s="185" t="str">
        <f>_xlfn.IFNA(VLOOKUP($BC425,Programma!$F$3:$Y$1101,20,0),"")</f>
        <v/>
      </c>
    </row>
    <row r="426" spans="1:74" s="78" customFormat="1" ht="15" customHeight="1">
      <c r="A426" s="99">
        <v>13</v>
      </c>
      <c r="B426" s="176" t="str">
        <f>VLOOKUP(Ruimtestaat[[#This Row],[Code]],Locaties[[Code]:[Locatie]],2,FALSE)</f>
        <v>OMBS Het Zeggelt (Meeuwen)</v>
      </c>
      <c r="C426" s="176" t="str">
        <f>VLOOKUP(Ruimtestaat[[#This Row],[Code]],Locaties[[#All],[Code]:[Adres]],4,FALSE)</f>
        <v>Meeuwenstraat 4</v>
      </c>
      <c r="D426" s="176" t="str">
        <f>VLOOKUP(Ruimtestaat[[#This Row],[Code]],Locaties[[#All],[Code]:[Postcode]],5,FALSE)</f>
        <v>7523 XV</v>
      </c>
      <c r="E426" s="176" t="str">
        <f>VLOOKUP(Ruimtestaat[[#This Row],[Code]],Locaties[#All],6,FALSE)</f>
        <v>Enschede</v>
      </c>
      <c r="F426" s="183"/>
      <c r="G426" s="99" t="s">
        <v>1646</v>
      </c>
      <c r="H426" s="99" t="s">
        <v>1654</v>
      </c>
      <c r="I426" s="183" t="s">
        <v>1655</v>
      </c>
      <c r="J426" s="99">
        <v>5</v>
      </c>
      <c r="K426" s="183" t="str">
        <f>VLOOKUP(Ruimtestaat[[#This Row],[Ruimte code]],Ruimtegroepen[[#All],[Code]:[Ruimte omschrijving]],2,FALSE)</f>
        <v>Sanitair</v>
      </c>
      <c r="L426" s="99" t="s">
        <v>101</v>
      </c>
      <c r="M426" s="99" t="s">
        <v>1682</v>
      </c>
      <c r="N426" s="177">
        <v>1.2</v>
      </c>
      <c r="O426" s="177"/>
      <c r="P426" s="178" t="str">
        <f>VLOOKUP(Ruimtestaat[[#This Row],[Ruimte code]],Ruimtegroepen[],4,FALSE)</f>
        <v>Sa</v>
      </c>
      <c r="Q426" s="149">
        <v>40</v>
      </c>
      <c r="R426" s="149" t="s">
        <v>2</v>
      </c>
      <c r="S426" s="149">
        <f>IF(Q426&gt;0,IF(RIGHT(Ruimtestaat[[#This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6" s="149">
        <f>IF(S426&gt;0,VLOOKUP($J426,Ruimtegroepen[],3,FALSE)*VLOOKUP($L426,Vloersoorten[],3,FALSE)*VLOOKUP($R426,Frequenties[],3,FALSE)*VLOOKUP($A426,Locaties[],3,FALSE),0)</f>
        <v>0</v>
      </c>
      <c r="U426" s="149">
        <f>Ruimtestaat[[#This Row],[Uitvoeringen werkdagen]]*Ruimtestaat[[#This Row],[Oppervlak (netto)]]</f>
        <v>240</v>
      </c>
      <c r="V426" s="179">
        <f>IF(T426&gt;0,Ruimtestaat[[#This Row],[Prest. (m2 /jaar) werkdagen]]/Ruimtestaat[[#This Row],[Norm (m2/uur) werkdagen]],0)</f>
        <v>0</v>
      </c>
      <c r="W426" s="180">
        <f>Ruimtestaat[[#This Row],[uren / jaar werkdagen]]*Tariefsopbouw!$E$35</f>
        <v>0</v>
      </c>
      <c r="X426" s="149"/>
      <c r="Y426" s="149">
        <f>IF(Ruimtestaat[[#This Row],[Frequentie weekend]]&gt;0,VALUE(LEFT(X426,1))*Q426,0)</f>
        <v>0</v>
      </c>
      <c r="Z426" s="148">
        <f>IF($Y426&gt;0,VLOOKUP($J426,Ruimtegroepen[],3,FALSE)*VLOOKUP($L426,Vloersoorten[],3,FALSE)*VLOOKUP($X426,Frequenties[],3,FALSE)*VLOOKUP(Ruimtestaat[[#This Row],[Code]],Locaties[],3,FALSE),0)</f>
        <v>0</v>
      </c>
      <c r="AA426" s="148">
        <f>Ruimtestaat[[#This Row],[Uitvoeringen weekend]]*Ruimtestaat[[#This Row],[Oppervlak (netto)]]</f>
        <v>0</v>
      </c>
      <c r="AB426" s="148">
        <f>IF(Z426&gt;0,Ruimtestaat[[#This Row],[Prest. (m2 /jaar) weekend]]/Ruimtestaat[[#This Row],[Norm (m2/uur) weekend]],0)</f>
        <v>0</v>
      </c>
      <c r="AC426" s="180">
        <f>Ruimtestaat[[#This Row],[uren / jaar weekend]]*Tariefsopbouw!$D$40</f>
        <v>0</v>
      </c>
      <c r="AD426" s="179">
        <f>Ruimtestaat[[#This Row],[Prest. (m2 /jaar) weekend]]+Ruimtestaat[[#This Row],[Prest. (m2 /jaar) werkdagen]]</f>
        <v>240</v>
      </c>
      <c r="AE426" s="179">
        <f>Ruimtestaat[[#This Row],[uren / jaar weekend]]+Ruimtestaat[[#This Row],[uren / jaar werkdagen]]</f>
        <v>0</v>
      </c>
      <c r="AF426" s="174">
        <f>Ruimtestaat[[#This Row],[kosten / jaar weekend]]+Ruimtestaat[[#This Row],[kosten / jaar werkdagen]]</f>
        <v>0</v>
      </c>
      <c r="AG426" s="174"/>
      <c r="AH426" s="181" t="str">
        <f>IF(Ruimtestaat[[#This Row],[Frequentie werkdagen]]="","",_xlfn.CONCAT(Ruimtestaat[[#This Row],[Ruimte code]],"-",Ruimtestaat[[#This Row],[Frequentie werkdagen]]," ",Ruimtestaat[[#This Row],[Vloer code]]))</f>
        <v>5-5w S</v>
      </c>
      <c r="AI426" s="185" t="str">
        <f>_xlfn.IFNA(VLOOKUP($AH426,Programma!$F$3:$G$1101,2,0),"")</f>
        <v>_</v>
      </c>
      <c r="AJ426" s="185" t="str">
        <f>_xlfn.IFNA(VLOOKUP($AH426,Programma!$F$3:$H$1101,3,0),"")</f>
        <v>_</v>
      </c>
      <c r="AK426" s="185" t="str">
        <f>_xlfn.IFNA(VLOOKUP($AH426,Programma!$F$3:$I$1101,4,0),"")</f>
        <v>_</v>
      </c>
      <c r="AL426" s="185" t="str">
        <f>_xlfn.IFNA(VLOOKUP($AH426,Programma!$F$3:$J$1101,5,0),"")</f>
        <v>4w</v>
      </c>
      <c r="AM426" s="185" t="str">
        <f>_xlfn.IFNA(VLOOKUP($AH426,Programma!$F$3:$K$1101,6,0),"")</f>
        <v>1w</v>
      </c>
      <c r="AN426" s="185" t="str">
        <f>_xlfn.IFNA(VLOOKUP($AH426,Programma!$F$3:$L$1101,7,0),"")</f>
        <v>_</v>
      </c>
      <c r="AO426" s="185" t="str">
        <f>_xlfn.IFNA(VLOOKUP($AH426,Programma!$F$3:$M$1101,8,0),"")</f>
        <v>_</v>
      </c>
      <c r="AP426" s="185" t="str">
        <f>_xlfn.IFNA(VLOOKUP($AH426,Programma!$F$3:$N$1101,9,0),"")</f>
        <v>_</v>
      </c>
      <c r="AQ426" s="185" t="str">
        <f>_xlfn.IFNA(VLOOKUP($AH426,Programma!$F$3:$O$1101,10,0),"")</f>
        <v>_</v>
      </c>
      <c r="AR426" s="185" t="str">
        <f>_xlfn.IFNA(VLOOKUP($AH426,Programma!$F$3:$P$1101,11,0),"")</f>
        <v>_</v>
      </c>
      <c r="AS426" s="185" t="str">
        <f>_xlfn.IFNA(VLOOKUP($AH426,Programma!$F$3:$Q$1101,12,0),"")</f>
        <v>_</v>
      </c>
      <c r="AT426" s="185" t="str">
        <f>_xlfn.IFNA(VLOOKUP($AH426,Programma!$F$3:$R$1101,13,0),"")</f>
        <v>_</v>
      </c>
      <c r="AU426" s="185" t="str">
        <f>_xlfn.IFNA(VLOOKUP($AH426,Programma!$F$3:$S$1101,14,0),"")</f>
        <v>_</v>
      </c>
      <c r="AV426" s="185" t="str">
        <f>_xlfn.IFNA(VLOOKUP($AH426,Programma!$F$3:$T$1101,15,0),"")</f>
        <v>_</v>
      </c>
      <c r="AW426" s="185" t="str">
        <f>_xlfn.IFNA(VLOOKUP($AH426,Programma!$F$3:$U$1101,16,0),"")</f>
        <v>_</v>
      </c>
      <c r="AX426" s="185" t="str">
        <f>_xlfn.IFNA(VLOOKUP($AH426,Programma!$F$3:$V$1101,17,0),"")</f>
        <v>_</v>
      </c>
      <c r="AY426" s="185" t="str">
        <f>_xlfn.IFNA(VLOOKUP($AH426,Programma!$F$3:$W$1101,18,0),"")</f>
        <v>4w</v>
      </c>
      <c r="AZ426" s="185" t="str">
        <f>_xlfn.IFNA(VLOOKUP($AH426,Programma!$F$3:$X$1101,19,0),"")</f>
        <v>1w</v>
      </c>
      <c r="BA426" s="185" t="str">
        <f>_xlfn.IFNA(VLOOKUP($AH426,Programma!$F$3:$Y$1101,20,0),"")</f>
        <v>_</v>
      </c>
      <c r="BB426" s="182"/>
      <c r="BC426" s="181" t="str">
        <f>IF(Ruimtestaat[[#This Row],[Frequentie weekend]]="","",_xlfn.CONCAT(Ruimtestaat[[#This Row],[Ruimte code]],"-",Ruimtestaat[[#This Row],[Frequentie weekend]]," ",Ruimtestaat[[#This Row],[Vloer code]]))</f>
        <v/>
      </c>
      <c r="BD426" s="185" t="str">
        <f>_xlfn.IFNA(VLOOKUP($BC426,Programma!$F$3:$G$1101,2,0),"")</f>
        <v/>
      </c>
      <c r="BE426" s="185" t="str">
        <f>_xlfn.IFNA(VLOOKUP($BC426,Programma!$F$3:$H$1101,3,0),"")</f>
        <v/>
      </c>
      <c r="BF426" s="185" t="str">
        <f>_xlfn.IFNA(VLOOKUP($BC426,Programma!$F$3:$I$1101,4,0),"")</f>
        <v/>
      </c>
      <c r="BG426" s="185" t="str">
        <f>_xlfn.IFNA(VLOOKUP($BC426,Programma!$F$3:$J$1101,5,0),"")</f>
        <v/>
      </c>
      <c r="BH426" s="185" t="str">
        <f>_xlfn.IFNA(VLOOKUP($BC426,Programma!$F$3:$K$1101,6,0),"")</f>
        <v/>
      </c>
      <c r="BI426" s="185" t="str">
        <f>_xlfn.IFNA(VLOOKUP($BC426,Programma!$F$3:$L$1101,7,0),"")</f>
        <v/>
      </c>
      <c r="BJ426" s="185" t="str">
        <f>_xlfn.IFNA(VLOOKUP($BC426,Programma!$F$3:$M$1101,8,0),"")</f>
        <v/>
      </c>
      <c r="BK426" s="185" t="str">
        <f>_xlfn.IFNA(VLOOKUP($BC426,Programma!$F$3:$N$1101,9,0),"")</f>
        <v/>
      </c>
      <c r="BL426" s="185" t="str">
        <f>_xlfn.IFNA(VLOOKUP($BC426,Programma!$F$3:$O$1101,10,0),"")</f>
        <v/>
      </c>
      <c r="BM426" s="185" t="str">
        <f>_xlfn.IFNA(VLOOKUP($BC426,Programma!$F$3:$P$1101,11,0),"")</f>
        <v/>
      </c>
      <c r="BN426" s="185" t="str">
        <f>_xlfn.IFNA(VLOOKUP($BC426,Programma!$F$3:$Q$1101,12,0),"")</f>
        <v/>
      </c>
      <c r="BO426" s="185" t="str">
        <f>_xlfn.IFNA(VLOOKUP($BC426,Programma!$F$3:$R$1101,13,0),"")</f>
        <v/>
      </c>
      <c r="BP426" s="185" t="str">
        <f>_xlfn.IFNA(VLOOKUP($BC426,Programma!$F$3:$S$1101,14,0),"")</f>
        <v/>
      </c>
      <c r="BQ426" s="185" t="str">
        <f>_xlfn.IFNA(VLOOKUP($BC426,Programma!$F$3:$T$1101,15,0),"")</f>
        <v/>
      </c>
      <c r="BR426" s="185" t="str">
        <f>_xlfn.IFNA(VLOOKUP($BC426,Programma!$F$3:$U$1101,16,0),"")</f>
        <v/>
      </c>
      <c r="BS426" s="185" t="str">
        <f>_xlfn.IFNA(VLOOKUP($BC426,Programma!$F$3:$V$1101,17,0),"")</f>
        <v/>
      </c>
      <c r="BT426" s="185" t="str">
        <f>_xlfn.IFNA(VLOOKUP($BC426,Programma!$F$3:$W$1101,18,0),"")</f>
        <v/>
      </c>
      <c r="BU426" s="185" t="str">
        <f>_xlfn.IFNA(VLOOKUP($BC426,Programma!$F$3:$X$1101,19,0),"")</f>
        <v/>
      </c>
      <c r="BV426" s="185" t="str">
        <f>_xlfn.IFNA(VLOOKUP($BC426,Programma!$F$3:$Y$1101,20,0),"")</f>
        <v/>
      </c>
    </row>
    <row r="427" spans="1:74" s="78" customFormat="1" ht="15" customHeight="1">
      <c r="A427" s="99">
        <v>13</v>
      </c>
      <c r="B427" s="176" t="str">
        <f>VLOOKUP(Ruimtestaat[[#This Row],[Code]],Locaties[[Code]:[Locatie]],2,FALSE)</f>
        <v>OMBS Het Zeggelt (Meeuwen)</v>
      </c>
      <c r="C427" s="176" t="str">
        <f>VLOOKUP(Ruimtestaat[[#This Row],[Code]],Locaties[[#All],[Code]:[Adres]],4,FALSE)</f>
        <v>Meeuwenstraat 4</v>
      </c>
      <c r="D427" s="176" t="str">
        <f>VLOOKUP(Ruimtestaat[[#This Row],[Code]],Locaties[[#All],[Code]:[Postcode]],5,FALSE)</f>
        <v>7523 XV</v>
      </c>
      <c r="E427" s="176" t="str">
        <f>VLOOKUP(Ruimtestaat[[#This Row],[Code]],Locaties[#All],6,FALSE)</f>
        <v>Enschede</v>
      </c>
      <c r="F427" s="183"/>
      <c r="G427" s="99" t="s">
        <v>1646</v>
      </c>
      <c r="H427" s="99" t="s">
        <v>1656</v>
      </c>
      <c r="I427" s="183" t="s">
        <v>1658</v>
      </c>
      <c r="J427" s="99">
        <v>6</v>
      </c>
      <c r="K427" s="183" t="str">
        <f>VLOOKUP(Ruimtestaat[[#This Row],[Ruimte code]],Ruimtegroepen[[#All],[Code]:[Ruimte omschrijving]],2,FALSE)</f>
        <v>Gangen/hallen</v>
      </c>
      <c r="L427" s="99" t="s">
        <v>102</v>
      </c>
      <c r="M427" s="99" t="s">
        <v>120</v>
      </c>
      <c r="N427" s="177">
        <v>7.8</v>
      </c>
      <c r="O427" s="177"/>
      <c r="P427" s="178" t="str">
        <f>VLOOKUP(Ruimtestaat[[#This Row],[Ruimte code]],Ruimtegroepen[],4,FALSE)</f>
        <v>Ve</v>
      </c>
      <c r="Q427" s="149">
        <v>40</v>
      </c>
      <c r="R427" s="149" t="s">
        <v>2</v>
      </c>
      <c r="S427" s="149">
        <f>IF(Q427&gt;0,IF(RIGHT(Ruimtestaat[[#This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7" s="149">
        <f>IF(S427&gt;0,VLOOKUP($J427,Ruimtegroepen[],3,FALSE)*VLOOKUP($L427,Vloersoorten[],3,FALSE)*VLOOKUP($R427,Frequenties[],3,FALSE)*VLOOKUP($A427,Locaties[],3,FALSE),0)</f>
        <v>0</v>
      </c>
      <c r="U427" s="149">
        <f>Ruimtestaat[[#This Row],[Uitvoeringen werkdagen]]*Ruimtestaat[[#This Row],[Oppervlak (netto)]]</f>
        <v>1560</v>
      </c>
      <c r="V427" s="179">
        <f>IF(T427&gt;0,Ruimtestaat[[#This Row],[Prest. (m2 /jaar) werkdagen]]/Ruimtestaat[[#This Row],[Norm (m2/uur) werkdagen]],0)</f>
        <v>0</v>
      </c>
      <c r="W427" s="180">
        <f>Ruimtestaat[[#This Row],[uren / jaar werkdagen]]*Tariefsopbouw!$E$35</f>
        <v>0</v>
      </c>
      <c r="X427" s="149"/>
      <c r="Y427" s="149">
        <f>IF(Ruimtestaat[[#This Row],[Frequentie weekend]]&gt;0,VALUE(LEFT(X427,1))*Q427,0)</f>
        <v>0</v>
      </c>
      <c r="Z427" s="148">
        <f>IF($Y427&gt;0,VLOOKUP($J427,Ruimtegroepen[],3,FALSE)*VLOOKUP($L427,Vloersoorten[],3,FALSE)*VLOOKUP($X427,Frequenties[],3,FALSE)*VLOOKUP(Ruimtestaat[[#This Row],[Code]],Locaties[],3,FALSE),0)</f>
        <v>0</v>
      </c>
      <c r="AA427" s="148">
        <f>Ruimtestaat[[#This Row],[Uitvoeringen weekend]]*Ruimtestaat[[#This Row],[Oppervlak (netto)]]</f>
        <v>0</v>
      </c>
      <c r="AB427" s="148">
        <f>IF(Z427&gt;0,Ruimtestaat[[#This Row],[Prest. (m2 /jaar) weekend]]/Ruimtestaat[[#This Row],[Norm (m2/uur) weekend]],0)</f>
        <v>0</v>
      </c>
      <c r="AC427" s="180">
        <f>Ruimtestaat[[#This Row],[uren / jaar weekend]]*Tariefsopbouw!$D$40</f>
        <v>0</v>
      </c>
      <c r="AD427" s="179">
        <f>Ruimtestaat[[#This Row],[Prest. (m2 /jaar) weekend]]+Ruimtestaat[[#This Row],[Prest. (m2 /jaar) werkdagen]]</f>
        <v>1560</v>
      </c>
      <c r="AE427" s="179">
        <f>Ruimtestaat[[#This Row],[uren / jaar weekend]]+Ruimtestaat[[#This Row],[uren / jaar werkdagen]]</f>
        <v>0</v>
      </c>
      <c r="AF427" s="174">
        <f>Ruimtestaat[[#This Row],[kosten / jaar weekend]]+Ruimtestaat[[#This Row],[kosten / jaar werkdagen]]</f>
        <v>0</v>
      </c>
      <c r="AG427" s="174"/>
      <c r="AH427" s="181" t="str">
        <f>IF(Ruimtestaat[[#This Row],[Frequentie werkdagen]]="","",_xlfn.CONCAT(Ruimtestaat[[#This Row],[Ruimte code]],"-",Ruimtestaat[[#This Row],[Frequentie werkdagen]]," ",Ruimtestaat[[#This Row],[Vloer code]]))</f>
        <v>6-5w P</v>
      </c>
      <c r="AI427" s="185" t="str">
        <f>_xlfn.IFNA(VLOOKUP($AH427,Programma!$F$3:$G$1101,2,0),"")</f>
        <v>_</v>
      </c>
      <c r="AJ427" s="185" t="str">
        <f>_xlfn.IFNA(VLOOKUP($AH427,Programma!$F$3:$H$1101,3,0),"")</f>
        <v>_</v>
      </c>
      <c r="AK427" s="185" t="str">
        <f>_xlfn.IFNA(VLOOKUP($AH427,Programma!$F$3:$I$1101,4,0),"")</f>
        <v>5w</v>
      </c>
      <c r="AL427" s="185" t="str">
        <f>_xlfn.IFNA(VLOOKUP($AH427,Programma!$F$3:$J$1101,5,0),"")</f>
        <v>_</v>
      </c>
      <c r="AM427" s="185" t="str">
        <f>_xlfn.IFNA(VLOOKUP($AH427,Programma!$F$3:$K$1101,6,0),"")</f>
        <v>5w</v>
      </c>
      <c r="AN427" s="185" t="str">
        <f>_xlfn.IFNA(VLOOKUP($AH427,Programma!$F$3:$L$1101,7,0),"")</f>
        <v>_</v>
      </c>
      <c r="AO427" s="185" t="str">
        <f>_xlfn.IFNA(VLOOKUP($AH427,Programma!$F$3:$M$1101,8,0),"")</f>
        <v>_</v>
      </c>
      <c r="AP427" s="185" t="str">
        <f>_xlfn.IFNA(VLOOKUP($AH427,Programma!$F$3:$N$1101,9,0),"")</f>
        <v>_</v>
      </c>
      <c r="AQ427" s="185" t="str">
        <f>_xlfn.IFNA(VLOOKUP($AH427,Programma!$F$3:$O$1101,10,0),"")</f>
        <v>5w</v>
      </c>
      <c r="AR427" s="185" t="str">
        <f>_xlfn.IFNA(VLOOKUP($AH427,Programma!$F$3:$P$1101,11,0),"")</f>
        <v>5w</v>
      </c>
      <c r="AS427" s="185" t="str">
        <f>_xlfn.IFNA(VLOOKUP($AH427,Programma!$F$3:$Q$1101,12,0),"")</f>
        <v>1w</v>
      </c>
      <c r="AT427" s="185" t="str">
        <f>_xlfn.IFNA(VLOOKUP($AH427,Programma!$F$3:$R$1101,13,0),"")</f>
        <v>1w</v>
      </c>
      <c r="AU427" s="185" t="str">
        <f>_xlfn.IFNA(VLOOKUP($AH427,Programma!$F$3:$S$1101,14,0),"")</f>
        <v>1m</v>
      </c>
      <c r="AV427" s="185" t="str">
        <f>_xlfn.IFNA(VLOOKUP($AH427,Programma!$F$3:$T$1101,15,0),"")</f>
        <v>2j</v>
      </c>
      <c r="AW427" s="185" t="str">
        <f>_xlfn.IFNA(VLOOKUP($AH427,Programma!$F$3:$U$1101,16,0),"")</f>
        <v>1j</v>
      </c>
      <c r="AX427" s="185" t="str">
        <f>_xlfn.IFNA(VLOOKUP($AH427,Programma!$F$3:$V$1101,17,0),"")</f>
        <v>_</v>
      </c>
      <c r="AY427" s="185" t="str">
        <f>_xlfn.IFNA(VLOOKUP($AH427,Programma!$F$3:$W$1101,18,0),"")</f>
        <v>_</v>
      </c>
      <c r="AZ427" s="185" t="str">
        <f>_xlfn.IFNA(VLOOKUP($AH427,Programma!$F$3:$X$1101,19,0),"")</f>
        <v>_</v>
      </c>
      <c r="BA427" s="185" t="str">
        <f>_xlfn.IFNA(VLOOKUP($AH427,Programma!$F$3:$Y$1101,20,0),"")</f>
        <v>_</v>
      </c>
      <c r="BB427" s="182"/>
      <c r="BC427" s="181" t="str">
        <f>IF(Ruimtestaat[[#This Row],[Frequentie weekend]]="","",_xlfn.CONCAT(Ruimtestaat[[#This Row],[Ruimte code]],"-",Ruimtestaat[[#This Row],[Frequentie weekend]]," ",Ruimtestaat[[#This Row],[Vloer code]]))</f>
        <v/>
      </c>
      <c r="BD427" s="185" t="str">
        <f>_xlfn.IFNA(VLOOKUP($BC427,Programma!$F$3:$G$1101,2,0),"")</f>
        <v/>
      </c>
      <c r="BE427" s="185" t="str">
        <f>_xlfn.IFNA(VLOOKUP($BC427,Programma!$F$3:$H$1101,3,0),"")</f>
        <v/>
      </c>
      <c r="BF427" s="185" t="str">
        <f>_xlfn.IFNA(VLOOKUP($BC427,Programma!$F$3:$I$1101,4,0),"")</f>
        <v/>
      </c>
      <c r="BG427" s="185" t="str">
        <f>_xlfn.IFNA(VLOOKUP($BC427,Programma!$F$3:$J$1101,5,0),"")</f>
        <v/>
      </c>
      <c r="BH427" s="185" t="str">
        <f>_xlfn.IFNA(VLOOKUP($BC427,Programma!$F$3:$K$1101,6,0),"")</f>
        <v/>
      </c>
      <c r="BI427" s="185" t="str">
        <f>_xlfn.IFNA(VLOOKUP($BC427,Programma!$F$3:$L$1101,7,0),"")</f>
        <v/>
      </c>
      <c r="BJ427" s="185" t="str">
        <f>_xlfn.IFNA(VLOOKUP($BC427,Programma!$F$3:$M$1101,8,0),"")</f>
        <v/>
      </c>
      <c r="BK427" s="185" t="str">
        <f>_xlfn.IFNA(VLOOKUP($BC427,Programma!$F$3:$N$1101,9,0),"")</f>
        <v/>
      </c>
      <c r="BL427" s="185" t="str">
        <f>_xlfn.IFNA(VLOOKUP($BC427,Programma!$F$3:$O$1101,10,0),"")</f>
        <v/>
      </c>
      <c r="BM427" s="185" t="str">
        <f>_xlfn.IFNA(VLOOKUP($BC427,Programma!$F$3:$P$1101,11,0),"")</f>
        <v/>
      </c>
      <c r="BN427" s="185" t="str">
        <f>_xlfn.IFNA(VLOOKUP($BC427,Programma!$F$3:$Q$1101,12,0),"")</f>
        <v/>
      </c>
      <c r="BO427" s="185" t="str">
        <f>_xlfn.IFNA(VLOOKUP($BC427,Programma!$F$3:$R$1101,13,0),"")</f>
        <v/>
      </c>
      <c r="BP427" s="185" t="str">
        <f>_xlfn.IFNA(VLOOKUP($BC427,Programma!$F$3:$S$1101,14,0),"")</f>
        <v/>
      </c>
      <c r="BQ427" s="185" t="str">
        <f>_xlfn.IFNA(VLOOKUP($BC427,Programma!$F$3:$T$1101,15,0),"")</f>
        <v/>
      </c>
      <c r="BR427" s="185" t="str">
        <f>_xlfn.IFNA(VLOOKUP($BC427,Programma!$F$3:$U$1101,16,0),"")</f>
        <v/>
      </c>
      <c r="BS427" s="185" t="str">
        <f>_xlfn.IFNA(VLOOKUP($BC427,Programma!$F$3:$V$1101,17,0),"")</f>
        <v/>
      </c>
      <c r="BT427" s="185" t="str">
        <f>_xlfn.IFNA(VLOOKUP($BC427,Programma!$F$3:$W$1101,18,0),"")</f>
        <v/>
      </c>
      <c r="BU427" s="185" t="str">
        <f>_xlfn.IFNA(VLOOKUP($BC427,Programma!$F$3:$X$1101,19,0),"")</f>
        <v/>
      </c>
      <c r="BV427" s="185" t="str">
        <f>_xlfn.IFNA(VLOOKUP($BC427,Programma!$F$3:$Y$1101,20,0),"")</f>
        <v/>
      </c>
    </row>
    <row r="428" spans="1:74" s="78" customFormat="1" ht="15" customHeight="1">
      <c r="A428" s="99">
        <v>13</v>
      </c>
      <c r="B428" s="176" t="str">
        <f>VLOOKUP(Ruimtestaat[[#This Row],[Code]],Locaties[[Code]:[Locatie]],2,FALSE)</f>
        <v>OMBS Het Zeggelt (Meeuwen)</v>
      </c>
      <c r="C428" s="176" t="str">
        <f>VLOOKUP(Ruimtestaat[[#This Row],[Code]],Locaties[[#All],[Code]:[Adres]],4,FALSE)</f>
        <v>Meeuwenstraat 4</v>
      </c>
      <c r="D428" s="176" t="str">
        <f>VLOOKUP(Ruimtestaat[[#This Row],[Code]],Locaties[[#All],[Code]:[Postcode]],5,FALSE)</f>
        <v>7523 XV</v>
      </c>
      <c r="E428" s="176" t="str">
        <f>VLOOKUP(Ruimtestaat[[#This Row],[Code]],Locaties[#All],6,FALSE)</f>
        <v>Enschede</v>
      </c>
      <c r="F428" s="183"/>
      <c r="G428" s="99" t="s">
        <v>1646</v>
      </c>
      <c r="H428" s="99" t="s">
        <v>1657</v>
      </c>
      <c r="I428" s="183" t="s">
        <v>38</v>
      </c>
      <c r="J428" s="99">
        <v>7</v>
      </c>
      <c r="K428" s="183" t="str">
        <f>VLOOKUP(Ruimtestaat[[#This Row],[Ruimte code]],Ruimtegroepen[[#All],[Code]:[Ruimte omschrijving]],2,FALSE)</f>
        <v>Entree</v>
      </c>
      <c r="L428" s="99" t="s">
        <v>99</v>
      </c>
      <c r="M428" s="99" t="s">
        <v>1700</v>
      </c>
      <c r="N428" s="177">
        <v>1.7</v>
      </c>
      <c r="O428" s="177"/>
      <c r="P428" s="178" t="str">
        <f>VLOOKUP(Ruimtestaat[[#This Row],[Ruimte code]],Ruimtegroepen[],4,FALSE)</f>
        <v>Ve</v>
      </c>
      <c r="Q428" s="149">
        <v>40</v>
      </c>
      <c r="R428" s="149" t="s">
        <v>2</v>
      </c>
      <c r="S428" s="149">
        <f>IF(Q428&gt;0,IF(RIGHT(Ruimtestaat[[#This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8" s="149">
        <f>IF(S428&gt;0,VLOOKUP($J428,Ruimtegroepen[],3,FALSE)*VLOOKUP($L428,Vloersoorten[],3,FALSE)*VLOOKUP($R428,Frequenties[],3,FALSE)*VLOOKUP($A428,Locaties[],3,FALSE),0)</f>
        <v>0</v>
      </c>
      <c r="U428" s="149">
        <f>Ruimtestaat[[#This Row],[Uitvoeringen werkdagen]]*Ruimtestaat[[#This Row],[Oppervlak (netto)]]</f>
        <v>340</v>
      </c>
      <c r="V428" s="179">
        <f>IF(T428&gt;0,Ruimtestaat[[#This Row],[Prest. (m2 /jaar) werkdagen]]/Ruimtestaat[[#This Row],[Norm (m2/uur) werkdagen]],0)</f>
        <v>0</v>
      </c>
      <c r="W428" s="180">
        <f>Ruimtestaat[[#This Row],[uren / jaar werkdagen]]*Tariefsopbouw!$E$35</f>
        <v>0</v>
      </c>
      <c r="X428" s="149"/>
      <c r="Y428" s="149">
        <f>IF(Ruimtestaat[[#This Row],[Frequentie weekend]]&gt;0,VALUE(LEFT(X428,1))*Q428,0)</f>
        <v>0</v>
      </c>
      <c r="Z428" s="148">
        <f>IF($Y428&gt;0,VLOOKUP($J428,Ruimtegroepen[],3,FALSE)*VLOOKUP($L428,Vloersoorten[],3,FALSE)*VLOOKUP($X428,Frequenties[],3,FALSE)*VLOOKUP(Ruimtestaat[[#This Row],[Code]],Locaties[],3,FALSE),0)</f>
        <v>0</v>
      </c>
      <c r="AA428" s="148">
        <f>Ruimtestaat[[#This Row],[Uitvoeringen weekend]]*Ruimtestaat[[#This Row],[Oppervlak (netto)]]</f>
        <v>0</v>
      </c>
      <c r="AB428" s="148">
        <f>IF(Z428&gt;0,Ruimtestaat[[#This Row],[Prest. (m2 /jaar) weekend]]/Ruimtestaat[[#This Row],[Norm (m2/uur) weekend]],0)</f>
        <v>0</v>
      </c>
      <c r="AC428" s="180">
        <f>Ruimtestaat[[#This Row],[uren / jaar weekend]]*Tariefsopbouw!$D$40</f>
        <v>0</v>
      </c>
      <c r="AD428" s="179">
        <f>Ruimtestaat[[#This Row],[Prest. (m2 /jaar) weekend]]+Ruimtestaat[[#This Row],[Prest. (m2 /jaar) werkdagen]]</f>
        <v>340</v>
      </c>
      <c r="AE428" s="179">
        <f>Ruimtestaat[[#This Row],[uren / jaar weekend]]+Ruimtestaat[[#This Row],[uren / jaar werkdagen]]</f>
        <v>0</v>
      </c>
      <c r="AF428" s="174">
        <f>Ruimtestaat[[#This Row],[kosten / jaar weekend]]+Ruimtestaat[[#This Row],[kosten / jaar werkdagen]]</f>
        <v>0</v>
      </c>
      <c r="AG428" s="174"/>
      <c r="AH428" s="181" t="str">
        <f>IF(Ruimtestaat[[#This Row],[Frequentie werkdagen]]="","",_xlfn.CONCAT(Ruimtestaat[[#This Row],[Ruimte code]],"-",Ruimtestaat[[#This Row],[Frequentie werkdagen]]," ",Ruimtestaat[[#This Row],[Vloer code]]))</f>
        <v>7-5w T</v>
      </c>
      <c r="AI428" s="185" t="str">
        <f>_xlfn.IFNA(VLOOKUP($AH428,Programma!$F$3:$G$1101,2,0),"")</f>
        <v>_</v>
      </c>
      <c r="AJ428" s="185" t="str">
        <f>_xlfn.IFNA(VLOOKUP($AH428,Programma!$F$3:$H$1101,3,0),"")</f>
        <v>5w</v>
      </c>
      <c r="AK428" s="185" t="str">
        <f>_xlfn.IFNA(VLOOKUP($AH428,Programma!$F$3:$I$1101,4,0),"")</f>
        <v>_</v>
      </c>
      <c r="AL428" s="185" t="str">
        <f>_xlfn.IFNA(VLOOKUP($AH428,Programma!$F$3:$J$1101,5,0),"")</f>
        <v>_</v>
      </c>
      <c r="AM428" s="185" t="str">
        <f>_xlfn.IFNA(VLOOKUP($AH428,Programma!$F$3:$K$1101,6,0),"")</f>
        <v>_</v>
      </c>
      <c r="AN428" s="185" t="str">
        <f>_xlfn.IFNA(VLOOKUP($AH428,Programma!$F$3:$L$1101,7,0),"")</f>
        <v>_</v>
      </c>
      <c r="AO428" s="185" t="str">
        <f>_xlfn.IFNA(VLOOKUP($AH428,Programma!$F$3:$M$1101,8,0),"")</f>
        <v>_</v>
      </c>
      <c r="AP428" s="185" t="str">
        <f>_xlfn.IFNA(VLOOKUP($AH428,Programma!$F$3:$N$1101,9,0),"")</f>
        <v>_</v>
      </c>
      <c r="AQ428" s="185" t="str">
        <f>_xlfn.IFNA(VLOOKUP($AH428,Programma!$F$3:$O$1101,10,0),"")</f>
        <v>5w</v>
      </c>
      <c r="AR428" s="185" t="str">
        <f>_xlfn.IFNA(VLOOKUP($AH428,Programma!$F$3:$P$1101,11,0),"")</f>
        <v>5w</v>
      </c>
      <c r="AS428" s="185" t="str">
        <f>_xlfn.IFNA(VLOOKUP($AH428,Programma!$F$3:$Q$1101,12,0),"")</f>
        <v>1w</v>
      </c>
      <c r="AT428" s="185" t="str">
        <f>_xlfn.IFNA(VLOOKUP($AH428,Programma!$F$3:$R$1101,13,0),"")</f>
        <v>1w</v>
      </c>
      <c r="AU428" s="185" t="str">
        <f>_xlfn.IFNA(VLOOKUP($AH428,Programma!$F$3:$S$1101,14,0),"")</f>
        <v>1m</v>
      </c>
      <c r="AV428" s="185" t="str">
        <f>_xlfn.IFNA(VLOOKUP($AH428,Programma!$F$3:$T$1101,15,0),"")</f>
        <v>2j</v>
      </c>
      <c r="AW428" s="185" t="str">
        <f>_xlfn.IFNA(VLOOKUP($AH428,Programma!$F$3:$U$1101,16,0),"")</f>
        <v>1j</v>
      </c>
      <c r="AX428" s="185" t="str">
        <f>_xlfn.IFNA(VLOOKUP($AH428,Programma!$F$3:$V$1101,17,0),"")</f>
        <v>_</v>
      </c>
      <c r="AY428" s="185" t="str">
        <f>_xlfn.IFNA(VLOOKUP($AH428,Programma!$F$3:$W$1101,18,0),"")</f>
        <v>_</v>
      </c>
      <c r="AZ428" s="185" t="str">
        <f>_xlfn.IFNA(VLOOKUP($AH428,Programma!$F$3:$X$1101,19,0),"")</f>
        <v>_</v>
      </c>
      <c r="BA428" s="185" t="str">
        <f>_xlfn.IFNA(VLOOKUP($AH428,Programma!$F$3:$Y$1101,20,0),"")</f>
        <v>_</v>
      </c>
      <c r="BB428" s="182"/>
      <c r="BC428" s="181" t="str">
        <f>IF(Ruimtestaat[[#This Row],[Frequentie weekend]]="","",_xlfn.CONCAT(Ruimtestaat[[#This Row],[Ruimte code]],"-",Ruimtestaat[[#This Row],[Frequentie weekend]]," ",Ruimtestaat[[#This Row],[Vloer code]]))</f>
        <v/>
      </c>
      <c r="BD428" s="185" t="str">
        <f>_xlfn.IFNA(VLOOKUP($BC428,Programma!$F$3:$G$1101,2,0),"")</f>
        <v/>
      </c>
      <c r="BE428" s="185" t="str">
        <f>_xlfn.IFNA(VLOOKUP($BC428,Programma!$F$3:$H$1101,3,0),"")</f>
        <v/>
      </c>
      <c r="BF428" s="185" t="str">
        <f>_xlfn.IFNA(VLOOKUP($BC428,Programma!$F$3:$I$1101,4,0),"")</f>
        <v/>
      </c>
      <c r="BG428" s="185" t="str">
        <f>_xlfn.IFNA(VLOOKUP($BC428,Programma!$F$3:$J$1101,5,0),"")</f>
        <v/>
      </c>
      <c r="BH428" s="185" t="str">
        <f>_xlfn.IFNA(VLOOKUP($BC428,Programma!$F$3:$K$1101,6,0),"")</f>
        <v/>
      </c>
      <c r="BI428" s="185" t="str">
        <f>_xlfn.IFNA(VLOOKUP($BC428,Programma!$F$3:$L$1101,7,0),"")</f>
        <v/>
      </c>
      <c r="BJ428" s="185" t="str">
        <f>_xlfn.IFNA(VLOOKUP($BC428,Programma!$F$3:$M$1101,8,0),"")</f>
        <v/>
      </c>
      <c r="BK428" s="185" t="str">
        <f>_xlfn.IFNA(VLOOKUP($BC428,Programma!$F$3:$N$1101,9,0),"")</f>
        <v/>
      </c>
      <c r="BL428" s="185" t="str">
        <f>_xlfn.IFNA(VLOOKUP($BC428,Programma!$F$3:$O$1101,10,0),"")</f>
        <v/>
      </c>
      <c r="BM428" s="185" t="str">
        <f>_xlfn.IFNA(VLOOKUP($BC428,Programma!$F$3:$P$1101,11,0),"")</f>
        <v/>
      </c>
      <c r="BN428" s="185" t="str">
        <f>_xlfn.IFNA(VLOOKUP($BC428,Programma!$F$3:$Q$1101,12,0),"")</f>
        <v/>
      </c>
      <c r="BO428" s="185" t="str">
        <f>_xlfn.IFNA(VLOOKUP($BC428,Programma!$F$3:$R$1101,13,0),"")</f>
        <v/>
      </c>
      <c r="BP428" s="185" t="str">
        <f>_xlfn.IFNA(VLOOKUP($BC428,Programma!$F$3:$S$1101,14,0),"")</f>
        <v/>
      </c>
      <c r="BQ428" s="185" t="str">
        <f>_xlfn.IFNA(VLOOKUP($BC428,Programma!$F$3:$T$1101,15,0),"")</f>
        <v/>
      </c>
      <c r="BR428" s="185" t="str">
        <f>_xlfn.IFNA(VLOOKUP($BC428,Programma!$F$3:$U$1101,16,0),"")</f>
        <v/>
      </c>
      <c r="BS428" s="185" t="str">
        <f>_xlfn.IFNA(VLOOKUP($BC428,Programma!$F$3:$V$1101,17,0),"")</f>
        <v/>
      </c>
      <c r="BT428" s="185" t="str">
        <f>_xlfn.IFNA(VLOOKUP($BC428,Programma!$F$3:$W$1101,18,0),"")</f>
        <v/>
      </c>
      <c r="BU428" s="185" t="str">
        <f>_xlfn.IFNA(VLOOKUP($BC428,Programma!$F$3:$X$1101,19,0),"")</f>
        <v/>
      </c>
      <c r="BV428" s="185" t="str">
        <f>_xlfn.IFNA(VLOOKUP($BC428,Programma!$F$3:$Y$1101,20,0),"")</f>
        <v/>
      </c>
    </row>
    <row r="429" spans="1:74" s="78" customFormat="1" ht="15" customHeight="1">
      <c r="A429" s="99">
        <v>13</v>
      </c>
      <c r="B429" s="176" t="str">
        <f>VLOOKUP(Ruimtestaat[[#This Row],[Code]],Locaties[[Code]:[Locatie]],2,FALSE)</f>
        <v>OMBS Het Zeggelt (Meeuwen)</v>
      </c>
      <c r="C429" s="176" t="str">
        <f>VLOOKUP(Ruimtestaat[[#This Row],[Code]],Locaties[[#All],[Code]:[Adres]],4,FALSE)</f>
        <v>Meeuwenstraat 4</v>
      </c>
      <c r="D429" s="176" t="str">
        <f>VLOOKUP(Ruimtestaat[[#This Row],[Code]],Locaties[[#All],[Code]:[Postcode]],5,FALSE)</f>
        <v>7523 XV</v>
      </c>
      <c r="E429" s="176" t="str">
        <f>VLOOKUP(Ruimtestaat[[#This Row],[Code]],Locaties[#All],6,FALSE)</f>
        <v>Enschede</v>
      </c>
      <c r="F429" s="183"/>
      <c r="G429" s="99" t="s">
        <v>1646</v>
      </c>
      <c r="H429" s="99" t="s">
        <v>1659</v>
      </c>
      <c r="I429" s="183" t="s">
        <v>1651</v>
      </c>
      <c r="J429" s="99">
        <v>16</v>
      </c>
      <c r="K429" s="183" t="str">
        <f>VLOOKUP(Ruimtestaat[[#This Row],[Ruimte code]],Ruimtegroepen[[#All],[Code]:[Ruimte omschrijving]],2,FALSE)</f>
        <v>Leslokalen</v>
      </c>
      <c r="L429" s="99" t="s">
        <v>100</v>
      </c>
      <c r="M429" s="99" t="s">
        <v>1697</v>
      </c>
      <c r="N429" s="177">
        <v>56</v>
      </c>
      <c r="O429" s="177"/>
      <c r="P429" s="178" t="str">
        <f>VLOOKUP(Ruimtestaat[[#This Row],[Ruimte code]],Ruimtegroepen[],4,FALSE)</f>
        <v>Le</v>
      </c>
      <c r="Q429" s="149">
        <v>40</v>
      </c>
      <c r="R429" s="149" t="s">
        <v>2</v>
      </c>
      <c r="S429" s="149">
        <f>IF(Q429&gt;0,IF(RIGHT(Ruimtestaat[[#This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9" s="149">
        <f>IF(S429&gt;0,VLOOKUP($J429,Ruimtegroepen[],3,FALSE)*VLOOKUP($L429,Vloersoorten[],3,FALSE)*VLOOKUP($R429,Frequenties[],3,FALSE)*VLOOKUP($A429,Locaties[],3,FALSE),0)</f>
        <v>0</v>
      </c>
      <c r="U429" s="149">
        <f>Ruimtestaat[[#This Row],[Uitvoeringen werkdagen]]*Ruimtestaat[[#This Row],[Oppervlak (netto)]]</f>
        <v>11200</v>
      </c>
      <c r="V429" s="179">
        <f>IF(T429&gt;0,Ruimtestaat[[#This Row],[Prest. (m2 /jaar) werkdagen]]/Ruimtestaat[[#This Row],[Norm (m2/uur) werkdagen]],0)</f>
        <v>0</v>
      </c>
      <c r="W429" s="180">
        <f>Ruimtestaat[[#This Row],[uren / jaar werkdagen]]*Tariefsopbouw!$E$35</f>
        <v>0</v>
      </c>
      <c r="X429" s="149"/>
      <c r="Y429" s="149">
        <f>IF(Ruimtestaat[[#This Row],[Frequentie weekend]]&gt;0,VALUE(LEFT(X429,1))*Q429,0)</f>
        <v>0</v>
      </c>
      <c r="Z429" s="148">
        <f>IF($Y429&gt;0,VLOOKUP($J429,Ruimtegroepen[],3,FALSE)*VLOOKUP($L429,Vloersoorten[],3,FALSE)*VLOOKUP($X429,Frequenties[],3,FALSE)*VLOOKUP(Ruimtestaat[[#This Row],[Code]],Locaties[],3,FALSE),0)</f>
        <v>0</v>
      </c>
      <c r="AA429" s="148">
        <f>Ruimtestaat[[#This Row],[Uitvoeringen weekend]]*Ruimtestaat[[#This Row],[Oppervlak (netto)]]</f>
        <v>0</v>
      </c>
      <c r="AB429" s="148">
        <f>IF(Z429&gt;0,Ruimtestaat[[#This Row],[Prest. (m2 /jaar) weekend]]/Ruimtestaat[[#This Row],[Norm (m2/uur) weekend]],0)</f>
        <v>0</v>
      </c>
      <c r="AC429" s="180">
        <f>Ruimtestaat[[#This Row],[uren / jaar weekend]]*Tariefsopbouw!$D$40</f>
        <v>0</v>
      </c>
      <c r="AD429" s="179">
        <f>Ruimtestaat[[#This Row],[Prest. (m2 /jaar) weekend]]+Ruimtestaat[[#This Row],[Prest. (m2 /jaar) werkdagen]]</f>
        <v>11200</v>
      </c>
      <c r="AE429" s="179">
        <f>Ruimtestaat[[#This Row],[uren / jaar weekend]]+Ruimtestaat[[#This Row],[uren / jaar werkdagen]]</f>
        <v>0</v>
      </c>
      <c r="AF429" s="174">
        <f>Ruimtestaat[[#This Row],[kosten / jaar weekend]]+Ruimtestaat[[#This Row],[kosten / jaar werkdagen]]</f>
        <v>0</v>
      </c>
      <c r="AG429" s="174"/>
      <c r="AH429" s="181" t="str">
        <f>IF(Ruimtestaat[[#This Row],[Frequentie werkdagen]]="","",_xlfn.CONCAT(Ruimtestaat[[#This Row],[Ruimte code]],"-",Ruimtestaat[[#This Row],[Frequentie werkdagen]]," ",Ruimtestaat[[#This Row],[Vloer code]]))</f>
        <v>16-5w L</v>
      </c>
      <c r="AI429" s="185" t="str">
        <f>_xlfn.IFNA(VLOOKUP($AH429,Programma!$F$3:$G$1101,2,0),"")</f>
        <v>_</v>
      </c>
      <c r="AJ429" s="185" t="str">
        <f>_xlfn.IFNA(VLOOKUP($AH429,Programma!$F$3:$H$1101,3,0),"")</f>
        <v>_</v>
      </c>
      <c r="AK429" s="185" t="str">
        <f>_xlfn.IFNA(VLOOKUP($AH429,Programma!$F$3:$I$1101,4,0),"")</f>
        <v>4w</v>
      </c>
      <c r="AL429" s="185" t="str">
        <f>_xlfn.IFNA(VLOOKUP($AH429,Programma!$F$3:$J$1101,5,0),"")</f>
        <v>1w</v>
      </c>
      <c r="AM429" s="185" t="str">
        <f>_xlfn.IFNA(VLOOKUP($AH429,Programma!$F$3:$K$1101,6,0),"")</f>
        <v>_</v>
      </c>
      <c r="AN429" s="185" t="str">
        <f>_xlfn.IFNA(VLOOKUP($AH429,Programma!$F$3:$L$1101,7,0),"")</f>
        <v>_</v>
      </c>
      <c r="AO429" s="185" t="str">
        <f>_xlfn.IFNA(VLOOKUP($AH429,Programma!$F$3:$M$1101,8,0),"")</f>
        <v>_</v>
      </c>
      <c r="AP429" s="185" t="str">
        <f>_xlfn.IFNA(VLOOKUP($AH429,Programma!$F$3:$N$1101,9,0),"")</f>
        <v>_</v>
      </c>
      <c r="AQ429" s="185" t="str">
        <f>_xlfn.IFNA(VLOOKUP($AH429,Programma!$F$3:$O$1101,10,0),"")</f>
        <v>5w</v>
      </c>
      <c r="AR429" s="185" t="str">
        <f>_xlfn.IFNA(VLOOKUP($AH429,Programma!$F$3:$P$1101,11,0),"")</f>
        <v>5w</v>
      </c>
      <c r="AS429" s="185" t="str">
        <f>_xlfn.IFNA(VLOOKUP($AH429,Programma!$F$3:$Q$1101,12,0),"")</f>
        <v>1w</v>
      </c>
      <c r="AT429" s="185" t="str">
        <f>_xlfn.IFNA(VLOOKUP($AH429,Programma!$F$3:$R$1101,13,0),"")</f>
        <v>1w</v>
      </c>
      <c r="AU429" s="185" t="str">
        <f>_xlfn.IFNA(VLOOKUP($AH429,Programma!$F$3:$S$1101,14,0),"")</f>
        <v>1m</v>
      </c>
      <c r="AV429" s="185" t="str">
        <f>_xlfn.IFNA(VLOOKUP($AH429,Programma!$F$3:$T$1101,15,0),"")</f>
        <v>2j</v>
      </c>
      <c r="AW429" s="185" t="str">
        <f>_xlfn.IFNA(VLOOKUP($AH429,Programma!$F$3:$U$1101,16,0),"")</f>
        <v>1j</v>
      </c>
      <c r="AX429" s="185" t="str">
        <f>_xlfn.IFNA(VLOOKUP($AH429,Programma!$F$3:$V$1101,17,0),"")</f>
        <v>_</v>
      </c>
      <c r="AY429" s="185" t="str">
        <f>_xlfn.IFNA(VLOOKUP($AH429,Programma!$F$3:$W$1101,18,0),"")</f>
        <v>_</v>
      </c>
      <c r="AZ429" s="185" t="str">
        <f>_xlfn.IFNA(VLOOKUP($AH429,Programma!$F$3:$X$1101,19,0),"")</f>
        <v>_</v>
      </c>
      <c r="BA429" s="185" t="str">
        <f>_xlfn.IFNA(VLOOKUP($AH429,Programma!$F$3:$Y$1101,20,0),"")</f>
        <v>_</v>
      </c>
      <c r="BB429" s="182"/>
      <c r="BC429" s="181" t="str">
        <f>IF(Ruimtestaat[[#This Row],[Frequentie weekend]]="","",_xlfn.CONCAT(Ruimtestaat[[#This Row],[Ruimte code]],"-",Ruimtestaat[[#This Row],[Frequentie weekend]]," ",Ruimtestaat[[#This Row],[Vloer code]]))</f>
        <v/>
      </c>
      <c r="BD429" s="185" t="str">
        <f>_xlfn.IFNA(VLOOKUP($BC429,Programma!$F$3:$G$1101,2,0),"")</f>
        <v/>
      </c>
      <c r="BE429" s="185" t="str">
        <f>_xlfn.IFNA(VLOOKUP($BC429,Programma!$F$3:$H$1101,3,0),"")</f>
        <v/>
      </c>
      <c r="BF429" s="185" t="str">
        <f>_xlfn.IFNA(VLOOKUP($BC429,Programma!$F$3:$I$1101,4,0),"")</f>
        <v/>
      </c>
      <c r="BG429" s="185" t="str">
        <f>_xlfn.IFNA(VLOOKUP($BC429,Programma!$F$3:$J$1101,5,0),"")</f>
        <v/>
      </c>
      <c r="BH429" s="185" t="str">
        <f>_xlfn.IFNA(VLOOKUP($BC429,Programma!$F$3:$K$1101,6,0),"")</f>
        <v/>
      </c>
      <c r="BI429" s="185" t="str">
        <f>_xlfn.IFNA(VLOOKUP($BC429,Programma!$F$3:$L$1101,7,0),"")</f>
        <v/>
      </c>
      <c r="BJ429" s="185" t="str">
        <f>_xlfn.IFNA(VLOOKUP($BC429,Programma!$F$3:$M$1101,8,0),"")</f>
        <v/>
      </c>
      <c r="BK429" s="185" t="str">
        <f>_xlfn.IFNA(VLOOKUP($BC429,Programma!$F$3:$N$1101,9,0),"")</f>
        <v/>
      </c>
      <c r="BL429" s="185" t="str">
        <f>_xlfn.IFNA(VLOOKUP($BC429,Programma!$F$3:$O$1101,10,0),"")</f>
        <v/>
      </c>
      <c r="BM429" s="185" t="str">
        <f>_xlfn.IFNA(VLOOKUP($BC429,Programma!$F$3:$P$1101,11,0),"")</f>
        <v/>
      </c>
      <c r="BN429" s="185" t="str">
        <f>_xlfn.IFNA(VLOOKUP($BC429,Programma!$F$3:$Q$1101,12,0),"")</f>
        <v/>
      </c>
      <c r="BO429" s="185" t="str">
        <f>_xlfn.IFNA(VLOOKUP($BC429,Programma!$F$3:$R$1101,13,0),"")</f>
        <v/>
      </c>
      <c r="BP429" s="185" t="str">
        <f>_xlfn.IFNA(VLOOKUP($BC429,Programma!$F$3:$S$1101,14,0),"")</f>
        <v/>
      </c>
      <c r="BQ429" s="185" t="str">
        <f>_xlfn.IFNA(VLOOKUP($BC429,Programma!$F$3:$T$1101,15,0),"")</f>
        <v/>
      </c>
      <c r="BR429" s="185" t="str">
        <f>_xlfn.IFNA(VLOOKUP($BC429,Programma!$F$3:$U$1101,16,0),"")</f>
        <v/>
      </c>
      <c r="BS429" s="185" t="str">
        <f>_xlfn.IFNA(VLOOKUP($BC429,Programma!$F$3:$V$1101,17,0),"")</f>
        <v/>
      </c>
      <c r="BT429" s="185" t="str">
        <f>_xlfn.IFNA(VLOOKUP($BC429,Programma!$F$3:$W$1101,18,0),"")</f>
        <v/>
      </c>
      <c r="BU429" s="185" t="str">
        <f>_xlfn.IFNA(VLOOKUP($BC429,Programma!$F$3:$X$1101,19,0),"")</f>
        <v/>
      </c>
      <c r="BV429" s="185" t="str">
        <f>_xlfn.IFNA(VLOOKUP($BC429,Programma!$F$3:$Y$1101,20,0),"")</f>
        <v/>
      </c>
    </row>
    <row r="430" spans="1:74" s="78" customFormat="1" ht="15" customHeight="1">
      <c r="A430" s="99">
        <v>13</v>
      </c>
      <c r="B430" s="176" t="str">
        <f>VLOOKUP(Ruimtestaat[[#This Row],[Code]],Locaties[[Code]:[Locatie]],2,FALSE)</f>
        <v>OMBS Het Zeggelt (Meeuwen)</v>
      </c>
      <c r="C430" s="176" t="str">
        <f>VLOOKUP(Ruimtestaat[[#This Row],[Code]],Locaties[[#All],[Code]:[Adres]],4,FALSE)</f>
        <v>Meeuwenstraat 4</v>
      </c>
      <c r="D430" s="176" t="str">
        <f>VLOOKUP(Ruimtestaat[[#This Row],[Code]],Locaties[[#All],[Code]:[Postcode]],5,FALSE)</f>
        <v>7523 XV</v>
      </c>
      <c r="E430" s="176" t="str">
        <f>VLOOKUP(Ruimtestaat[[#This Row],[Code]],Locaties[#All],6,FALSE)</f>
        <v>Enschede</v>
      </c>
      <c r="F430" s="183"/>
      <c r="G430" s="99" t="s">
        <v>1646</v>
      </c>
      <c r="H430" s="99" t="s">
        <v>1660</v>
      </c>
      <c r="I430" s="183" t="s">
        <v>1658</v>
      </c>
      <c r="J430" s="99">
        <v>6</v>
      </c>
      <c r="K430" s="183" t="str">
        <f>VLOOKUP(Ruimtestaat[[#This Row],[Ruimte code]],Ruimtegroepen[[#All],[Code]:[Ruimte omschrijving]],2,FALSE)</f>
        <v>Gangen/hallen</v>
      </c>
      <c r="L430" s="99" t="s">
        <v>100</v>
      </c>
      <c r="M430" s="99" t="s">
        <v>1697</v>
      </c>
      <c r="N430" s="177">
        <v>12.8</v>
      </c>
      <c r="O430" s="177"/>
      <c r="P430" s="178" t="str">
        <f>VLOOKUP(Ruimtestaat[[#This Row],[Ruimte code]],Ruimtegroepen[],4,FALSE)</f>
        <v>Ve</v>
      </c>
      <c r="Q430" s="149">
        <v>40</v>
      </c>
      <c r="R430" s="149" t="s">
        <v>2</v>
      </c>
      <c r="S430" s="149">
        <f>IF(Q430&gt;0,IF(RIGHT(Ruimtestaat[[#This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0" s="149">
        <f>IF(S430&gt;0,VLOOKUP($J430,Ruimtegroepen[],3,FALSE)*VLOOKUP($L430,Vloersoorten[],3,FALSE)*VLOOKUP($R430,Frequenties[],3,FALSE)*VLOOKUP($A430,Locaties[],3,FALSE),0)</f>
        <v>0</v>
      </c>
      <c r="U430" s="149">
        <f>Ruimtestaat[[#This Row],[Uitvoeringen werkdagen]]*Ruimtestaat[[#This Row],[Oppervlak (netto)]]</f>
        <v>2560</v>
      </c>
      <c r="V430" s="179">
        <f>IF(T430&gt;0,Ruimtestaat[[#This Row],[Prest. (m2 /jaar) werkdagen]]/Ruimtestaat[[#This Row],[Norm (m2/uur) werkdagen]],0)</f>
        <v>0</v>
      </c>
      <c r="W430" s="180">
        <f>Ruimtestaat[[#This Row],[uren / jaar werkdagen]]*Tariefsopbouw!$E$35</f>
        <v>0</v>
      </c>
      <c r="X430" s="149"/>
      <c r="Y430" s="149">
        <f>IF(Ruimtestaat[[#This Row],[Frequentie weekend]]&gt;0,VALUE(LEFT(X430,1))*Q430,0)</f>
        <v>0</v>
      </c>
      <c r="Z430" s="148">
        <f>IF($Y430&gt;0,VLOOKUP($J430,Ruimtegroepen[],3,FALSE)*VLOOKUP($L430,Vloersoorten[],3,FALSE)*VLOOKUP($X430,Frequenties[],3,FALSE)*VLOOKUP(Ruimtestaat[[#This Row],[Code]],Locaties[],3,FALSE),0)</f>
        <v>0</v>
      </c>
      <c r="AA430" s="148">
        <f>Ruimtestaat[[#This Row],[Uitvoeringen weekend]]*Ruimtestaat[[#This Row],[Oppervlak (netto)]]</f>
        <v>0</v>
      </c>
      <c r="AB430" s="148">
        <f>IF(Z430&gt;0,Ruimtestaat[[#This Row],[Prest. (m2 /jaar) weekend]]/Ruimtestaat[[#This Row],[Norm (m2/uur) weekend]],0)</f>
        <v>0</v>
      </c>
      <c r="AC430" s="180">
        <f>Ruimtestaat[[#This Row],[uren / jaar weekend]]*Tariefsopbouw!$D$40</f>
        <v>0</v>
      </c>
      <c r="AD430" s="179">
        <f>Ruimtestaat[[#This Row],[Prest. (m2 /jaar) weekend]]+Ruimtestaat[[#This Row],[Prest. (m2 /jaar) werkdagen]]</f>
        <v>2560</v>
      </c>
      <c r="AE430" s="179">
        <f>Ruimtestaat[[#This Row],[uren / jaar weekend]]+Ruimtestaat[[#This Row],[uren / jaar werkdagen]]</f>
        <v>0</v>
      </c>
      <c r="AF430" s="174">
        <f>Ruimtestaat[[#This Row],[kosten / jaar weekend]]+Ruimtestaat[[#This Row],[kosten / jaar werkdagen]]</f>
        <v>0</v>
      </c>
      <c r="AG430" s="174"/>
      <c r="AH430" s="181" t="str">
        <f>IF(Ruimtestaat[[#This Row],[Frequentie werkdagen]]="","",_xlfn.CONCAT(Ruimtestaat[[#This Row],[Ruimte code]],"-",Ruimtestaat[[#This Row],[Frequentie werkdagen]]," ",Ruimtestaat[[#This Row],[Vloer code]]))</f>
        <v>6-5w L</v>
      </c>
      <c r="AI430" s="185" t="str">
        <f>_xlfn.IFNA(VLOOKUP($AH430,Programma!$F$3:$G$1101,2,0),"")</f>
        <v>_</v>
      </c>
      <c r="AJ430" s="185" t="str">
        <f>_xlfn.IFNA(VLOOKUP($AH430,Programma!$F$3:$H$1101,3,0),"")</f>
        <v>_</v>
      </c>
      <c r="AK430" s="185" t="str">
        <f>_xlfn.IFNA(VLOOKUP($AH430,Programma!$F$3:$I$1101,4,0),"")</f>
        <v>_</v>
      </c>
      <c r="AL430" s="185" t="str">
        <f>_xlfn.IFNA(VLOOKUP($AH430,Programma!$F$3:$J$1101,5,0),"")</f>
        <v>5w</v>
      </c>
      <c r="AM430" s="185" t="str">
        <f>_xlfn.IFNA(VLOOKUP($AH430,Programma!$F$3:$K$1101,6,0),"")</f>
        <v>_</v>
      </c>
      <c r="AN430" s="185" t="str">
        <f>_xlfn.IFNA(VLOOKUP($AH430,Programma!$F$3:$L$1101,7,0),"")</f>
        <v>_</v>
      </c>
      <c r="AO430" s="185" t="str">
        <f>_xlfn.IFNA(VLOOKUP($AH430,Programma!$F$3:$M$1101,8,0),"")</f>
        <v>_</v>
      </c>
      <c r="AP430" s="185" t="str">
        <f>_xlfn.IFNA(VLOOKUP($AH430,Programma!$F$3:$N$1101,9,0),"")</f>
        <v>_</v>
      </c>
      <c r="AQ430" s="185" t="str">
        <f>_xlfn.IFNA(VLOOKUP($AH430,Programma!$F$3:$O$1101,10,0),"")</f>
        <v>5w</v>
      </c>
      <c r="AR430" s="185" t="str">
        <f>_xlfn.IFNA(VLOOKUP($AH430,Programma!$F$3:$P$1101,11,0),"")</f>
        <v>5w</v>
      </c>
      <c r="AS430" s="185" t="str">
        <f>_xlfn.IFNA(VLOOKUP($AH430,Programma!$F$3:$Q$1101,12,0),"")</f>
        <v>1w</v>
      </c>
      <c r="AT430" s="185" t="str">
        <f>_xlfn.IFNA(VLOOKUP($AH430,Programma!$F$3:$R$1101,13,0),"")</f>
        <v>1w</v>
      </c>
      <c r="AU430" s="185" t="str">
        <f>_xlfn.IFNA(VLOOKUP($AH430,Programma!$F$3:$S$1101,14,0),"")</f>
        <v>1m</v>
      </c>
      <c r="AV430" s="185" t="str">
        <f>_xlfn.IFNA(VLOOKUP($AH430,Programma!$F$3:$T$1101,15,0),"")</f>
        <v>2j</v>
      </c>
      <c r="AW430" s="185" t="str">
        <f>_xlfn.IFNA(VLOOKUP($AH430,Programma!$F$3:$U$1101,16,0),"")</f>
        <v>1j</v>
      </c>
      <c r="AX430" s="185" t="str">
        <f>_xlfn.IFNA(VLOOKUP($AH430,Programma!$F$3:$V$1101,17,0),"")</f>
        <v>_</v>
      </c>
      <c r="AY430" s="185" t="str">
        <f>_xlfn.IFNA(VLOOKUP($AH430,Programma!$F$3:$W$1101,18,0),"")</f>
        <v>_</v>
      </c>
      <c r="AZ430" s="185" t="str">
        <f>_xlfn.IFNA(VLOOKUP($AH430,Programma!$F$3:$X$1101,19,0),"")</f>
        <v>_</v>
      </c>
      <c r="BA430" s="185" t="str">
        <f>_xlfn.IFNA(VLOOKUP($AH430,Programma!$F$3:$Y$1101,20,0),"")</f>
        <v>_</v>
      </c>
      <c r="BB430" s="182"/>
      <c r="BC430" s="181" t="str">
        <f>IF(Ruimtestaat[[#This Row],[Frequentie weekend]]="","",_xlfn.CONCAT(Ruimtestaat[[#This Row],[Ruimte code]],"-",Ruimtestaat[[#This Row],[Frequentie weekend]]," ",Ruimtestaat[[#This Row],[Vloer code]]))</f>
        <v/>
      </c>
      <c r="BD430" s="185" t="str">
        <f>_xlfn.IFNA(VLOOKUP($BC430,Programma!$F$3:$G$1101,2,0),"")</f>
        <v/>
      </c>
      <c r="BE430" s="185" t="str">
        <f>_xlfn.IFNA(VLOOKUP($BC430,Programma!$F$3:$H$1101,3,0),"")</f>
        <v/>
      </c>
      <c r="BF430" s="185" t="str">
        <f>_xlfn.IFNA(VLOOKUP($BC430,Programma!$F$3:$I$1101,4,0),"")</f>
        <v/>
      </c>
      <c r="BG430" s="185" t="str">
        <f>_xlfn.IFNA(VLOOKUP($BC430,Programma!$F$3:$J$1101,5,0),"")</f>
        <v/>
      </c>
      <c r="BH430" s="185" t="str">
        <f>_xlfn.IFNA(VLOOKUP($BC430,Programma!$F$3:$K$1101,6,0),"")</f>
        <v/>
      </c>
      <c r="BI430" s="185" t="str">
        <f>_xlfn.IFNA(VLOOKUP($BC430,Programma!$F$3:$L$1101,7,0),"")</f>
        <v/>
      </c>
      <c r="BJ430" s="185" t="str">
        <f>_xlfn.IFNA(VLOOKUP($BC430,Programma!$F$3:$M$1101,8,0),"")</f>
        <v/>
      </c>
      <c r="BK430" s="185" t="str">
        <f>_xlfn.IFNA(VLOOKUP($BC430,Programma!$F$3:$N$1101,9,0),"")</f>
        <v/>
      </c>
      <c r="BL430" s="185" t="str">
        <f>_xlfn.IFNA(VLOOKUP($BC430,Programma!$F$3:$O$1101,10,0),"")</f>
        <v/>
      </c>
      <c r="BM430" s="185" t="str">
        <f>_xlfn.IFNA(VLOOKUP($BC430,Programma!$F$3:$P$1101,11,0),"")</f>
        <v/>
      </c>
      <c r="BN430" s="185" t="str">
        <f>_xlfn.IFNA(VLOOKUP($BC430,Programma!$F$3:$Q$1101,12,0),"")</f>
        <v/>
      </c>
      <c r="BO430" s="185" t="str">
        <f>_xlfn.IFNA(VLOOKUP($BC430,Programma!$F$3:$R$1101,13,0),"")</f>
        <v/>
      </c>
      <c r="BP430" s="185" t="str">
        <f>_xlfn.IFNA(VLOOKUP($BC430,Programma!$F$3:$S$1101,14,0),"")</f>
        <v/>
      </c>
      <c r="BQ430" s="185" t="str">
        <f>_xlfn.IFNA(VLOOKUP($BC430,Programma!$F$3:$T$1101,15,0),"")</f>
        <v/>
      </c>
      <c r="BR430" s="185" t="str">
        <f>_xlfn.IFNA(VLOOKUP($BC430,Programma!$F$3:$U$1101,16,0),"")</f>
        <v/>
      </c>
      <c r="BS430" s="185" t="str">
        <f>_xlfn.IFNA(VLOOKUP($BC430,Programma!$F$3:$V$1101,17,0),"")</f>
        <v/>
      </c>
      <c r="BT430" s="185" t="str">
        <f>_xlfn.IFNA(VLOOKUP($BC430,Programma!$F$3:$W$1101,18,0),"")</f>
        <v/>
      </c>
      <c r="BU430" s="185" t="str">
        <f>_xlfn.IFNA(VLOOKUP($BC430,Programma!$F$3:$X$1101,19,0),"")</f>
        <v/>
      </c>
      <c r="BV430" s="185" t="str">
        <f>_xlfn.IFNA(VLOOKUP($BC430,Programma!$F$3:$Y$1101,20,0),"")</f>
        <v/>
      </c>
    </row>
    <row r="431" spans="1:74" s="78" customFormat="1" ht="15" customHeight="1">
      <c r="A431" s="99">
        <v>13</v>
      </c>
      <c r="B431" s="176" t="str">
        <f>VLOOKUP(Ruimtestaat[[#This Row],[Code]],Locaties[[Code]:[Locatie]],2,FALSE)</f>
        <v>OMBS Het Zeggelt (Meeuwen)</v>
      </c>
      <c r="C431" s="176" t="str">
        <f>VLOOKUP(Ruimtestaat[[#This Row],[Code]],Locaties[[#All],[Code]:[Adres]],4,FALSE)</f>
        <v>Meeuwenstraat 4</v>
      </c>
      <c r="D431" s="176" t="str">
        <f>VLOOKUP(Ruimtestaat[[#This Row],[Code]],Locaties[[#All],[Code]:[Postcode]],5,FALSE)</f>
        <v>7523 XV</v>
      </c>
      <c r="E431" s="176" t="str">
        <f>VLOOKUP(Ruimtestaat[[#This Row],[Code]],Locaties[#All],6,FALSE)</f>
        <v>Enschede</v>
      </c>
      <c r="F431" s="183"/>
      <c r="G431" s="99" t="s">
        <v>1646</v>
      </c>
      <c r="H431" s="99" t="s">
        <v>1661</v>
      </c>
      <c r="I431" s="183" t="s">
        <v>1649</v>
      </c>
      <c r="J431" s="99">
        <v>2</v>
      </c>
      <c r="K431" s="183" t="str">
        <f>VLOOKUP(Ruimtestaat[[#This Row],[Ruimte code]],Ruimtegroepen[[#All],[Code]:[Ruimte omschrijving]],2,FALSE)</f>
        <v>Kantoren</v>
      </c>
      <c r="L431" s="99" t="s">
        <v>99</v>
      </c>
      <c r="M431" s="99" t="s">
        <v>36</v>
      </c>
      <c r="N431" s="177">
        <v>20.5</v>
      </c>
      <c r="O431" s="177"/>
      <c r="P431" s="178" t="str">
        <f>VLOOKUP(Ruimtestaat[[#This Row],[Ruimte code]],Ruimtegroepen[],4,FALSE)</f>
        <v>Bu</v>
      </c>
      <c r="Q431" s="149">
        <v>40</v>
      </c>
      <c r="R431" s="149" t="s">
        <v>18</v>
      </c>
      <c r="S431" s="149">
        <f>IF(Q431&gt;0,IF(RIGHT(Ruimtestaat[[#This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31" s="149">
        <f>IF(S431&gt;0,VLOOKUP($J431,Ruimtegroepen[],3,FALSE)*VLOOKUP($L431,Vloersoorten[],3,FALSE)*VLOOKUP($R431,Frequenties[],3,FALSE)*VLOOKUP($A431,Locaties[],3,FALSE),0)</f>
        <v>0</v>
      </c>
      <c r="U431" s="149">
        <f>Ruimtestaat[[#This Row],[Uitvoeringen werkdagen]]*Ruimtestaat[[#This Row],[Oppervlak (netto)]]</f>
        <v>2460</v>
      </c>
      <c r="V431" s="179">
        <f>IF(T431&gt;0,Ruimtestaat[[#This Row],[Prest. (m2 /jaar) werkdagen]]/Ruimtestaat[[#This Row],[Norm (m2/uur) werkdagen]],0)</f>
        <v>0</v>
      </c>
      <c r="W431" s="180">
        <f>Ruimtestaat[[#This Row],[uren / jaar werkdagen]]*Tariefsopbouw!$E$35</f>
        <v>0</v>
      </c>
      <c r="X431" s="149"/>
      <c r="Y431" s="149">
        <f>IF(Ruimtestaat[[#This Row],[Frequentie weekend]]&gt;0,VALUE(LEFT(X431,1))*Q431,0)</f>
        <v>0</v>
      </c>
      <c r="Z431" s="148">
        <f>IF($Y431&gt;0,VLOOKUP($J431,Ruimtegroepen[],3,FALSE)*VLOOKUP($L431,Vloersoorten[],3,FALSE)*VLOOKUP($X431,Frequenties[],3,FALSE)*VLOOKUP(Ruimtestaat[[#This Row],[Code]],Locaties[],3,FALSE),0)</f>
        <v>0</v>
      </c>
      <c r="AA431" s="148">
        <f>Ruimtestaat[[#This Row],[Uitvoeringen weekend]]*Ruimtestaat[[#This Row],[Oppervlak (netto)]]</f>
        <v>0</v>
      </c>
      <c r="AB431" s="148">
        <f>IF(Z431&gt;0,Ruimtestaat[[#This Row],[Prest. (m2 /jaar) weekend]]/Ruimtestaat[[#This Row],[Norm (m2/uur) weekend]],0)</f>
        <v>0</v>
      </c>
      <c r="AC431" s="180">
        <f>Ruimtestaat[[#This Row],[uren / jaar weekend]]*Tariefsopbouw!$D$40</f>
        <v>0</v>
      </c>
      <c r="AD431" s="179">
        <f>Ruimtestaat[[#This Row],[Prest. (m2 /jaar) weekend]]+Ruimtestaat[[#This Row],[Prest. (m2 /jaar) werkdagen]]</f>
        <v>2460</v>
      </c>
      <c r="AE431" s="179">
        <f>Ruimtestaat[[#This Row],[uren / jaar weekend]]+Ruimtestaat[[#This Row],[uren / jaar werkdagen]]</f>
        <v>0</v>
      </c>
      <c r="AF431" s="174">
        <f>Ruimtestaat[[#This Row],[kosten / jaar weekend]]+Ruimtestaat[[#This Row],[kosten / jaar werkdagen]]</f>
        <v>0</v>
      </c>
      <c r="AG431" s="174"/>
      <c r="AH431" s="181" t="str">
        <f>IF(Ruimtestaat[[#This Row],[Frequentie werkdagen]]="","",_xlfn.CONCAT(Ruimtestaat[[#This Row],[Ruimte code]],"-",Ruimtestaat[[#This Row],[Frequentie werkdagen]]," ",Ruimtestaat[[#This Row],[Vloer code]]))</f>
        <v>2-3w T</v>
      </c>
      <c r="AI431" s="185" t="str">
        <f>_xlfn.IFNA(VLOOKUP($AH431,Programma!$F$3:$G$1101,2,0),"")</f>
        <v>2w</v>
      </c>
      <c r="AJ431" s="185" t="str">
        <f>_xlfn.IFNA(VLOOKUP($AH431,Programma!$F$3:$H$1101,3,0),"")</f>
        <v>1w</v>
      </c>
      <c r="AK431" s="185" t="str">
        <f>_xlfn.IFNA(VLOOKUP($AH431,Programma!$F$3:$I$1101,4,0),"")</f>
        <v>_</v>
      </c>
      <c r="AL431" s="185" t="str">
        <f>_xlfn.IFNA(VLOOKUP($AH431,Programma!$F$3:$J$1101,5,0),"")</f>
        <v>_</v>
      </c>
      <c r="AM431" s="185" t="str">
        <f>_xlfn.IFNA(VLOOKUP($AH431,Programma!$F$3:$K$1101,6,0),"")</f>
        <v>_</v>
      </c>
      <c r="AN431" s="185" t="str">
        <f>_xlfn.IFNA(VLOOKUP($AH431,Programma!$F$3:$L$1101,7,0),"")</f>
        <v>_</v>
      </c>
      <c r="AO431" s="185" t="str">
        <f>_xlfn.IFNA(VLOOKUP($AH431,Programma!$F$3:$M$1101,8,0),"")</f>
        <v>_</v>
      </c>
      <c r="AP431" s="185" t="str">
        <f>_xlfn.IFNA(VLOOKUP($AH431,Programma!$F$3:$N$1101,9,0),"")</f>
        <v>_</v>
      </c>
      <c r="AQ431" s="185" t="str">
        <f>_xlfn.IFNA(VLOOKUP($AH431,Programma!$F$3:$O$1101,10,0),"")</f>
        <v>3w</v>
      </c>
      <c r="AR431" s="185" t="str">
        <f>_xlfn.IFNA(VLOOKUP($AH431,Programma!$F$3:$P$1101,11,0),"")</f>
        <v>3w</v>
      </c>
      <c r="AS431" s="185" t="str">
        <f>_xlfn.IFNA(VLOOKUP($AH431,Programma!$F$3:$Q$1101,12,0),"")</f>
        <v>1w</v>
      </c>
      <c r="AT431" s="185" t="str">
        <f>_xlfn.IFNA(VLOOKUP($AH431,Programma!$F$3:$R$1101,13,0),"")</f>
        <v>1w</v>
      </c>
      <c r="AU431" s="185" t="str">
        <f>_xlfn.IFNA(VLOOKUP($AH431,Programma!$F$3:$S$1101,14,0),"")</f>
        <v>1m</v>
      </c>
      <c r="AV431" s="185" t="str">
        <f>_xlfn.IFNA(VLOOKUP($AH431,Programma!$F$3:$T$1101,15,0),"")</f>
        <v>2j</v>
      </c>
      <c r="AW431" s="185" t="str">
        <f>_xlfn.IFNA(VLOOKUP($AH431,Programma!$F$3:$U$1101,16,0),"")</f>
        <v>1j</v>
      </c>
      <c r="AX431" s="185" t="str">
        <f>_xlfn.IFNA(VLOOKUP($AH431,Programma!$F$3:$V$1101,17,0),"")</f>
        <v>_</v>
      </c>
      <c r="AY431" s="185" t="str">
        <f>_xlfn.IFNA(VLOOKUP($AH431,Programma!$F$3:$W$1101,18,0),"")</f>
        <v>_</v>
      </c>
      <c r="AZ431" s="185" t="str">
        <f>_xlfn.IFNA(VLOOKUP($AH431,Programma!$F$3:$X$1101,19,0),"")</f>
        <v>_</v>
      </c>
      <c r="BA431" s="185" t="str">
        <f>_xlfn.IFNA(VLOOKUP($AH431,Programma!$F$3:$Y$1101,20,0),"")</f>
        <v>_</v>
      </c>
      <c r="BB431" s="182"/>
      <c r="BC431" s="181" t="str">
        <f>IF(Ruimtestaat[[#This Row],[Frequentie weekend]]="","",_xlfn.CONCAT(Ruimtestaat[[#This Row],[Ruimte code]],"-",Ruimtestaat[[#This Row],[Frequentie weekend]]," ",Ruimtestaat[[#This Row],[Vloer code]]))</f>
        <v/>
      </c>
      <c r="BD431" s="185" t="str">
        <f>_xlfn.IFNA(VLOOKUP($BC431,Programma!$F$3:$G$1101,2,0),"")</f>
        <v/>
      </c>
      <c r="BE431" s="185" t="str">
        <f>_xlfn.IFNA(VLOOKUP($BC431,Programma!$F$3:$H$1101,3,0),"")</f>
        <v/>
      </c>
      <c r="BF431" s="185" t="str">
        <f>_xlfn.IFNA(VLOOKUP($BC431,Programma!$F$3:$I$1101,4,0),"")</f>
        <v/>
      </c>
      <c r="BG431" s="185" t="str">
        <f>_xlfn.IFNA(VLOOKUP($BC431,Programma!$F$3:$J$1101,5,0),"")</f>
        <v/>
      </c>
      <c r="BH431" s="185" t="str">
        <f>_xlfn.IFNA(VLOOKUP($BC431,Programma!$F$3:$K$1101,6,0),"")</f>
        <v/>
      </c>
      <c r="BI431" s="185" t="str">
        <f>_xlfn.IFNA(VLOOKUP($BC431,Programma!$F$3:$L$1101,7,0),"")</f>
        <v/>
      </c>
      <c r="BJ431" s="185" t="str">
        <f>_xlfn.IFNA(VLOOKUP($BC431,Programma!$F$3:$M$1101,8,0),"")</f>
        <v/>
      </c>
      <c r="BK431" s="185" t="str">
        <f>_xlfn.IFNA(VLOOKUP($BC431,Programma!$F$3:$N$1101,9,0),"")</f>
        <v/>
      </c>
      <c r="BL431" s="185" t="str">
        <f>_xlfn.IFNA(VLOOKUP($BC431,Programma!$F$3:$O$1101,10,0),"")</f>
        <v/>
      </c>
      <c r="BM431" s="185" t="str">
        <f>_xlfn.IFNA(VLOOKUP($BC431,Programma!$F$3:$P$1101,11,0),"")</f>
        <v/>
      </c>
      <c r="BN431" s="185" t="str">
        <f>_xlfn.IFNA(VLOOKUP($BC431,Programma!$F$3:$Q$1101,12,0),"")</f>
        <v/>
      </c>
      <c r="BO431" s="185" t="str">
        <f>_xlfn.IFNA(VLOOKUP($BC431,Programma!$F$3:$R$1101,13,0),"")</f>
        <v/>
      </c>
      <c r="BP431" s="185" t="str">
        <f>_xlfn.IFNA(VLOOKUP($BC431,Programma!$F$3:$S$1101,14,0),"")</f>
        <v/>
      </c>
      <c r="BQ431" s="185" t="str">
        <f>_xlfn.IFNA(VLOOKUP($BC431,Programma!$F$3:$T$1101,15,0),"")</f>
        <v/>
      </c>
      <c r="BR431" s="185" t="str">
        <f>_xlfn.IFNA(VLOOKUP($BC431,Programma!$F$3:$U$1101,16,0),"")</f>
        <v/>
      </c>
      <c r="BS431" s="185" t="str">
        <f>_xlfn.IFNA(VLOOKUP($BC431,Programma!$F$3:$V$1101,17,0),"")</f>
        <v/>
      </c>
      <c r="BT431" s="185" t="str">
        <f>_xlfn.IFNA(VLOOKUP($BC431,Programma!$F$3:$W$1101,18,0),"")</f>
        <v/>
      </c>
      <c r="BU431" s="185" t="str">
        <f>_xlfn.IFNA(VLOOKUP($BC431,Programma!$F$3:$X$1101,19,0),"")</f>
        <v/>
      </c>
      <c r="BV431" s="185" t="str">
        <f>_xlfn.IFNA(VLOOKUP($BC431,Programma!$F$3:$Y$1101,20,0),"")</f>
        <v/>
      </c>
    </row>
    <row r="432" spans="1:74" s="78" customFormat="1" ht="15" customHeight="1">
      <c r="A432" s="99">
        <v>13</v>
      </c>
      <c r="B432" s="176" t="str">
        <f>VLOOKUP(Ruimtestaat[[#This Row],[Code]],Locaties[[Code]:[Locatie]],2,FALSE)</f>
        <v>OMBS Het Zeggelt (Meeuwen)</v>
      </c>
      <c r="C432" s="176" t="str">
        <f>VLOOKUP(Ruimtestaat[[#This Row],[Code]],Locaties[[#All],[Code]:[Adres]],4,FALSE)</f>
        <v>Meeuwenstraat 4</v>
      </c>
      <c r="D432" s="176" t="str">
        <f>VLOOKUP(Ruimtestaat[[#This Row],[Code]],Locaties[[#All],[Code]:[Postcode]],5,FALSE)</f>
        <v>7523 XV</v>
      </c>
      <c r="E432" s="176" t="str">
        <f>VLOOKUP(Ruimtestaat[[#This Row],[Code]],Locaties[#All],6,FALSE)</f>
        <v>Enschede</v>
      </c>
      <c r="F432" s="183"/>
      <c r="G432" s="99" t="s">
        <v>1646</v>
      </c>
      <c r="H432" s="99" t="s">
        <v>1662</v>
      </c>
      <c r="I432" s="183" t="s">
        <v>1658</v>
      </c>
      <c r="J432" s="99">
        <v>6</v>
      </c>
      <c r="K432" s="183" t="str">
        <f>VLOOKUP(Ruimtestaat[[#This Row],[Ruimte code]],Ruimtegroepen[[#All],[Code]:[Ruimte omschrijving]],2,FALSE)</f>
        <v>Gangen/hallen</v>
      </c>
      <c r="L432" s="99" t="s">
        <v>101</v>
      </c>
      <c r="M432" s="99" t="s">
        <v>119</v>
      </c>
      <c r="N432" s="177">
        <v>8.3000000000000007</v>
      </c>
      <c r="O432" s="177"/>
      <c r="P432" s="178" t="str">
        <f>VLOOKUP(Ruimtestaat[[#This Row],[Ruimte code]],Ruimtegroepen[],4,FALSE)</f>
        <v>Ve</v>
      </c>
      <c r="Q432" s="149">
        <v>40</v>
      </c>
      <c r="R432" s="149" t="s">
        <v>2</v>
      </c>
      <c r="S432" s="149">
        <f>IF(Q432&gt;0,IF(RIGHT(Ruimtestaat[[#This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2" s="149">
        <f>IF(S432&gt;0,VLOOKUP($J432,Ruimtegroepen[],3,FALSE)*VLOOKUP($L432,Vloersoorten[],3,FALSE)*VLOOKUP($R432,Frequenties[],3,FALSE)*VLOOKUP($A432,Locaties[],3,FALSE),0)</f>
        <v>0</v>
      </c>
      <c r="U432" s="149">
        <f>Ruimtestaat[[#This Row],[Uitvoeringen werkdagen]]*Ruimtestaat[[#This Row],[Oppervlak (netto)]]</f>
        <v>1660.0000000000002</v>
      </c>
      <c r="V432" s="179">
        <f>IF(T432&gt;0,Ruimtestaat[[#This Row],[Prest. (m2 /jaar) werkdagen]]/Ruimtestaat[[#This Row],[Norm (m2/uur) werkdagen]],0)</f>
        <v>0</v>
      </c>
      <c r="W432" s="180">
        <f>Ruimtestaat[[#This Row],[uren / jaar werkdagen]]*Tariefsopbouw!$E$35</f>
        <v>0</v>
      </c>
      <c r="X432" s="149"/>
      <c r="Y432" s="149">
        <f>IF(Ruimtestaat[[#This Row],[Frequentie weekend]]&gt;0,VALUE(LEFT(X432,1))*Q432,0)</f>
        <v>0</v>
      </c>
      <c r="Z432" s="148">
        <f>IF($Y432&gt;0,VLOOKUP($J432,Ruimtegroepen[],3,FALSE)*VLOOKUP($L432,Vloersoorten[],3,FALSE)*VLOOKUP($X432,Frequenties[],3,FALSE)*VLOOKUP(Ruimtestaat[[#This Row],[Code]],Locaties[],3,FALSE),0)</f>
        <v>0</v>
      </c>
      <c r="AA432" s="148">
        <f>Ruimtestaat[[#This Row],[Uitvoeringen weekend]]*Ruimtestaat[[#This Row],[Oppervlak (netto)]]</f>
        <v>0</v>
      </c>
      <c r="AB432" s="148">
        <f>IF(Z432&gt;0,Ruimtestaat[[#This Row],[Prest. (m2 /jaar) weekend]]/Ruimtestaat[[#This Row],[Norm (m2/uur) weekend]],0)</f>
        <v>0</v>
      </c>
      <c r="AC432" s="180">
        <f>Ruimtestaat[[#This Row],[uren / jaar weekend]]*Tariefsopbouw!$D$40</f>
        <v>0</v>
      </c>
      <c r="AD432" s="179">
        <f>Ruimtestaat[[#This Row],[Prest. (m2 /jaar) weekend]]+Ruimtestaat[[#This Row],[Prest. (m2 /jaar) werkdagen]]</f>
        <v>1660.0000000000002</v>
      </c>
      <c r="AE432" s="179">
        <f>Ruimtestaat[[#This Row],[uren / jaar weekend]]+Ruimtestaat[[#This Row],[uren / jaar werkdagen]]</f>
        <v>0</v>
      </c>
      <c r="AF432" s="174">
        <f>Ruimtestaat[[#This Row],[kosten / jaar weekend]]+Ruimtestaat[[#This Row],[kosten / jaar werkdagen]]</f>
        <v>0</v>
      </c>
      <c r="AG432" s="174"/>
      <c r="AH432" s="181" t="str">
        <f>IF(Ruimtestaat[[#This Row],[Frequentie werkdagen]]="","",_xlfn.CONCAT(Ruimtestaat[[#This Row],[Ruimte code]],"-",Ruimtestaat[[#This Row],[Frequentie werkdagen]]," ",Ruimtestaat[[#This Row],[Vloer code]]))</f>
        <v>6-5w S</v>
      </c>
      <c r="AI432" s="185" t="str">
        <f>_xlfn.IFNA(VLOOKUP($AH432,Programma!$F$3:$G$1101,2,0),"")</f>
        <v>_</v>
      </c>
      <c r="AJ432" s="185" t="str">
        <f>_xlfn.IFNA(VLOOKUP($AH432,Programma!$F$3:$H$1101,3,0),"")</f>
        <v>_</v>
      </c>
      <c r="AK432" s="185" t="str">
        <f>_xlfn.IFNA(VLOOKUP($AH432,Programma!$F$3:$I$1101,4,0),"")</f>
        <v>5w</v>
      </c>
      <c r="AL432" s="185" t="str">
        <f>_xlfn.IFNA(VLOOKUP($AH432,Programma!$F$3:$J$1101,5,0),"")</f>
        <v>_</v>
      </c>
      <c r="AM432" s="185" t="str">
        <f>_xlfn.IFNA(VLOOKUP($AH432,Programma!$F$3:$K$1101,6,0),"")</f>
        <v>5w</v>
      </c>
      <c r="AN432" s="185" t="str">
        <f>_xlfn.IFNA(VLOOKUP($AH432,Programma!$F$3:$L$1101,7,0),"")</f>
        <v>_</v>
      </c>
      <c r="AO432" s="185" t="str">
        <f>_xlfn.IFNA(VLOOKUP($AH432,Programma!$F$3:$M$1101,8,0),"")</f>
        <v>_</v>
      </c>
      <c r="AP432" s="185" t="str">
        <f>_xlfn.IFNA(VLOOKUP($AH432,Programma!$F$3:$N$1101,9,0),"")</f>
        <v>_</v>
      </c>
      <c r="AQ432" s="185" t="str">
        <f>_xlfn.IFNA(VLOOKUP($AH432,Programma!$F$3:$O$1101,10,0),"")</f>
        <v>5w</v>
      </c>
      <c r="AR432" s="185" t="str">
        <f>_xlfn.IFNA(VLOOKUP($AH432,Programma!$F$3:$P$1101,11,0),"")</f>
        <v>5w</v>
      </c>
      <c r="AS432" s="185" t="str">
        <f>_xlfn.IFNA(VLOOKUP($AH432,Programma!$F$3:$Q$1101,12,0),"")</f>
        <v>1w</v>
      </c>
      <c r="AT432" s="185" t="str">
        <f>_xlfn.IFNA(VLOOKUP($AH432,Programma!$F$3:$R$1101,13,0),"")</f>
        <v>1w</v>
      </c>
      <c r="AU432" s="185" t="str">
        <f>_xlfn.IFNA(VLOOKUP($AH432,Programma!$F$3:$S$1101,14,0),"")</f>
        <v>1m</v>
      </c>
      <c r="AV432" s="185" t="str">
        <f>_xlfn.IFNA(VLOOKUP($AH432,Programma!$F$3:$T$1101,15,0),"")</f>
        <v>2j</v>
      </c>
      <c r="AW432" s="185" t="str">
        <f>_xlfn.IFNA(VLOOKUP($AH432,Programma!$F$3:$U$1101,16,0),"")</f>
        <v>1j</v>
      </c>
      <c r="AX432" s="185" t="str">
        <f>_xlfn.IFNA(VLOOKUP($AH432,Programma!$F$3:$V$1101,17,0),"")</f>
        <v>_</v>
      </c>
      <c r="AY432" s="185" t="str">
        <f>_xlfn.IFNA(VLOOKUP($AH432,Programma!$F$3:$W$1101,18,0),"")</f>
        <v>_</v>
      </c>
      <c r="AZ432" s="185" t="str">
        <f>_xlfn.IFNA(VLOOKUP($AH432,Programma!$F$3:$X$1101,19,0),"")</f>
        <v>_</v>
      </c>
      <c r="BA432" s="185" t="str">
        <f>_xlfn.IFNA(VLOOKUP($AH432,Programma!$F$3:$Y$1101,20,0),"")</f>
        <v>_</v>
      </c>
      <c r="BB432" s="182"/>
      <c r="BC432" s="181" t="str">
        <f>IF(Ruimtestaat[[#This Row],[Frequentie weekend]]="","",_xlfn.CONCAT(Ruimtestaat[[#This Row],[Ruimte code]],"-",Ruimtestaat[[#This Row],[Frequentie weekend]]," ",Ruimtestaat[[#This Row],[Vloer code]]))</f>
        <v/>
      </c>
      <c r="BD432" s="185" t="str">
        <f>_xlfn.IFNA(VLOOKUP($BC432,Programma!$F$3:$G$1101,2,0),"")</f>
        <v/>
      </c>
      <c r="BE432" s="185" t="str">
        <f>_xlfn.IFNA(VLOOKUP($BC432,Programma!$F$3:$H$1101,3,0),"")</f>
        <v/>
      </c>
      <c r="BF432" s="185" t="str">
        <f>_xlfn.IFNA(VLOOKUP($BC432,Programma!$F$3:$I$1101,4,0),"")</f>
        <v/>
      </c>
      <c r="BG432" s="185" t="str">
        <f>_xlfn.IFNA(VLOOKUP($BC432,Programma!$F$3:$J$1101,5,0),"")</f>
        <v/>
      </c>
      <c r="BH432" s="185" t="str">
        <f>_xlfn.IFNA(VLOOKUP($BC432,Programma!$F$3:$K$1101,6,0),"")</f>
        <v/>
      </c>
      <c r="BI432" s="185" t="str">
        <f>_xlfn.IFNA(VLOOKUP($BC432,Programma!$F$3:$L$1101,7,0),"")</f>
        <v/>
      </c>
      <c r="BJ432" s="185" t="str">
        <f>_xlfn.IFNA(VLOOKUP($BC432,Programma!$F$3:$M$1101,8,0),"")</f>
        <v/>
      </c>
      <c r="BK432" s="185" t="str">
        <f>_xlfn.IFNA(VLOOKUP($BC432,Programma!$F$3:$N$1101,9,0),"")</f>
        <v/>
      </c>
      <c r="BL432" s="185" t="str">
        <f>_xlfn.IFNA(VLOOKUP($BC432,Programma!$F$3:$O$1101,10,0),"")</f>
        <v/>
      </c>
      <c r="BM432" s="185" t="str">
        <f>_xlfn.IFNA(VLOOKUP($BC432,Programma!$F$3:$P$1101,11,0),"")</f>
        <v/>
      </c>
      <c r="BN432" s="185" t="str">
        <f>_xlfn.IFNA(VLOOKUP($BC432,Programma!$F$3:$Q$1101,12,0),"")</f>
        <v/>
      </c>
      <c r="BO432" s="185" t="str">
        <f>_xlfn.IFNA(VLOOKUP($BC432,Programma!$F$3:$R$1101,13,0),"")</f>
        <v/>
      </c>
      <c r="BP432" s="185" t="str">
        <f>_xlfn.IFNA(VLOOKUP($BC432,Programma!$F$3:$S$1101,14,0),"")</f>
        <v/>
      </c>
      <c r="BQ432" s="185" t="str">
        <f>_xlfn.IFNA(VLOOKUP($BC432,Programma!$F$3:$T$1101,15,0),"")</f>
        <v/>
      </c>
      <c r="BR432" s="185" t="str">
        <f>_xlfn.IFNA(VLOOKUP($BC432,Programma!$F$3:$U$1101,16,0),"")</f>
        <v/>
      </c>
      <c r="BS432" s="185" t="str">
        <f>_xlfn.IFNA(VLOOKUP($BC432,Programma!$F$3:$V$1101,17,0),"")</f>
        <v/>
      </c>
      <c r="BT432" s="185" t="str">
        <f>_xlfn.IFNA(VLOOKUP($BC432,Programma!$F$3:$W$1101,18,0),"")</f>
        <v/>
      </c>
      <c r="BU432" s="185" t="str">
        <f>_xlfn.IFNA(VLOOKUP($BC432,Programma!$F$3:$X$1101,19,0),"")</f>
        <v/>
      </c>
      <c r="BV432" s="185" t="str">
        <f>_xlfn.IFNA(VLOOKUP($BC432,Programma!$F$3:$Y$1101,20,0),"")</f>
        <v/>
      </c>
    </row>
    <row r="433" spans="1:74" s="78" customFormat="1" ht="15" customHeight="1">
      <c r="A433" s="99">
        <v>13</v>
      </c>
      <c r="B433" s="176" t="str">
        <f>VLOOKUP(Ruimtestaat[[#This Row],[Code]],Locaties[[Code]:[Locatie]],2,FALSE)</f>
        <v>OMBS Het Zeggelt (Meeuwen)</v>
      </c>
      <c r="C433" s="176" t="str">
        <f>VLOOKUP(Ruimtestaat[[#This Row],[Code]],Locaties[[#All],[Code]:[Adres]],4,FALSE)</f>
        <v>Meeuwenstraat 4</v>
      </c>
      <c r="D433" s="176" t="str">
        <f>VLOOKUP(Ruimtestaat[[#This Row],[Code]],Locaties[[#All],[Code]:[Postcode]],5,FALSE)</f>
        <v>7523 XV</v>
      </c>
      <c r="E433" s="176" t="str">
        <f>VLOOKUP(Ruimtestaat[[#This Row],[Code]],Locaties[#All],6,FALSE)</f>
        <v>Enschede</v>
      </c>
      <c r="F433" s="183"/>
      <c r="G433" s="99" t="s">
        <v>1646</v>
      </c>
      <c r="H433" s="99" t="s">
        <v>1663</v>
      </c>
      <c r="I433" s="183" t="s">
        <v>1658</v>
      </c>
      <c r="J433" s="99">
        <v>6</v>
      </c>
      <c r="K433" s="183" t="str">
        <f>VLOOKUP(Ruimtestaat[[#This Row],[Ruimte code]],Ruimtegroepen[[#All],[Code]:[Ruimte omschrijving]],2,FALSE)</f>
        <v>Gangen/hallen</v>
      </c>
      <c r="L433" s="99" t="s">
        <v>101</v>
      </c>
      <c r="M433" s="99" t="s">
        <v>119</v>
      </c>
      <c r="N433" s="177">
        <v>16.100000000000001</v>
      </c>
      <c r="O433" s="177"/>
      <c r="P433" s="178" t="str">
        <f>VLOOKUP(Ruimtestaat[[#This Row],[Ruimte code]],Ruimtegroepen[],4,FALSE)</f>
        <v>Ve</v>
      </c>
      <c r="Q433" s="149">
        <v>40</v>
      </c>
      <c r="R433" s="149" t="s">
        <v>2</v>
      </c>
      <c r="S433" s="149">
        <f>IF(Q433&gt;0,IF(RIGHT(Ruimtestaat[[#This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3" s="149">
        <f>IF(S433&gt;0,VLOOKUP($J433,Ruimtegroepen[],3,FALSE)*VLOOKUP($L433,Vloersoorten[],3,FALSE)*VLOOKUP($R433,Frequenties[],3,FALSE)*VLOOKUP($A433,Locaties[],3,FALSE),0)</f>
        <v>0</v>
      </c>
      <c r="U433" s="149">
        <f>Ruimtestaat[[#This Row],[Uitvoeringen werkdagen]]*Ruimtestaat[[#This Row],[Oppervlak (netto)]]</f>
        <v>3220.0000000000005</v>
      </c>
      <c r="V433" s="179">
        <f>IF(T433&gt;0,Ruimtestaat[[#This Row],[Prest. (m2 /jaar) werkdagen]]/Ruimtestaat[[#This Row],[Norm (m2/uur) werkdagen]],0)</f>
        <v>0</v>
      </c>
      <c r="W433" s="180">
        <f>Ruimtestaat[[#This Row],[uren / jaar werkdagen]]*Tariefsopbouw!$E$35</f>
        <v>0</v>
      </c>
      <c r="X433" s="149"/>
      <c r="Y433" s="149">
        <f>IF(Ruimtestaat[[#This Row],[Frequentie weekend]]&gt;0,VALUE(LEFT(X433,1))*Q433,0)</f>
        <v>0</v>
      </c>
      <c r="Z433" s="148">
        <f>IF($Y433&gt;0,VLOOKUP($J433,Ruimtegroepen[],3,FALSE)*VLOOKUP($L433,Vloersoorten[],3,FALSE)*VLOOKUP($X433,Frequenties[],3,FALSE)*VLOOKUP(Ruimtestaat[[#This Row],[Code]],Locaties[],3,FALSE),0)</f>
        <v>0</v>
      </c>
      <c r="AA433" s="148">
        <f>Ruimtestaat[[#This Row],[Uitvoeringen weekend]]*Ruimtestaat[[#This Row],[Oppervlak (netto)]]</f>
        <v>0</v>
      </c>
      <c r="AB433" s="148">
        <f>IF(Z433&gt;0,Ruimtestaat[[#This Row],[Prest. (m2 /jaar) weekend]]/Ruimtestaat[[#This Row],[Norm (m2/uur) weekend]],0)</f>
        <v>0</v>
      </c>
      <c r="AC433" s="180">
        <f>Ruimtestaat[[#This Row],[uren / jaar weekend]]*Tariefsopbouw!$D$40</f>
        <v>0</v>
      </c>
      <c r="AD433" s="179">
        <f>Ruimtestaat[[#This Row],[Prest. (m2 /jaar) weekend]]+Ruimtestaat[[#This Row],[Prest. (m2 /jaar) werkdagen]]</f>
        <v>3220.0000000000005</v>
      </c>
      <c r="AE433" s="179">
        <f>Ruimtestaat[[#This Row],[uren / jaar weekend]]+Ruimtestaat[[#This Row],[uren / jaar werkdagen]]</f>
        <v>0</v>
      </c>
      <c r="AF433" s="174">
        <f>Ruimtestaat[[#This Row],[kosten / jaar weekend]]+Ruimtestaat[[#This Row],[kosten / jaar werkdagen]]</f>
        <v>0</v>
      </c>
      <c r="AG433" s="174"/>
      <c r="AH433" s="181" t="str">
        <f>IF(Ruimtestaat[[#This Row],[Frequentie werkdagen]]="","",_xlfn.CONCAT(Ruimtestaat[[#This Row],[Ruimte code]],"-",Ruimtestaat[[#This Row],[Frequentie werkdagen]]," ",Ruimtestaat[[#This Row],[Vloer code]]))</f>
        <v>6-5w S</v>
      </c>
      <c r="AI433" s="185" t="str">
        <f>_xlfn.IFNA(VLOOKUP($AH433,Programma!$F$3:$G$1101,2,0),"")</f>
        <v>_</v>
      </c>
      <c r="AJ433" s="185" t="str">
        <f>_xlfn.IFNA(VLOOKUP($AH433,Programma!$F$3:$H$1101,3,0),"")</f>
        <v>_</v>
      </c>
      <c r="AK433" s="185" t="str">
        <f>_xlfn.IFNA(VLOOKUP($AH433,Programma!$F$3:$I$1101,4,0),"")</f>
        <v>5w</v>
      </c>
      <c r="AL433" s="185" t="str">
        <f>_xlfn.IFNA(VLOOKUP($AH433,Programma!$F$3:$J$1101,5,0),"")</f>
        <v>_</v>
      </c>
      <c r="AM433" s="185" t="str">
        <f>_xlfn.IFNA(VLOOKUP($AH433,Programma!$F$3:$K$1101,6,0),"")</f>
        <v>5w</v>
      </c>
      <c r="AN433" s="185" t="str">
        <f>_xlfn.IFNA(VLOOKUP($AH433,Programma!$F$3:$L$1101,7,0),"")</f>
        <v>_</v>
      </c>
      <c r="AO433" s="185" t="str">
        <f>_xlfn.IFNA(VLOOKUP($AH433,Programma!$F$3:$M$1101,8,0),"")</f>
        <v>_</v>
      </c>
      <c r="AP433" s="185" t="str">
        <f>_xlfn.IFNA(VLOOKUP($AH433,Programma!$F$3:$N$1101,9,0),"")</f>
        <v>_</v>
      </c>
      <c r="AQ433" s="185" t="str">
        <f>_xlfn.IFNA(VLOOKUP($AH433,Programma!$F$3:$O$1101,10,0),"")</f>
        <v>5w</v>
      </c>
      <c r="AR433" s="185" t="str">
        <f>_xlfn.IFNA(VLOOKUP($AH433,Programma!$F$3:$P$1101,11,0),"")</f>
        <v>5w</v>
      </c>
      <c r="AS433" s="185" t="str">
        <f>_xlfn.IFNA(VLOOKUP($AH433,Programma!$F$3:$Q$1101,12,0),"")</f>
        <v>1w</v>
      </c>
      <c r="AT433" s="185" t="str">
        <f>_xlfn.IFNA(VLOOKUP($AH433,Programma!$F$3:$R$1101,13,0),"")</f>
        <v>1w</v>
      </c>
      <c r="AU433" s="185" t="str">
        <f>_xlfn.IFNA(VLOOKUP($AH433,Programma!$F$3:$S$1101,14,0),"")</f>
        <v>1m</v>
      </c>
      <c r="AV433" s="185" t="str">
        <f>_xlfn.IFNA(VLOOKUP($AH433,Programma!$F$3:$T$1101,15,0),"")</f>
        <v>2j</v>
      </c>
      <c r="AW433" s="185" t="str">
        <f>_xlfn.IFNA(VLOOKUP($AH433,Programma!$F$3:$U$1101,16,0),"")</f>
        <v>1j</v>
      </c>
      <c r="AX433" s="185" t="str">
        <f>_xlfn.IFNA(VLOOKUP($AH433,Programma!$F$3:$V$1101,17,0),"")</f>
        <v>_</v>
      </c>
      <c r="AY433" s="185" t="str">
        <f>_xlfn.IFNA(VLOOKUP($AH433,Programma!$F$3:$W$1101,18,0),"")</f>
        <v>_</v>
      </c>
      <c r="AZ433" s="185" t="str">
        <f>_xlfn.IFNA(VLOOKUP($AH433,Programma!$F$3:$X$1101,19,0),"")</f>
        <v>_</v>
      </c>
      <c r="BA433" s="185" t="str">
        <f>_xlfn.IFNA(VLOOKUP($AH433,Programma!$F$3:$Y$1101,20,0),"")</f>
        <v>_</v>
      </c>
      <c r="BB433" s="182"/>
      <c r="BC433" s="181" t="str">
        <f>IF(Ruimtestaat[[#This Row],[Frequentie weekend]]="","",_xlfn.CONCAT(Ruimtestaat[[#This Row],[Ruimte code]],"-",Ruimtestaat[[#This Row],[Frequentie weekend]]," ",Ruimtestaat[[#This Row],[Vloer code]]))</f>
        <v/>
      </c>
      <c r="BD433" s="185" t="str">
        <f>_xlfn.IFNA(VLOOKUP($BC433,Programma!$F$3:$G$1101,2,0),"")</f>
        <v/>
      </c>
      <c r="BE433" s="185" t="str">
        <f>_xlfn.IFNA(VLOOKUP($BC433,Programma!$F$3:$H$1101,3,0),"")</f>
        <v/>
      </c>
      <c r="BF433" s="185" t="str">
        <f>_xlfn.IFNA(VLOOKUP($BC433,Programma!$F$3:$I$1101,4,0),"")</f>
        <v/>
      </c>
      <c r="BG433" s="185" t="str">
        <f>_xlfn.IFNA(VLOOKUP($BC433,Programma!$F$3:$J$1101,5,0),"")</f>
        <v/>
      </c>
      <c r="BH433" s="185" t="str">
        <f>_xlfn.IFNA(VLOOKUP($BC433,Programma!$F$3:$K$1101,6,0),"")</f>
        <v/>
      </c>
      <c r="BI433" s="185" t="str">
        <f>_xlfn.IFNA(VLOOKUP($BC433,Programma!$F$3:$L$1101,7,0),"")</f>
        <v/>
      </c>
      <c r="BJ433" s="185" t="str">
        <f>_xlfn.IFNA(VLOOKUP($BC433,Programma!$F$3:$M$1101,8,0),"")</f>
        <v/>
      </c>
      <c r="BK433" s="185" t="str">
        <f>_xlfn.IFNA(VLOOKUP($BC433,Programma!$F$3:$N$1101,9,0),"")</f>
        <v/>
      </c>
      <c r="BL433" s="185" t="str">
        <f>_xlfn.IFNA(VLOOKUP($BC433,Programma!$F$3:$O$1101,10,0),"")</f>
        <v/>
      </c>
      <c r="BM433" s="185" t="str">
        <f>_xlfn.IFNA(VLOOKUP($BC433,Programma!$F$3:$P$1101,11,0),"")</f>
        <v/>
      </c>
      <c r="BN433" s="185" t="str">
        <f>_xlfn.IFNA(VLOOKUP($BC433,Programma!$F$3:$Q$1101,12,0),"")</f>
        <v/>
      </c>
      <c r="BO433" s="185" t="str">
        <f>_xlfn.IFNA(VLOOKUP($BC433,Programma!$F$3:$R$1101,13,0),"")</f>
        <v/>
      </c>
      <c r="BP433" s="185" t="str">
        <f>_xlfn.IFNA(VLOOKUP($BC433,Programma!$F$3:$S$1101,14,0),"")</f>
        <v/>
      </c>
      <c r="BQ433" s="185" t="str">
        <f>_xlfn.IFNA(VLOOKUP($BC433,Programma!$F$3:$T$1101,15,0),"")</f>
        <v/>
      </c>
      <c r="BR433" s="185" t="str">
        <f>_xlfn.IFNA(VLOOKUP($BC433,Programma!$F$3:$U$1101,16,0),"")</f>
        <v/>
      </c>
      <c r="BS433" s="185" t="str">
        <f>_xlfn.IFNA(VLOOKUP($BC433,Programma!$F$3:$V$1101,17,0),"")</f>
        <v/>
      </c>
      <c r="BT433" s="185" t="str">
        <f>_xlfn.IFNA(VLOOKUP($BC433,Programma!$F$3:$W$1101,18,0),"")</f>
        <v/>
      </c>
      <c r="BU433" s="185" t="str">
        <f>_xlfn.IFNA(VLOOKUP($BC433,Programma!$F$3:$X$1101,19,0),"")</f>
        <v/>
      </c>
      <c r="BV433" s="185" t="str">
        <f>_xlfn.IFNA(VLOOKUP($BC433,Programma!$F$3:$Y$1101,20,0),"")</f>
        <v/>
      </c>
    </row>
    <row r="434" spans="1:74" s="78" customFormat="1" ht="15" customHeight="1">
      <c r="A434" s="99">
        <v>13</v>
      </c>
      <c r="B434" s="176" t="str">
        <f>VLOOKUP(Ruimtestaat[[#This Row],[Code]],Locaties[[Code]:[Locatie]],2,FALSE)</f>
        <v>OMBS Het Zeggelt (Meeuwen)</v>
      </c>
      <c r="C434" s="176" t="str">
        <f>VLOOKUP(Ruimtestaat[[#This Row],[Code]],Locaties[[#All],[Code]:[Adres]],4,FALSE)</f>
        <v>Meeuwenstraat 4</v>
      </c>
      <c r="D434" s="176" t="str">
        <f>VLOOKUP(Ruimtestaat[[#This Row],[Code]],Locaties[[#All],[Code]:[Postcode]],5,FALSE)</f>
        <v>7523 XV</v>
      </c>
      <c r="E434" s="176" t="str">
        <f>VLOOKUP(Ruimtestaat[[#This Row],[Code]],Locaties[#All],6,FALSE)</f>
        <v>Enschede</v>
      </c>
      <c r="F434" s="183"/>
      <c r="G434" s="99" t="s">
        <v>1646</v>
      </c>
      <c r="H434" s="99" t="s">
        <v>1664</v>
      </c>
      <c r="I434" s="183" t="s">
        <v>1649</v>
      </c>
      <c r="J434" s="99">
        <v>2</v>
      </c>
      <c r="K434" s="183" t="str">
        <f>VLOOKUP(Ruimtestaat[[#This Row],[Ruimte code]],Ruimtegroepen[[#All],[Code]:[Ruimte omschrijving]],2,FALSE)</f>
        <v>Kantoren</v>
      </c>
      <c r="L434" s="99" t="s">
        <v>99</v>
      </c>
      <c r="M434" s="99" t="s">
        <v>36</v>
      </c>
      <c r="N434" s="177">
        <v>20.399999999999999</v>
      </c>
      <c r="O434" s="177"/>
      <c r="P434" s="178" t="str">
        <f>VLOOKUP(Ruimtestaat[[#This Row],[Ruimte code]],Ruimtegroepen[],4,FALSE)</f>
        <v>Bu</v>
      </c>
      <c r="Q434" s="149">
        <v>40</v>
      </c>
      <c r="R434" s="149" t="s">
        <v>18</v>
      </c>
      <c r="S434" s="149">
        <f>IF(Q434&gt;0,IF(RIGHT(Ruimtestaat[[#This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34" s="149">
        <f>IF(S434&gt;0,VLOOKUP($J434,Ruimtegroepen[],3,FALSE)*VLOOKUP($L434,Vloersoorten[],3,FALSE)*VLOOKUP($R434,Frequenties[],3,FALSE)*VLOOKUP($A434,Locaties[],3,FALSE),0)</f>
        <v>0</v>
      </c>
      <c r="U434" s="149">
        <f>Ruimtestaat[[#This Row],[Uitvoeringen werkdagen]]*Ruimtestaat[[#This Row],[Oppervlak (netto)]]</f>
        <v>2448</v>
      </c>
      <c r="V434" s="179">
        <f>IF(T434&gt;0,Ruimtestaat[[#This Row],[Prest. (m2 /jaar) werkdagen]]/Ruimtestaat[[#This Row],[Norm (m2/uur) werkdagen]],0)</f>
        <v>0</v>
      </c>
      <c r="W434" s="180">
        <f>Ruimtestaat[[#This Row],[uren / jaar werkdagen]]*Tariefsopbouw!$E$35</f>
        <v>0</v>
      </c>
      <c r="X434" s="149"/>
      <c r="Y434" s="149">
        <f>IF(Ruimtestaat[[#This Row],[Frequentie weekend]]&gt;0,VALUE(LEFT(X434,1))*Q434,0)</f>
        <v>0</v>
      </c>
      <c r="Z434" s="148">
        <f>IF($Y434&gt;0,VLOOKUP($J434,Ruimtegroepen[],3,FALSE)*VLOOKUP($L434,Vloersoorten[],3,FALSE)*VLOOKUP($X434,Frequenties[],3,FALSE)*VLOOKUP(Ruimtestaat[[#This Row],[Code]],Locaties[],3,FALSE),0)</f>
        <v>0</v>
      </c>
      <c r="AA434" s="148">
        <f>Ruimtestaat[[#This Row],[Uitvoeringen weekend]]*Ruimtestaat[[#This Row],[Oppervlak (netto)]]</f>
        <v>0</v>
      </c>
      <c r="AB434" s="148">
        <f>IF(Z434&gt;0,Ruimtestaat[[#This Row],[Prest. (m2 /jaar) weekend]]/Ruimtestaat[[#This Row],[Norm (m2/uur) weekend]],0)</f>
        <v>0</v>
      </c>
      <c r="AC434" s="180">
        <f>Ruimtestaat[[#This Row],[uren / jaar weekend]]*Tariefsopbouw!$D$40</f>
        <v>0</v>
      </c>
      <c r="AD434" s="179">
        <f>Ruimtestaat[[#This Row],[Prest. (m2 /jaar) weekend]]+Ruimtestaat[[#This Row],[Prest. (m2 /jaar) werkdagen]]</f>
        <v>2448</v>
      </c>
      <c r="AE434" s="179">
        <f>Ruimtestaat[[#This Row],[uren / jaar weekend]]+Ruimtestaat[[#This Row],[uren / jaar werkdagen]]</f>
        <v>0</v>
      </c>
      <c r="AF434" s="174">
        <f>Ruimtestaat[[#This Row],[kosten / jaar weekend]]+Ruimtestaat[[#This Row],[kosten / jaar werkdagen]]</f>
        <v>0</v>
      </c>
      <c r="AG434" s="174"/>
      <c r="AH434" s="181" t="str">
        <f>IF(Ruimtestaat[[#This Row],[Frequentie werkdagen]]="","",_xlfn.CONCAT(Ruimtestaat[[#This Row],[Ruimte code]],"-",Ruimtestaat[[#This Row],[Frequentie werkdagen]]," ",Ruimtestaat[[#This Row],[Vloer code]]))</f>
        <v>2-3w T</v>
      </c>
      <c r="AI434" s="185" t="str">
        <f>_xlfn.IFNA(VLOOKUP($AH434,Programma!$F$3:$G$1101,2,0),"")</f>
        <v>2w</v>
      </c>
      <c r="AJ434" s="185" t="str">
        <f>_xlfn.IFNA(VLOOKUP($AH434,Programma!$F$3:$H$1101,3,0),"")</f>
        <v>1w</v>
      </c>
      <c r="AK434" s="185" t="str">
        <f>_xlfn.IFNA(VLOOKUP($AH434,Programma!$F$3:$I$1101,4,0),"")</f>
        <v>_</v>
      </c>
      <c r="AL434" s="185" t="str">
        <f>_xlfn.IFNA(VLOOKUP($AH434,Programma!$F$3:$J$1101,5,0),"")</f>
        <v>_</v>
      </c>
      <c r="AM434" s="185" t="str">
        <f>_xlfn.IFNA(VLOOKUP($AH434,Programma!$F$3:$K$1101,6,0),"")</f>
        <v>_</v>
      </c>
      <c r="AN434" s="185" t="str">
        <f>_xlfn.IFNA(VLOOKUP($AH434,Programma!$F$3:$L$1101,7,0),"")</f>
        <v>_</v>
      </c>
      <c r="AO434" s="185" t="str">
        <f>_xlfn.IFNA(VLOOKUP($AH434,Programma!$F$3:$M$1101,8,0),"")</f>
        <v>_</v>
      </c>
      <c r="AP434" s="185" t="str">
        <f>_xlfn.IFNA(VLOOKUP($AH434,Programma!$F$3:$N$1101,9,0),"")</f>
        <v>_</v>
      </c>
      <c r="AQ434" s="185" t="str">
        <f>_xlfn.IFNA(VLOOKUP($AH434,Programma!$F$3:$O$1101,10,0),"")</f>
        <v>3w</v>
      </c>
      <c r="AR434" s="185" t="str">
        <f>_xlfn.IFNA(VLOOKUP($AH434,Programma!$F$3:$P$1101,11,0),"")</f>
        <v>3w</v>
      </c>
      <c r="AS434" s="185" t="str">
        <f>_xlfn.IFNA(VLOOKUP($AH434,Programma!$F$3:$Q$1101,12,0),"")</f>
        <v>1w</v>
      </c>
      <c r="AT434" s="185" t="str">
        <f>_xlfn.IFNA(VLOOKUP($AH434,Programma!$F$3:$R$1101,13,0),"")</f>
        <v>1w</v>
      </c>
      <c r="AU434" s="185" t="str">
        <f>_xlfn.IFNA(VLOOKUP($AH434,Programma!$F$3:$S$1101,14,0),"")</f>
        <v>1m</v>
      </c>
      <c r="AV434" s="185" t="str">
        <f>_xlfn.IFNA(VLOOKUP($AH434,Programma!$F$3:$T$1101,15,0),"")</f>
        <v>2j</v>
      </c>
      <c r="AW434" s="185" t="str">
        <f>_xlfn.IFNA(VLOOKUP($AH434,Programma!$F$3:$U$1101,16,0),"")</f>
        <v>1j</v>
      </c>
      <c r="AX434" s="185" t="str">
        <f>_xlfn.IFNA(VLOOKUP($AH434,Programma!$F$3:$V$1101,17,0),"")</f>
        <v>_</v>
      </c>
      <c r="AY434" s="185" t="str">
        <f>_xlfn.IFNA(VLOOKUP($AH434,Programma!$F$3:$W$1101,18,0),"")</f>
        <v>_</v>
      </c>
      <c r="AZ434" s="185" t="str">
        <f>_xlfn.IFNA(VLOOKUP($AH434,Programma!$F$3:$X$1101,19,0),"")</f>
        <v>_</v>
      </c>
      <c r="BA434" s="185" t="str">
        <f>_xlfn.IFNA(VLOOKUP($AH434,Programma!$F$3:$Y$1101,20,0),"")</f>
        <v>_</v>
      </c>
      <c r="BB434" s="182"/>
      <c r="BC434" s="181" t="str">
        <f>IF(Ruimtestaat[[#This Row],[Frequentie weekend]]="","",_xlfn.CONCAT(Ruimtestaat[[#This Row],[Ruimte code]],"-",Ruimtestaat[[#This Row],[Frequentie weekend]]," ",Ruimtestaat[[#This Row],[Vloer code]]))</f>
        <v/>
      </c>
      <c r="BD434" s="185" t="str">
        <f>_xlfn.IFNA(VLOOKUP($BC434,Programma!$F$3:$G$1101,2,0),"")</f>
        <v/>
      </c>
      <c r="BE434" s="185" t="str">
        <f>_xlfn.IFNA(VLOOKUP($BC434,Programma!$F$3:$H$1101,3,0),"")</f>
        <v/>
      </c>
      <c r="BF434" s="185" t="str">
        <f>_xlfn.IFNA(VLOOKUP($BC434,Programma!$F$3:$I$1101,4,0),"")</f>
        <v/>
      </c>
      <c r="BG434" s="185" t="str">
        <f>_xlfn.IFNA(VLOOKUP($BC434,Programma!$F$3:$J$1101,5,0),"")</f>
        <v/>
      </c>
      <c r="BH434" s="185" t="str">
        <f>_xlfn.IFNA(VLOOKUP($BC434,Programma!$F$3:$K$1101,6,0),"")</f>
        <v/>
      </c>
      <c r="BI434" s="185" t="str">
        <f>_xlfn.IFNA(VLOOKUP($BC434,Programma!$F$3:$L$1101,7,0),"")</f>
        <v/>
      </c>
      <c r="BJ434" s="185" t="str">
        <f>_xlfn.IFNA(VLOOKUP($BC434,Programma!$F$3:$M$1101,8,0),"")</f>
        <v/>
      </c>
      <c r="BK434" s="185" t="str">
        <f>_xlfn.IFNA(VLOOKUP($BC434,Programma!$F$3:$N$1101,9,0),"")</f>
        <v/>
      </c>
      <c r="BL434" s="185" t="str">
        <f>_xlfn.IFNA(VLOOKUP($BC434,Programma!$F$3:$O$1101,10,0),"")</f>
        <v/>
      </c>
      <c r="BM434" s="185" t="str">
        <f>_xlfn.IFNA(VLOOKUP($BC434,Programma!$F$3:$P$1101,11,0),"")</f>
        <v/>
      </c>
      <c r="BN434" s="185" t="str">
        <f>_xlfn.IFNA(VLOOKUP($BC434,Programma!$F$3:$Q$1101,12,0),"")</f>
        <v/>
      </c>
      <c r="BO434" s="185" t="str">
        <f>_xlfn.IFNA(VLOOKUP($BC434,Programma!$F$3:$R$1101,13,0),"")</f>
        <v/>
      </c>
      <c r="BP434" s="185" t="str">
        <f>_xlfn.IFNA(VLOOKUP($BC434,Programma!$F$3:$S$1101,14,0),"")</f>
        <v/>
      </c>
      <c r="BQ434" s="185" t="str">
        <f>_xlfn.IFNA(VLOOKUP($BC434,Programma!$F$3:$T$1101,15,0),"")</f>
        <v/>
      </c>
      <c r="BR434" s="185" t="str">
        <f>_xlfn.IFNA(VLOOKUP($BC434,Programma!$F$3:$U$1101,16,0),"")</f>
        <v/>
      </c>
      <c r="BS434" s="185" t="str">
        <f>_xlfn.IFNA(VLOOKUP($BC434,Programma!$F$3:$V$1101,17,0),"")</f>
        <v/>
      </c>
      <c r="BT434" s="185" t="str">
        <f>_xlfn.IFNA(VLOOKUP($BC434,Programma!$F$3:$W$1101,18,0),"")</f>
        <v/>
      </c>
      <c r="BU434" s="185" t="str">
        <f>_xlfn.IFNA(VLOOKUP($BC434,Programma!$F$3:$X$1101,19,0),"")</f>
        <v/>
      </c>
      <c r="BV434" s="185" t="str">
        <f>_xlfn.IFNA(VLOOKUP($BC434,Programma!$F$3:$Y$1101,20,0),"")</f>
        <v/>
      </c>
    </row>
    <row r="435" spans="1:74" s="78" customFormat="1" ht="15" customHeight="1">
      <c r="A435" s="99">
        <v>13</v>
      </c>
      <c r="B435" s="176" t="str">
        <f>VLOOKUP(Ruimtestaat[[#This Row],[Code]],Locaties[[Code]:[Locatie]],2,FALSE)</f>
        <v>OMBS Het Zeggelt (Meeuwen)</v>
      </c>
      <c r="C435" s="176" t="str">
        <f>VLOOKUP(Ruimtestaat[[#This Row],[Code]],Locaties[[#All],[Code]:[Adres]],4,FALSE)</f>
        <v>Meeuwenstraat 4</v>
      </c>
      <c r="D435" s="176" t="str">
        <f>VLOOKUP(Ruimtestaat[[#This Row],[Code]],Locaties[[#All],[Code]:[Postcode]],5,FALSE)</f>
        <v>7523 XV</v>
      </c>
      <c r="E435" s="176" t="str">
        <f>VLOOKUP(Ruimtestaat[[#This Row],[Code]],Locaties[#All],6,FALSE)</f>
        <v>Enschede</v>
      </c>
      <c r="F435" s="183"/>
      <c r="G435" s="99" t="s">
        <v>1646</v>
      </c>
      <c r="H435" s="99" t="s">
        <v>1666</v>
      </c>
      <c r="I435" s="183" t="s">
        <v>1655</v>
      </c>
      <c r="J435" s="99">
        <v>5</v>
      </c>
      <c r="K435" s="183" t="str">
        <f>VLOOKUP(Ruimtestaat[[#This Row],[Ruimte code]],Ruimtegroepen[[#All],[Code]:[Ruimte omschrijving]],2,FALSE)</f>
        <v>Sanitair</v>
      </c>
      <c r="L435" s="99" t="s">
        <v>101</v>
      </c>
      <c r="M435" s="99" t="s">
        <v>1682</v>
      </c>
      <c r="N435" s="177">
        <v>1.5</v>
      </c>
      <c r="O435" s="177"/>
      <c r="P435" s="178" t="str">
        <f>VLOOKUP(Ruimtestaat[[#This Row],[Ruimte code]],Ruimtegroepen[],4,FALSE)</f>
        <v>Sa</v>
      </c>
      <c r="Q435" s="149">
        <v>40</v>
      </c>
      <c r="R435" s="149" t="s">
        <v>2</v>
      </c>
      <c r="S435" s="149">
        <f>IF(Q435&gt;0,IF(RIGHT(Ruimtestaat[[#This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5" s="149">
        <f>IF(S435&gt;0,VLOOKUP($J435,Ruimtegroepen[],3,FALSE)*VLOOKUP($L435,Vloersoorten[],3,FALSE)*VLOOKUP($R435,Frequenties[],3,FALSE)*VLOOKUP($A435,Locaties[],3,FALSE),0)</f>
        <v>0</v>
      </c>
      <c r="U435" s="149">
        <f>Ruimtestaat[[#This Row],[Uitvoeringen werkdagen]]*Ruimtestaat[[#This Row],[Oppervlak (netto)]]</f>
        <v>300</v>
      </c>
      <c r="V435" s="179">
        <f>IF(T435&gt;0,Ruimtestaat[[#This Row],[Prest. (m2 /jaar) werkdagen]]/Ruimtestaat[[#This Row],[Norm (m2/uur) werkdagen]],0)</f>
        <v>0</v>
      </c>
      <c r="W435" s="180">
        <f>Ruimtestaat[[#This Row],[uren / jaar werkdagen]]*Tariefsopbouw!$E$35</f>
        <v>0</v>
      </c>
      <c r="X435" s="149"/>
      <c r="Y435" s="149">
        <f>IF(Ruimtestaat[[#This Row],[Frequentie weekend]]&gt;0,VALUE(LEFT(X435,1))*Q435,0)</f>
        <v>0</v>
      </c>
      <c r="Z435" s="148">
        <f>IF($Y435&gt;0,VLOOKUP($J435,Ruimtegroepen[],3,FALSE)*VLOOKUP($L435,Vloersoorten[],3,FALSE)*VLOOKUP($X435,Frequenties[],3,FALSE)*VLOOKUP(Ruimtestaat[[#This Row],[Code]],Locaties[],3,FALSE),0)</f>
        <v>0</v>
      </c>
      <c r="AA435" s="148">
        <f>Ruimtestaat[[#This Row],[Uitvoeringen weekend]]*Ruimtestaat[[#This Row],[Oppervlak (netto)]]</f>
        <v>0</v>
      </c>
      <c r="AB435" s="148">
        <f>IF(Z435&gt;0,Ruimtestaat[[#This Row],[Prest. (m2 /jaar) weekend]]/Ruimtestaat[[#This Row],[Norm (m2/uur) weekend]],0)</f>
        <v>0</v>
      </c>
      <c r="AC435" s="180">
        <f>Ruimtestaat[[#This Row],[uren / jaar weekend]]*Tariefsopbouw!$D$40</f>
        <v>0</v>
      </c>
      <c r="AD435" s="179">
        <f>Ruimtestaat[[#This Row],[Prest. (m2 /jaar) weekend]]+Ruimtestaat[[#This Row],[Prest. (m2 /jaar) werkdagen]]</f>
        <v>300</v>
      </c>
      <c r="AE435" s="179">
        <f>Ruimtestaat[[#This Row],[uren / jaar weekend]]+Ruimtestaat[[#This Row],[uren / jaar werkdagen]]</f>
        <v>0</v>
      </c>
      <c r="AF435" s="174">
        <f>Ruimtestaat[[#This Row],[kosten / jaar weekend]]+Ruimtestaat[[#This Row],[kosten / jaar werkdagen]]</f>
        <v>0</v>
      </c>
      <c r="AG435" s="174"/>
      <c r="AH435" s="181" t="str">
        <f>IF(Ruimtestaat[[#This Row],[Frequentie werkdagen]]="","",_xlfn.CONCAT(Ruimtestaat[[#This Row],[Ruimte code]],"-",Ruimtestaat[[#This Row],[Frequentie werkdagen]]," ",Ruimtestaat[[#This Row],[Vloer code]]))</f>
        <v>5-5w S</v>
      </c>
      <c r="AI435" s="185" t="str">
        <f>_xlfn.IFNA(VLOOKUP($AH435,Programma!$F$3:$G$1101,2,0),"")</f>
        <v>_</v>
      </c>
      <c r="AJ435" s="185" t="str">
        <f>_xlfn.IFNA(VLOOKUP($AH435,Programma!$F$3:$H$1101,3,0),"")</f>
        <v>_</v>
      </c>
      <c r="AK435" s="185" t="str">
        <f>_xlfn.IFNA(VLOOKUP($AH435,Programma!$F$3:$I$1101,4,0),"")</f>
        <v>_</v>
      </c>
      <c r="AL435" s="185" t="str">
        <f>_xlfn.IFNA(VLOOKUP($AH435,Programma!$F$3:$J$1101,5,0),"")</f>
        <v>4w</v>
      </c>
      <c r="AM435" s="185" t="str">
        <f>_xlfn.IFNA(VLOOKUP($AH435,Programma!$F$3:$K$1101,6,0),"")</f>
        <v>1w</v>
      </c>
      <c r="AN435" s="185" t="str">
        <f>_xlfn.IFNA(VLOOKUP($AH435,Programma!$F$3:$L$1101,7,0),"")</f>
        <v>_</v>
      </c>
      <c r="AO435" s="185" t="str">
        <f>_xlfn.IFNA(VLOOKUP($AH435,Programma!$F$3:$M$1101,8,0),"")</f>
        <v>_</v>
      </c>
      <c r="AP435" s="185" t="str">
        <f>_xlfn.IFNA(VLOOKUP($AH435,Programma!$F$3:$N$1101,9,0),"")</f>
        <v>_</v>
      </c>
      <c r="AQ435" s="185" t="str">
        <f>_xlfn.IFNA(VLOOKUP($AH435,Programma!$F$3:$O$1101,10,0),"")</f>
        <v>_</v>
      </c>
      <c r="AR435" s="185" t="str">
        <f>_xlfn.IFNA(VLOOKUP($AH435,Programma!$F$3:$P$1101,11,0),"")</f>
        <v>_</v>
      </c>
      <c r="AS435" s="185" t="str">
        <f>_xlfn.IFNA(VLOOKUP($AH435,Programma!$F$3:$Q$1101,12,0),"")</f>
        <v>_</v>
      </c>
      <c r="AT435" s="185" t="str">
        <f>_xlfn.IFNA(VLOOKUP($AH435,Programma!$F$3:$R$1101,13,0),"")</f>
        <v>_</v>
      </c>
      <c r="AU435" s="185" t="str">
        <f>_xlfn.IFNA(VLOOKUP($AH435,Programma!$F$3:$S$1101,14,0),"")</f>
        <v>_</v>
      </c>
      <c r="AV435" s="185" t="str">
        <f>_xlfn.IFNA(VLOOKUP($AH435,Programma!$F$3:$T$1101,15,0),"")</f>
        <v>_</v>
      </c>
      <c r="AW435" s="185" t="str">
        <f>_xlfn.IFNA(VLOOKUP($AH435,Programma!$F$3:$U$1101,16,0),"")</f>
        <v>_</v>
      </c>
      <c r="AX435" s="185" t="str">
        <f>_xlfn.IFNA(VLOOKUP($AH435,Programma!$F$3:$V$1101,17,0),"")</f>
        <v>_</v>
      </c>
      <c r="AY435" s="185" t="str">
        <f>_xlfn.IFNA(VLOOKUP($AH435,Programma!$F$3:$W$1101,18,0),"")</f>
        <v>4w</v>
      </c>
      <c r="AZ435" s="185" t="str">
        <f>_xlfn.IFNA(VLOOKUP($AH435,Programma!$F$3:$X$1101,19,0),"")</f>
        <v>1w</v>
      </c>
      <c r="BA435" s="185" t="str">
        <f>_xlfn.IFNA(VLOOKUP($AH435,Programma!$F$3:$Y$1101,20,0),"")</f>
        <v>_</v>
      </c>
      <c r="BB435" s="182"/>
      <c r="BC435" s="181" t="str">
        <f>IF(Ruimtestaat[[#This Row],[Frequentie weekend]]="","",_xlfn.CONCAT(Ruimtestaat[[#This Row],[Ruimte code]],"-",Ruimtestaat[[#This Row],[Frequentie weekend]]," ",Ruimtestaat[[#This Row],[Vloer code]]))</f>
        <v/>
      </c>
      <c r="BD435" s="185" t="str">
        <f>_xlfn.IFNA(VLOOKUP($BC435,Programma!$F$3:$G$1101,2,0),"")</f>
        <v/>
      </c>
      <c r="BE435" s="185" t="str">
        <f>_xlfn.IFNA(VLOOKUP($BC435,Programma!$F$3:$H$1101,3,0),"")</f>
        <v/>
      </c>
      <c r="BF435" s="185" t="str">
        <f>_xlfn.IFNA(VLOOKUP($BC435,Programma!$F$3:$I$1101,4,0),"")</f>
        <v/>
      </c>
      <c r="BG435" s="185" t="str">
        <f>_xlfn.IFNA(VLOOKUP($BC435,Programma!$F$3:$J$1101,5,0),"")</f>
        <v/>
      </c>
      <c r="BH435" s="185" t="str">
        <f>_xlfn.IFNA(VLOOKUP($BC435,Programma!$F$3:$K$1101,6,0),"")</f>
        <v/>
      </c>
      <c r="BI435" s="185" t="str">
        <f>_xlfn.IFNA(VLOOKUP($BC435,Programma!$F$3:$L$1101,7,0),"")</f>
        <v/>
      </c>
      <c r="BJ435" s="185" t="str">
        <f>_xlfn.IFNA(VLOOKUP($BC435,Programma!$F$3:$M$1101,8,0),"")</f>
        <v/>
      </c>
      <c r="BK435" s="185" t="str">
        <f>_xlfn.IFNA(VLOOKUP($BC435,Programma!$F$3:$N$1101,9,0),"")</f>
        <v/>
      </c>
      <c r="BL435" s="185" t="str">
        <f>_xlfn.IFNA(VLOOKUP($BC435,Programma!$F$3:$O$1101,10,0),"")</f>
        <v/>
      </c>
      <c r="BM435" s="185" t="str">
        <f>_xlfn.IFNA(VLOOKUP($BC435,Programma!$F$3:$P$1101,11,0),"")</f>
        <v/>
      </c>
      <c r="BN435" s="185" t="str">
        <f>_xlfn.IFNA(VLOOKUP($BC435,Programma!$F$3:$Q$1101,12,0),"")</f>
        <v/>
      </c>
      <c r="BO435" s="185" t="str">
        <f>_xlfn.IFNA(VLOOKUP($BC435,Programma!$F$3:$R$1101,13,0),"")</f>
        <v/>
      </c>
      <c r="BP435" s="185" t="str">
        <f>_xlfn.IFNA(VLOOKUP($BC435,Programma!$F$3:$S$1101,14,0),"")</f>
        <v/>
      </c>
      <c r="BQ435" s="185" t="str">
        <f>_xlfn.IFNA(VLOOKUP($BC435,Programma!$F$3:$T$1101,15,0),"")</f>
        <v/>
      </c>
      <c r="BR435" s="185" t="str">
        <f>_xlfn.IFNA(VLOOKUP($BC435,Programma!$F$3:$U$1101,16,0),"")</f>
        <v/>
      </c>
      <c r="BS435" s="185" t="str">
        <f>_xlfn.IFNA(VLOOKUP($BC435,Programma!$F$3:$V$1101,17,0),"")</f>
        <v/>
      </c>
      <c r="BT435" s="185" t="str">
        <f>_xlfn.IFNA(VLOOKUP($BC435,Programma!$F$3:$W$1101,18,0),"")</f>
        <v/>
      </c>
      <c r="BU435" s="185" t="str">
        <f>_xlfn.IFNA(VLOOKUP($BC435,Programma!$F$3:$X$1101,19,0),"")</f>
        <v/>
      </c>
      <c r="BV435" s="185" t="str">
        <f>_xlfn.IFNA(VLOOKUP($BC435,Programma!$F$3:$Y$1101,20,0),"")</f>
        <v/>
      </c>
    </row>
    <row r="436" spans="1:74" s="78" customFormat="1" ht="15" customHeight="1">
      <c r="A436" s="99">
        <v>13</v>
      </c>
      <c r="B436" s="176" t="str">
        <f>VLOOKUP(Ruimtestaat[[#This Row],[Code]],Locaties[[Code]:[Locatie]],2,FALSE)</f>
        <v>OMBS Het Zeggelt (Meeuwen)</v>
      </c>
      <c r="C436" s="176" t="str">
        <f>VLOOKUP(Ruimtestaat[[#This Row],[Code]],Locaties[[#All],[Code]:[Adres]],4,FALSE)</f>
        <v>Meeuwenstraat 4</v>
      </c>
      <c r="D436" s="176" t="str">
        <f>VLOOKUP(Ruimtestaat[[#This Row],[Code]],Locaties[[#All],[Code]:[Postcode]],5,FALSE)</f>
        <v>7523 XV</v>
      </c>
      <c r="E436" s="176" t="str">
        <f>VLOOKUP(Ruimtestaat[[#This Row],[Code]],Locaties[#All],6,FALSE)</f>
        <v>Enschede</v>
      </c>
      <c r="F436" s="183"/>
      <c r="G436" s="99" t="s">
        <v>1646</v>
      </c>
      <c r="H436" s="99" t="s">
        <v>1668</v>
      </c>
      <c r="I436" s="183" t="s">
        <v>1651</v>
      </c>
      <c r="J436" s="99">
        <v>16</v>
      </c>
      <c r="K436" s="183" t="str">
        <f>VLOOKUP(Ruimtestaat[[#This Row],[Ruimte code]],Ruimtegroepen[[#All],[Code]:[Ruimte omschrijving]],2,FALSE)</f>
        <v>Leslokalen</v>
      </c>
      <c r="L436" s="99" t="s">
        <v>102</v>
      </c>
      <c r="M436" s="99" t="s">
        <v>120</v>
      </c>
      <c r="N436" s="177">
        <v>69.099999999999994</v>
      </c>
      <c r="O436" s="177"/>
      <c r="P436" s="178" t="str">
        <f>VLOOKUP(Ruimtestaat[[#This Row],[Ruimte code]],Ruimtegroepen[],4,FALSE)</f>
        <v>Le</v>
      </c>
      <c r="Q436" s="149">
        <v>40</v>
      </c>
      <c r="R436" s="149" t="s">
        <v>2</v>
      </c>
      <c r="S436" s="149">
        <f>IF(Q436&gt;0,IF(RIGHT(Ruimtestaat[[#This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6" s="149">
        <f>IF(S436&gt;0,VLOOKUP($J436,Ruimtegroepen[],3,FALSE)*VLOOKUP($L436,Vloersoorten[],3,FALSE)*VLOOKUP($R436,Frequenties[],3,FALSE)*VLOOKUP($A436,Locaties[],3,FALSE),0)</f>
        <v>0</v>
      </c>
      <c r="U436" s="149">
        <f>Ruimtestaat[[#This Row],[Uitvoeringen werkdagen]]*Ruimtestaat[[#This Row],[Oppervlak (netto)]]</f>
        <v>13819.999999999998</v>
      </c>
      <c r="V436" s="179">
        <f>IF(T436&gt;0,Ruimtestaat[[#This Row],[Prest. (m2 /jaar) werkdagen]]/Ruimtestaat[[#This Row],[Norm (m2/uur) werkdagen]],0)</f>
        <v>0</v>
      </c>
      <c r="W436" s="180">
        <f>Ruimtestaat[[#This Row],[uren / jaar werkdagen]]*Tariefsopbouw!$E$35</f>
        <v>0</v>
      </c>
      <c r="X436" s="149"/>
      <c r="Y436" s="149">
        <f>IF(Ruimtestaat[[#This Row],[Frequentie weekend]]&gt;0,VALUE(LEFT(X436,1))*Q436,0)</f>
        <v>0</v>
      </c>
      <c r="Z436" s="148">
        <f>IF($Y436&gt;0,VLOOKUP($J436,Ruimtegroepen[],3,FALSE)*VLOOKUP($L436,Vloersoorten[],3,FALSE)*VLOOKUP($X436,Frequenties[],3,FALSE)*VLOOKUP(Ruimtestaat[[#This Row],[Code]],Locaties[],3,FALSE),0)</f>
        <v>0</v>
      </c>
      <c r="AA436" s="148">
        <f>Ruimtestaat[[#This Row],[Uitvoeringen weekend]]*Ruimtestaat[[#This Row],[Oppervlak (netto)]]</f>
        <v>0</v>
      </c>
      <c r="AB436" s="148">
        <f>IF(Z436&gt;0,Ruimtestaat[[#This Row],[Prest. (m2 /jaar) weekend]]/Ruimtestaat[[#This Row],[Norm (m2/uur) weekend]],0)</f>
        <v>0</v>
      </c>
      <c r="AC436" s="180">
        <f>Ruimtestaat[[#This Row],[uren / jaar weekend]]*Tariefsopbouw!$D$40</f>
        <v>0</v>
      </c>
      <c r="AD436" s="179">
        <f>Ruimtestaat[[#This Row],[Prest. (m2 /jaar) weekend]]+Ruimtestaat[[#This Row],[Prest. (m2 /jaar) werkdagen]]</f>
        <v>13819.999999999998</v>
      </c>
      <c r="AE436" s="179">
        <f>Ruimtestaat[[#This Row],[uren / jaar weekend]]+Ruimtestaat[[#This Row],[uren / jaar werkdagen]]</f>
        <v>0</v>
      </c>
      <c r="AF436" s="174">
        <f>Ruimtestaat[[#This Row],[kosten / jaar weekend]]+Ruimtestaat[[#This Row],[kosten / jaar werkdagen]]</f>
        <v>0</v>
      </c>
      <c r="AG436" s="174"/>
      <c r="AH436" s="181" t="str">
        <f>IF(Ruimtestaat[[#This Row],[Frequentie werkdagen]]="","",_xlfn.CONCAT(Ruimtestaat[[#This Row],[Ruimte code]],"-",Ruimtestaat[[#This Row],[Frequentie werkdagen]]," ",Ruimtestaat[[#This Row],[Vloer code]]))</f>
        <v>16-5w P</v>
      </c>
      <c r="AI436" s="185" t="str">
        <f>_xlfn.IFNA(VLOOKUP($AH436,Programma!$F$3:$G$1101,2,0),"")</f>
        <v>_</v>
      </c>
      <c r="AJ436" s="185" t="str">
        <f>_xlfn.IFNA(VLOOKUP($AH436,Programma!$F$3:$H$1101,3,0),"")</f>
        <v>_</v>
      </c>
      <c r="AK436" s="185" t="str">
        <f>_xlfn.IFNA(VLOOKUP($AH436,Programma!$F$3:$I$1101,4,0),"")</f>
        <v>4w</v>
      </c>
      <c r="AL436" s="185" t="str">
        <f>_xlfn.IFNA(VLOOKUP($AH436,Programma!$F$3:$J$1101,5,0),"")</f>
        <v>1w</v>
      </c>
      <c r="AM436" s="185" t="str">
        <f>_xlfn.IFNA(VLOOKUP($AH436,Programma!$F$3:$K$1101,6,0),"")</f>
        <v>1m</v>
      </c>
      <c r="AN436" s="185" t="str">
        <f>_xlfn.IFNA(VLOOKUP($AH436,Programma!$F$3:$L$1101,7,0),"")</f>
        <v>_</v>
      </c>
      <c r="AO436" s="185" t="str">
        <f>_xlfn.IFNA(VLOOKUP($AH436,Programma!$F$3:$M$1101,8,0),"")</f>
        <v>_</v>
      </c>
      <c r="AP436" s="185" t="str">
        <f>_xlfn.IFNA(VLOOKUP($AH436,Programma!$F$3:$N$1101,9,0),"")</f>
        <v>_</v>
      </c>
      <c r="AQ436" s="185" t="str">
        <f>_xlfn.IFNA(VLOOKUP($AH436,Programma!$F$3:$O$1101,10,0),"")</f>
        <v>5w</v>
      </c>
      <c r="AR436" s="185" t="str">
        <f>_xlfn.IFNA(VLOOKUP($AH436,Programma!$F$3:$P$1101,11,0),"")</f>
        <v>5w</v>
      </c>
      <c r="AS436" s="185" t="str">
        <f>_xlfn.IFNA(VLOOKUP($AH436,Programma!$F$3:$Q$1101,12,0),"")</f>
        <v>1w</v>
      </c>
      <c r="AT436" s="185" t="str">
        <f>_xlfn.IFNA(VLOOKUP($AH436,Programma!$F$3:$R$1101,13,0),"")</f>
        <v>1w</v>
      </c>
      <c r="AU436" s="185" t="str">
        <f>_xlfn.IFNA(VLOOKUP($AH436,Programma!$F$3:$S$1101,14,0),"")</f>
        <v>1m</v>
      </c>
      <c r="AV436" s="185" t="str">
        <f>_xlfn.IFNA(VLOOKUP($AH436,Programma!$F$3:$T$1101,15,0),"")</f>
        <v>2j</v>
      </c>
      <c r="AW436" s="185" t="str">
        <f>_xlfn.IFNA(VLOOKUP($AH436,Programma!$F$3:$U$1101,16,0),"")</f>
        <v>1j</v>
      </c>
      <c r="AX436" s="185" t="str">
        <f>_xlfn.IFNA(VLOOKUP($AH436,Programma!$F$3:$V$1101,17,0),"")</f>
        <v>_</v>
      </c>
      <c r="AY436" s="185" t="str">
        <f>_xlfn.IFNA(VLOOKUP($AH436,Programma!$F$3:$W$1101,18,0),"")</f>
        <v>_</v>
      </c>
      <c r="AZ436" s="185" t="str">
        <f>_xlfn.IFNA(VLOOKUP($AH436,Programma!$F$3:$X$1101,19,0),"")</f>
        <v>_</v>
      </c>
      <c r="BA436" s="185" t="str">
        <f>_xlfn.IFNA(VLOOKUP($AH436,Programma!$F$3:$Y$1101,20,0),"")</f>
        <v>_</v>
      </c>
      <c r="BB436" s="182"/>
      <c r="BC436" s="181" t="str">
        <f>IF(Ruimtestaat[[#This Row],[Frequentie weekend]]="","",_xlfn.CONCAT(Ruimtestaat[[#This Row],[Ruimte code]],"-",Ruimtestaat[[#This Row],[Frequentie weekend]]," ",Ruimtestaat[[#This Row],[Vloer code]]))</f>
        <v/>
      </c>
      <c r="BD436" s="185" t="str">
        <f>_xlfn.IFNA(VLOOKUP($BC436,Programma!$F$3:$G$1101,2,0),"")</f>
        <v/>
      </c>
      <c r="BE436" s="185" t="str">
        <f>_xlfn.IFNA(VLOOKUP($BC436,Programma!$F$3:$H$1101,3,0),"")</f>
        <v/>
      </c>
      <c r="BF436" s="185" t="str">
        <f>_xlfn.IFNA(VLOOKUP($BC436,Programma!$F$3:$I$1101,4,0),"")</f>
        <v/>
      </c>
      <c r="BG436" s="185" t="str">
        <f>_xlfn.IFNA(VLOOKUP($BC436,Programma!$F$3:$J$1101,5,0),"")</f>
        <v/>
      </c>
      <c r="BH436" s="185" t="str">
        <f>_xlfn.IFNA(VLOOKUP($BC436,Programma!$F$3:$K$1101,6,0),"")</f>
        <v/>
      </c>
      <c r="BI436" s="185" t="str">
        <f>_xlfn.IFNA(VLOOKUP($BC436,Programma!$F$3:$L$1101,7,0),"")</f>
        <v/>
      </c>
      <c r="BJ436" s="185" t="str">
        <f>_xlfn.IFNA(VLOOKUP($BC436,Programma!$F$3:$M$1101,8,0),"")</f>
        <v/>
      </c>
      <c r="BK436" s="185" t="str">
        <f>_xlfn.IFNA(VLOOKUP($BC436,Programma!$F$3:$N$1101,9,0),"")</f>
        <v/>
      </c>
      <c r="BL436" s="185" t="str">
        <f>_xlfn.IFNA(VLOOKUP($BC436,Programma!$F$3:$O$1101,10,0),"")</f>
        <v/>
      </c>
      <c r="BM436" s="185" t="str">
        <f>_xlfn.IFNA(VLOOKUP($BC436,Programma!$F$3:$P$1101,11,0),"")</f>
        <v/>
      </c>
      <c r="BN436" s="185" t="str">
        <f>_xlfn.IFNA(VLOOKUP($BC436,Programma!$F$3:$Q$1101,12,0),"")</f>
        <v/>
      </c>
      <c r="BO436" s="185" t="str">
        <f>_xlfn.IFNA(VLOOKUP($BC436,Programma!$F$3:$R$1101,13,0),"")</f>
        <v/>
      </c>
      <c r="BP436" s="185" t="str">
        <f>_xlfn.IFNA(VLOOKUP($BC436,Programma!$F$3:$S$1101,14,0),"")</f>
        <v/>
      </c>
      <c r="BQ436" s="185" t="str">
        <f>_xlfn.IFNA(VLOOKUP($BC436,Programma!$F$3:$T$1101,15,0),"")</f>
        <v/>
      </c>
      <c r="BR436" s="185" t="str">
        <f>_xlfn.IFNA(VLOOKUP($BC436,Programma!$F$3:$U$1101,16,0),"")</f>
        <v/>
      </c>
      <c r="BS436" s="185" t="str">
        <f>_xlfn.IFNA(VLOOKUP($BC436,Programma!$F$3:$V$1101,17,0),"")</f>
        <v/>
      </c>
      <c r="BT436" s="185" t="str">
        <f>_xlfn.IFNA(VLOOKUP($BC436,Programma!$F$3:$W$1101,18,0),"")</f>
        <v/>
      </c>
      <c r="BU436" s="185" t="str">
        <f>_xlfn.IFNA(VLOOKUP($BC436,Programma!$F$3:$X$1101,19,0),"")</f>
        <v/>
      </c>
      <c r="BV436" s="185" t="str">
        <f>_xlfn.IFNA(VLOOKUP($BC436,Programma!$F$3:$Y$1101,20,0),"")</f>
        <v/>
      </c>
    </row>
    <row r="437" spans="1:74" s="78" customFormat="1" ht="15" customHeight="1">
      <c r="A437" s="99">
        <v>13</v>
      </c>
      <c r="B437" s="176" t="str">
        <f>VLOOKUP(Ruimtestaat[[#This Row],[Code]],Locaties[[Code]:[Locatie]],2,FALSE)</f>
        <v>OMBS Het Zeggelt (Meeuwen)</v>
      </c>
      <c r="C437" s="176" t="str">
        <f>VLOOKUP(Ruimtestaat[[#This Row],[Code]],Locaties[[#All],[Code]:[Adres]],4,FALSE)</f>
        <v>Meeuwenstraat 4</v>
      </c>
      <c r="D437" s="176" t="str">
        <f>VLOOKUP(Ruimtestaat[[#This Row],[Code]],Locaties[[#All],[Code]:[Postcode]],5,FALSE)</f>
        <v>7523 XV</v>
      </c>
      <c r="E437" s="176" t="str">
        <f>VLOOKUP(Ruimtestaat[[#This Row],[Code]],Locaties[#All],6,FALSE)</f>
        <v>Enschede</v>
      </c>
      <c r="F437" s="183"/>
      <c r="G437" s="99" t="s">
        <v>1646</v>
      </c>
      <c r="H437" s="99" t="s">
        <v>1669</v>
      </c>
      <c r="I437" s="183" t="s">
        <v>1658</v>
      </c>
      <c r="J437" s="99">
        <v>6</v>
      </c>
      <c r="K437" s="183" t="str">
        <f>VLOOKUP(Ruimtestaat[[#This Row],[Ruimte code]],Ruimtegroepen[[#All],[Code]:[Ruimte omschrijving]],2,FALSE)</f>
        <v>Gangen/hallen</v>
      </c>
      <c r="L437" s="99" t="s">
        <v>102</v>
      </c>
      <c r="M437" s="99" t="s">
        <v>120</v>
      </c>
      <c r="N437" s="177">
        <v>9.9</v>
      </c>
      <c r="O437" s="177"/>
      <c r="P437" s="178" t="str">
        <f>VLOOKUP(Ruimtestaat[[#This Row],[Ruimte code]],Ruimtegroepen[],4,FALSE)</f>
        <v>Ve</v>
      </c>
      <c r="Q437" s="149">
        <v>40</v>
      </c>
      <c r="R437" s="149" t="s">
        <v>2</v>
      </c>
      <c r="S437" s="149">
        <f>IF(Q437&gt;0,IF(RIGHT(Ruimtestaat[[#This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7" s="149">
        <f>IF(S437&gt;0,VLOOKUP($J437,Ruimtegroepen[],3,FALSE)*VLOOKUP($L437,Vloersoorten[],3,FALSE)*VLOOKUP($R437,Frequenties[],3,FALSE)*VLOOKUP($A437,Locaties[],3,FALSE),0)</f>
        <v>0</v>
      </c>
      <c r="U437" s="149">
        <f>Ruimtestaat[[#This Row],[Uitvoeringen werkdagen]]*Ruimtestaat[[#This Row],[Oppervlak (netto)]]</f>
        <v>1980</v>
      </c>
      <c r="V437" s="179">
        <f>IF(T437&gt;0,Ruimtestaat[[#This Row],[Prest. (m2 /jaar) werkdagen]]/Ruimtestaat[[#This Row],[Norm (m2/uur) werkdagen]],0)</f>
        <v>0</v>
      </c>
      <c r="W437" s="180">
        <f>Ruimtestaat[[#This Row],[uren / jaar werkdagen]]*Tariefsopbouw!$E$35</f>
        <v>0</v>
      </c>
      <c r="X437" s="149"/>
      <c r="Y437" s="149">
        <f>IF(Ruimtestaat[[#This Row],[Frequentie weekend]]&gt;0,VALUE(LEFT(X437,1))*Q437,0)</f>
        <v>0</v>
      </c>
      <c r="Z437" s="148">
        <f>IF($Y437&gt;0,VLOOKUP($J437,Ruimtegroepen[],3,FALSE)*VLOOKUP($L437,Vloersoorten[],3,FALSE)*VLOOKUP($X437,Frequenties[],3,FALSE)*VLOOKUP(Ruimtestaat[[#This Row],[Code]],Locaties[],3,FALSE),0)</f>
        <v>0</v>
      </c>
      <c r="AA437" s="148">
        <f>Ruimtestaat[[#This Row],[Uitvoeringen weekend]]*Ruimtestaat[[#This Row],[Oppervlak (netto)]]</f>
        <v>0</v>
      </c>
      <c r="AB437" s="148">
        <f>IF(Z437&gt;0,Ruimtestaat[[#This Row],[Prest. (m2 /jaar) weekend]]/Ruimtestaat[[#This Row],[Norm (m2/uur) weekend]],0)</f>
        <v>0</v>
      </c>
      <c r="AC437" s="180">
        <f>Ruimtestaat[[#This Row],[uren / jaar weekend]]*Tariefsopbouw!$D$40</f>
        <v>0</v>
      </c>
      <c r="AD437" s="179">
        <f>Ruimtestaat[[#This Row],[Prest. (m2 /jaar) weekend]]+Ruimtestaat[[#This Row],[Prest. (m2 /jaar) werkdagen]]</f>
        <v>1980</v>
      </c>
      <c r="AE437" s="179">
        <f>Ruimtestaat[[#This Row],[uren / jaar weekend]]+Ruimtestaat[[#This Row],[uren / jaar werkdagen]]</f>
        <v>0</v>
      </c>
      <c r="AF437" s="174">
        <f>Ruimtestaat[[#This Row],[kosten / jaar weekend]]+Ruimtestaat[[#This Row],[kosten / jaar werkdagen]]</f>
        <v>0</v>
      </c>
      <c r="AG437" s="174"/>
      <c r="AH437" s="181" t="str">
        <f>IF(Ruimtestaat[[#This Row],[Frequentie werkdagen]]="","",_xlfn.CONCAT(Ruimtestaat[[#This Row],[Ruimte code]],"-",Ruimtestaat[[#This Row],[Frequentie werkdagen]]," ",Ruimtestaat[[#This Row],[Vloer code]]))</f>
        <v>6-5w P</v>
      </c>
      <c r="AI437" s="185" t="str">
        <f>_xlfn.IFNA(VLOOKUP($AH437,Programma!$F$3:$G$1101,2,0),"")</f>
        <v>_</v>
      </c>
      <c r="AJ437" s="185" t="str">
        <f>_xlfn.IFNA(VLOOKUP($AH437,Programma!$F$3:$H$1101,3,0),"")</f>
        <v>_</v>
      </c>
      <c r="AK437" s="185" t="str">
        <f>_xlfn.IFNA(VLOOKUP($AH437,Programma!$F$3:$I$1101,4,0),"")</f>
        <v>5w</v>
      </c>
      <c r="AL437" s="185" t="str">
        <f>_xlfn.IFNA(VLOOKUP($AH437,Programma!$F$3:$J$1101,5,0),"")</f>
        <v>_</v>
      </c>
      <c r="AM437" s="185" t="str">
        <f>_xlfn.IFNA(VLOOKUP($AH437,Programma!$F$3:$K$1101,6,0),"")</f>
        <v>5w</v>
      </c>
      <c r="AN437" s="185" t="str">
        <f>_xlfn.IFNA(VLOOKUP($AH437,Programma!$F$3:$L$1101,7,0),"")</f>
        <v>_</v>
      </c>
      <c r="AO437" s="185" t="str">
        <f>_xlfn.IFNA(VLOOKUP($AH437,Programma!$F$3:$M$1101,8,0),"")</f>
        <v>_</v>
      </c>
      <c r="AP437" s="185" t="str">
        <f>_xlfn.IFNA(VLOOKUP($AH437,Programma!$F$3:$N$1101,9,0),"")</f>
        <v>_</v>
      </c>
      <c r="AQ437" s="185" t="str">
        <f>_xlfn.IFNA(VLOOKUP($AH437,Programma!$F$3:$O$1101,10,0),"")</f>
        <v>5w</v>
      </c>
      <c r="AR437" s="185" t="str">
        <f>_xlfn.IFNA(VLOOKUP($AH437,Programma!$F$3:$P$1101,11,0),"")</f>
        <v>5w</v>
      </c>
      <c r="AS437" s="185" t="str">
        <f>_xlfn.IFNA(VLOOKUP($AH437,Programma!$F$3:$Q$1101,12,0),"")</f>
        <v>1w</v>
      </c>
      <c r="AT437" s="185" t="str">
        <f>_xlfn.IFNA(VLOOKUP($AH437,Programma!$F$3:$R$1101,13,0),"")</f>
        <v>1w</v>
      </c>
      <c r="AU437" s="185" t="str">
        <f>_xlfn.IFNA(VLOOKUP($AH437,Programma!$F$3:$S$1101,14,0),"")</f>
        <v>1m</v>
      </c>
      <c r="AV437" s="185" t="str">
        <f>_xlfn.IFNA(VLOOKUP($AH437,Programma!$F$3:$T$1101,15,0),"")</f>
        <v>2j</v>
      </c>
      <c r="AW437" s="185" t="str">
        <f>_xlfn.IFNA(VLOOKUP($AH437,Programma!$F$3:$U$1101,16,0),"")</f>
        <v>1j</v>
      </c>
      <c r="AX437" s="185" t="str">
        <f>_xlfn.IFNA(VLOOKUP($AH437,Programma!$F$3:$V$1101,17,0),"")</f>
        <v>_</v>
      </c>
      <c r="AY437" s="185" t="str">
        <f>_xlfn.IFNA(VLOOKUP($AH437,Programma!$F$3:$W$1101,18,0),"")</f>
        <v>_</v>
      </c>
      <c r="AZ437" s="185" t="str">
        <f>_xlfn.IFNA(VLOOKUP($AH437,Programma!$F$3:$X$1101,19,0),"")</f>
        <v>_</v>
      </c>
      <c r="BA437" s="185" t="str">
        <f>_xlfn.IFNA(VLOOKUP($AH437,Programma!$F$3:$Y$1101,20,0),"")</f>
        <v>_</v>
      </c>
      <c r="BB437" s="182"/>
      <c r="BC437" s="181" t="str">
        <f>IF(Ruimtestaat[[#This Row],[Frequentie weekend]]="","",_xlfn.CONCAT(Ruimtestaat[[#This Row],[Ruimte code]],"-",Ruimtestaat[[#This Row],[Frequentie weekend]]," ",Ruimtestaat[[#This Row],[Vloer code]]))</f>
        <v/>
      </c>
      <c r="BD437" s="185" t="str">
        <f>_xlfn.IFNA(VLOOKUP($BC437,Programma!$F$3:$G$1101,2,0),"")</f>
        <v/>
      </c>
      <c r="BE437" s="185" t="str">
        <f>_xlfn.IFNA(VLOOKUP($BC437,Programma!$F$3:$H$1101,3,0),"")</f>
        <v/>
      </c>
      <c r="BF437" s="185" t="str">
        <f>_xlfn.IFNA(VLOOKUP($BC437,Programma!$F$3:$I$1101,4,0),"")</f>
        <v/>
      </c>
      <c r="BG437" s="185" t="str">
        <f>_xlfn.IFNA(VLOOKUP($BC437,Programma!$F$3:$J$1101,5,0),"")</f>
        <v/>
      </c>
      <c r="BH437" s="185" t="str">
        <f>_xlfn.IFNA(VLOOKUP($BC437,Programma!$F$3:$K$1101,6,0),"")</f>
        <v/>
      </c>
      <c r="BI437" s="185" t="str">
        <f>_xlfn.IFNA(VLOOKUP($BC437,Programma!$F$3:$L$1101,7,0),"")</f>
        <v/>
      </c>
      <c r="BJ437" s="185" t="str">
        <f>_xlfn.IFNA(VLOOKUP($BC437,Programma!$F$3:$M$1101,8,0),"")</f>
        <v/>
      </c>
      <c r="BK437" s="185" t="str">
        <f>_xlfn.IFNA(VLOOKUP($BC437,Programma!$F$3:$N$1101,9,0),"")</f>
        <v/>
      </c>
      <c r="BL437" s="185" t="str">
        <f>_xlfn.IFNA(VLOOKUP($BC437,Programma!$F$3:$O$1101,10,0),"")</f>
        <v/>
      </c>
      <c r="BM437" s="185" t="str">
        <f>_xlfn.IFNA(VLOOKUP($BC437,Programma!$F$3:$P$1101,11,0),"")</f>
        <v/>
      </c>
      <c r="BN437" s="185" t="str">
        <f>_xlfn.IFNA(VLOOKUP($BC437,Programma!$F$3:$Q$1101,12,0),"")</f>
        <v/>
      </c>
      <c r="BO437" s="185" t="str">
        <f>_xlfn.IFNA(VLOOKUP($BC437,Programma!$F$3:$R$1101,13,0),"")</f>
        <v/>
      </c>
      <c r="BP437" s="185" t="str">
        <f>_xlfn.IFNA(VLOOKUP($BC437,Programma!$F$3:$S$1101,14,0),"")</f>
        <v/>
      </c>
      <c r="BQ437" s="185" t="str">
        <f>_xlfn.IFNA(VLOOKUP($BC437,Programma!$F$3:$T$1101,15,0),"")</f>
        <v/>
      </c>
      <c r="BR437" s="185" t="str">
        <f>_xlfn.IFNA(VLOOKUP($BC437,Programma!$F$3:$U$1101,16,0),"")</f>
        <v/>
      </c>
      <c r="BS437" s="185" t="str">
        <f>_xlfn.IFNA(VLOOKUP($BC437,Programma!$F$3:$V$1101,17,0),"")</f>
        <v/>
      </c>
      <c r="BT437" s="185" t="str">
        <f>_xlfn.IFNA(VLOOKUP($BC437,Programma!$F$3:$W$1101,18,0),"")</f>
        <v/>
      </c>
      <c r="BU437" s="185" t="str">
        <f>_xlfn.IFNA(VLOOKUP($BC437,Programma!$F$3:$X$1101,19,0),"")</f>
        <v/>
      </c>
      <c r="BV437" s="185" t="str">
        <f>_xlfn.IFNA(VLOOKUP($BC437,Programma!$F$3:$Y$1101,20,0),"")</f>
        <v/>
      </c>
    </row>
    <row r="438" spans="1:74" s="78" customFormat="1" ht="15" customHeight="1">
      <c r="A438" s="99">
        <v>13</v>
      </c>
      <c r="B438" s="176" t="str">
        <f>VLOOKUP(Ruimtestaat[[#This Row],[Code]],Locaties[[Code]:[Locatie]],2,FALSE)</f>
        <v>OMBS Het Zeggelt (Meeuwen)</v>
      </c>
      <c r="C438" s="176" t="str">
        <f>VLOOKUP(Ruimtestaat[[#This Row],[Code]],Locaties[[#All],[Code]:[Adres]],4,FALSE)</f>
        <v>Meeuwenstraat 4</v>
      </c>
      <c r="D438" s="176" t="str">
        <f>VLOOKUP(Ruimtestaat[[#This Row],[Code]],Locaties[[#All],[Code]:[Postcode]],5,FALSE)</f>
        <v>7523 XV</v>
      </c>
      <c r="E438" s="176" t="str">
        <f>VLOOKUP(Ruimtestaat[[#This Row],[Code]],Locaties[#All],6,FALSE)</f>
        <v>Enschede</v>
      </c>
      <c r="F438" s="183"/>
      <c r="G438" s="99" t="s">
        <v>1646</v>
      </c>
      <c r="H438" s="99" t="s">
        <v>1670</v>
      </c>
      <c r="I438" s="183" t="s">
        <v>1658</v>
      </c>
      <c r="J438" s="99">
        <v>6</v>
      </c>
      <c r="K438" s="183" t="str">
        <f>VLOOKUP(Ruimtestaat[[#This Row],[Ruimte code]],Ruimtegroepen[[#All],[Code]:[Ruimte omschrijving]],2,FALSE)</f>
        <v>Gangen/hallen</v>
      </c>
      <c r="L438" s="99" t="s">
        <v>101</v>
      </c>
      <c r="M438" s="99" t="s">
        <v>119</v>
      </c>
      <c r="N438" s="177">
        <v>10.4</v>
      </c>
      <c r="O438" s="177"/>
      <c r="P438" s="178" t="str">
        <f>VLOOKUP(Ruimtestaat[[#This Row],[Ruimte code]],Ruimtegroepen[],4,FALSE)</f>
        <v>Ve</v>
      </c>
      <c r="Q438" s="149">
        <v>40</v>
      </c>
      <c r="R438" s="149" t="s">
        <v>2</v>
      </c>
      <c r="S438" s="149">
        <f>IF(Q438&gt;0,IF(RIGHT(Ruimtestaat[[#This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8" s="149">
        <f>IF(S438&gt;0,VLOOKUP($J438,Ruimtegroepen[],3,FALSE)*VLOOKUP($L438,Vloersoorten[],3,FALSE)*VLOOKUP($R438,Frequenties[],3,FALSE)*VLOOKUP($A438,Locaties[],3,FALSE),0)</f>
        <v>0</v>
      </c>
      <c r="U438" s="149">
        <f>Ruimtestaat[[#This Row],[Uitvoeringen werkdagen]]*Ruimtestaat[[#This Row],[Oppervlak (netto)]]</f>
        <v>2080</v>
      </c>
      <c r="V438" s="179">
        <f>IF(T438&gt;0,Ruimtestaat[[#This Row],[Prest. (m2 /jaar) werkdagen]]/Ruimtestaat[[#This Row],[Norm (m2/uur) werkdagen]],0)</f>
        <v>0</v>
      </c>
      <c r="W438" s="180">
        <f>Ruimtestaat[[#This Row],[uren / jaar werkdagen]]*Tariefsopbouw!$E$35</f>
        <v>0</v>
      </c>
      <c r="X438" s="149"/>
      <c r="Y438" s="149">
        <f>IF(Ruimtestaat[[#This Row],[Frequentie weekend]]&gt;0,VALUE(LEFT(X438,1))*Q438,0)</f>
        <v>0</v>
      </c>
      <c r="Z438" s="148">
        <f>IF($Y438&gt;0,VLOOKUP($J438,Ruimtegroepen[],3,FALSE)*VLOOKUP($L438,Vloersoorten[],3,FALSE)*VLOOKUP($X438,Frequenties[],3,FALSE)*VLOOKUP(Ruimtestaat[[#This Row],[Code]],Locaties[],3,FALSE),0)</f>
        <v>0</v>
      </c>
      <c r="AA438" s="148">
        <f>Ruimtestaat[[#This Row],[Uitvoeringen weekend]]*Ruimtestaat[[#This Row],[Oppervlak (netto)]]</f>
        <v>0</v>
      </c>
      <c r="AB438" s="148">
        <f>IF(Z438&gt;0,Ruimtestaat[[#This Row],[Prest. (m2 /jaar) weekend]]/Ruimtestaat[[#This Row],[Norm (m2/uur) weekend]],0)</f>
        <v>0</v>
      </c>
      <c r="AC438" s="180">
        <f>Ruimtestaat[[#This Row],[uren / jaar weekend]]*Tariefsopbouw!$D$40</f>
        <v>0</v>
      </c>
      <c r="AD438" s="179">
        <f>Ruimtestaat[[#This Row],[Prest. (m2 /jaar) weekend]]+Ruimtestaat[[#This Row],[Prest. (m2 /jaar) werkdagen]]</f>
        <v>2080</v>
      </c>
      <c r="AE438" s="179">
        <f>Ruimtestaat[[#This Row],[uren / jaar weekend]]+Ruimtestaat[[#This Row],[uren / jaar werkdagen]]</f>
        <v>0</v>
      </c>
      <c r="AF438" s="174">
        <f>Ruimtestaat[[#This Row],[kosten / jaar weekend]]+Ruimtestaat[[#This Row],[kosten / jaar werkdagen]]</f>
        <v>0</v>
      </c>
      <c r="AG438" s="174"/>
      <c r="AH438" s="181" t="str">
        <f>IF(Ruimtestaat[[#This Row],[Frequentie werkdagen]]="","",_xlfn.CONCAT(Ruimtestaat[[#This Row],[Ruimte code]],"-",Ruimtestaat[[#This Row],[Frequentie werkdagen]]," ",Ruimtestaat[[#This Row],[Vloer code]]))</f>
        <v>6-5w S</v>
      </c>
      <c r="AI438" s="185" t="str">
        <f>_xlfn.IFNA(VLOOKUP($AH438,Programma!$F$3:$G$1101,2,0),"")</f>
        <v>_</v>
      </c>
      <c r="AJ438" s="185" t="str">
        <f>_xlfn.IFNA(VLOOKUP($AH438,Programma!$F$3:$H$1101,3,0),"")</f>
        <v>_</v>
      </c>
      <c r="AK438" s="185" t="str">
        <f>_xlfn.IFNA(VLOOKUP($AH438,Programma!$F$3:$I$1101,4,0),"")</f>
        <v>5w</v>
      </c>
      <c r="AL438" s="185" t="str">
        <f>_xlfn.IFNA(VLOOKUP($AH438,Programma!$F$3:$J$1101,5,0),"")</f>
        <v>_</v>
      </c>
      <c r="AM438" s="185" t="str">
        <f>_xlfn.IFNA(VLOOKUP($AH438,Programma!$F$3:$K$1101,6,0),"")</f>
        <v>5w</v>
      </c>
      <c r="AN438" s="185" t="str">
        <f>_xlfn.IFNA(VLOOKUP($AH438,Programma!$F$3:$L$1101,7,0),"")</f>
        <v>_</v>
      </c>
      <c r="AO438" s="185" t="str">
        <f>_xlfn.IFNA(VLOOKUP($AH438,Programma!$F$3:$M$1101,8,0),"")</f>
        <v>_</v>
      </c>
      <c r="AP438" s="185" t="str">
        <f>_xlfn.IFNA(VLOOKUP($AH438,Programma!$F$3:$N$1101,9,0),"")</f>
        <v>_</v>
      </c>
      <c r="AQ438" s="185" t="str">
        <f>_xlfn.IFNA(VLOOKUP($AH438,Programma!$F$3:$O$1101,10,0),"")</f>
        <v>5w</v>
      </c>
      <c r="AR438" s="185" t="str">
        <f>_xlfn.IFNA(VLOOKUP($AH438,Programma!$F$3:$P$1101,11,0),"")</f>
        <v>5w</v>
      </c>
      <c r="AS438" s="185" t="str">
        <f>_xlfn.IFNA(VLOOKUP($AH438,Programma!$F$3:$Q$1101,12,0),"")</f>
        <v>1w</v>
      </c>
      <c r="AT438" s="185" t="str">
        <f>_xlfn.IFNA(VLOOKUP($AH438,Programma!$F$3:$R$1101,13,0),"")</f>
        <v>1w</v>
      </c>
      <c r="AU438" s="185" t="str">
        <f>_xlfn.IFNA(VLOOKUP($AH438,Programma!$F$3:$S$1101,14,0),"")</f>
        <v>1m</v>
      </c>
      <c r="AV438" s="185" t="str">
        <f>_xlfn.IFNA(VLOOKUP($AH438,Programma!$F$3:$T$1101,15,0),"")</f>
        <v>2j</v>
      </c>
      <c r="AW438" s="185" t="str">
        <f>_xlfn.IFNA(VLOOKUP($AH438,Programma!$F$3:$U$1101,16,0),"")</f>
        <v>1j</v>
      </c>
      <c r="AX438" s="185" t="str">
        <f>_xlfn.IFNA(VLOOKUP($AH438,Programma!$F$3:$V$1101,17,0),"")</f>
        <v>_</v>
      </c>
      <c r="AY438" s="185" t="str">
        <f>_xlfn.IFNA(VLOOKUP($AH438,Programma!$F$3:$W$1101,18,0),"")</f>
        <v>_</v>
      </c>
      <c r="AZ438" s="185" t="str">
        <f>_xlfn.IFNA(VLOOKUP($AH438,Programma!$F$3:$X$1101,19,0),"")</f>
        <v>_</v>
      </c>
      <c r="BA438" s="185" t="str">
        <f>_xlfn.IFNA(VLOOKUP($AH438,Programma!$F$3:$Y$1101,20,0),"")</f>
        <v>_</v>
      </c>
      <c r="BB438" s="182"/>
      <c r="BC438" s="181" t="str">
        <f>IF(Ruimtestaat[[#This Row],[Frequentie weekend]]="","",_xlfn.CONCAT(Ruimtestaat[[#This Row],[Ruimte code]],"-",Ruimtestaat[[#This Row],[Frequentie weekend]]," ",Ruimtestaat[[#This Row],[Vloer code]]))</f>
        <v/>
      </c>
      <c r="BD438" s="185" t="str">
        <f>_xlfn.IFNA(VLOOKUP($BC438,Programma!$F$3:$G$1101,2,0),"")</f>
        <v/>
      </c>
      <c r="BE438" s="185" t="str">
        <f>_xlfn.IFNA(VLOOKUP($BC438,Programma!$F$3:$H$1101,3,0),"")</f>
        <v/>
      </c>
      <c r="BF438" s="185" t="str">
        <f>_xlfn.IFNA(VLOOKUP($BC438,Programma!$F$3:$I$1101,4,0),"")</f>
        <v/>
      </c>
      <c r="BG438" s="185" t="str">
        <f>_xlfn.IFNA(VLOOKUP($BC438,Programma!$F$3:$J$1101,5,0),"")</f>
        <v/>
      </c>
      <c r="BH438" s="185" t="str">
        <f>_xlfn.IFNA(VLOOKUP($BC438,Programma!$F$3:$K$1101,6,0),"")</f>
        <v/>
      </c>
      <c r="BI438" s="185" t="str">
        <f>_xlfn.IFNA(VLOOKUP($BC438,Programma!$F$3:$L$1101,7,0),"")</f>
        <v/>
      </c>
      <c r="BJ438" s="185" t="str">
        <f>_xlfn.IFNA(VLOOKUP($BC438,Programma!$F$3:$M$1101,8,0),"")</f>
        <v/>
      </c>
      <c r="BK438" s="185" t="str">
        <f>_xlfn.IFNA(VLOOKUP($BC438,Programma!$F$3:$N$1101,9,0),"")</f>
        <v/>
      </c>
      <c r="BL438" s="185" t="str">
        <f>_xlfn.IFNA(VLOOKUP($BC438,Programma!$F$3:$O$1101,10,0),"")</f>
        <v/>
      </c>
      <c r="BM438" s="185" t="str">
        <f>_xlfn.IFNA(VLOOKUP($BC438,Programma!$F$3:$P$1101,11,0),"")</f>
        <v/>
      </c>
      <c r="BN438" s="185" t="str">
        <f>_xlfn.IFNA(VLOOKUP($BC438,Programma!$F$3:$Q$1101,12,0),"")</f>
        <v/>
      </c>
      <c r="BO438" s="185" t="str">
        <f>_xlfn.IFNA(VLOOKUP($BC438,Programma!$F$3:$R$1101,13,0),"")</f>
        <v/>
      </c>
      <c r="BP438" s="185" t="str">
        <f>_xlfn.IFNA(VLOOKUP($BC438,Programma!$F$3:$S$1101,14,0),"")</f>
        <v/>
      </c>
      <c r="BQ438" s="185" t="str">
        <f>_xlfn.IFNA(VLOOKUP($BC438,Programma!$F$3:$T$1101,15,0),"")</f>
        <v/>
      </c>
      <c r="BR438" s="185" t="str">
        <f>_xlfn.IFNA(VLOOKUP($BC438,Programma!$F$3:$U$1101,16,0),"")</f>
        <v/>
      </c>
      <c r="BS438" s="185" t="str">
        <f>_xlfn.IFNA(VLOOKUP($BC438,Programma!$F$3:$V$1101,17,0),"")</f>
        <v/>
      </c>
      <c r="BT438" s="185" t="str">
        <f>_xlfn.IFNA(VLOOKUP($BC438,Programma!$F$3:$W$1101,18,0),"")</f>
        <v/>
      </c>
      <c r="BU438" s="185" t="str">
        <f>_xlfn.IFNA(VLOOKUP($BC438,Programma!$F$3:$X$1101,19,0),"")</f>
        <v/>
      </c>
      <c r="BV438" s="185" t="str">
        <f>_xlfn.IFNA(VLOOKUP($BC438,Programma!$F$3:$Y$1101,20,0),"")</f>
        <v/>
      </c>
    </row>
    <row r="439" spans="1:74" s="78" customFormat="1" ht="15" customHeight="1">
      <c r="A439" s="99">
        <v>13</v>
      </c>
      <c r="B439" s="176" t="str">
        <f>VLOOKUP(Ruimtestaat[[#This Row],[Code]],Locaties[[Code]:[Locatie]],2,FALSE)</f>
        <v>OMBS Het Zeggelt (Meeuwen)</v>
      </c>
      <c r="C439" s="176" t="str">
        <f>VLOOKUP(Ruimtestaat[[#This Row],[Code]],Locaties[[#All],[Code]:[Adres]],4,FALSE)</f>
        <v>Meeuwenstraat 4</v>
      </c>
      <c r="D439" s="176" t="str">
        <f>VLOOKUP(Ruimtestaat[[#This Row],[Code]],Locaties[[#All],[Code]:[Postcode]],5,FALSE)</f>
        <v>7523 XV</v>
      </c>
      <c r="E439" s="176" t="str">
        <f>VLOOKUP(Ruimtestaat[[#This Row],[Code]],Locaties[#All],6,FALSE)</f>
        <v>Enschede</v>
      </c>
      <c r="F439" s="183"/>
      <c r="G439" s="99" t="s">
        <v>1646</v>
      </c>
      <c r="H439" s="99" t="s">
        <v>1671</v>
      </c>
      <c r="I439" s="183" t="s">
        <v>1651</v>
      </c>
      <c r="J439" s="99">
        <v>16</v>
      </c>
      <c r="K439" s="183" t="str">
        <f>VLOOKUP(Ruimtestaat[[#This Row],[Ruimte code]],Ruimtegroepen[[#All],[Code]:[Ruimte omschrijving]],2,FALSE)</f>
        <v>Leslokalen</v>
      </c>
      <c r="L439" s="99" t="s">
        <v>100</v>
      </c>
      <c r="M439" s="99" t="s">
        <v>1697</v>
      </c>
      <c r="N439" s="177">
        <v>71</v>
      </c>
      <c r="O439" s="177"/>
      <c r="P439" s="178" t="str">
        <f>VLOOKUP(Ruimtestaat[[#This Row],[Ruimte code]],Ruimtegroepen[],4,FALSE)</f>
        <v>Le</v>
      </c>
      <c r="Q439" s="149">
        <v>40</v>
      </c>
      <c r="R439" s="149" t="s">
        <v>2</v>
      </c>
      <c r="S439" s="149">
        <f>IF(Q439&gt;0,IF(RIGHT(Ruimtestaat[[#This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39" s="149">
        <f>IF(S439&gt;0,VLOOKUP($J439,Ruimtegroepen[],3,FALSE)*VLOOKUP($L439,Vloersoorten[],3,FALSE)*VLOOKUP($R439,Frequenties[],3,FALSE)*VLOOKUP($A439,Locaties[],3,FALSE),0)</f>
        <v>0</v>
      </c>
      <c r="U439" s="149">
        <f>Ruimtestaat[[#This Row],[Uitvoeringen werkdagen]]*Ruimtestaat[[#This Row],[Oppervlak (netto)]]</f>
        <v>14200</v>
      </c>
      <c r="V439" s="179">
        <f>IF(T439&gt;0,Ruimtestaat[[#This Row],[Prest. (m2 /jaar) werkdagen]]/Ruimtestaat[[#This Row],[Norm (m2/uur) werkdagen]],0)</f>
        <v>0</v>
      </c>
      <c r="W439" s="180">
        <f>Ruimtestaat[[#This Row],[uren / jaar werkdagen]]*Tariefsopbouw!$E$35</f>
        <v>0</v>
      </c>
      <c r="X439" s="149"/>
      <c r="Y439" s="149">
        <f>IF(Ruimtestaat[[#This Row],[Frequentie weekend]]&gt;0,VALUE(LEFT(X439,1))*Q439,0)</f>
        <v>0</v>
      </c>
      <c r="Z439" s="148">
        <f>IF($Y439&gt;0,VLOOKUP($J439,Ruimtegroepen[],3,FALSE)*VLOOKUP($L439,Vloersoorten[],3,FALSE)*VLOOKUP($X439,Frequenties[],3,FALSE)*VLOOKUP(Ruimtestaat[[#This Row],[Code]],Locaties[],3,FALSE),0)</f>
        <v>0</v>
      </c>
      <c r="AA439" s="148">
        <f>Ruimtestaat[[#This Row],[Uitvoeringen weekend]]*Ruimtestaat[[#This Row],[Oppervlak (netto)]]</f>
        <v>0</v>
      </c>
      <c r="AB439" s="148">
        <f>IF(Z439&gt;0,Ruimtestaat[[#This Row],[Prest. (m2 /jaar) weekend]]/Ruimtestaat[[#This Row],[Norm (m2/uur) weekend]],0)</f>
        <v>0</v>
      </c>
      <c r="AC439" s="180">
        <f>Ruimtestaat[[#This Row],[uren / jaar weekend]]*Tariefsopbouw!$D$40</f>
        <v>0</v>
      </c>
      <c r="AD439" s="179">
        <f>Ruimtestaat[[#This Row],[Prest. (m2 /jaar) weekend]]+Ruimtestaat[[#This Row],[Prest. (m2 /jaar) werkdagen]]</f>
        <v>14200</v>
      </c>
      <c r="AE439" s="179">
        <f>Ruimtestaat[[#This Row],[uren / jaar weekend]]+Ruimtestaat[[#This Row],[uren / jaar werkdagen]]</f>
        <v>0</v>
      </c>
      <c r="AF439" s="174">
        <f>Ruimtestaat[[#This Row],[kosten / jaar weekend]]+Ruimtestaat[[#This Row],[kosten / jaar werkdagen]]</f>
        <v>0</v>
      </c>
      <c r="AG439" s="174"/>
      <c r="AH439" s="181" t="str">
        <f>IF(Ruimtestaat[[#This Row],[Frequentie werkdagen]]="","",_xlfn.CONCAT(Ruimtestaat[[#This Row],[Ruimte code]],"-",Ruimtestaat[[#This Row],[Frequentie werkdagen]]," ",Ruimtestaat[[#This Row],[Vloer code]]))</f>
        <v>16-5w L</v>
      </c>
      <c r="AI439" s="185" t="str">
        <f>_xlfn.IFNA(VLOOKUP($AH439,Programma!$F$3:$G$1101,2,0),"")</f>
        <v>_</v>
      </c>
      <c r="AJ439" s="185" t="str">
        <f>_xlfn.IFNA(VLOOKUP($AH439,Programma!$F$3:$H$1101,3,0),"")</f>
        <v>_</v>
      </c>
      <c r="AK439" s="185" t="str">
        <f>_xlfn.IFNA(VLOOKUP($AH439,Programma!$F$3:$I$1101,4,0),"")</f>
        <v>4w</v>
      </c>
      <c r="AL439" s="185" t="str">
        <f>_xlfn.IFNA(VLOOKUP($AH439,Programma!$F$3:$J$1101,5,0),"")</f>
        <v>1w</v>
      </c>
      <c r="AM439" s="185" t="str">
        <f>_xlfn.IFNA(VLOOKUP($AH439,Programma!$F$3:$K$1101,6,0),"")</f>
        <v>_</v>
      </c>
      <c r="AN439" s="185" t="str">
        <f>_xlfn.IFNA(VLOOKUP($AH439,Programma!$F$3:$L$1101,7,0),"")</f>
        <v>_</v>
      </c>
      <c r="AO439" s="185" t="str">
        <f>_xlfn.IFNA(VLOOKUP($AH439,Programma!$F$3:$M$1101,8,0),"")</f>
        <v>_</v>
      </c>
      <c r="AP439" s="185" t="str">
        <f>_xlfn.IFNA(VLOOKUP($AH439,Programma!$F$3:$N$1101,9,0),"")</f>
        <v>_</v>
      </c>
      <c r="AQ439" s="185" t="str">
        <f>_xlfn.IFNA(VLOOKUP($AH439,Programma!$F$3:$O$1101,10,0),"")</f>
        <v>5w</v>
      </c>
      <c r="AR439" s="185" t="str">
        <f>_xlfn.IFNA(VLOOKUP($AH439,Programma!$F$3:$P$1101,11,0),"")</f>
        <v>5w</v>
      </c>
      <c r="AS439" s="185" t="str">
        <f>_xlfn.IFNA(VLOOKUP($AH439,Programma!$F$3:$Q$1101,12,0),"")</f>
        <v>1w</v>
      </c>
      <c r="AT439" s="185" t="str">
        <f>_xlfn.IFNA(VLOOKUP($AH439,Programma!$F$3:$R$1101,13,0),"")</f>
        <v>1w</v>
      </c>
      <c r="AU439" s="185" t="str">
        <f>_xlfn.IFNA(VLOOKUP($AH439,Programma!$F$3:$S$1101,14,0),"")</f>
        <v>1m</v>
      </c>
      <c r="AV439" s="185" t="str">
        <f>_xlfn.IFNA(VLOOKUP($AH439,Programma!$F$3:$T$1101,15,0),"")</f>
        <v>2j</v>
      </c>
      <c r="AW439" s="185" t="str">
        <f>_xlfn.IFNA(VLOOKUP($AH439,Programma!$F$3:$U$1101,16,0),"")</f>
        <v>1j</v>
      </c>
      <c r="AX439" s="185" t="str">
        <f>_xlfn.IFNA(VLOOKUP($AH439,Programma!$F$3:$V$1101,17,0),"")</f>
        <v>_</v>
      </c>
      <c r="AY439" s="185" t="str">
        <f>_xlfn.IFNA(VLOOKUP($AH439,Programma!$F$3:$W$1101,18,0),"")</f>
        <v>_</v>
      </c>
      <c r="AZ439" s="185" t="str">
        <f>_xlfn.IFNA(VLOOKUP($AH439,Programma!$F$3:$X$1101,19,0),"")</f>
        <v>_</v>
      </c>
      <c r="BA439" s="185" t="str">
        <f>_xlfn.IFNA(VLOOKUP($AH439,Programma!$F$3:$Y$1101,20,0),"")</f>
        <v>_</v>
      </c>
      <c r="BB439" s="182"/>
      <c r="BC439" s="181" t="str">
        <f>IF(Ruimtestaat[[#This Row],[Frequentie weekend]]="","",_xlfn.CONCAT(Ruimtestaat[[#This Row],[Ruimte code]],"-",Ruimtestaat[[#This Row],[Frequentie weekend]]," ",Ruimtestaat[[#This Row],[Vloer code]]))</f>
        <v/>
      </c>
      <c r="BD439" s="185" t="str">
        <f>_xlfn.IFNA(VLOOKUP($BC439,Programma!$F$3:$G$1101,2,0),"")</f>
        <v/>
      </c>
      <c r="BE439" s="185" t="str">
        <f>_xlfn.IFNA(VLOOKUP($BC439,Programma!$F$3:$H$1101,3,0),"")</f>
        <v/>
      </c>
      <c r="BF439" s="185" t="str">
        <f>_xlfn.IFNA(VLOOKUP($BC439,Programma!$F$3:$I$1101,4,0),"")</f>
        <v/>
      </c>
      <c r="BG439" s="185" t="str">
        <f>_xlfn.IFNA(VLOOKUP($BC439,Programma!$F$3:$J$1101,5,0),"")</f>
        <v/>
      </c>
      <c r="BH439" s="185" t="str">
        <f>_xlfn.IFNA(VLOOKUP($BC439,Programma!$F$3:$K$1101,6,0),"")</f>
        <v/>
      </c>
      <c r="BI439" s="185" t="str">
        <f>_xlfn.IFNA(VLOOKUP($BC439,Programma!$F$3:$L$1101,7,0),"")</f>
        <v/>
      </c>
      <c r="BJ439" s="185" t="str">
        <f>_xlfn.IFNA(VLOOKUP($BC439,Programma!$F$3:$M$1101,8,0),"")</f>
        <v/>
      </c>
      <c r="BK439" s="185" t="str">
        <f>_xlfn.IFNA(VLOOKUP($BC439,Programma!$F$3:$N$1101,9,0),"")</f>
        <v/>
      </c>
      <c r="BL439" s="185" t="str">
        <f>_xlfn.IFNA(VLOOKUP($BC439,Programma!$F$3:$O$1101,10,0),"")</f>
        <v/>
      </c>
      <c r="BM439" s="185" t="str">
        <f>_xlfn.IFNA(VLOOKUP($BC439,Programma!$F$3:$P$1101,11,0),"")</f>
        <v/>
      </c>
      <c r="BN439" s="185" t="str">
        <f>_xlfn.IFNA(VLOOKUP($BC439,Programma!$F$3:$Q$1101,12,0),"")</f>
        <v/>
      </c>
      <c r="BO439" s="185" t="str">
        <f>_xlfn.IFNA(VLOOKUP($BC439,Programma!$F$3:$R$1101,13,0),"")</f>
        <v/>
      </c>
      <c r="BP439" s="185" t="str">
        <f>_xlfn.IFNA(VLOOKUP($BC439,Programma!$F$3:$S$1101,14,0),"")</f>
        <v/>
      </c>
      <c r="BQ439" s="185" t="str">
        <f>_xlfn.IFNA(VLOOKUP($BC439,Programma!$F$3:$T$1101,15,0),"")</f>
        <v/>
      </c>
      <c r="BR439" s="185" t="str">
        <f>_xlfn.IFNA(VLOOKUP($BC439,Programma!$F$3:$U$1101,16,0),"")</f>
        <v/>
      </c>
      <c r="BS439" s="185" t="str">
        <f>_xlfn.IFNA(VLOOKUP($BC439,Programma!$F$3:$V$1101,17,0),"")</f>
        <v/>
      </c>
      <c r="BT439" s="185" t="str">
        <f>_xlfn.IFNA(VLOOKUP($BC439,Programma!$F$3:$W$1101,18,0),"")</f>
        <v/>
      </c>
      <c r="BU439" s="185" t="str">
        <f>_xlfn.IFNA(VLOOKUP($BC439,Programma!$F$3:$X$1101,19,0),"")</f>
        <v/>
      </c>
      <c r="BV439" s="185" t="str">
        <f>_xlfn.IFNA(VLOOKUP($BC439,Programma!$F$3:$Y$1101,20,0),"")</f>
        <v/>
      </c>
    </row>
    <row r="440" spans="1:74" s="78" customFormat="1" ht="15" customHeight="1">
      <c r="A440" s="99">
        <v>13</v>
      </c>
      <c r="B440" s="176" t="str">
        <f>VLOOKUP(Ruimtestaat[[#This Row],[Code]],Locaties[[Code]:[Locatie]],2,FALSE)</f>
        <v>OMBS Het Zeggelt (Meeuwen)</v>
      </c>
      <c r="C440" s="176" t="str">
        <f>VLOOKUP(Ruimtestaat[[#This Row],[Code]],Locaties[[#All],[Code]:[Adres]],4,FALSE)</f>
        <v>Meeuwenstraat 4</v>
      </c>
      <c r="D440" s="176" t="str">
        <f>VLOOKUP(Ruimtestaat[[#This Row],[Code]],Locaties[[#All],[Code]:[Postcode]],5,FALSE)</f>
        <v>7523 XV</v>
      </c>
      <c r="E440" s="176" t="str">
        <f>VLOOKUP(Ruimtestaat[[#This Row],[Code]],Locaties[#All],6,FALSE)</f>
        <v>Enschede</v>
      </c>
      <c r="F440" s="183"/>
      <c r="G440" s="99" t="s">
        <v>1646</v>
      </c>
      <c r="H440" s="99" t="s">
        <v>1672</v>
      </c>
      <c r="I440" s="183" t="s">
        <v>1679</v>
      </c>
      <c r="J440" s="99">
        <v>15</v>
      </c>
      <c r="K440" s="183" t="str">
        <f>VLOOKUP(Ruimtestaat[[#This Row],[Ruimte code]],Ruimtegroepen[[#All],[Code]:[Ruimte omschrijving]],2,FALSE)</f>
        <v>Keuken/pantry</v>
      </c>
      <c r="L440" s="99" t="s">
        <v>101</v>
      </c>
      <c r="M440" s="99" t="s">
        <v>119</v>
      </c>
      <c r="N440" s="177">
        <v>12.3</v>
      </c>
      <c r="O440" s="177"/>
      <c r="P440" s="178" t="str">
        <f>VLOOKUP(Ruimtestaat[[#This Row],[Ruimte code]],Ruimtegroepen[],4,FALSE)</f>
        <v>Ve</v>
      </c>
      <c r="Q440" s="149">
        <v>40</v>
      </c>
      <c r="R440" s="149" t="s">
        <v>2</v>
      </c>
      <c r="S440" s="149">
        <f>IF(Q440&gt;0,IF(RIGHT(Ruimtestaat[[#This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0" s="149">
        <f>IF(S440&gt;0,VLOOKUP($J440,Ruimtegroepen[],3,FALSE)*VLOOKUP($L440,Vloersoorten[],3,FALSE)*VLOOKUP($R440,Frequenties[],3,FALSE)*VLOOKUP($A440,Locaties[],3,FALSE),0)</f>
        <v>0</v>
      </c>
      <c r="U440" s="149">
        <f>Ruimtestaat[[#This Row],[Uitvoeringen werkdagen]]*Ruimtestaat[[#This Row],[Oppervlak (netto)]]</f>
        <v>2460</v>
      </c>
      <c r="V440" s="179">
        <f>IF(T440&gt;0,Ruimtestaat[[#This Row],[Prest. (m2 /jaar) werkdagen]]/Ruimtestaat[[#This Row],[Norm (m2/uur) werkdagen]],0)</f>
        <v>0</v>
      </c>
      <c r="W440" s="180">
        <f>Ruimtestaat[[#This Row],[uren / jaar werkdagen]]*Tariefsopbouw!$E$35</f>
        <v>0</v>
      </c>
      <c r="X440" s="149"/>
      <c r="Y440" s="149">
        <f>IF(Ruimtestaat[[#This Row],[Frequentie weekend]]&gt;0,VALUE(LEFT(X440,1))*Q440,0)</f>
        <v>0</v>
      </c>
      <c r="Z440" s="148">
        <f>IF($Y440&gt;0,VLOOKUP($J440,Ruimtegroepen[],3,FALSE)*VLOOKUP($L440,Vloersoorten[],3,FALSE)*VLOOKUP($X440,Frequenties[],3,FALSE)*VLOOKUP(Ruimtestaat[[#This Row],[Code]],Locaties[],3,FALSE),0)</f>
        <v>0</v>
      </c>
      <c r="AA440" s="148">
        <f>Ruimtestaat[[#This Row],[Uitvoeringen weekend]]*Ruimtestaat[[#This Row],[Oppervlak (netto)]]</f>
        <v>0</v>
      </c>
      <c r="AB440" s="148">
        <f>IF(Z440&gt;0,Ruimtestaat[[#This Row],[Prest. (m2 /jaar) weekend]]/Ruimtestaat[[#This Row],[Norm (m2/uur) weekend]],0)</f>
        <v>0</v>
      </c>
      <c r="AC440" s="180">
        <f>Ruimtestaat[[#This Row],[uren / jaar weekend]]*Tariefsopbouw!$D$40</f>
        <v>0</v>
      </c>
      <c r="AD440" s="179">
        <f>Ruimtestaat[[#This Row],[Prest. (m2 /jaar) weekend]]+Ruimtestaat[[#This Row],[Prest. (m2 /jaar) werkdagen]]</f>
        <v>2460</v>
      </c>
      <c r="AE440" s="179">
        <f>Ruimtestaat[[#This Row],[uren / jaar weekend]]+Ruimtestaat[[#This Row],[uren / jaar werkdagen]]</f>
        <v>0</v>
      </c>
      <c r="AF440" s="174">
        <f>Ruimtestaat[[#This Row],[kosten / jaar weekend]]+Ruimtestaat[[#This Row],[kosten / jaar werkdagen]]</f>
        <v>0</v>
      </c>
      <c r="AG440" s="174"/>
      <c r="AH440" s="181" t="str">
        <f>IF(Ruimtestaat[[#This Row],[Frequentie werkdagen]]="","",_xlfn.CONCAT(Ruimtestaat[[#This Row],[Ruimte code]],"-",Ruimtestaat[[#This Row],[Frequentie werkdagen]]," ",Ruimtestaat[[#This Row],[Vloer code]]))</f>
        <v>15-5w S</v>
      </c>
      <c r="AI440" s="185" t="str">
        <f>_xlfn.IFNA(VLOOKUP($AH440,Programma!$F$3:$G$1101,2,0),"")</f>
        <v>_</v>
      </c>
      <c r="AJ440" s="185" t="str">
        <f>_xlfn.IFNA(VLOOKUP($AH440,Programma!$F$3:$H$1101,3,0),"")</f>
        <v>_</v>
      </c>
      <c r="AK440" s="185" t="str">
        <f>_xlfn.IFNA(VLOOKUP($AH440,Programma!$F$3:$I$1101,4,0),"")</f>
        <v>5w</v>
      </c>
      <c r="AL440" s="185" t="str">
        <f>_xlfn.IFNA(VLOOKUP($AH440,Programma!$F$3:$J$1101,5,0),"")</f>
        <v>_</v>
      </c>
      <c r="AM440" s="185" t="str">
        <f>_xlfn.IFNA(VLOOKUP($AH440,Programma!$F$3:$K$1101,6,0),"")</f>
        <v>5w</v>
      </c>
      <c r="AN440" s="185" t="str">
        <f>_xlfn.IFNA(VLOOKUP($AH440,Programma!$F$3:$L$1101,7,0),"")</f>
        <v>_</v>
      </c>
      <c r="AO440" s="185" t="str">
        <f>_xlfn.IFNA(VLOOKUP($AH440,Programma!$F$3:$M$1101,8,0),"")</f>
        <v>_</v>
      </c>
      <c r="AP440" s="185" t="str">
        <f>_xlfn.IFNA(VLOOKUP($AH440,Programma!$F$3:$N$1101,9,0),"")</f>
        <v>_</v>
      </c>
      <c r="AQ440" s="185" t="str">
        <f>_xlfn.IFNA(VLOOKUP($AH440,Programma!$F$3:$O$1101,10,0),"")</f>
        <v>5w</v>
      </c>
      <c r="AR440" s="185" t="str">
        <f>_xlfn.IFNA(VLOOKUP($AH440,Programma!$F$3:$P$1101,11,0),"")</f>
        <v>5w</v>
      </c>
      <c r="AS440" s="185" t="str">
        <f>_xlfn.IFNA(VLOOKUP($AH440,Programma!$F$3:$Q$1101,12,0),"")</f>
        <v>1w</v>
      </c>
      <c r="AT440" s="185" t="str">
        <f>_xlfn.IFNA(VLOOKUP($AH440,Programma!$F$3:$R$1101,13,0),"")</f>
        <v>1w</v>
      </c>
      <c r="AU440" s="185" t="str">
        <f>_xlfn.IFNA(VLOOKUP($AH440,Programma!$F$3:$S$1101,14,0),"")</f>
        <v>1m</v>
      </c>
      <c r="AV440" s="185" t="str">
        <f>_xlfn.IFNA(VLOOKUP($AH440,Programma!$F$3:$T$1101,15,0),"")</f>
        <v>2j</v>
      </c>
      <c r="AW440" s="185" t="str">
        <f>_xlfn.IFNA(VLOOKUP($AH440,Programma!$F$3:$U$1101,16,0),"")</f>
        <v>1j</v>
      </c>
      <c r="AX440" s="185" t="str">
        <f>_xlfn.IFNA(VLOOKUP($AH440,Programma!$F$3:$V$1101,17,0),"")</f>
        <v>_</v>
      </c>
      <c r="AY440" s="185" t="str">
        <f>_xlfn.IFNA(VLOOKUP($AH440,Programma!$F$3:$W$1101,18,0),"")</f>
        <v>_</v>
      </c>
      <c r="AZ440" s="185" t="str">
        <f>_xlfn.IFNA(VLOOKUP($AH440,Programma!$F$3:$X$1101,19,0),"")</f>
        <v>_</v>
      </c>
      <c r="BA440" s="185" t="str">
        <f>_xlfn.IFNA(VLOOKUP($AH440,Programma!$F$3:$Y$1101,20,0),"")</f>
        <v>_</v>
      </c>
      <c r="BB440" s="182"/>
      <c r="BC440" s="181" t="str">
        <f>IF(Ruimtestaat[[#This Row],[Frequentie weekend]]="","",_xlfn.CONCAT(Ruimtestaat[[#This Row],[Ruimte code]],"-",Ruimtestaat[[#This Row],[Frequentie weekend]]," ",Ruimtestaat[[#This Row],[Vloer code]]))</f>
        <v/>
      </c>
      <c r="BD440" s="185" t="str">
        <f>_xlfn.IFNA(VLOOKUP($BC440,Programma!$F$3:$G$1101,2,0),"")</f>
        <v/>
      </c>
      <c r="BE440" s="185" t="str">
        <f>_xlfn.IFNA(VLOOKUP($BC440,Programma!$F$3:$H$1101,3,0),"")</f>
        <v/>
      </c>
      <c r="BF440" s="185" t="str">
        <f>_xlfn.IFNA(VLOOKUP($BC440,Programma!$F$3:$I$1101,4,0),"")</f>
        <v/>
      </c>
      <c r="BG440" s="185" t="str">
        <f>_xlfn.IFNA(VLOOKUP($BC440,Programma!$F$3:$J$1101,5,0),"")</f>
        <v/>
      </c>
      <c r="BH440" s="185" t="str">
        <f>_xlfn.IFNA(VLOOKUP($BC440,Programma!$F$3:$K$1101,6,0),"")</f>
        <v/>
      </c>
      <c r="BI440" s="185" t="str">
        <f>_xlfn.IFNA(VLOOKUP($BC440,Programma!$F$3:$L$1101,7,0),"")</f>
        <v/>
      </c>
      <c r="BJ440" s="185" t="str">
        <f>_xlfn.IFNA(VLOOKUP($BC440,Programma!$F$3:$M$1101,8,0),"")</f>
        <v/>
      </c>
      <c r="BK440" s="185" t="str">
        <f>_xlfn.IFNA(VLOOKUP($BC440,Programma!$F$3:$N$1101,9,0),"")</f>
        <v/>
      </c>
      <c r="BL440" s="185" t="str">
        <f>_xlfn.IFNA(VLOOKUP($BC440,Programma!$F$3:$O$1101,10,0),"")</f>
        <v/>
      </c>
      <c r="BM440" s="185" t="str">
        <f>_xlfn.IFNA(VLOOKUP($BC440,Programma!$F$3:$P$1101,11,0),"")</f>
        <v/>
      </c>
      <c r="BN440" s="185" t="str">
        <f>_xlfn.IFNA(VLOOKUP($BC440,Programma!$F$3:$Q$1101,12,0),"")</f>
        <v/>
      </c>
      <c r="BO440" s="185" t="str">
        <f>_xlfn.IFNA(VLOOKUP($BC440,Programma!$F$3:$R$1101,13,0),"")</f>
        <v/>
      </c>
      <c r="BP440" s="185" t="str">
        <f>_xlfn.IFNA(VLOOKUP($BC440,Programma!$F$3:$S$1101,14,0),"")</f>
        <v/>
      </c>
      <c r="BQ440" s="185" t="str">
        <f>_xlfn.IFNA(VLOOKUP($BC440,Programma!$F$3:$T$1101,15,0),"")</f>
        <v/>
      </c>
      <c r="BR440" s="185" t="str">
        <f>_xlfn.IFNA(VLOOKUP($BC440,Programma!$F$3:$U$1101,16,0),"")</f>
        <v/>
      </c>
      <c r="BS440" s="185" t="str">
        <f>_xlfn.IFNA(VLOOKUP($BC440,Programma!$F$3:$V$1101,17,0),"")</f>
        <v/>
      </c>
      <c r="BT440" s="185" t="str">
        <f>_xlfn.IFNA(VLOOKUP($BC440,Programma!$F$3:$W$1101,18,0),"")</f>
        <v/>
      </c>
      <c r="BU440" s="185" t="str">
        <f>_xlfn.IFNA(VLOOKUP($BC440,Programma!$F$3:$X$1101,19,0),"")</f>
        <v/>
      </c>
      <c r="BV440" s="185" t="str">
        <f>_xlfn.IFNA(VLOOKUP($BC440,Programma!$F$3:$Y$1101,20,0),"")</f>
        <v/>
      </c>
    </row>
    <row r="441" spans="1:74" s="78" customFormat="1" ht="15" customHeight="1">
      <c r="A441" s="99">
        <v>13</v>
      </c>
      <c r="B441" s="176" t="str">
        <f>VLOOKUP(Ruimtestaat[[#This Row],[Code]],Locaties[[Code]:[Locatie]],2,FALSE)</f>
        <v>OMBS Het Zeggelt (Meeuwen)</v>
      </c>
      <c r="C441" s="176" t="str">
        <f>VLOOKUP(Ruimtestaat[[#This Row],[Code]],Locaties[[#All],[Code]:[Adres]],4,FALSE)</f>
        <v>Meeuwenstraat 4</v>
      </c>
      <c r="D441" s="176" t="str">
        <f>VLOOKUP(Ruimtestaat[[#This Row],[Code]],Locaties[[#All],[Code]:[Postcode]],5,FALSE)</f>
        <v>7523 XV</v>
      </c>
      <c r="E441" s="176" t="str">
        <f>VLOOKUP(Ruimtestaat[[#This Row],[Code]],Locaties[#All],6,FALSE)</f>
        <v>Enschede</v>
      </c>
      <c r="F441" s="183"/>
      <c r="G441" s="99" t="s">
        <v>1646</v>
      </c>
      <c r="H441" s="99" t="s">
        <v>1673</v>
      </c>
      <c r="I441" s="183" t="s">
        <v>1651</v>
      </c>
      <c r="J441" s="99">
        <v>16</v>
      </c>
      <c r="K441" s="183" t="str">
        <f>VLOOKUP(Ruimtestaat[[#This Row],[Ruimte code]],Ruimtegroepen[[#All],[Code]:[Ruimte omschrijving]],2,FALSE)</f>
        <v>Leslokalen</v>
      </c>
      <c r="L441" s="99" t="s">
        <v>100</v>
      </c>
      <c r="M441" s="99" t="s">
        <v>1697</v>
      </c>
      <c r="N441" s="177">
        <v>58.9</v>
      </c>
      <c r="O441" s="177"/>
      <c r="P441" s="178" t="str">
        <f>VLOOKUP(Ruimtestaat[[#This Row],[Ruimte code]],Ruimtegroepen[],4,FALSE)</f>
        <v>Le</v>
      </c>
      <c r="Q441" s="149">
        <v>40</v>
      </c>
      <c r="R441" s="149" t="s">
        <v>2</v>
      </c>
      <c r="S441" s="149">
        <f>IF(Q441&gt;0,IF(RIGHT(Ruimtestaat[[#This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1" s="149">
        <f>IF(S441&gt;0,VLOOKUP($J441,Ruimtegroepen[],3,FALSE)*VLOOKUP($L441,Vloersoorten[],3,FALSE)*VLOOKUP($R441,Frequenties[],3,FALSE)*VLOOKUP($A441,Locaties[],3,FALSE),0)</f>
        <v>0</v>
      </c>
      <c r="U441" s="149">
        <f>Ruimtestaat[[#This Row],[Uitvoeringen werkdagen]]*Ruimtestaat[[#This Row],[Oppervlak (netto)]]</f>
        <v>11780</v>
      </c>
      <c r="V441" s="179">
        <f>IF(T441&gt;0,Ruimtestaat[[#This Row],[Prest. (m2 /jaar) werkdagen]]/Ruimtestaat[[#This Row],[Norm (m2/uur) werkdagen]],0)</f>
        <v>0</v>
      </c>
      <c r="W441" s="180">
        <f>Ruimtestaat[[#This Row],[uren / jaar werkdagen]]*Tariefsopbouw!$E$35</f>
        <v>0</v>
      </c>
      <c r="X441" s="149"/>
      <c r="Y441" s="149">
        <f>IF(Ruimtestaat[[#This Row],[Frequentie weekend]]&gt;0,VALUE(LEFT(X441,1))*Q441,0)</f>
        <v>0</v>
      </c>
      <c r="Z441" s="148">
        <f>IF($Y441&gt;0,VLOOKUP($J441,Ruimtegroepen[],3,FALSE)*VLOOKUP($L441,Vloersoorten[],3,FALSE)*VLOOKUP($X441,Frequenties[],3,FALSE)*VLOOKUP(Ruimtestaat[[#This Row],[Code]],Locaties[],3,FALSE),0)</f>
        <v>0</v>
      </c>
      <c r="AA441" s="148">
        <f>Ruimtestaat[[#This Row],[Uitvoeringen weekend]]*Ruimtestaat[[#This Row],[Oppervlak (netto)]]</f>
        <v>0</v>
      </c>
      <c r="AB441" s="148">
        <f>IF(Z441&gt;0,Ruimtestaat[[#This Row],[Prest. (m2 /jaar) weekend]]/Ruimtestaat[[#This Row],[Norm (m2/uur) weekend]],0)</f>
        <v>0</v>
      </c>
      <c r="AC441" s="180">
        <f>Ruimtestaat[[#This Row],[uren / jaar weekend]]*Tariefsopbouw!$D$40</f>
        <v>0</v>
      </c>
      <c r="AD441" s="179">
        <f>Ruimtestaat[[#This Row],[Prest. (m2 /jaar) weekend]]+Ruimtestaat[[#This Row],[Prest. (m2 /jaar) werkdagen]]</f>
        <v>11780</v>
      </c>
      <c r="AE441" s="179">
        <f>Ruimtestaat[[#This Row],[uren / jaar weekend]]+Ruimtestaat[[#This Row],[uren / jaar werkdagen]]</f>
        <v>0</v>
      </c>
      <c r="AF441" s="174">
        <f>Ruimtestaat[[#This Row],[kosten / jaar weekend]]+Ruimtestaat[[#This Row],[kosten / jaar werkdagen]]</f>
        <v>0</v>
      </c>
      <c r="AG441" s="174"/>
      <c r="AH441" s="181" t="str">
        <f>IF(Ruimtestaat[[#This Row],[Frequentie werkdagen]]="","",_xlfn.CONCAT(Ruimtestaat[[#This Row],[Ruimte code]],"-",Ruimtestaat[[#This Row],[Frequentie werkdagen]]," ",Ruimtestaat[[#This Row],[Vloer code]]))</f>
        <v>16-5w L</v>
      </c>
      <c r="AI441" s="185" t="str">
        <f>_xlfn.IFNA(VLOOKUP($AH441,Programma!$F$3:$G$1101,2,0),"")</f>
        <v>_</v>
      </c>
      <c r="AJ441" s="185" t="str">
        <f>_xlfn.IFNA(VLOOKUP($AH441,Programma!$F$3:$H$1101,3,0),"")</f>
        <v>_</v>
      </c>
      <c r="AK441" s="185" t="str">
        <f>_xlfn.IFNA(VLOOKUP($AH441,Programma!$F$3:$I$1101,4,0),"")</f>
        <v>4w</v>
      </c>
      <c r="AL441" s="185" t="str">
        <f>_xlfn.IFNA(VLOOKUP($AH441,Programma!$F$3:$J$1101,5,0),"")</f>
        <v>1w</v>
      </c>
      <c r="AM441" s="185" t="str">
        <f>_xlfn.IFNA(VLOOKUP($AH441,Programma!$F$3:$K$1101,6,0),"")</f>
        <v>_</v>
      </c>
      <c r="AN441" s="185" t="str">
        <f>_xlfn.IFNA(VLOOKUP($AH441,Programma!$F$3:$L$1101,7,0),"")</f>
        <v>_</v>
      </c>
      <c r="AO441" s="185" t="str">
        <f>_xlfn.IFNA(VLOOKUP($AH441,Programma!$F$3:$M$1101,8,0),"")</f>
        <v>_</v>
      </c>
      <c r="AP441" s="185" t="str">
        <f>_xlfn.IFNA(VLOOKUP($AH441,Programma!$F$3:$N$1101,9,0),"")</f>
        <v>_</v>
      </c>
      <c r="AQ441" s="185" t="str">
        <f>_xlfn.IFNA(VLOOKUP($AH441,Programma!$F$3:$O$1101,10,0),"")</f>
        <v>5w</v>
      </c>
      <c r="AR441" s="185" t="str">
        <f>_xlfn.IFNA(VLOOKUP($AH441,Programma!$F$3:$P$1101,11,0),"")</f>
        <v>5w</v>
      </c>
      <c r="AS441" s="185" t="str">
        <f>_xlfn.IFNA(VLOOKUP($AH441,Programma!$F$3:$Q$1101,12,0),"")</f>
        <v>1w</v>
      </c>
      <c r="AT441" s="185" t="str">
        <f>_xlfn.IFNA(VLOOKUP($AH441,Programma!$F$3:$R$1101,13,0),"")</f>
        <v>1w</v>
      </c>
      <c r="AU441" s="185" t="str">
        <f>_xlfn.IFNA(VLOOKUP($AH441,Programma!$F$3:$S$1101,14,0),"")</f>
        <v>1m</v>
      </c>
      <c r="AV441" s="185" t="str">
        <f>_xlfn.IFNA(VLOOKUP($AH441,Programma!$F$3:$T$1101,15,0),"")</f>
        <v>2j</v>
      </c>
      <c r="AW441" s="185" t="str">
        <f>_xlfn.IFNA(VLOOKUP($AH441,Programma!$F$3:$U$1101,16,0),"")</f>
        <v>1j</v>
      </c>
      <c r="AX441" s="185" t="str">
        <f>_xlfn.IFNA(VLOOKUP($AH441,Programma!$F$3:$V$1101,17,0),"")</f>
        <v>_</v>
      </c>
      <c r="AY441" s="185" t="str">
        <f>_xlfn.IFNA(VLOOKUP($AH441,Programma!$F$3:$W$1101,18,0),"")</f>
        <v>_</v>
      </c>
      <c r="AZ441" s="185" t="str">
        <f>_xlfn.IFNA(VLOOKUP($AH441,Programma!$F$3:$X$1101,19,0),"")</f>
        <v>_</v>
      </c>
      <c r="BA441" s="185" t="str">
        <f>_xlfn.IFNA(VLOOKUP($AH441,Programma!$F$3:$Y$1101,20,0),"")</f>
        <v>_</v>
      </c>
      <c r="BB441" s="182"/>
      <c r="BC441" s="181" t="str">
        <f>IF(Ruimtestaat[[#This Row],[Frequentie weekend]]="","",_xlfn.CONCAT(Ruimtestaat[[#This Row],[Ruimte code]],"-",Ruimtestaat[[#This Row],[Frequentie weekend]]," ",Ruimtestaat[[#This Row],[Vloer code]]))</f>
        <v/>
      </c>
      <c r="BD441" s="185" t="str">
        <f>_xlfn.IFNA(VLOOKUP($BC441,Programma!$F$3:$G$1101,2,0),"")</f>
        <v/>
      </c>
      <c r="BE441" s="185" t="str">
        <f>_xlfn.IFNA(VLOOKUP($BC441,Programma!$F$3:$H$1101,3,0),"")</f>
        <v/>
      </c>
      <c r="BF441" s="185" t="str">
        <f>_xlfn.IFNA(VLOOKUP($BC441,Programma!$F$3:$I$1101,4,0),"")</f>
        <v/>
      </c>
      <c r="BG441" s="185" t="str">
        <f>_xlfn.IFNA(VLOOKUP($BC441,Programma!$F$3:$J$1101,5,0),"")</f>
        <v/>
      </c>
      <c r="BH441" s="185" t="str">
        <f>_xlfn.IFNA(VLOOKUP($BC441,Programma!$F$3:$K$1101,6,0),"")</f>
        <v/>
      </c>
      <c r="BI441" s="185" t="str">
        <f>_xlfn.IFNA(VLOOKUP($BC441,Programma!$F$3:$L$1101,7,0),"")</f>
        <v/>
      </c>
      <c r="BJ441" s="185" t="str">
        <f>_xlfn.IFNA(VLOOKUP($BC441,Programma!$F$3:$M$1101,8,0),"")</f>
        <v/>
      </c>
      <c r="BK441" s="185" t="str">
        <f>_xlfn.IFNA(VLOOKUP($BC441,Programma!$F$3:$N$1101,9,0),"")</f>
        <v/>
      </c>
      <c r="BL441" s="185" t="str">
        <f>_xlfn.IFNA(VLOOKUP($BC441,Programma!$F$3:$O$1101,10,0),"")</f>
        <v/>
      </c>
      <c r="BM441" s="185" t="str">
        <f>_xlfn.IFNA(VLOOKUP($BC441,Programma!$F$3:$P$1101,11,0),"")</f>
        <v/>
      </c>
      <c r="BN441" s="185" t="str">
        <f>_xlfn.IFNA(VLOOKUP($BC441,Programma!$F$3:$Q$1101,12,0),"")</f>
        <v/>
      </c>
      <c r="BO441" s="185" t="str">
        <f>_xlfn.IFNA(VLOOKUP($BC441,Programma!$F$3:$R$1101,13,0),"")</f>
        <v/>
      </c>
      <c r="BP441" s="185" t="str">
        <f>_xlfn.IFNA(VLOOKUP($BC441,Programma!$F$3:$S$1101,14,0),"")</f>
        <v/>
      </c>
      <c r="BQ441" s="185" t="str">
        <f>_xlfn.IFNA(VLOOKUP($BC441,Programma!$F$3:$T$1101,15,0),"")</f>
        <v/>
      </c>
      <c r="BR441" s="185" t="str">
        <f>_xlfn.IFNA(VLOOKUP($BC441,Programma!$F$3:$U$1101,16,0),"")</f>
        <v/>
      </c>
      <c r="BS441" s="185" t="str">
        <f>_xlfn.IFNA(VLOOKUP($BC441,Programma!$F$3:$V$1101,17,0),"")</f>
        <v/>
      </c>
      <c r="BT441" s="185" t="str">
        <f>_xlfn.IFNA(VLOOKUP($BC441,Programma!$F$3:$W$1101,18,0),"")</f>
        <v/>
      </c>
      <c r="BU441" s="185" t="str">
        <f>_xlfn.IFNA(VLOOKUP($BC441,Programma!$F$3:$X$1101,19,0),"")</f>
        <v/>
      </c>
      <c r="BV441" s="185" t="str">
        <f>_xlfn.IFNA(VLOOKUP($BC441,Programma!$F$3:$Y$1101,20,0),"")</f>
        <v/>
      </c>
    </row>
    <row r="442" spans="1:74" s="78" customFormat="1" ht="15" customHeight="1">
      <c r="A442" s="99">
        <v>13</v>
      </c>
      <c r="B442" s="176" t="str">
        <f>VLOOKUP(Ruimtestaat[[#This Row],[Code]],Locaties[[Code]:[Locatie]],2,FALSE)</f>
        <v>OMBS Het Zeggelt (Meeuwen)</v>
      </c>
      <c r="C442" s="176" t="str">
        <f>VLOOKUP(Ruimtestaat[[#This Row],[Code]],Locaties[[#All],[Code]:[Adres]],4,FALSE)</f>
        <v>Meeuwenstraat 4</v>
      </c>
      <c r="D442" s="176" t="str">
        <f>VLOOKUP(Ruimtestaat[[#This Row],[Code]],Locaties[[#All],[Code]:[Postcode]],5,FALSE)</f>
        <v>7523 XV</v>
      </c>
      <c r="E442" s="176" t="str">
        <f>VLOOKUP(Ruimtestaat[[#This Row],[Code]],Locaties[#All],6,FALSE)</f>
        <v>Enschede</v>
      </c>
      <c r="F442" s="183"/>
      <c r="G442" s="99" t="s">
        <v>1646</v>
      </c>
      <c r="H442" s="99" t="s">
        <v>1674</v>
      </c>
      <c r="I442" s="183" t="s">
        <v>1658</v>
      </c>
      <c r="J442" s="99">
        <v>6</v>
      </c>
      <c r="K442" s="183" t="str">
        <f>VLOOKUP(Ruimtestaat[[#This Row],[Ruimte code]],Ruimtegroepen[[#All],[Code]:[Ruimte omschrijving]],2,FALSE)</f>
        <v>Gangen/hallen</v>
      </c>
      <c r="L442" s="99" t="s">
        <v>101</v>
      </c>
      <c r="M442" s="99" t="s">
        <v>119</v>
      </c>
      <c r="N442" s="177">
        <v>45.2</v>
      </c>
      <c r="O442" s="177"/>
      <c r="P442" s="178" t="str">
        <f>VLOOKUP(Ruimtestaat[[#This Row],[Ruimte code]],Ruimtegroepen[],4,FALSE)</f>
        <v>Ve</v>
      </c>
      <c r="Q442" s="149">
        <v>40</v>
      </c>
      <c r="R442" s="149" t="s">
        <v>2</v>
      </c>
      <c r="S442" s="149">
        <f>IF(Q442&gt;0,IF(RIGHT(Ruimtestaat[[#This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2" s="149">
        <f>IF(S442&gt;0,VLOOKUP($J442,Ruimtegroepen[],3,FALSE)*VLOOKUP($L442,Vloersoorten[],3,FALSE)*VLOOKUP($R442,Frequenties[],3,FALSE)*VLOOKUP($A442,Locaties[],3,FALSE),0)</f>
        <v>0</v>
      </c>
      <c r="U442" s="149">
        <f>Ruimtestaat[[#This Row],[Uitvoeringen werkdagen]]*Ruimtestaat[[#This Row],[Oppervlak (netto)]]</f>
        <v>9040</v>
      </c>
      <c r="V442" s="179">
        <f>IF(T442&gt;0,Ruimtestaat[[#This Row],[Prest. (m2 /jaar) werkdagen]]/Ruimtestaat[[#This Row],[Norm (m2/uur) werkdagen]],0)</f>
        <v>0</v>
      </c>
      <c r="W442" s="180">
        <f>Ruimtestaat[[#This Row],[uren / jaar werkdagen]]*Tariefsopbouw!$E$35</f>
        <v>0</v>
      </c>
      <c r="X442" s="149"/>
      <c r="Y442" s="149">
        <f>IF(Ruimtestaat[[#This Row],[Frequentie weekend]]&gt;0,VALUE(LEFT(X442,1))*Q442,0)</f>
        <v>0</v>
      </c>
      <c r="Z442" s="148">
        <f>IF($Y442&gt;0,VLOOKUP($J442,Ruimtegroepen[],3,FALSE)*VLOOKUP($L442,Vloersoorten[],3,FALSE)*VLOOKUP($X442,Frequenties[],3,FALSE)*VLOOKUP(Ruimtestaat[[#This Row],[Code]],Locaties[],3,FALSE),0)</f>
        <v>0</v>
      </c>
      <c r="AA442" s="148">
        <f>Ruimtestaat[[#This Row],[Uitvoeringen weekend]]*Ruimtestaat[[#This Row],[Oppervlak (netto)]]</f>
        <v>0</v>
      </c>
      <c r="AB442" s="148">
        <f>IF(Z442&gt;0,Ruimtestaat[[#This Row],[Prest. (m2 /jaar) weekend]]/Ruimtestaat[[#This Row],[Norm (m2/uur) weekend]],0)</f>
        <v>0</v>
      </c>
      <c r="AC442" s="180">
        <f>Ruimtestaat[[#This Row],[uren / jaar weekend]]*Tariefsopbouw!$D$40</f>
        <v>0</v>
      </c>
      <c r="AD442" s="179">
        <f>Ruimtestaat[[#This Row],[Prest. (m2 /jaar) weekend]]+Ruimtestaat[[#This Row],[Prest. (m2 /jaar) werkdagen]]</f>
        <v>9040</v>
      </c>
      <c r="AE442" s="179">
        <f>Ruimtestaat[[#This Row],[uren / jaar weekend]]+Ruimtestaat[[#This Row],[uren / jaar werkdagen]]</f>
        <v>0</v>
      </c>
      <c r="AF442" s="174">
        <f>Ruimtestaat[[#This Row],[kosten / jaar weekend]]+Ruimtestaat[[#This Row],[kosten / jaar werkdagen]]</f>
        <v>0</v>
      </c>
      <c r="AG442" s="174"/>
      <c r="AH442" s="181" t="str">
        <f>IF(Ruimtestaat[[#This Row],[Frequentie werkdagen]]="","",_xlfn.CONCAT(Ruimtestaat[[#This Row],[Ruimte code]],"-",Ruimtestaat[[#This Row],[Frequentie werkdagen]]," ",Ruimtestaat[[#This Row],[Vloer code]]))</f>
        <v>6-5w S</v>
      </c>
      <c r="AI442" s="185" t="str">
        <f>_xlfn.IFNA(VLOOKUP($AH442,Programma!$F$3:$G$1101,2,0),"")</f>
        <v>_</v>
      </c>
      <c r="AJ442" s="185" t="str">
        <f>_xlfn.IFNA(VLOOKUP($AH442,Programma!$F$3:$H$1101,3,0),"")</f>
        <v>_</v>
      </c>
      <c r="AK442" s="185" t="str">
        <f>_xlfn.IFNA(VLOOKUP($AH442,Programma!$F$3:$I$1101,4,0),"")</f>
        <v>5w</v>
      </c>
      <c r="AL442" s="185" t="str">
        <f>_xlfn.IFNA(VLOOKUP($AH442,Programma!$F$3:$J$1101,5,0),"")</f>
        <v>_</v>
      </c>
      <c r="AM442" s="185" t="str">
        <f>_xlfn.IFNA(VLOOKUP($AH442,Programma!$F$3:$K$1101,6,0),"")</f>
        <v>5w</v>
      </c>
      <c r="AN442" s="185" t="str">
        <f>_xlfn.IFNA(VLOOKUP($AH442,Programma!$F$3:$L$1101,7,0),"")</f>
        <v>_</v>
      </c>
      <c r="AO442" s="185" t="str">
        <f>_xlfn.IFNA(VLOOKUP($AH442,Programma!$F$3:$M$1101,8,0),"")</f>
        <v>_</v>
      </c>
      <c r="AP442" s="185" t="str">
        <f>_xlfn.IFNA(VLOOKUP($AH442,Programma!$F$3:$N$1101,9,0),"")</f>
        <v>_</v>
      </c>
      <c r="AQ442" s="185" t="str">
        <f>_xlfn.IFNA(VLOOKUP($AH442,Programma!$F$3:$O$1101,10,0),"")</f>
        <v>5w</v>
      </c>
      <c r="AR442" s="185" t="str">
        <f>_xlfn.IFNA(VLOOKUP($AH442,Programma!$F$3:$P$1101,11,0),"")</f>
        <v>5w</v>
      </c>
      <c r="AS442" s="185" t="str">
        <f>_xlfn.IFNA(VLOOKUP($AH442,Programma!$F$3:$Q$1101,12,0),"")</f>
        <v>1w</v>
      </c>
      <c r="AT442" s="185" t="str">
        <f>_xlfn.IFNA(VLOOKUP($AH442,Programma!$F$3:$R$1101,13,0),"")</f>
        <v>1w</v>
      </c>
      <c r="AU442" s="185" t="str">
        <f>_xlfn.IFNA(VLOOKUP($AH442,Programma!$F$3:$S$1101,14,0),"")</f>
        <v>1m</v>
      </c>
      <c r="AV442" s="185" t="str">
        <f>_xlfn.IFNA(VLOOKUP($AH442,Programma!$F$3:$T$1101,15,0),"")</f>
        <v>2j</v>
      </c>
      <c r="AW442" s="185" t="str">
        <f>_xlfn.IFNA(VLOOKUP($AH442,Programma!$F$3:$U$1101,16,0),"")</f>
        <v>1j</v>
      </c>
      <c r="AX442" s="185" t="str">
        <f>_xlfn.IFNA(VLOOKUP($AH442,Programma!$F$3:$V$1101,17,0),"")</f>
        <v>_</v>
      </c>
      <c r="AY442" s="185" t="str">
        <f>_xlfn.IFNA(VLOOKUP($AH442,Programma!$F$3:$W$1101,18,0),"")</f>
        <v>_</v>
      </c>
      <c r="AZ442" s="185" t="str">
        <f>_xlfn.IFNA(VLOOKUP($AH442,Programma!$F$3:$X$1101,19,0),"")</f>
        <v>_</v>
      </c>
      <c r="BA442" s="185" t="str">
        <f>_xlfn.IFNA(VLOOKUP($AH442,Programma!$F$3:$Y$1101,20,0),"")</f>
        <v>_</v>
      </c>
      <c r="BB442" s="182"/>
      <c r="BC442" s="181" t="str">
        <f>IF(Ruimtestaat[[#This Row],[Frequentie weekend]]="","",_xlfn.CONCAT(Ruimtestaat[[#This Row],[Ruimte code]],"-",Ruimtestaat[[#This Row],[Frequentie weekend]]," ",Ruimtestaat[[#This Row],[Vloer code]]))</f>
        <v/>
      </c>
      <c r="BD442" s="185" t="str">
        <f>_xlfn.IFNA(VLOOKUP($BC442,Programma!$F$3:$G$1101,2,0),"")</f>
        <v/>
      </c>
      <c r="BE442" s="185" t="str">
        <f>_xlfn.IFNA(VLOOKUP($BC442,Programma!$F$3:$H$1101,3,0),"")</f>
        <v/>
      </c>
      <c r="BF442" s="185" t="str">
        <f>_xlfn.IFNA(VLOOKUP($BC442,Programma!$F$3:$I$1101,4,0),"")</f>
        <v/>
      </c>
      <c r="BG442" s="185" t="str">
        <f>_xlfn.IFNA(VLOOKUP($BC442,Programma!$F$3:$J$1101,5,0),"")</f>
        <v/>
      </c>
      <c r="BH442" s="185" t="str">
        <f>_xlfn.IFNA(VLOOKUP($BC442,Programma!$F$3:$K$1101,6,0),"")</f>
        <v/>
      </c>
      <c r="BI442" s="185" t="str">
        <f>_xlfn.IFNA(VLOOKUP($BC442,Programma!$F$3:$L$1101,7,0),"")</f>
        <v/>
      </c>
      <c r="BJ442" s="185" t="str">
        <f>_xlfn.IFNA(VLOOKUP($BC442,Programma!$F$3:$M$1101,8,0),"")</f>
        <v/>
      </c>
      <c r="BK442" s="185" t="str">
        <f>_xlfn.IFNA(VLOOKUP($BC442,Programma!$F$3:$N$1101,9,0),"")</f>
        <v/>
      </c>
      <c r="BL442" s="185" t="str">
        <f>_xlfn.IFNA(VLOOKUP($BC442,Programma!$F$3:$O$1101,10,0),"")</f>
        <v/>
      </c>
      <c r="BM442" s="185" t="str">
        <f>_xlfn.IFNA(VLOOKUP($BC442,Programma!$F$3:$P$1101,11,0),"")</f>
        <v/>
      </c>
      <c r="BN442" s="185" t="str">
        <f>_xlfn.IFNA(VLOOKUP($BC442,Programma!$F$3:$Q$1101,12,0),"")</f>
        <v/>
      </c>
      <c r="BO442" s="185" t="str">
        <f>_xlfn.IFNA(VLOOKUP($BC442,Programma!$F$3:$R$1101,13,0),"")</f>
        <v/>
      </c>
      <c r="BP442" s="185" t="str">
        <f>_xlfn.IFNA(VLOOKUP($BC442,Programma!$F$3:$S$1101,14,0),"")</f>
        <v/>
      </c>
      <c r="BQ442" s="185" t="str">
        <f>_xlfn.IFNA(VLOOKUP($BC442,Programma!$F$3:$T$1101,15,0),"")</f>
        <v/>
      </c>
      <c r="BR442" s="185" t="str">
        <f>_xlfn.IFNA(VLOOKUP($BC442,Programma!$F$3:$U$1101,16,0),"")</f>
        <v/>
      </c>
      <c r="BS442" s="185" t="str">
        <f>_xlfn.IFNA(VLOOKUP($BC442,Programma!$F$3:$V$1101,17,0),"")</f>
        <v/>
      </c>
      <c r="BT442" s="185" t="str">
        <f>_xlfn.IFNA(VLOOKUP($BC442,Programma!$F$3:$W$1101,18,0),"")</f>
        <v/>
      </c>
      <c r="BU442" s="185" t="str">
        <f>_xlfn.IFNA(VLOOKUP($BC442,Programma!$F$3:$X$1101,19,0),"")</f>
        <v/>
      </c>
      <c r="BV442" s="185" t="str">
        <f>_xlfn.IFNA(VLOOKUP($BC442,Programma!$F$3:$Y$1101,20,0),"")</f>
        <v/>
      </c>
    </row>
    <row r="443" spans="1:74" s="78" customFormat="1" ht="15" customHeight="1">
      <c r="A443" s="99">
        <v>13</v>
      </c>
      <c r="B443" s="176" t="str">
        <f>VLOOKUP(Ruimtestaat[[#This Row],[Code]],Locaties[[Code]:[Locatie]],2,FALSE)</f>
        <v>OMBS Het Zeggelt (Meeuwen)</v>
      </c>
      <c r="C443" s="176" t="str">
        <f>VLOOKUP(Ruimtestaat[[#This Row],[Code]],Locaties[[#All],[Code]:[Adres]],4,FALSE)</f>
        <v>Meeuwenstraat 4</v>
      </c>
      <c r="D443" s="176" t="str">
        <f>VLOOKUP(Ruimtestaat[[#This Row],[Code]],Locaties[[#All],[Code]:[Postcode]],5,FALSE)</f>
        <v>7523 XV</v>
      </c>
      <c r="E443" s="176" t="str">
        <f>VLOOKUP(Ruimtestaat[[#This Row],[Code]],Locaties[#All],6,FALSE)</f>
        <v>Enschede</v>
      </c>
      <c r="F443" s="183"/>
      <c r="G443" s="99" t="s">
        <v>1646</v>
      </c>
      <c r="H443" s="99" t="s">
        <v>1675</v>
      </c>
      <c r="I443" s="183" t="s">
        <v>38</v>
      </c>
      <c r="J443" s="99">
        <v>7</v>
      </c>
      <c r="K443" s="183" t="str">
        <f>VLOOKUP(Ruimtestaat[[#This Row],[Ruimte code]],Ruimtegroepen[[#All],[Code]:[Ruimte omschrijving]],2,FALSE)</f>
        <v>Entree</v>
      </c>
      <c r="L443" s="99" t="s">
        <v>99</v>
      </c>
      <c r="M443" s="99" t="s">
        <v>1700</v>
      </c>
      <c r="N443" s="177">
        <v>2.5</v>
      </c>
      <c r="O443" s="177"/>
      <c r="P443" s="178" t="str">
        <f>VLOOKUP(Ruimtestaat[[#This Row],[Ruimte code]],Ruimtegroepen[],4,FALSE)</f>
        <v>Ve</v>
      </c>
      <c r="Q443" s="149">
        <v>40</v>
      </c>
      <c r="R443" s="149" t="s">
        <v>2</v>
      </c>
      <c r="S443" s="149">
        <f>IF(Q443&gt;0,IF(RIGHT(Ruimtestaat[[#This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3" s="149">
        <f>IF(S443&gt;0,VLOOKUP($J443,Ruimtegroepen[],3,FALSE)*VLOOKUP($L443,Vloersoorten[],3,FALSE)*VLOOKUP($R443,Frequenties[],3,FALSE)*VLOOKUP($A443,Locaties[],3,FALSE),0)</f>
        <v>0</v>
      </c>
      <c r="U443" s="149">
        <f>Ruimtestaat[[#This Row],[Uitvoeringen werkdagen]]*Ruimtestaat[[#This Row],[Oppervlak (netto)]]</f>
        <v>500</v>
      </c>
      <c r="V443" s="179">
        <f>IF(T443&gt;0,Ruimtestaat[[#This Row],[Prest. (m2 /jaar) werkdagen]]/Ruimtestaat[[#This Row],[Norm (m2/uur) werkdagen]],0)</f>
        <v>0</v>
      </c>
      <c r="W443" s="180">
        <f>Ruimtestaat[[#This Row],[uren / jaar werkdagen]]*Tariefsopbouw!$E$35</f>
        <v>0</v>
      </c>
      <c r="X443" s="149"/>
      <c r="Y443" s="149">
        <f>IF(Ruimtestaat[[#This Row],[Frequentie weekend]]&gt;0,VALUE(LEFT(X443,1))*Q443,0)</f>
        <v>0</v>
      </c>
      <c r="Z443" s="148">
        <f>IF($Y443&gt;0,VLOOKUP($J443,Ruimtegroepen[],3,FALSE)*VLOOKUP($L443,Vloersoorten[],3,FALSE)*VLOOKUP($X443,Frequenties[],3,FALSE)*VLOOKUP(Ruimtestaat[[#This Row],[Code]],Locaties[],3,FALSE),0)</f>
        <v>0</v>
      </c>
      <c r="AA443" s="148">
        <f>Ruimtestaat[[#This Row],[Uitvoeringen weekend]]*Ruimtestaat[[#This Row],[Oppervlak (netto)]]</f>
        <v>0</v>
      </c>
      <c r="AB443" s="148">
        <f>IF(Z443&gt;0,Ruimtestaat[[#This Row],[Prest. (m2 /jaar) weekend]]/Ruimtestaat[[#This Row],[Norm (m2/uur) weekend]],0)</f>
        <v>0</v>
      </c>
      <c r="AC443" s="180">
        <f>Ruimtestaat[[#This Row],[uren / jaar weekend]]*Tariefsopbouw!$D$40</f>
        <v>0</v>
      </c>
      <c r="AD443" s="179">
        <f>Ruimtestaat[[#This Row],[Prest. (m2 /jaar) weekend]]+Ruimtestaat[[#This Row],[Prest. (m2 /jaar) werkdagen]]</f>
        <v>500</v>
      </c>
      <c r="AE443" s="179">
        <f>Ruimtestaat[[#This Row],[uren / jaar weekend]]+Ruimtestaat[[#This Row],[uren / jaar werkdagen]]</f>
        <v>0</v>
      </c>
      <c r="AF443" s="174">
        <f>Ruimtestaat[[#This Row],[kosten / jaar weekend]]+Ruimtestaat[[#This Row],[kosten / jaar werkdagen]]</f>
        <v>0</v>
      </c>
      <c r="AG443" s="174"/>
      <c r="AH443" s="181" t="str">
        <f>IF(Ruimtestaat[[#This Row],[Frequentie werkdagen]]="","",_xlfn.CONCAT(Ruimtestaat[[#This Row],[Ruimte code]],"-",Ruimtestaat[[#This Row],[Frequentie werkdagen]]," ",Ruimtestaat[[#This Row],[Vloer code]]))</f>
        <v>7-5w T</v>
      </c>
      <c r="AI443" s="185" t="str">
        <f>_xlfn.IFNA(VLOOKUP($AH443,Programma!$F$3:$G$1101,2,0),"")</f>
        <v>_</v>
      </c>
      <c r="AJ443" s="185" t="str">
        <f>_xlfn.IFNA(VLOOKUP($AH443,Programma!$F$3:$H$1101,3,0),"")</f>
        <v>5w</v>
      </c>
      <c r="AK443" s="185" t="str">
        <f>_xlfn.IFNA(VLOOKUP($AH443,Programma!$F$3:$I$1101,4,0),"")</f>
        <v>_</v>
      </c>
      <c r="AL443" s="185" t="str">
        <f>_xlfn.IFNA(VLOOKUP($AH443,Programma!$F$3:$J$1101,5,0),"")</f>
        <v>_</v>
      </c>
      <c r="AM443" s="185" t="str">
        <f>_xlfn.IFNA(VLOOKUP($AH443,Programma!$F$3:$K$1101,6,0),"")</f>
        <v>_</v>
      </c>
      <c r="AN443" s="185" t="str">
        <f>_xlfn.IFNA(VLOOKUP($AH443,Programma!$F$3:$L$1101,7,0),"")</f>
        <v>_</v>
      </c>
      <c r="AO443" s="185" t="str">
        <f>_xlfn.IFNA(VLOOKUP($AH443,Programma!$F$3:$M$1101,8,0),"")</f>
        <v>_</v>
      </c>
      <c r="AP443" s="185" t="str">
        <f>_xlfn.IFNA(VLOOKUP($AH443,Programma!$F$3:$N$1101,9,0),"")</f>
        <v>_</v>
      </c>
      <c r="AQ443" s="185" t="str">
        <f>_xlfn.IFNA(VLOOKUP($AH443,Programma!$F$3:$O$1101,10,0),"")</f>
        <v>5w</v>
      </c>
      <c r="AR443" s="185" t="str">
        <f>_xlfn.IFNA(VLOOKUP($AH443,Programma!$F$3:$P$1101,11,0),"")</f>
        <v>5w</v>
      </c>
      <c r="AS443" s="185" t="str">
        <f>_xlfn.IFNA(VLOOKUP($AH443,Programma!$F$3:$Q$1101,12,0),"")</f>
        <v>1w</v>
      </c>
      <c r="AT443" s="185" t="str">
        <f>_xlfn.IFNA(VLOOKUP($AH443,Programma!$F$3:$R$1101,13,0),"")</f>
        <v>1w</v>
      </c>
      <c r="AU443" s="185" t="str">
        <f>_xlfn.IFNA(VLOOKUP($AH443,Programma!$F$3:$S$1101,14,0),"")</f>
        <v>1m</v>
      </c>
      <c r="AV443" s="185" t="str">
        <f>_xlfn.IFNA(VLOOKUP($AH443,Programma!$F$3:$T$1101,15,0),"")</f>
        <v>2j</v>
      </c>
      <c r="AW443" s="185" t="str">
        <f>_xlfn.IFNA(VLOOKUP($AH443,Programma!$F$3:$U$1101,16,0),"")</f>
        <v>1j</v>
      </c>
      <c r="AX443" s="185" t="str">
        <f>_xlfn.IFNA(VLOOKUP($AH443,Programma!$F$3:$V$1101,17,0),"")</f>
        <v>_</v>
      </c>
      <c r="AY443" s="185" t="str">
        <f>_xlfn.IFNA(VLOOKUP($AH443,Programma!$F$3:$W$1101,18,0),"")</f>
        <v>_</v>
      </c>
      <c r="AZ443" s="185" t="str">
        <f>_xlfn.IFNA(VLOOKUP($AH443,Programma!$F$3:$X$1101,19,0),"")</f>
        <v>_</v>
      </c>
      <c r="BA443" s="185" t="str">
        <f>_xlfn.IFNA(VLOOKUP($AH443,Programma!$F$3:$Y$1101,20,0),"")</f>
        <v>_</v>
      </c>
      <c r="BB443" s="182"/>
      <c r="BC443" s="181" t="str">
        <f>IF(Ruimtestaat[[#This Row],[Frequentie weekend]]="","",_xlfn.CONCAT(Ruimtestaat[[#This Row],[Ruimte code]],"-",Ruimtestaat[[#This Row],[Frequentie weekend]]," ",Ruimtestaat[[#This Row],[Vloer code]]))</f>
        <v/>
      </c>
      <c r="BD443" s="185" t="str">
        <f>_xlfn.IFNA(VLOOKUP($BC443,Programma!$F$3:$G$1101,2,0),"")</f>
        <v/>
      </c>
      <c r="BE443" s="185" t="str">
        <f>_xlfn.IFNA(VLOOKUP($BC443,Programma!$F$3:$H$1101,3,0),"")</f>
        <v/>
      </c>
      <c r="BF443" s="185" t="str">
        <f>_xlfn.IFNA(VLOOKUP($BC443,Programma!$F$3:$I$1101,4,0),"")</f>
        <v/>
      </c>
      <c r="BG443" s="185" t="str">
        <f>_xlfn.IFNA(VLOOKUP($BC443,Programma!$F$3:$J$1101,5,0),"")</f>
        <v/>
      </c>
      <c r="BH443" s="185" t="str">
        <f>_xlfn.IFNA(VLOOKUP($BC443,Programma!$F$3:$K$1101,6,0),"")</f>
        <v/>
      </c>
      <c r="BI443" s="185" t="str">
        <f>_xlfn.IFNA(VLOOKUP($BC443,Programma!$F$3:$L$1101,7,0),"")</f>
        <v/>
      </c>
      <c r="BJ443" s="185" t="str">
        <f>_xlfn.IFNA(VLOOKUP($BC443,Programma!$F$3:$M$1101,8,0),"")</f>
        <v/>
      </c>
      <c r="BK443" s="185" t="str">
        <f>_xlfn.IFNA(VLOOKUP($BC443,Programma!$F$3:$N$1101,9,0),"")</f>
        <v/>
      </c>
      <c r="BL443" s="185" t="str">
        <f>_xlfn.IFNA(VLOOKUP($BC443,Programma!$F$3:$O$1101,10,0),"")</f>
        <v/>
      </c>
      <c r="BM443" s="185" t="str">
        <f>_xlfn.IFNA(VLOOKUP($BC443,Programma!$F$3:$P$1101,11,0),"")</f>
        <v/>
      </c>
      <c r="BN443" s="185" t="str">
        <f>_xlfn.IFNA(VLOOKUP($BC443,Programma!$F$3:$Q$1101,12,0),"")</f>
        <v/>
      </c>
      <c r="BO443" s="185" t="str">
        <f>_xlfn.IFNA(VLOOKUP($BC443,Programma!$F$3:$R$1101,13,0),"")</f>
        <v/>
      </c>
      <c r="BP443" s="185" t="str">
        <f>_xlfn.IFNA(VLOOKUP($BC443,Programma!$F$3:$S$1101,14,0),"")</f>
        <v/>
      </c>
      <c r="BQ443" s="185" t="str">
        <f>_xlfn.IFNA(VLOOKUP($BC443,Programma!$F$3:$T$1101,15,0),"")</f>
        <v/>
      </c>
      <c r="BR443" s="185" t="str">
        <f>_xlfn.IFNA(VLOOKUP($BC443,Programma!$F$3:$U$1101,16,0),"")</f>
        <v/>
      </c>
      <c r="BS443" s="185" t="str">
        <f>_xlfn.IFNA(VLOOKUP($BC443,Programma!$F$3:$V$1101,17,0),"")</f>
        <v/>
      </c>
      <c r="BT443" s="185" t="str">
        <f>_xlfn.IFNA(VLOOKUP($BC443,Programma!$F$3:$W$1101,18,0),"")</f>
        <v/>
      </c>
      <c r="BU443" s="185" t="str">
        <f>_xlfn.IFNA(VLOOKUP($BC443,Programma!$F$3:$X$1101,19,0),"")</f>
        <v/>
      </c>
      <c r="BV443" s="185" t="str">
        <f>_xlfn.IFNA(VLOOKUP($BC443,Programma!$F$3:$Y$1101,20,0),"")</f>
        <v/>
      </c>
    </row>
    <row r="444" spans="1:74" s="78" customFormat="1" ht="15" customHeight="1">
      <c r="A444" s="99">
        <v>13</v>
      </c>
      <c r="B444" s="176" t="str">
        <f>VLOOKUP(Ruimtestaat[[#This Row],[Code]],Locaties[[Code]:[Locatie]],2,FALSE)</f>
        <v>OMBS Het Zeggelt (Meeuwen)</v>
      </c>
      <c r="C444" s="176" t="str">
        <f>VLOOKUP(Ruimtestaat[[#This Row],[Code]],Locaties[[#All],[Code]:[Adres]],4,FALSE)</f>
        <v>Meeuwenstraat 4</v>
      </c>
      <c r="D444" s="176" t="str">
        <f>VLOOKUP(Ruimtestaat[[#This Row],[Code]],Locaties[[#All],[Code]:[Postcode]],5,FALSE)</f>
        <v>7523 XV</v>
      </c>
      <c r="E444" s="176" t="str">
        <f>VLOOKUP(Ruimtestaat[[#This Row],[Code]],Locaties[#All],6,FALSE)</f>
        <v>Enschede</v>
      </c>
      <c r="F444" s="183"/>
      <c r="G444" s="99" t="s">
        <v>1646</v>
      </c>
      <c r="H444" s="99" t="s">
        <v>1676</v>
      </c>
      <c r="I444" s="183" t="s">
        <v>1651</v>
      </c>
      <c r="J444" s="99">
        <v>16</v>
      </c>
      <c r="K444" s="183" t="str">
        <f>VLOOKUP(Ruimtestaat[[#This Row],[Ruimte code]],Ruimtegroepen[[#All],[Code]:[Ruimte omschrijving]],2,FALSE)</f>
        <v>Leslokalen</v>
      </c>
      <c r="L444" s="99" t="s">
        <v>100</v>
      </c>
      <c r="M444" s="99" t="s">
        <v>1697</v>
      </c>
      <c r="N444" s="177">
        <v>64.400000000000006</v>
      </c>
      <c r="O444" s="177"/>
      <c r="P444" s="178" t="str">
        <f>VLOOKUP(Ruimtestaat[[#This Row],[Ruimte code]],Ruimtegroepen[],4,FALSE)</f>
        <v>Le</v>
      </c>
      <c r="Q444" s="149">
        <v>40</v>
      </c>
      <c r="R444" s="149" t="s">
        <v>2</v>
      </c>
      <c r="S444" s="149">
        <f>IF(Q444&gt;0,IF(RIGHT(Ruimtestaat[[#This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4" s="149">
        <f>IF(S444&gt;0,VLOOKUP($J444,Ruimtegroepen[],3,FALSE)*VLOOKUP($L444,Vloersoorten[],3,FALSE)*VLOOKUP($R444,Frequenties[],3,FALSE)*VLOOKUP($A444,Locaties[],3,FALSE),0)</f>
        <v>0</v>
      </c>
      <c r="U444" s="149">
        <f>Ruimtestaat[[#This Row],[Uitvoeringen werkdagen]]*Ruimtestaat[[#This Row],[Oppervlak (netto)]]</f>
        <v>12880.000000000002</v>
      </c>
      <c r="V444" s="179">
        <f>IF(T444&gt;0,Ruimtestaat[[#This Row],[Prest. (m2 /jaar) werkdagen]]/Ruimtestaat[[#This Row],[Norm (m2/uur) werkdagen]],0)</f>
        <v>0</v>
      </c>
      <c r="W444" s="180">
        <f>Ruimtestaat[[#This Row],[uren / jaar werkdagen]]*Tariefsopbouw!$E$35</f>
        <v>0</v>
      </c>
      <c r="X444" s="149"/>
      <c r="Y444" s="149">
        <f>IF(Ruimtestaat[[#This Row],[Frequentie weekend]]&gt;0,VALUE(LEFT(X444,1))*Q444,0)</f>
        <v>0</v>
      </c>
      <c r="Z444" s="148">
        <f>IF($Y444&gt;0,VLOOKUP($J444,Ruimtegroepen[],3,FALSE)*VLOOKUP($L444,Vloersoorten[],3,FALSE)*VLOOKUP($X444,Frequenties[],3,FALSE)*VLOOKUP(Ruimtestaat[[#This Row],[Code]],Locaties[],3,FALSE),0)</f>
        <v>0</v>
      </c>
      <c r="AA444" s="148">
        <f>Ruimtestaat[[#This Row],[Uitvoeringen weekend]]*Ruimtestaat[[#This Row],[Oppervlak (netto)]]</f>
        <v>0</v>
      </c>
      <c r="AB444" s="148">
        <f>IF(Z444&gt;0,Ruimtestaat[[#This Row],[Prest. (m2 /jaar) weekend]]/Ruimtestaat[[#This Row],[Norm (m2/uur) weekend]],0)</f>
        <v>0</v>
      </c>
      <c r="AC444" s="180">
        <f>Ruimtestaat[[#This Row],[uren / jaar weekend]]*Tariefsopbouw!$D$40</f>
        <v>0</v>
      </c>
      <c r="AD444" s="179">
        <f>Ruimtestaat[[#This Row],[Prest. (m2 /jaar) weekend]]+Ruimtestaat[[#This Row],[Prest. (m2 /jaar) werkdagen]]</f>
        <v>12880.000000000002</v>
      </c>
      <c r="AE444" s="179">
        <f>Ruimtestaat[[#This Row],[uren / jaar weekend]]+Ruimtestaat[[#This Row],[uren / jaar werkdagen]]</f>
        <v>0</v>
      </c>
      <c r="AF444" s="174">
        <f>Ruimtestaat[[#This Row],[kosten / jaar weekend]]+Ruimtestaat[[#This Row],[kosten / jaar werkdagen]]</f>
        <v>0</v>
      </c>
      <c r="AG444" s="174"/>
      <c r="AH444" s="181" t="str">
        <f>IF(Ruimtestaat[[#This Row],[Frequentie werkdagen]]="","",_xlfn.CONCAT(Ruimtestaat[[#This Row],[Ruimte code]],"-",Ruimtestaat[[#This Row],[Frequentie werkdagen]]," ",Ruimtestaat[[#This Row],[Vloer code]]))</f>
        <v>16-5w L</v>
      </c>
      <c r="AI444" s="185" t="str">
        <f>_xlfn.IFNA(VLOOKUP($AH444,Programma!$F$3:$G$1101,2,0),"")</f>
        <v>_</v>
      </c>
      <c r="AJ444" s="185" t="str">
        <f>_xlfn.IFNA(VLOOKUP($AH444,Programma!$F$3:$H$1101,3,0),"")</f>
        <v>_</v>
      </c>
      <c r="AK444" s="185" t="str">
        <f>_xlfn.IFNA(VLOOKUP($AH444,Programma!$F$3:$I$1101,4,0),"")</f>
        <v>4w</v>
      </c>
      <c r="AL444" s="185" t="str">
        <f>_xlfn.IFNA(VLOOKUP($AH444,Programma!$F$3:$J$1101,5,0),"")</f>
        <v>1w</v>
      </c>
      <c r="AM444" s="185" t="str">
        <f>_xlfn.IFNA(VLOOKUP($AH444,Programma!$F$3:$K$1101,6,0),"")</f>
        <v>_</v>
      </c>
      <c r="AN444" s="185" t="str">
        <f>_xlfn.IFNA(VLOOKUP($AH444,Programma!$F$3:$L$1101,7,0),"")</f>
        <v>_</v>
      </c>
      <c r="AO444" s="185" t="str">
        <f>_xlfn.IFNA(VLOOKUP($AH444,Programma!$F$3:$M$1101,8,0),"")</f>
        <v>_</v>
      </c>
      <c r="AP444" s="185" t="str">
        <f>_xlfn.IFNA(VLOOKUP($AH444,Programma!$F$3:$N$1101,9,0),"")</f>
        <v>_</v>
      </c>
      <c r="AQ444" s="185" t="str">
        <f>_xlfn.IFNA(VLOOKUP($AH444,Programma!$F$3:$O$1101,10,0),"")</f>
        <v>5w</v>
      </c>
      <c r="AR444" s="185" t="str">
        <f>_xlfn.IFNA(VLOOKUP($AH444,Programma!$F$3:$P$1101,11,0),"")</f>
        <v>5w</v>
      </c>
      <c r="AS444" s="185" t="str">
        <f>_xlfn.IFNA(VLOOKUP($AH444,Programma!$F$3:$Q$1101,12,0),"")</f>
        <v>1w</v>
      </c>
      <c r="AT444" s="185" t="str">
        <f>_xlfn.IFNA(VLOOKUP($AH444,Programma!$F$3:$R$1101,13,0),"")</f>
        <v>1w</v>
      </c>
      <c r="AU444" s="185" t="str">
        <f>_xlfn.IFNA(VLOOKUP($AH444,Programma!$F$3:$S$1101,14,0),"")</f>
        <v>1m</v>
      </c>
      <c r="AV444" s="185" t="str">
        <f>_xlfn.IFNA(VLOOKUP($AH444,Programma!$F$3:$T$1101,15,0),"")</f>
        <v>2j</v>
      </c>
      <c r="AW444" s="185" t="str">
        <f>_xlfn.IFNA(VLOOKUP($AH444,Programma!$F$3:$U$1101,16,0),"")</f>
        <v>1j</v>
      </c>
      <c r="AX444" s="185" t="str">
        <f>_xlfn.IFNA(VLOOKUP($AH444,Programma!$F$3:$V$1101,17,0),"")</f>
        <v>_</v>
      </c>
      <c r="AY444" s="185" t="str">
        <f>_xlfn.IFNA(VLOOKUP($AH444,Programma!$F$3:$W$1101,18,0),"")</f>
        <v>_</v>
      </c>
      <c r="AZ444" s="185" t="str">
        <f>_xlfn.IFNA(VLOOKUP($AH444,Programma!$F$3:$X$1101,19,0),"")</f>
        <v>_</v>
      </c>
      <c r="BA444" s="185" t="str">
        <f>_xlfn.IFNA(VLOOKUP($AH444,Programma!$F$3:$Y$1101,20,0),"")</f>
        <v>_</v>
      </c>
      <c r="BB444" s="182"/>
      <c r="BC444" s="181" t="str">
        <f>IF(Ruimtestaat[[#This Row],[Frequentie weekend]]="","",_xlfn.CONCAT(Ruimtestaat[[#This Row],[Ruimte code]],"-",Ruimtestaat[[#This Row],[Frequentie weekend]]," ",Ruimtestaat[[#This Row],[Vloer code]]))</f>
        <v/>
      </c>
      <c r="BD444" s="185" t="str">
        <f>_xlfn.IFNA(VLOOKUP($BC444,Programma!$F$3:$G$1101,2,0),"")</f>
        <v/>
      </c>
      <c r="BE444" s="185" t="str">
        <f>_xlfn.IFNA(VLOOKUP($BC444,Programma!$F$3:$H$1101,3,0),"")</f>
        <v/>
      </c>
      <c r="BF444" s="185" t="str">
        <f>_xlfn.IFNA(VLOOKUP($BC444,Programma!$F$3:$I$1101,4,0),"")</f>
        <v/>
      </c>
      <c r="BG444" s="185" t="str">
        <f>_xlfn.IFNA(VLOOKUP($BC444,Programma!$F$3:$J$1101,5,0),"")</f>
        <v/>
      </c>
      <c r="BH444" s="185" t="str">
        <f>_xlfn.IFNA(VLOOKUP($BC444,Programma!$F$3:$K$1101,6,0),"")</f>
        <v/>
      </c>
      <c r="BI444" s="185" t="str">
        <f>_xlfn.IFNA(VLOOKUP($BC444,Programma!$F$3:$L$1101,7,0),"")</f>
        <v/>
      </c>
      <c r="BJ444" s="185" t="str">
        <f>_xlfn.IFNA(VLOOKUP($BC444,Programma!$F$3:$M$1101,8,0),"")</f>
        <v/>
      </c>
      <c r="BK444" s="185" t="str">
        <f>_xlfn.IFNA(VLOOKUP($BC444,Programma!$F$3:$N$1101,9,0),"")</f>
        <v/>
      </c>
      <c r="BL444" s="185" t="str">
        <f>_xlfn.IFNA(VLOOKUP($BC444,Programma!$F$3:$O$1101,10,0),"")</f>
        <v/>
      </c>
      <c r="BM444" s="185" t="str">
        <f>_xlfn.IFNA(VLOOKUP($BC444,Programma!$F$3:$P$1101,11,0),"")</f>
        <v/>
      </c>
      <c r="BN444" s="185" t="str">
        <f>_xlfn.IFNA(VLOOKUP($BC444,Programma!$F$3:$Q$1101,12,0),"")</f>
        <v/>
      </c>
      <c r="BO444" s="185" t="str">
        <f>_xlfn.IFNA(VLOOKUP($BC444,Programma!$F$3:$R$1101,13,0),"")</f>
        <v/>
      </c>
      <c r="BP444" s="185" t="str">
        <f>_xlfn.IFNA(VLOOKUP($BC444,Programma!$F$3:$S$1101,14,0),"")</f>
        <v/>
      </c>
      <c r="BQ444" s="185" t="str">
        <f>_xlfn.IFNA(VLOOKUP($BC444,Programma!$F$3:$T$1101,15,0),"")</f>
        <v/>
      </c>
      <c r="BR444" s="185" t="str">
        <f>_xlfn.IFNA(VLOOKUP($BC444,Programma!$F$3:$U$1101,16,0),"")</f>
        <v/>
      </c>
      <c r="BS444" s="185" t="str">
        <f>_xlfn.IFNA(VLOOKUP($BC444,Programma!$F$3:$V$1101,17,0),"")</f>
        <v/>
      </c>
      <c r="BT444" s="185" t="str">
        <f>_xlfn.IFNA(VLOOKUP($BC444,Programma!$F$3:$W$1101,18,0),"")</f>
        <v/>
      </c>
      <c r="BU444" s="185" t="str">
        <f>_xlfn.IFNA(VLOOKUP($BC444,Programma!$F$3:$X$1101,19,0),"")</f>
        <v/>
      </c>
      <c r="BV444" s="185" t="str">
        <f>_xlfn.IFNA(VLOOKUP($BC444,Programma!$F$3:$Y$1101,20,0),"")</f>
        <v/>
      </c>
    </row>
    <row r="445" spans="1:74" s="78" customFormat="1" ht="15" customHeight="1">
      <c r="A445" s="99">
        <v>13</v>
      </c>
      <c r="B445" s="176" t="str">
        <f>VLOOKUP(Ruimtestaat[[#This Row],[Code]],Locaties[[Code]:[Locatie]],2,FALSE)</f>
        <v>OMBS Het Zeggelt (Meeuwen)</v>
      </c>
      <c r="C445" s="176" t="str">
        <f>VLOOKUP(Ruimtestaat[[#This Row],[Code]],Locaties[[#All],[Code]:[Adres]],4,FALSE)</f>
        <v>Meeuwenstraat 4</v>
      </c>
      <c r="D445" s="176" t="str">
        <f>VLOOKUP(Ruimtestaat[[#This Row],[Code]],Locaties[[#All],[Code]:[Postcode]],5,FALSE)</f>
        <v>7523 XV</v>
      </c>
      <c r="E445" s="176" t="str">
        <f>VLOOKUP(Ruimtestaat[[#This Row],[Code]],Locaties[#All],6,FALSE)</f>
        <v>Enschede</v>
      </c>
      <c r="F445" s="183"/>
      <c r="G445" s="99" t="s">
        <v>1646</v>
      </c>
      <c r="H445" s="99" t="s">
        <v>1678</v>
      </c>
      <c r="I445" s="183" t="s">
        <v>1651</v>
      </c>
      <c r="J445" s="99">
        <v>16</v>
      </c>
      <c r="K445" s="183" t="str">
        <f>VLOOKUP(Ruimtestaat[[#This Row],[Ruimte code]],Ruimtegroepen[[#All],[Code]:[Ruimte omschrijving]],2,FALSE)</f>
        <v>Leslokalen</v>
      </c>
      <c r="L445" s="99" t="s">
        <v>100</v>
      </c>
      <c r="M445" s="99" t="s">
        <v>1697</v>
      </c>
      <c r="N445" s="177">
        <v>62</v>
      </c>
      <c r="O445" s="177"/>
      <c r="P445" s="178" t="str">
        <f>VLOOKUP(Ruimtestaat[[#This Row],[Ruimte code]],Ruimtegroepen[],4,FALSE)</f>
        <v>Le</v>
      </c>
      <c r="Q445" s="149">
        <v>40</v>
      </c>
      <c r="R445" s="149" t="s">
        <v>2</v>
      </c>
      <c r="S445" s="149">
        <f>IF(Q445&gt;0,IF(RIGHT(Ruimtestaat[[#This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5" s="149">
        <f>IF(S445&gt;0,VLOOKUP($J445,Ruimtegroepen[],3,FALSE)*VLOOKUP($L445,Vloersoorten[],3,FALSE)*VLOOKUP($R445,Frequenties[],3,FALSE)*VLOOKUP($A445,Locaties[],3,FALSE),0)</f>
        <v>0</v>
      </c>
      <c r="U445" s="149">
        <f>Ruimtestaat[[#This Row],[Uitvoeringen werkdagen]]*Ruimtestaat[[#This Row],[Oppervlak (netto)]]</f>
        <v>12400</v>
      </c>
      <c r="V445" s="179">
        <f>IF(T445&gt;0,Ruimtestaat[[#This Row],[Prest. (m2 /jaar) werkdagen]]/Ruimtestaat[[#This Row],[Norm (m2/uur) werkdagen]],0)</f>
        <v>0</v>
      </c>
      <c r="W445" s="180">
        <f>Ruimtestaat[[#This Row],[uren / jaar werkdagen]]*Tariefsopbouw!$E$35</f>
        <v>0</v>
      </c>
      <c r="X445" s="149"/>
      <c r="Y445" s="149">
        <f>IF(Ruimtestaat[[#This Row],[Frequentie weekend]]&gt;0,VALUE(LEFT(X445,1))*Q445,0)</f>
        <v>0</v>
      </c>
      <c r="Z445" s="148">
        <f>IF($Y445&gt;0,VLOOKUP($J445,Ruimtegroepen[],3,FALSE)*VLOOKUP($L445,Vloersoorten[],3,FALSE)*VLOOKUP($X445,Frequenties[],3,FALSE)*VLOOKUP(Ruimtestaat[[#This Row],[Code]],Locaties[],3,FALSE),0)</f>
        <v>0</v>
      </c>
      <c r="AA445" s="148">
        <f>Ruimtestaat[[#This Row],[Uitvoeringen weekend]]*Ruimtestaat[[#This Row],[Oppervlak (netto)]]</f>
        <v>0</v>
      </c>
      <c r="AB445" s="148">
        <f>IF(Z445&gt;0,Ruimtestaat[[#This Row],[Prest. (m2 /jaar) weekend]]/Ruimtestaat[[#This Row],[Norm (m2/uur) weekend]],0)</f>
        <v>0</v>
      </c>
      <c r="AC445" s="180">
        <f>Ruimtestaat[[#This Row],[uren / jaar weekend]]*Tariefsopbouw!$D$40</f>
        <v>0</v>
      </c>
      <c r="AD445" s="179">
        <f>Ruimtestaat[[#This Row],[Prest. (m2 /jaar) weekend]]+Ruimtestaat[[#This Row],[Prest. (m2 /jaar) werkdagen]]</f>
        <v>12400</v>
      </c>
      <c r="AE445" s="179">
        <f>Ruimtestaat[[#This Row],[uren / jaar weekend]]+Ruimtestaat[[#This Row],[uren / jaar werkdagen]]</f>
        <v>0</v>
      </c>
      <c r="AF445" s="174">
        <f>Ruimtestaat[[#This Row],[kosten / jaar weekend]]+Ruimtestaat[[#This Row],[kosten / jaar werkdagen]]</f>
        <v>0</v>
      </c>
      <c r="AG445" s="174"/>
      <c r="AH445" s="181" t="str">
        <f>IF(Ruimtestaat[[#This Row],[Frequentie werkdagen]]="","",_xlfn.CONCAT(Ruimtestaat[[#This Row],[Ruimte code]],"-",Ruimtestaat[[#This Row],[Frequentie werkdagen]]," ",Ruimtestaat[[#This Row],[Vloer code]]))</f>
        <v>16-5w L</v>
      </c>
      <c r="AI445" s="185" t="str">
        <f>_xlfn.IFNA(VLOOKUP($AH445,Programma!$F$3:$G$1101,2,0),"")</f>
        <v>_</v>
      </c>
      <c r="AJ445" s="185" t="str">
        <f>_xlfn.IFNA(VLOOKUP($AH445,Programma!$F$3:$H$1101,3,0),"")</f>
        <v>_</v>
      </c>
      <c r="AK445" s="185" t="str">
        <f>_xlfn.IFNA(VLOOKUP($AH445,Programma!$F$3:$I$1101,4,0),"")</f>
        <v>4w</v>
      </c>
      <c r="AL445" s="185" t="str">
        <f>_xlfn.IFNA(VLOOKUP($AH445,Programma!$F$3:$J$1101,5,0),"")</f>
        <v>1w</v>
      </c>
      <c r="AM445" s="185" t="str">
        <f>_xlfn.IFNA(VLOOKUP($AH445,Programma!$F$3:$K$1101,6,0),"")</f>
        <v>_</v>
      </c>
      <c r="AN445" s="185" t="str">
        <f>_xlfn.IFNA(VLOOKUP($AH445,Programma!$F$3:$L$1101,7,0),"")</f>
        <v>_</v>
      </c>
      <c r="AO445" s="185" t="str">
        <f>_xlfn.IFNA(VLOOKUP($AH445,Programma!$F$3:$M$1101,8,0),"")</f>
        <v>_</v>
      </c>
      <c r="AP445" s="185" t="str">
        <f>_xlfn.IFNA(VLOOKUP($AH445,Programma!$F$3:$N$1101,9,0),"")</f>
        <v>_</v>
      </c>
      <c r="AQ445" s="185" t="str">
        <f>_xlfn.IFNA(VLOOKUP($AH445,Programma!$F$3:$O$1101,10,0),"")</f>
        <v>5w</v>
      </c>
      <c r="AR445" s="185" t="str">
        <f>_xlfn.IFNA(VLOOKUP($AH445,Programma!$F$3:$P$1101,11,0),"")</f>
        <v>5w</v>
      </c>
      <c r="AS445" s="185" t="str">
        <f>_xlfn.IFNA(VLOOKUP($AH445,Programma!$F$3:$Q$1101,12,0),"")</f>
        <v>1w</v>
      </c>
      <c r="AT445" s="185" t="str">
        <f>_xlfn.IFNA(VLOOKUP($AH445,Programma!$F$3:$R$1101,13,0),"")</f>
        <v>1w</v>
      </c>
      <c r="AU445" s="185" t="str">
        <f>_xlfn.IFNA(VLOOKUP($AH445,Programma!$F$3:$S$1101,14,0),"")</f>
        <v>1m</v>
      </c>
      <c r="AV445" s="185" t="str">
        <f>_xlfn.IFNA(VLOOKUP($AH445,Programma!$F$3:$T$1101,15,0),"")</f>
        <v>2j</v>
      </c>
      <c r="AW445" s="185" t="str">
        <f>_xlfn.IFNA(VLOOKUP($AH445,Programma!$F$3:$U$1101,16,0),"")</f>
        <v>1j</v>
      </c>
      <c r="AX445" s="185" t="str">
        <f>_xlfn.IFNA(VLOOKUP($AH445,Programma!$F$3:$V$1101,17,0),"")</f>
        <v>_</v>
      </c>
      <c r="AY445" s="185" t="str">
        <f>_xlfn.IFNA(VLOOKUP($AH445,Programma!$F$3:$W$1101,18,0),"")</f>
        <v>_</v>
      </c>
      <c r="AZ445" s="185" t="str">
        <f>_xlfn.IFNA(VLOOKUP($AH445,Programma!$F$3:$X$1101,19,0),"")</f>
        <v>_</v>
      </c>
      <c r="BA445" s="185" t="str">
        <f>_xlfn.IFNA(VLOOKUP($AH445,Programma!$F$3:$Y$1101,20,0),"")</f>
        <v>_</v>
      </c>
      <c r="BB445" s="182"/>
      <c r="BC445" s="181" t="str">
        <f>IF(Ruimtestaat[[#This Row],[Frequentie weekend]]="","",_xlfn.CONCAT(Ruimtestaat[[#This Row],[Ruimte code]],"-",Ruimtestaat[[#This Row],[Frequentie weekend]]," ",Ruimtestaat[[#This Row],[Vloer code]]))</f>
        <v/>
      </c>
      <c r="BD445" s="185" t="str">
        <f>_xlfn.IFNA(VLOOKUP($BC445,Programma!$F$3:$G$1101,2,0),"")</f>
        <v/>
      </c>
      <c r="BE445" s="185" t="str">
        <f>_xlfn.IFNA(VLOOKUP($BC445,Programma!$F$3:$H$1101,3,0),"")</f>
        <v/>
      </c>
      <c r="BF445" s="185" t="str">
        <f>_xlfn.IFNA(VLOOKUP($BC445,Programma!$F$3:$I$1101,4,0),"")</f>
        <v/>
      </c>
      <c r="BG445" s="185" t="str">
        <f>_xlfn.IFNA(VLOOKUP($BC445,Programma!$F$3:$J$1101,5,0),"")</f>
        <v/>
      </c>
      <c r="BH445" s="185" t="str">
        <f>_xlfn.IFNA(VLOOKUP($BC445,Programma!$F$3:$K$1101,6,0),"")</f>
        <v/>
      </c>
      <c r="BI445" s="185" t="str">
        <f>_xlfn.IFNA(VLOOKUP($BC445,Programma!$F$3:$L$1101,7,0),"")</f>
        <v/>
      </c>
      <c r="BJ445" s="185" t="str">
        <f>_xlfn.IFNA(VLOOKUP($BC445,Programma!$F$3:$M$1101,8,0),"")</f>
        <v/>
      </c>
      <c r="BK445" s="185" t="str">
        <f>_xlfn.IFNA(VLOOKUP($BC445,Programma!$F$3:$N$1101,9,0),"")</f>
        <v/>
      </c>
      <c r="BL445" s="185" t="str">
        <f>_xlfn.IFNA(VLOOKUP($BC445,Programma!$F$3:$O$1101,10,0),"")</f>
        <v/>
      </c>
      <c r="BM445" s="185" t="str">
        <f>_xlfn.IFNA(VLOOKUP($BC445,Programma!$F$3:$P$1101,11,0),"")</f>
        <v/>
      </c>
      <c r="BN445" s="185" t="str">
        <f>_xlfn.IFNA(VLOOKUP($BC445,Programma!$F$3:$Q$1101,12,0),"")</f>
        <v/>
      </c>
      <c r="BO445" s="185" t="str">
        <f>_xlfn.IFNA(VLOOKUP($BC445,Programma!$F$3:$R$1101,13,0),"")</f>
        <v/>
      </c>
      <c r="BP445" s="185" t="str">
        <f>_xlfn.IFNA(VLOOKUP($BC445,Programma!$F$3:$S$1101,14,0),"")</f>
        <v/>
      </c>
      <c r="BQ445" s="185" t="str">
        <f>_xlfn.IFNA(VLOOKUP($BC445,Programma!$F$3:$T$1101,15,0),"")</f>
        <v/>
      </c>
      <c r="BR445" s="185" t="str">
        <f>_xlfn.IFNA(VLOOKUP($BC445,Programma!$F$3:$U$1101,16,0),"")</f>
        <v/>
      </c>
      <c r="BS445" s="185" t="str">
        <f>_xlfn.IFNA(VLOOKUP($BC445,Programma!$F$3:$V$1101,17,0),"")</f>
        <v/>
      </c>
      <c r="BT445" s="185" t="str">
        <f>_xlfn.IFNA(VLOOKUP($BC445,Programma!$F$3:$W$1101,18,0),"")</f>
        <v/>
      </c>
      <c r="BU445" s="185" t="str">
        <f>_xlfn.IFNA(VLOOKUP($BC445,Programma!$F$3:$X$1101,19,0),"")</f>
        <v/>
      </c>
      <c r="BV445" s="185" t="str">
        <f>_xlfn.IFNA(VLOOKUP($BC445,Programma!$F$3:$Y$1101,20,0),"")</f>
        <v/>
      </c>
    </row>
    <row r="446" spans="1:74" s="78" customFormat="1" ht="15" customHeight="1">
      <c r="A446" s="99">
        <v>13</v>
      </c>
      <c r="B446" s="176" t="str">
        <f>VLOOKUP(Ruimtestaat[[#This Row],[Code]],Locaties[[Code]:[Locatie]],2,FALSE)</f>
        <v>OMBS Het Zeggelt (Meeuwen)</v>
      </c>
      <c r="C446" s="176" t="str">
        <f>VLOOKUP(Ruimtestaat[[#This Row],[Code]],Locaties[[#All],[Code]:[Adres]],4,FALSE)</f>
        <v>Meeuwenstraat 4</v>
      </c>
      <c r="D446" s="176" t="str">
        <f>VLOOKUP(Ruimtestaat[[#This Row],[Code]],Locaties[[#All],[Code]:[Postcode]],5,FALSE)</f>
        <v>7523 XV</v>
      </c>
      <c r="E446" s="176" t="str">
        <f>VLOOKUP(Ruimtestaat[[#This Row],[Code]],Locaties[#All],6,FALSE)</f>
        <v>Enschede</v>
      </c>
      <c r="F446" s="183"/>
      <c r="G446" s="99" t="s">
        <v>1646</v>
      </c>
      <c r="H446" s="99" t="s">
        <v>1680</v>
      </c>
      <c r="I446" s="183" t="s">
        <v>1658</v>
      </c>
      <c r="J446" s="99">
        <v>6</v>
      </c>
      <c r="K446" s="183" t="str">
        <f>VLOOKUP(Ruimtestaat[[#This Row],[Ruimte code]],Ruimtegroepen[[#All],[Code]:[Ruimte omschrijving]],2,FALSE)</f>
        <v>Gangen/hallen</v>
      </c>
      <c r="L446" s="99" t="s">
        <v>101</v>
      </c>
      <c r="M446" s="99" t="s">
        <v>119</v>
      </c>
      <c r="N446" s="177">
        <v>22.9</v>
      </c>
      <c r="O446" s="177"/>
      <c r="P446" s="178" t="str">
        <f>VLOOKUP(Ruimtestaat[[#This Row],[Ruimte code]],Ruimtegroepen[],4,FALSE)</f>
        <v>Ve</v>
      </c>
      <c r="Q446" s="149">
        <v>40</v>
      </c>
      <c r="R446" s="149" t="s">
        <v>2</v>
      </c>
      <c r="S446" s="149">
        <f>IF(Q446&gt;0,IF(RIGHT(Ruimtestaat[[#This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6" s="149">
        <f>IF(S446&gt;0,VLOOKUP($J446,Ruimtegroepen[],3,FALSE)*VLOOKUP($L446,Vloersoorten[],3,FALSE)*VLOOKUP($R446,Frequenties[],3,FALSE)*VLOOKUP($A446,Locaties[],3,FALSE),0)</f>
        <v>0</v>
      </c>
      <c r="U446" s="149">
        <f>Ruimtestaat[[#This Row],[Uitvoeringen werkdagen]]*Ruimtestaat[[#This Row],[Oppervlak (netto)]]</f>
        <v>4580</v>
      </c>
      <c r="V446" s="179">
        <f>IF(T446&gt;0,Ruimtestaat[[#This Row],[Prest. (m2 /jaar) werkdagen]]/Ruimtestaat[[#This Row],[Norm (m2/uur) werkdagen]],0)</f>
        <v>0</v>
      </c>
      <c r="W446" s="180">
        <f>Ruimtestaat[[#This Row],[uren / jaar werkdagen]]*Tariefsopbouw!$E$35</f>
        <v>0</v>
      </c>
      <c r="X446" s="149"/>
      <c r="Y446" s="149">
        <f>IF(Ruimtestaat[[#This Row],[Frequentie weekend]]&gt;0,VALUE(LEFT(X446,1))*Q446,0)</f>
        <v>0</v>
      </c>
      <c r="Z446" s="148">
        <f>IF($Y446&gt;0,VLOOKUP($J446,Ruimtegroepen[],3,FALSE)*VLOOKUP($L446,Vloersoorten[],3,FALSE)*VLOOKUP($X446,Frequenties[],3,FALSE)*VLOOKUP(Ruimtestaat[[#This Row],[Code]],Locaties[],3,FALSE),0)</f>
        <v>0</v>
      </c>
      <c r="AA446" s="148">
        <f>Ruimtestaat[[#This Row],[Uitvoeringen weekend]]*Ruimtestaat[[#This Row],[Oppervlak (netto)]]</f>
        <v>0</v>
      </c>
      <c r="AB446" s="148">
        <f>IF(Z446&gt;0,Ruimtestaat[[#This Row],[Prest. (m2 /jaar) weekend]]/Ruimtestaat[[#This Row],[Norm (m2/uur) weekend]],0)</f>
        <v>0</v>
      </c>
      <c r="AC446" s="180">
        <f>Ruimtestaat[[#This Row],[uren / jaar weekend]]*Tariefsopbouw!$D$40</f>
        <v>0</v>
      </c>
      <c r="AD446" s="179">
        <f>Ruimtestaat[[#This Row],[Prest. (m2 /jaar) weekend]]+Ruimtestaat[[#This Row],[Prest. (m2 /jaar) werkdagen]]</f>
        <v>4580</v>
      </c>
      <c r="AE446" s="179">
        <f>Ruimtestaat[[#This Row],[uren / jaar weekend]]+Ruimtestaat[[#This Row],[uren / jaar werkdagen]]</f>
        <v>0</v>
      </c>
      <c r="AF446" s="174">
        <f>Ruimtestaat[[#This Row],[kosten / jaar weekend]]+Ruimtestaat[[#This Row],[kosten / jaar werkdagen]]</f>
        <v>0</v>
      </c>
      <c r="AG446" s="174"/>
      <c r="AH446" s="181" t="str">
        <f>IF(Ruimtestaat[[#This Row],[Frequentie werkdagen]]="","",_xlfn.CONCAT(Ruimtestaat[[#This Row],[Ruimte code]],"-",Ruimtestaat[[#This Row],[Frequentie werkdagen]]," ",Ruimtestaat[[#This Row],[Vloer code]]))</f>
        <v>6-5w S</v>
      </c>
      <c r="AI446" s="185" t="str">
        <f>_xlfn.IFNA(VLOOKUP($AH446,Programma!$F$3:$G$1101,2,0),"")</f>
        <v>_</v>
      </c>
      <c r="AJ446" s="185" t="str">
        <f>_xlfn.IFNA(VLOOKUP($AH446,Programma!$F$3:$H$1101,3,0),"")</f>
        <v>_</v>
      </c>
      <c r="AK446" s="185" t="str">
        <f>_xlfn.IFNA(VLOOKUP($AH446,Programma!$F$3:$I$1101,4,0),"")</f>
        <v>5w</v>
      </c>
      <c r="AL446" s="185" t="str">
        <f>_xlfn.IFNA(VLOOKUP($AH446,Programma!$F$3:$J$1101,5,0),"")</f>
        <v>_</v>
      </c>
      <c r="AM446" s="185" t="str">
        <f>_xlfn.IFNA(VLOOKUP($AH446,Programma!$F$3:$K$1101,6,0),"")</f>
        <v>5w</v>
      </c>
      <c r="AN446" s="185" t="str">
        <f>_xlfn.IFNA(VLOOKUP($AH446,Programma!$F$3:$L$1101,7,0),"")</f>
        <v>_</v>
      </c>
      <c r="AO446" s="185" t="str">
        <f>_xlfn.IFNA(VLOOKUP($AH446,Programma!$F$3:$M$1101,8,0),"")</f>
        <v>_</v>
      </c>
      <c r="AP446" s="185" t="str">
        <f>_xlfn.IFNA(VLOOKUP($AH446,Programma!$F$3:$N$1101,9,0),"")</f>
        <v>_</v>
      </c>
      <c r="AQ446" s="185" t="str">
        <f>_xlfn.IFNA(VLOOKUP($AH446,Programma!$F$3:$O$1101,10,0),"")</f>
        <v>5w</v>
      </c>
      <c r="AR446" s="185" t="str">
        <f>_xlfn.IFNA(VLOOKUP($AH446,Programma!$F$3:$P$1101,11,0),"")</f>
        <v>5w</v>
      </c>
      <c r="AS446" s="185" t="str">
        <f>_xlfn.IFNA(VLOOKUP($AH446,Programma!$F$3:$Q$1101,12,0),"")</f>
        <v>1w</v>
      </c>
      <c r="AT446" s="185" t="str">
        <f>_xlfn.IFNA(VLOOKUP($AH446,Programma!$F$3:$R$1101,13,0),"")</f>
        <v>1w</v>
      </c>
      <c r="AU446" s="185" t="str">
        <f>_xlfn.IFNA(VLOOKUP($AH446,Programma!$F$3:$S$1101,14,0),"")</f>
        <v>1m</v>
      </c>
      <c r="AV446" s="185" t="str">
        <f>_xlfn.IFNA(VLOOKUP($AH446,Programma!$F$3:$T$1101,15,0),"")</f>
        <v>2j</v>
      </c>
      <c r="AW446" s="185" t="str">
        <f>_xlfn.IFNA(VLOOKUP($AH446,Programma!$F$3:$U$1101,16,0),"")</f>
        <v>1j</v>
      </c>
      <c r="AX446" s="185" t="str">
        <f>_xlfn.IFNA(VLOOKUP($AH446,Programma!$F$3:$V$1101,17,0),"")</f>
        <v>_</v>
      </c>
      <c r="AY446" s="185" t="str">
        <f>_xlfn.IFNA(VLOOKUP($AH446,Programma!$F$3:$W$1101,18,0),"")</f>
        <v>_</v>
      </c>
      <c r="AZ446" s="185" t="str">
        <f>_xlfn.IFNA(VLOOKUP($AH446,Programma!$F$3:$X$1101,19,0),"")</f>
        <v>_</v>
      </c>
      <c r="BA446" s="185" t="str">
        <f>_xlfn.IFNA(VLOOKUP($AH446,Programma!$F$3:$Y$1101,20,0),"")</f>
        <v>_</v>
      </c>
      <c r="BB446" s="182"/>
      <c r="BC446" s="181" t="str">
        <f>IF(Ruimtestaat[[#This Row],[Frequentie weekend]]="","",_xlfn.CONCAT(Ruimtestaat[[#This Row],[Ruimte code]],"-",Ruimtestaat[[#This Row],[Frequentie weekend]]," ",Ruimtestaat[[#This Row],[Vloer code]]))</f>
        <v/>
      </c>
      <c r="BD446" s="185" t="str">
        <f>_xlfn.IFNA(VLOOKUP($BC446,Programma!$F$3:$G$1101,2,0),"")</f>
        <v/>
      </c>
      <c r="BE446" s="185" t="str">
        <f>_xlfn.IFNA(VLOOKUP($BC446,Programma!$F$3:$H$1101,3,0),"")</f>
        <v/>
      </c>
      <c r="BF446" s="185" t="str">
        <f>_xlfn.IFNA(VLOOKUP($BC446,Programma!$F$3:$I$1101,4,0),"")</f>
        <v/>
      </c>
      <c r="BG446" s="185" t="str">
        <f>_xlfn.IFNA(VLOOKUP($BC446,Programma!$F$3:$J$1101,5,0),"")</f>
        <v/>
      </c>
      <c r="BH446" s="185" t="str">
        <f>_xlfn.IFNA(VLOOKUP($BC446,Programma!$F$3:$K$1101,6,0),"")</f>
        <v/>
      </c>
      <c r="BI446" s="185" t="str">
        <f>_xlfn.IFNA(VLOOKUP($BC446,Programma!$F$3:$L$1101,7,0),"")</f>
        <v/>
      </c>
      <c r="BJ446" s="185" t="str">
        <f>_xlfn.IFNA(VLOOKUP($BC446,Programma!$F$3:$M$1101,8,0),"")</f>
        <v/>
      </c>
      <c r="BK446" s="185" t="str">
        <f>_xlfn.IFNA(VLOOKUP($BC446,Programma!$F$3:$N$1101,9,0),"")</f>
        <v/>
      </c>
      <c r="BL446" s="185" t="str">
        <f>_xlfn.IFNA(VLOOKUP($BC446,Programma!$F$3:$O$1101,10,0),"")</f>
        <v/>
      </c>
      <c r="BM446" s="185" t="str">
        <f>_xlfn.IFNA(VLOOKUP($BC446,Programma!$F$3:$P$1101,11,0),"")</f>
        <v/>
      </c>
      <c r="BN446" s="185" t="str">
        <f>_xlfn.IFNA(VLOOKUP($BC446,Programma!$F$3:$Q$1101,12,0),"")</f>
        <v/>
      </c>
      <c r="BO446" s="185" t="str">
        <f>_xlfn.IFNA(VLOOKUP($BC446,Programma!$F$3:$R$1101,13,0),"")</f>
        <v/>
      </c>
      <c r="BP446" s="185" t="str">
        <f>_xlfn.IFNA(VLOOKUP($BC446,Programma!$F$3:$S$1101,14,0),"")</f>
        <v/>
      </c>
      <c r="BQ446" s="185" t="str">
        <f>_xlfn.IFNA(VLOOKUP($BC446,Programma!$F$3:$T$1101,15,0),"")</f>
        <v/>
      </c>
      <c r="BR446" s="185" t="str">
        <f>_xlfn.IFNA(VLOOKUP($BC446,Programma!$F$3:$U$1101,16,0),"")</f>
        <v/>
      </c>
      <c r="BS446" s="185" t="str">
        <f>_xlfn.IFNA(VLOOKUP($BC446,Programma!$F$3:$V$1101,17,0),"")</f>
        <v/>
      </c>
      <c r="BT446" s="185" t="str">
        <f>_xlfn.IFNA(VLOOKUP($BC446,Programma!$F$3:$W$1101,18,0),"")</f>
        <v/>
      </c>
      <c r="BU446" s="185" t="str">
        <f>_xlfn.IFNA(VLOOKUP($BC446,Programma!$F$3:$X$1101,19,0),"")</f>
        <v/>
      </c>
      <c r="BV446" s="185" t="str">
        <f>_xlfn.IFNA(VLOOKUP($BC446,Programma!$F$3:$Y$1101,20,0),"")</f>
        <v/>
      </c>
    </row>
    <row r="447" spans="1:74" s="78" customFormat="1" ht="15" customHeight="1">
      <c r="A447" s="99">
        <v>13</v>
      </c>
      <c r="B447" s="176" t="str">
        <f>VLOOKUP(Ruimtestaat[[#This Row],[Code]],Locaties[[Code]:[Locatie]],2,FALSE)</f>
        <v>OMBS Het Zeggelt (Meeuwen)</v>
      </c>
      <c r="C447" s="176" t="str">
        <f>VLOOKUP(Ruimtestaat[[#This Row],[Code]],Locaties[[#All],[Code]:[Adres]],4,FALSE)</f>
        <v>Meeuwenstraat 4</v>
      </c>
      <c r="D447" s="176" t="str">
        <f>VLOOKUP(Ruimtestaat[[#This Row],[Code]],Locaties[[#All],[Code]:[Postcode]],5,FALSE)</f>
        <v>7523 XV</v>
      </c>
      <c r="E447" s="176" t="str">
        <f>VLOOKUP(Ruimtestaat[[#This Row],[Code]],Locaties[#All],6,FALSE)</f>
        <v>Enschede</v>
      </c>
      <c r="F447" s="183"/>
      <c r="G447" s="99" t="s">
        <v>1646</v>
      </c>
      <c r="H447" s="99" t="s">
        <v>1689</v>
      </c>
      <c r="I447" s="183" t="s">
        <v>1655</v>
      </c>
      <c r="J447" s="99">
        <v>5</v>
      </c>
      <c r="K447" s="183" t="str">
        <f>VLOOKUP(Ruimtestaat[[#This Row],[Ruimte code]],Ruimtegroepen[[#All],[Code]:[Ruimte omschrijving]],2,FALSE)</f>
        <v>Sanitair</v>
      </c>
      <c r="L447" s="99" t="s">
        <v>101</v>
      </c>
      <c r="M447" s="99" t="s">
        <v>1682</v>
      </c>
      <c r="N447" s="177">
        <v>12.4</v>
      </c>
      <c r="O447" s="177"/>
      <c r="P447" s="178" t="str">
        <f>VLOOKUP(Ruimtestaat[[#This Row],[Ruimte code]],Ruimtegroepen[],4,FALSE)</f>
        <v>Sa</v>
      </c>
      <c r="Q447" s="149">
        <v>40</v>
      </c>
      <c r="R447" s="149" t="s">
        <v>2</v>
      </c>
      <c r="S447" s="149">
        <f>IF(Q447&gt;0,IF(RIGHT(Ruimtestaat[[#This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7" s="149">
        <f>IF(S447&gt;0,VLOOKUP($J447,Ruimtegroepen[],3,FALSE)*VLOOKUP($L447,Vloersoorten[],3,FALSE)*VLOOKUP($R447,Frequenties[],3,FALSE)*VLOOKUP($A447,Locaties[],3,FALSE),0)</f>
        <v>0</v>
      </c>
      <c r="U447" s="149">
        <f>Ruimtestaat[[#This Row],[Uitvoeringen werkdagen]]*Ruimtestaat[[#This Row],[Oppervlak (netto)]]</f>
        <v>2480</v>
      </c>
      <c r="V447" s="179">
        <f>IF(T447&gt;0,Ruimtestaat[[#This Row],[Prest. (m2 /jaar) werkdagen]]/Ruimtestaat[[#This Row],[Norm (m2/uur) werkdagen]],0)</f>
        <v>0</v>
      </c>
      <c r="W447" s="180">
        <f>Ruimtestaat[[#This Row],[uren / jaar werkdagen]]*Tariefsopbouw!$E$35</f>
        <v>0</v>
      </c>
      <c r="X447" s="149"/>
      <c r="Y447" s="149">
        <f>IF(Ruimtestaat[[#This Row],[Frequentie weekend]]&gt;0,VALUE(LEFT(X447,1))*Q447,0)</f>
        <v>0</v>
      </c>
      <c r="Z447" s="148">
        <f>IF($Y447&gt;0,VLOOKUP($J447,Ruimtegroepen[],3,FALSE)*VLOOKUP($L447,Vloersoorten[],3,FALSE)*VLOOKUP($X447,Frequenties[],3,FALSE)*VLOOKUP(Ruimtestaat[[#This Row],[Code]],Locaties[],3,FALSE),0)</f>
        <v>0</v>
      </c>
      <c r="AA447" s="148">
        <f>Ruimtestaat[[#This Row],[Uitvoeringen weekend]]*Ruimtestaat[[#This Row],[Oppervlak (netto)]]</f>
        <v>0</v>
      </c>
      <c r="AB447" s="148">
        <f>IF(Z447&gt;0,Ruimtestaat[[#This Row],[Prest. (m2 /jaar) weekend]]/Ruimtestaat[[#This Row],[Norm (m2/uur) weekend]],0)</f>
        <v>0</v>
      </c>
      <c r="AC447" s="180">
        <f>Ruimtestaat[[#This Row],[uren / jaar weekend]]*Tariefsopbouw!$D$40</f>
        <v>0</v>
      </c>
      <c r="AD447" s="179">
        <f>Ruimtestaat[[#This Row],[Prest. (m2 /jaar) weekend]]+Ruimtestaat[[#This Row],[Prest. (m2 /jaar) werkdagen]]</f>
        <v>2480</v>
      </c>
      <c r="AE447" s="179">
        <f>Ruimtestaat[[#This Row],[uren / jaar weekend]]+Ruimtestaat[[#This Row],[uren / jaar werkdagen]]</f>
        <v>0</v>
      </c>
      <c r="AF447" s="174">
        <f>Ruimtestaat[[#This Row],[kosten / jaar weekend]]+Ruimtestaat[[#This Row],[kosten / jaar werkdagen]]</f>
        <v>0</v>
      </c>
      <c r="AG447" s="174"/>
      <c r="AH447" s="181" t="str">
        <f>IF(Ruimtestaat[[#This Row],[Frequentie werkdagen]]="","",_xlfn.CONCAT(Ruimtestaat[[#This Row],[Ruimte code]],"-",Ruimtestaat[[#This Row],[Frequentie werkdagen]]," ",Ruimtestaat[[#This Row],[Vloer code]]))</f>
        <v>5-5w S</v>
      </c>
      <c r="AI447" s="185" t="str">
        <f>_xlfn.IFNA(VLOOKUP($AH447,Programma!$F$3:$G$1101,2,0),"")</f>
        <v>_</v>
      </c>
      <c r="AJ447" s="185" t="str">
        <f>_xlfn.IFNA(VLOOKUP($AH447,Programma!$F$3:$H$1101,3,0),"")</f>
        <v>_</v>
      </c>
      <c r="AK447" s="185" t="str">
        <f>_xlfn.IFNA(VLOOKUP($AH447,Programma!$F$3:$I$1101,4,0),"")</f>
        <v>_</v>
      </c>
      <c r="AL447" s="185" t="str">
        <f>_xlfn.IFNA(VLOOKUP($AH447,Programma!$F$3:$J$1101,5,0),"")</f>
        <v>4w</v>
      </c>
      <c r="AM447" s="185" t="str">
        <f>_xlfn.IFNA(VLOOKUP($AH447,Programma!$F$3:$K$1101,6,0),"")</f>
        <v>1w</v>
      </c>
      <c r="AN447" s="185" t="str">
        <f>_xlfn.IFNA(VLOOKUP($AH447,Programma!$F$3:$L$1101,7,0),"")</f>
        <v>_</v>
      </c>
      <c r="AO447" s="185" t="str">
        <f>_xlfn.IFNA(VLOOKUP($AH447,Programma!$F$3:$M$1101,8,0),"")</f>
        <v>_</v>
      </c>
      <c r="AP447" s="185" t="str">
        <f>_xlfn.IFNA(VLOOKUP($AH447,Programma!$F$3:$N$1101,9,0),"")</f>
        <v>_</v>
      </c>
      <c r="AQ447" s="185" t="str">
        <f>_xlfn.IFNA(VLOOKUP($AH447,Programma!$F$3:$O$1101,10,0),"")</f>
        <v>_</v>
      </c>
      <c r="AR447" s="185" t="str">
        <f>_xlfn.IFNA(VLOOKUP($AH447,Programma!$F$3:$P$1101,11,0),"")</f>
        <v>_</v>
      </c>
      <c r="AS447" s="185" t="str">
        <f>_xlfn.IFNA(VLOOKUP($AH447,Programma!$F$3:$Q$1101,12,0),"")</f>
        <v>_</v>
      </c>
      <c r="AT447" s="185" t="str">
        <f>_xlfn.IFNA(VLOOKUP($AH447,Programma!$F$3:$R$1101,13,0),"")</f>
        <v>_</v>
      </c>
      <c r="AU447" s="185" t="str">
        <f>_xlfn.IFNA(VLOOKUP($AH447,Programma!$F$3:$S$1101,14,0),"")</f>
        <v>_</v>
      </c>
      <c r="AV447" s="185" t="str">
        <f>_xlfn.IFNA(VLOOKUP($AH447,Programma!$F$3:$T$1101,15,0),"")</f>
        <v>_</v>
      </c>
      <c r="AW447" s="185" t="str">
        <f>_xlfn.IFNA(VLOOKUP($AH447,Programma!$F$3:$U$1101,16,0),"")</f>
        <v>_</v>
      </c>
      <c r="AX447" s="185" t="str">
        <f>_xlfn.IFNA(VLOOKUP($AH447,Programma!$F$3:$V$1101,17,0),"")</f>
        <v>_</v>
      </c>
      <c r="AY447" s="185" t="str">
        <f>_xlfn.IFNA(VLOOKUP($AH447,Programma!$F$3:$W$1101,18,0),"")</f>
        <v>4w</v>
      </c>
      <c r="AZ447" s="185" t="str">
        <f>_xlfn.IFNA(VLOOKUP($AH447,Programma!$F$3:$X$1101,19,0),"")</f>
        <v>1w</v>
      </c>
      <c r="BA447" s="185" t="str">
        <f>_xlfn.IFNA(VLOOKUP($AH447,Programma!$F$3:$Y$1101,20,0),"")</f>
        <v>_</v>
      </c>
      <c r="BB447" s="182"/>
      <c r="BC447" s="181" t="str">
        <f>IF(Ruimtestaat[[#This Row],[Frequentie weekend]]="","",_xlfn.CONCAT(Ruimtestaat[[#This Row],[Ruimte code]],"-",Ruimtestaat[[#This Row],[Frequentie weekend]]," ",Ruimtestaat[[#This Row],[Vloer code]]))</f>
        <v/>
      </c>
      <c r="BD447" s="185" t="str">
        <f>_xlfn.IFNA(VLOOKUP($BC447,Programma!$F$3:$G$1101,2,0),"")</f>
        <v/>
      </c>
      <c r="BE447" s="185" t="str">
        <f>_xlfn.IFNA(VLOOKUP($BC447,Programma!$F$3:$H$1101,3,0),"")</f>
        <v/>
      </c>
      <c r="BF447" s="185" t="str">
        <f>_xlfn.IFNA(VLOOKUP($BC447,Programma!$F$3:$I$1101,4,0),"")</f>
        <v/>
      </c>
      <c r="BG447" s="185" t="str">
        <f>_xlfn.IFNA(VLOOKUP($BC447,Programma!$F$3:$J$1101,5,0),"")</f>
        <v/>
      </c>
      <c r="BH447" s="185" t="str">
        <f>_xlfn.IFNA(VLOOKUP($BC447,Programma!$F$3:$K$1101,6,0),"")</f>
        <v/>
      </c>
      <c r="BI447" s="185" t="str">
        <f>_xlfn.IFNA(VLOOKUP($BC447,Programma!$F$3:$L$1101,7,0),"")</f>
        <v/>
      </c>
      <c r="BJ447" s="185" t="str">
        <f>_xlfn.IFNA(VLOOKUP($BC447,Programma!$F$3:$M$1101,8,0),"")</f>
        <v/>
      </c>
      <c r="BK447" s="185" t="str">
        <f>_xlfn.IFNA(VLOOKUP($BC447,Programma!$F$3:$N$1101,9,0),"")</f>
        <v/>
      </c>
      <c r="BL447" s="185" t="str">
        <f>_xlfn.IFNA(VLOOKUP($BC447,Programma!$F$3:$O$1101,10,0),"")</f>
        <v/>
      </c>
      <c r="BM447" s="185" t="str">
        <f>_xlfn.IFNA(VLOOKUP($BC447,Programma!$F$3:$P$1101,11,0),"")</f>
        <v/>
      </c>
      <c r="BN447" s="185" t="str">
        <f>_xlfn.IFNA(VLOOKUP($BC447,Programma!$F$3:$Q$1101,12,0),"")</f>
        <v/>
      </c>
      <c r="BO447" s="185" t="str">
        <f>_xlfn.IFNA(VLOOKUP($BC447,Programma!$F$3:$R$1101,13,0),"")</f>
        <v/>
      </c>
      <c r="BP447" s="185" t="str">
        <f>_xlfn.IFNA(VLOOKUP($BC447,Programma!$F$3:$S$1101,14,0),"")</f>
        <v/>
      </c>
      <c r="BQ447" s="185" t="str">
        <f>_xlfn.IFNA(VLOOKUP($BC447,Programma!$F$3:$T$1101,15,0),"")</f>
        <v/>
      </c>
      <c r="BR447" s="185" t="str">
        <f>_xlfn.IFNA(VLOOKUP($BC447,Programma!$F$3:$U$1101,16,0),"")</f>
        <v/>
      </c>
      <c r="BS447" s="185" t="str">
        <f>_xlfn.IFNA(VLOOKUP($BC447,Programma!$F$3:$V$1101,17,0),"")</f>
        <v/>
      </c>
      <c r="BT447" s="185" t="str">
        <f>_xlfn.IFNA(VLOOKUP($BC447,Programma!$F$3:$W$1101,18,0),"")</f>
        <v/>
      </c>
      <c r="BU447" s="185" t="str">
        <f>_xlfn.IFNA(VLOOKUP($BC447,Programma!$F$3:$X$1101,19,0),"")</f>
        <v/>
      </c>
      <c r="BV447" s="185" t="str">
        <f>_xlfn.IFNA(VLOOKUP($BC447,Programma!$F$3:$Y$1101,20,0),"")</f>
        <v/>
      </c>
    </row>
    <row r="448" spans="1:74" s="78" customFormat="1" ht="15" customHeight="1">
      <c r="A448" s="99">
        <v>13</v>
      </c>
      <c r="B448" s="176" t="str">
        <f>VLOOKUP(Ruimtestaat[[#This Row],[Code]],Locaties[[Code]:[Locatie]],2,FALSE)</f>
        <v>OMBS Het Zeggelt (Meeuwen)</v>
      </c>
      <c r="C448" s="176" t="str">
        <f>VLOOKUP(Ruimtestaat[[#This Row],[Code]],Locaties[[#All],[Code]:[Adres]],4,FALSE)</f>
        <v>Meeuwenstraat 4</v>
      </c>
      <c r="D448" s="176" t="str">
        <f>VLOOKUP(Ruimtestaat[[#This Row],[Code]],Locaties[[#All],[Code]:[Postcode]],5,FALSE)</f>
        <v>7523 XV</v>
      </c>
      <c r="E448" s="176" t="str">
        <f>VLOOKUP(Ruimtestaat[[#This Row],[Code]],Locaties[#All],6,FALSE)</f>
        <v>Enschede</v>
      </c>
      <c r="F448" s="183"/>
      <c r="G448" s="99" t="s">
        <v>1646</v>
      </c>
      <c r="H448" s="99" t="s">
        <v>1691</v>
      </c>
      <c r="I448" s="183" t="s">
        <v>1655</v>
      </c>
      <c r="J448" s="99">
        <v>5</v>
      </c>
      <c r="K448" s="183" t="str">
        <f>VLOOKUP(Ruimtestaat[[#This Row],[Ruimte code]],Ruimtegroepen[[#All],[Code]:[Ruimte omschrijving]],2,FALSE)</f>
        <v>Sanitair</v>
      </c>
      <c r="L448" s="99" t="s">
        <v>101</v>
      </c>
      <c r="M448" s="99" t="s">
        <v>1682</v>
      </c>
      <c r="N448" s="177">
        <v>12.4</v>
      </c>
      <c r="O448" s="177"/>
      <c r="P448" s="178" t="str">
        <f>VLOOKUP(Ruimtestaat[[#This Row],[Ruimte code]],Ruimtegroepen[],4,FALSE)</f>
        <v>Sa</v>
      </c>
      <c r="Q448" s="149">
        <v>40</v>
      </c>
      <c r="R448" s="149" t="s">
        <v>2</v>
      </c>
      <c r="S448" s="149">
        <f>IF(Q448&gt;0,IF(RIGHT(Ruimtestaat[[#This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8" s="149">
        <f>IF(S448&gt;0,VLOOKUP($J448,Ruimtegroepen[],3,FALSE)*VLOOKUP($L448,Vloersoorten[],3,FALSE)*VLOOKUP($R448,Frequenties[],3,FALSE)*VLOOKUP($A448,Locaties[],3,FALSE),0)</f>
        <v>0</v>
      </c>
      <c r="U448" s="149">
        <f>Ruimtestaat[[#This Row],[Uitvoeringen werkdagen]]*Ruimtestaat[[#This Row],[Oppervlak (netto)]]</f>
        <v>2480</v>
      </c>
      <c r="V448" s="179">
        <f>IF(T448&gt;0,Ruimtestaat[[#This Row],[Prest. (m2 /jaar) werkdagen]]/Ruimtestaat[[#This Row],[Norm (m2/uur) werkdagen]],0)</f>
        <v>0</v>
      </c>
      <c r="W448" s="180">
        <f>Ruimtestaat[[#This Row],[uren / jaar werkdagen]]*Tariefsopbouw!$E$35</f>
        <v>0</v>
      </c>
      <c r="X448" s="149"/>
      <c r="Y448" s="149">
        <f>IF(Ruimtestaat[[#This Row],[Frequentie weekend]]&gt;0,VALUE(LEFT(X448,1))*Q448,0)</f>
        <v>0</v>
      </c>
      <c r="Z448" s="148">
        <f>IF($Y448&gt;0,VLOOKUP($J448,Ruimtegroepen[],3,FALSE)*VLOOKUP($L448,Vloersoorten[],3,FALSE)*VLOOKUP($X448,Frequenties[],3,FALSE)*VLOOKUP(Ruimtestaat[[#This Row],[Code]],Locaties[],3,FALSE),0)</f>
        <v>0</v>
      </c>
      <c r="AA448" s="148">
        <f>Ruimtestaat[[#This Row],[Uitvoeringen weekend]]*Ruimtestaat[[#This Row],[Oppervlak (netto)]]</f>
        <v>0</v>
      </c>
      <c r="AB448" s="148">
        <f>IF(Z448&gt;0,Ruimtestaat[[#This Row],[Prest. (m2 /jaar) weekend]]/Ruimtestaat[[#This Row],[Norm (m2/uur) weekend]],0)</f>
        <v>0</v>
      </c>
      <c r="AC448" s="180">
        <f>Ruimtestaat[[#This Row],[uren / jaar weekend]]*Tariefsopbouw!$D$40</f>
        <v>0</v>
      </c>
      <c r="AD448" s="179">
        <f>Ruimtestaat[[#This Row],[Prest. (m2 /jaar) weekend]]+Ruimtestaat[[#This Row],[Prest. (m2 /jaar) werkdagen]]</f>
        <v>2480</v>
      </c>
      <c r="AE448" s="179">
        <f>Ruimtestaat[[#This Row],[uren / jaar weekend]]+Ruimtestaat[[#This Row],[uren / jaar werkdagen]]</f>
        <v>0</v>
      </c>
      <c r="AF448" s="174">
        <f>Ruimtestaat[[#This Row],[kosten / jaar weekend]]+Ruimtestaat[[#This Row],[kosten / jaar werkdagen]]</f>
        <v>0</v>
      </c>
      <c r="AG448" s="174"/>
      <c r="AH448" s="181" t="str">
        <f>IF(Ruimtestaat[[#This Row],[Frequentie werkdagen]]="","",_xlfn.CONCAT(Ruimtestaat[[#This Row],[Ruimte code]],"-",Ruimtestaat[[#This Row],[Frequentie werkdagen]]," ",Ruimtestaat[[#This Row],[Vloer code]]))</f>
        <v>5-5w S</v>
      </c>
      <c r="AI448" s="185" t="str">
        <f>_xlfn.IFNA(VLOOKUP($AH448,Programma!$F$3:$G$1101,2,0),"")</f>
        <v>_</v>
      </c>
      <c r="AJ448" s="185" t="str">
        <f>_xlfn.IFNA(VLOOKUP($AH448,Programma!$F$3:$H$1101,3,0),"")</f>
        <v>_</v>
      </c>
      <c r="AK448" s="185" t="str">
        <f>_xlfn.IFNA(VLOOKUP($AH448,Programma!$F$3:$I$1101,4,0),"")</f>
        <v>_</v>
      </c>
      <c r="AL448" s="185" t="str">
        <f>_xlfn.IFNA(VLOOKUP($AH448,Programma!$F$3:$J$1101,5,0),"")</f>
        <v>4w</v>
      </c>
      <c r="AM448" s="185" t="str">
        <f>_xlfn.IFNA(VLOOKUP($AH448,Programma!$F$3:$K$1101,6,0),"")</f>
        <v>1w</v>
      </c>
      <c r="AN448" s="185" t="str">
        <f>_xlfn.IFNA(VLOOKUP($AH448,Programma!$F$3:$L$1101,7,0),"")</f>
        <v>_</v>
      </c>
      <c r="AO448" s="185" t="str">
        <f>_xlfn.IFNA(VLOOKUP($AH448,Programma!$F$3:$M$1101,8,0),"")</f>
        <v>_</v>
      </c>
      <c r="AP448" s="185" t="str">
        <f>_xlfn.IFNA(VLOOKUP($AH448,Programma!$F$3:$N$1101,9,0),"")</f>
        <v>_</v>
      </c>
      <c r="AQ448" s="185" t="str">
        <f>_xlfn.IFNA(VLOOKUP($AH448,Programma!$F$3:$O$1101,10,0),"")</f>
        <v>_</v>
      </c>
      <c r="AR448" s="185" t="str">
        <f>_xlfn.IFNA(VLOOKUP($AH448,Programma!$F$3:$P$1101,11,0),"")</f>
        <v>_</v>
      </c>
      <c r="AS448" s="185" t="str">
        <f>_xlfn.IFNA(VLOOKUP($AH448,Programma!$F$3:$Q$1101,12,0),"")</f>
        <v>_</v>
      </c>
      <c r="AT448" s="185" t="str">
        <f>_xlfn.IFNA(VLOOKUP($AH448,Programma!$F$3:$R$1101,13,0),"")</f>
        <v>_</v>
      </c>
      <c r="AU448" s="185" t="str">
        <f>_xlfn.IFNA(VLOOKUP($AH448,Programma!$F$3:$S$1101,14,0),"")</f>
        <v>_</v>
      </c>
      <c r="AV448" s="185" t="str">
        <f>_xlfn.IFNA(VLOOKUP($AH448,Programma!$F$3:$T$1101,15,0),"")</f>
        <v>_</v>
      </c>
      <c r="AW448" s="185" t="str">
        <f>_xlfn.IFNA(VLOOKUP($AH448,Programma!$F$3:$U$1101,16,0),"")</f>
        <v>_</v>
      </c>
      <c r="AX448" s="185" t="str">
        <f>_xlfn.IFNA(VLOOKUP($AH448,Programma!$F$3:$V$1101,17,0),"")</f>
        <v>_</v>
      </c>
      <c r="AY448" s="185" t="str">
        <f>_xlfn.IFNA(VLOOKUP($AH448,Programma!$F$3:$W$1101,18,0),"")</f>
        <v>4w</v>
      </c>
      <c r="AZ448" s="185" t="str">
        <f>_xlfn.IFNA(VLOOKUP($AH448,Programma!$F$3:$X$1101,19,0),"")</f>
        <v>1w</v>
      </c>
      <c r="BA448" s="185" t="str">
        <f>_xlfn.IFNA(VLOOKUP($AH448,Programma!$F$3:$Y$1101,20,0),"")</f>
        <v>_</v>
      </c>
      <c r="BB448" s="182"/>
      <c r="BC448" s="181" t="str">
        <f>IF(Ruimtestaat[[#This Row],[Frequentie weekend]]="","",_xlfn.CONCAT(Ruimtestaat[[#This Row],[Ruimte code]],"-",Ruimtestaat[[#This Row],[Frequentie weekend]]," ",Ruimtestaat[[#This Row],[Vloer code]]))</f>
        <v/>
      </c>
      <c r="BD448" s="185" t="str">
        <f>_xlfn.IFNA(VLOOKUP($BC448,Programma!$F$3:$G$1101,2,0),"")</f>
        <v/>
      </c>
      <c r="BE448" s="185" t="str">
        <f>_xlfn.IFNA(VLOOKUP($BC448,Programma!$F$3:$H$1101,3,0),"")</f>
        <v/>
      </c>
      <c r="BF448" s="185" t="str">
        <f>_xlfn.IFNA(VLOOKUP($BC448,Programma!$F$3:$I$1101,4,0),"")</f>
        <v/>
      </c>
      <c r="BG448" s="185" t="str">
        <f>_xlfn.IFNA(VLOOKUP($BC448,Programma!$F$3:$J$1101,5,0),"")</f>
        <v/>
      </c>
      <c r="BH448" s="185" t="str">
        <f>_xlfn.IFNA(VLOOKUP($BC448,Programma!$F$3:$K$1101,6,0),"")</f>
        <v/>
      </c>
      <c r="BI448" s="185" t="str">
        <f>_xlfn.IFNA(VLOOKUP($BC448,Programma!$F$3:$L$1101,7,0),"")</f>
        <v/>
      </c>
      <c r="BJ448" s="185" t="str">
        <f>_xlfn.IFNA(VLOOKUP($BC448,Programma!$F$3:$M$1101,8,0),"")</f>
        <v/>
      </c>
      <c r="BK448" s="185" t="str">
        <f>_xlfn.IFNA(VLOOKUP($BC448,Programma!$F$3:$N$1101,9,0),"")</f>
        <v/>
      </c>
      <c r="BL448" s="185" t="str">
        <f>_xlfn.IFNA(VLOOKUP($BC448,Programma!$F$3:$O$1101,10,0),"")</f>
        <v/>
      </c>
      <c r="BM448" s="185" t="str">
        <f>_xlfn.IFNA(VLOOKUP($BC448,Programma!$F$3:$P$1101,11,0),"")</f>
        <v/>
      </c>
      <c r="BN448" s="185" t="str">
        <f>_xlfn.IFNA(VLOOKUP($BC448,Programma!$F$3:$Q$1101,12,0),"")</f>
        <v/>
      </c>
      <c r="BO448" s="185" t="str">
        <f>_xlfn.IFNA(VLOOKUP($BC448,Programma!$F$3:$R$1101,13,0),"")</f>
        <v/>
      </c>
      <c r="BP448" s="185" t="str">
        <f>_xlfn.IFNA(VLOOKUP($BC448,Programma!$F$3:$S$1101,14,0),"")</f>
        <v/>
      </c>
      <c r="BQ448" s="185" t="str">
        <f>_xlfn.IFNA(VLOOKUP($BC448,Programma!$F$3:$T$1101,15,0),"")</f>
        <v/>
      </c>
      <c r="BR448" s="185" t="str">
        <f>_xlfn.IFNA(VLOOKUP($BC448,Programma!$F$3:$U$1101,16,0),"")</f>
        <v/>
      </c>
      <c r="BS448" s="185" t="str">
        <f>_xlfn.IFNA(VLOOKUP($BC448,Programma!$F$3:$V$1101,17,0),"")</f>
        <v/>
      </c>
      <c r="BT448" s="185" t="str">
        <f>_xlfn.IFNA(VLOOKUP($BC448,Programma!$F$3:$W$1101,18,0),"")</f>
        <v/>
      </c>
      <c r="BU448" s="185" t="str">
        <f>_xlfn.IFNA(VLOOKUP($BC448,Programma!$F$3:$X$1101,19,0),"")</f>
        <v/>
      </c>
      <c r="BV448" s="185" t="str">
        <f>_xlfn.IFNA(VLOOKUP($BC448,Programma!$F$3:$Y$1101,20,0),"")</f>
        <v/>
      </c>
    </row>
    <row r="449" spans="1:74" s="78" customFormat="1" ht="15" customHeight="1">
      <c r="A449" s="99">
        <v>13</v>
      </c>
      <c r="B449" s="176" t="str">
        <f>VLOOKUP(Ruimtestaat[[#This Row],[Code]],Locaties[[Code]:[Locatie]],2,FALSE)</f>
        <v>OMBS Het Zeggelt (Meeuwen)</v>
      </c>
      <c r="C449" s="176" t="str">
        <f>VLOOKUP(Ruimtestaat[[#This Row],[Code]],Locaties[[#All],[Code]:[Adres]],4,FALSE)</f>
        <v>Meeuwenstraat 4</v>
      </c>
      <c r="D449" s="176" t="str">
        <f>VLOOKUP(Ruimtestaat[[#This Row],[Code]],Locaties[[#All],[Code]:[Postcode]],5,FALSE)</f>
        <v>7523 XV</v>
      </c>
      <c r="E449" s="176" t="str">
        <f>VLOOKUP(Ruimtestaat[[#This Row],[Code]],Locaties[#All],6,FALSE)</f>
        <v>Enschede</v>
      </c>
      <c r="F449" s="183"/>
      <c r="G449" s="99" t="s">
        <v>1646</v>
      </c>
      <c r="H449" s="99" t="s">
        <v>1692</v>
      </c>
      <c r="I449" s="183" t="s">
        <v>1651</v>
      </c>
      <c r="J449" s="99">
        <v>16</v>
      </c>
      <c r="K449" s="183" t="str">
        <f>VLOOKUP(Ruimtestaat[[#This Row],[Ruimte code]],Ruimtegroepen[[#All],[Code]:[Ruimte omschrijving]],2,FALSE)</f>
        <v>Leslokalen</v>
      </c>
      <c r="L449" s="99" t="s">
        <v>100</v>
      </c>
      <c r="M449" s="99" t="s">
        <v>1697</v>
      </c>
      <c r="N449" s="177">
        <v>58.2</v>
      </c>
      <c r="O449" s="177"/>
      <c r="P449" s="178" t="str">
        <f>VLOOKUP(Ruimtestaat[[#This Row],[Ruimte code]],Ruimtegroepen[],4,FALSE)</f>
        <v>Le</v>
      </c>
      <c r="Q449" s="149">
        <v>40</v>
      </c>
      <c r="R449" s="149" t="s">
        <v>2</v>
      </c>
      <c r="S449" s="149">
        <f>IF(Q449&gt;0,IF(RIGHT(Ruimtestaat[[#This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49" s="149">
        <f>IF(S449&gt;0,VLOOKUP($J449,Ruimtegroepen[],3,FALSE)*VLOOKUP($L449,Vloersoorten[],3,FALSE)*VLOOKUP($R449,Frequenties[],3,FALSE)*VLOOKUP($A449,Locaties[],3,FALSE),0)</f>
        <v>0</v>
      </c>
      <c r="U449" s="149">
        <f>Ruimtestaat[[#This Row],[Uitvoeringen werkdagen]]*Ruimtestaat[[#This Row],[Oppervlak (netto)]]</f>
        <v>11640</v>
      </c>
      <c r="V449" s="179">
        <f>IF(T449&gt;0,Ruimtestaat[[#This Row],[Prest. (m2 /jaar) werkdagen]]/Ruimtestaat[[#This Row],[Norm (m2/uur) werkdagen]],0)</f>
        <v>0</v>
      </c>
      <c r="W449" s="180">
        <f>Ruimtestaat[[#This Row],[uren / jaar werkdagen]]*Tariefsopbouw!$E$35</f>
        <v>0</v>
      </c>
      <c r="X449" s="149"/>
      <c r="Y449" s="149">
        <f>IF(Ruimtestaat[[#This Row],[Frequentie weekend]]&gt;0,VALUE(LEFT(X449,1))*Q449,0)</f>
        <v>0</v>
      </c>
      <c r="Z449" s="148">
        <f>IF($Y449&gt;0,VLOOKUP($J449,Ruimtegroepen[],3,FALSE)*VLOOKUP($L449,Vloersoorten[],3,FALSE)*VLOOKUP($X449,Frequenties[],3,FALSE)*VLOOKUP(Ruimtestaat[[#This Row],[Code]],Locaties[],3,FALSE),0)</f>
        <v>0</v>
      </c>
      <c r="AA449" s="148">
        <f>Ruimtestaat[[#This Row],[Uitvoeringen weekend]]*Ruimtestaat[[#This Row],[Oppervlak (netto)]]</f>
        <v>0</v>
      </c>
      <c r="AB449" s="148">
        <f>IF(Z449&gt;0,Ruimtestaat[[#This Row],[Prest. (m2 /jaar) weekend]]/Ruimtestaat[[#This Row],[Norm (m2/uur) weekend]],0)</f>
        <v>0</v>
      </c>
      <c r="AC449" s="180">
        <f>Ruimtestaat[[#This Row],[uren / jaar weekend]]*Tariefsopbouw!$D$40</f>
        <v>0</v>
      </c>
      <c r="AD449" s="179">
        <f>Ruimtestaat[[#This Row],[Prest. (m2 /jaar) weekend]]+Ruimtestaat[[#This Row],[Prest. (m2 /jaar) werkdagen]]</f>
        <v>11640</v>
      </c>
      <c r="AE449" s="179">
        <f>Ruimtestaat[[#This Row],[uren / jaar weekend]]+Ruimtestaat[[#This Row],[uren / jaar werkdagen]]</f>
        <v>0</v>
      </c>
      <c r="AF449" s="174">
        <f>Ruimtestaat[[#This Row],[kosten / jaar weekend]]+Ruimtestaat[[#This Row],[kosten / jaar werkdagen]]</f>
        <v>0</v>
      </c>
      <c r="AG449" s="174"/>
      <c r="AH449" s="181" t="str">
        <f>IF(Ruimtestaat[[#This Row],[Frequentie werkdagen]]="","",_xlfn.CONCAT(Ruimtestaat[[#This Row],[Ruimte code]],"-",Ruimtestaat[[#This Row],[Frequentie werkdagen]]," ",Ruimtestaat[[#This Row],[Vloer code]]))</f>
        <v>16-5w L</v>
      </c>
      <c r="AI449" s="185" t="str">
        <f>_xlfn.IFNA(VLOOKUP($AH449,Programma!$F$3:$G$1101,2,0),"")</f>
        <v>_</v>
      </c>
      <c r="AJ449" s="185" t="str">
        <f>_xlfn.IFNA(VLOOKUP($AH449,Programma!$F$3:$H$1101,3,0),"")</f>
        <v>_</v>
      </c>
      <c r="AK449" s="185" t="str">
        <f>_xlfn.IFNA(VLOOKUP($AH449,Programma!$F$3:$I$1101,4,0),"")</f>
        <v>4w</v>
      </c>
      <c r="AL449" s="185" t="str">
        <f>_xlfn.IFNA(VLOOKUP($AH449,Programma!$F$3:$J$1101,5,0),"")</f>
        <v>1w</v>
      </c>
      <c r="AM449" s="185" t="str">
        <f>_xlfn.IFNA(VLOOKUP($AH449,Programma!$F$3:$K$1101,6,0),"")</f>
        <v>_</v>
      </c>
      <c r="AN449" s="185" t="str">
        <f>_xlfn.IFNA(VLOOKUP($AH449,Programma!$F$3:$L$1101,7,0),"")</f>
        <v>_</v>
      </c>
      <c r="AO449" s="185" t="str">
        <f>_xlfn.IFNA(VLOOKUP($AH449,Programma!$F$3:$M$1101,8,0),"")</f>
        <v>_</v>
      </c>
      <c r="AP449" s="185" t="str">
        <f>_xlfn.IFNA(VLOOKUP($AH449,Programma!$F$3:$N$1101,9,0),"")</f>
        <v>_</v>
      </c>
      <c r="AQ449" s="185" t="str">
        <f>_xlfn.IFNA(VLOOKUP($AH449,Programma!$F$3:$O$1101,10,0),"")</f>
        <v>5w</v>
      </c>
      <c r="AR449" s="185" t="str">
        <f>_xlfn.IFNA(VLOOKUP($AH449,Programma!$F$3:$P$1101,11,0),"")</f>
        <v>5w</v>
      </c>
      <c r="AS449" s="185" t="str">
        <f>_xlfn.IFNA(VLOOKUP($AH449,Programma!$F$3:$Q$1101,12,0),"")</f>
        <v>1w</v>
      </c>
      <c r="AT449" s="185" t="str">
        <f>_xlfn.IFNA(VLOOKUP($AH449,Programma!$F$3:$R$1101,13,0),"")</f>
        <v>1w</v>
      </c>
      <c r="AU449" s="185" t="str">
        <f>_xlfn.IFNA(VLOOKUP($AH449,Programma!$F$3:$S$1101,14,0),"")</f>
        <v>1m</v>
      </c>
      <c r="AV449" s="185" t="str">
        <f>_xlfn.IFNA(VLOOKUP($AH449,Programma!$F$3:$T$1101,15,0),"")</f>
        <v>2j</v>
      </c>
      <c r="AW449" s="185" t="str">
        <f>_xlfn.IFNA(VLOOKUP($AH449,Programma!$F$3:$U$1101,16,0),"")</f>
        <v>1j</v>
      </c>
      <c r="AX449" s="185" t="str">
        <f>_xlfn.IFNA(VLOOKUP($AH449,Programma!$F$3:$V$1101,17,0),"")</f>
        <v>_</v>
      </c>
      <c r="AY449" s="185" t="str">
        <f>_xlfn.IFNA(VLOOKUP($AH449,Programma!$F$3:$W$1101,18,0),"")</f>
        <v>_</v>
      </c>
      <c r="AZ449" s="185" t="str">
        <f>_xlfn.IFNA(VLOOKUP($AH449,Programma!$F$3:$X$1101,19,0),"")</f>
        <v>_</v>
      </c>
      <c r="BA449" s="185" t="str">
        <f>_xlfn.IFNA(VLOOKUP($AH449,Programma!$F$3:$Y$1101,20,0),"")</f>
        <v>_</v>
      </c>
      <c r="BB449" s="182"/>
      <c r="BC449" s="181" t="str">
        <f>IF(Ruimtestaat[[#This Row],[Frequentie weekend]]="","",_xlfn.CONCAT(Ruimtestaat[[#This Row],[Ruimte code]],"-",Ruimtestaat[[#This Row],[Frequentie weekend]]," ",Ruimtestaat[[#This Row],[Vloer code]]))</f>
        <v/>
      </c>
      <c r="BD449" s="185" t="str">
        <f>_xlfn.IFNA(VLOOKUP($BC449,Programma!$F$3:$G$1101,2,0),"")</f>
        <v/>
      </c>
      <c r="BE449" s="185" t="str">
        <f>_xlfn.IFNA(VLOOKUP($BC449,Programma!$F$3:$H$1101,3,0),"")</f>
        <v/>
      </c>
      <c r="BF449" s="185" t="str">
        <f>_xlfn.IFNA(VLOOKUP($BC449,Programma!$F$3:$I$1101,4,0),"")</f>
        <v/>
      </c>
      <c r="BG449" s="185" t="str">
        <f>_xlfn.IFNA(VLOOKUP($BC449,Programma!$F$3:$J$1101,5,0),"")</f>
        <v/>
      </c>
      <c r="BH449" s="185" t="str">
        <f>_xlfn.IFNA(VLOOKUP($BC449,Programma!$F$3:$K$1101,6,0),"")</f>
        <v/>
      </c>
      <c r="BI449" s="185" t="str">
        <f>_xlfn.IFNA(VLOOKUP($BC449,Programma!$F$3:$L$1101,7,0),"")</f>
        <v/>
      </c>
      <c r="BJ449" s="185" t="str">
        <f>_xlfn.IFNA(VLOOKUP($BC449,Programma!$F$3:$M$1101,8,0),"")</f>
        <v/>
      </c>
      <c r="BK449" s="185" t="str">
        <f>_xlfn.IFNA(VLOOKUP($BC449,Programma!$F$3:$N$1101,9,0),"")</f>
        <v/>
      </c>
      <c r="BL449" s="185" t="str">
        <f>_xlfn.IFNA(VLOOKUP($BC449,Programma!$F$3:$O$1101,10,0),"")</f>
        <v/>
      </c>
      <c r="BM449" s="185" t="str">
        <f>_xlfn.IFNA(VLOOKUP($BC449,Programma!$F$3:$P$1101,11,0),"")</f>
        <v/>
      </c>
      <c r="BN449" s="185" t="str">
        <f>_xlfn.IFNA(VLOOKUP($BC449,Programma!$F$3:$Q$1101,12,0),"")</f>
        <v/>
      </c>
      <c r="BO449" s="185" t="str">
        <f>_xlfn.IFNA(VLOOKUP($BC449,Programma!$F$3:$R$1101,13,0),"")</f>
        <v/>
      </c>
      <c r="BP449" s="185" t="str">
        <f>_xlfn.IFNA(VLOOKUP($BC449,Programma!$F$3:$S$1101,14,0),"")</f>
        <v/>
      </c>
      <c r="BQ449" s="185" t="str">
        <f>_xlfn.IFNA(VLOOKUP($BC449,Programma!$F$3:$T$1101,15,0),"")</f>
        <v/>
      </c>
      <c r="BR449" s="185" t="str">
        <f>_xlfn.IFNA(VLOOKUP($BC449,Programma!$F$3:$U$1101,16,0),"")</f>
        <v/>
      </c>
      <c r="BS449" s="185" t="str">
        <f>_xlfn.IFNA(VLOOKUP($BC449,Programma!$F$3:$V$1101,17,0),"")</f>
        <v/>
      </c>
      <c r="BT449" s="185" t="str">
        <f>_xlfn.IFNA(VLOOKUP($BC449,Programma!$F$3:$W$1101,18,0),"")</f>
        <v/>
      </c>
      <c r="BU449" s="185" t="str">
        <f>_xlfn.IFNA(VLOOKUP($BC449,Programma!$F$3:$X$1101,19,0),"")</f>
        <v/>
      </c>
      <c r="BV449" s="185" t="str">
        <f>_xlfn.IFNA(VLOOKUP($BC449,Programma!$F$3:$Y$1101,20,0),"")</f>
        <v/>
      </c>
    </row>
    <row r="450" spans="1:74" s="78" customFormat="1" ht="15" customHeight="1">
      <c r="A450" s="99">
        <v>13</v>
      </c>
      <c r="B450" s="176" t="str">
        <f>VLOOKUP(Ruimtestaat[[#This Row],[Code]],Locaties[[Code]:[Locatie]],2,FALSE)</f>
        <v>OMBS Het Zeggelt (Meeuwen)</v>
      </c>
      <c r="C450" s="176" t="str">
        <f>VLOOKUP(Ruimtestaat[[#This Row],[Code]],Locaties[[#All],[Code]:[Adres]],4,FALSE)</f>
        <v>Meeuwenstraat 4</v>
      </c>
      <c r="D450" s="176" t="str">
        <f>VLOOKUP(Ruimtestaat[[#This Row],[Code]],Locaties[[#All],[Code]:[Postcode]],5,FALSE)</f>
        <v>7523 XV</v>
      </c>
      <c r="E450" s="176" t="str">
        <f>VLOOKUP(Ruimtestaat[[#This Row],[Code]],Locaties[#All],6,FALSE)</f>
        <v>Enschede</v>
      </c>
      <c r="F450" s="183"/>
      <c r="G450" s="99" t="s">
        <v>1646</v>
      </c>
      <c r="H450" s="99" t="s">
        <v>1693</v>
      </c>
      <c r="I450" s="183" t="s">
        <v>1658</v>
      </c>
      <c r="J450" s="99">
        <v>6</v>
      </c>
      <c r="K450" s="183" t="str">
        <f>VLOOKUP(Ruimtestaat[[#This Row],[Ruimte code]],Ruimtegroepen[[#All],[Code]:[Ruimte omschrijving]],2,FALSE)</f>
        <v>Gangen/hallen</v>
      </c>
      <c r="L450" s="99" t="s">
        <v>101</v>
      </c>
      <c r="M450" s="99" t="s">
        <v>119</v>
      </c>
      <c r="N450" s="177">
        <v>30.1</v>
      </c>
      <c r="O450" s="177"/>
      <c r="P450" s="178" t="str">
        <f>VLOOKUP(Ruimtestaat[[#This Row],[Ruimte code]],Ruimtegroepen[],4,FALSE)</f>
        <v>Ve</v>
      </c>
      <c r="Q450" s="149">
        <v>40</v>
      </c>
      <c r="R450" s="149" t="s">
        <v>2</v>
      </c>
      <c r="S450" s="149">
        <f>IF(Q450&gt;0,IF(RIGHT(Ruimtestaat[[#This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0" s="149">
        <f>IF(S450&gt;0,VLOOKUP($J450,Ruimtegroepen[],3,FALSE)*VLOOKUP($L450,Vloersoorten[],3,FALSE)*VLOOKUP($R450,Frequenties[],3,FALSE)*VLOOKUP($A450,Locaties[],3,FALSE),0)</f>
        <v>0</v>
      </c>
      <c r="U450" s="149">
        <f>Ruimtestaat[[#This Row],[Uitvoeringen werkdagen]]*Ruimtestaat[[#This Row],[Oppervlak (netto)]]</f>
        <v>6020</v>
      </c>
      <c r="V450" s="179">
        <f>IF(T450&gt;0,Ruimtestaat[[#This Row],[Prest. (m2 /jaar) werkdagen]]/Ruimtestaat[[#This Row],[Norm (m2/uur) werkdagen]],0)</f>
        <v>0</v>
      </c>
      <c r="W450" s="180">
        <f>Ruimtestaat[[#This Row],[uren / jaar werkdagen]]*Tariefsopbouw!$E$35</f>
        <v>0</v>
      </c>
      <c r="X450" s="149"/>
      <c r="Y450" s="149">
        <f>IF(Ruimtestaat[[#This Row],[Frequentie weekend]]&gt;0,VALUE(LEFT(X450,1))*Q450,0)</f>
        <v>0</v>
      </c>
      <c r="Z450" s="148">
        <f>IF($Y450&gt;0,VLOOKUP($J450,Ruimtegroepen[],3,FALSE)*VLOOKUP($L450,Vloersoorten[],3,FALSE)*VLOOKUP($X450,Frequenties[],3,FALSE)*VLOOKUP(Ruimtestaat[[#This Row],[Code]],Locaties[],3,FALSE),0)</f>
        <v>0</v>
      </c>
      <c r="AA450" s="148">
        <f>Ruimtestaat[[#This Row],[Uitvoeringen weekend]]*Ruimtestaat[[#This Row],[Oppervlak (netto)]]</f>
        <v>0</v>
      </c>
      <c r="AB450" s="148">
        <f>IF(Z450&gt;0,Ruimtestaat[[#This Row],[Prest. (m2 /jaar) weekend]]/Ruimtestaat[[#This Row],[Norm (m2/uur) weekend]],0)</f>
        <v>0</v>
      </c>
      <c r="AC450" s="180">
        <f>Ruimtestaat[[#This Row],[uren / jaar weekend]]*Tariefsopbouw!$D$40</f>
        <v>0</v>
      </c>
      <c r="AD450" s="179">
        <f>Ruimtestaat[[#This Row],[Prest. (m2 /jaar) weekend]]+Ruimtestaat[[#This Row],[Prest. (m2 /jaar) werkdagen]]</f>
        <v>6020</v>
      </c>
      <c r="AE450" s="179">
        <f>Ruimtestaat[[#This Row],[uren / jaar weekend]]+Ruimtestaat[[#This Row],[uren / jaar werkdagen]]</f>
        <v>0</v>
      </c>
      <c r="AF450" s="174">
        <f>Ruimtestaat[[#This Row],[kosten / jaar weekend]]+Ruimtestaat[[#This Row],[kosten / jaar werkdagen]]</f>
        <v>0</v>
      </c>
      <c r="AG450" s="174"/>
      <c r="AH450" s="181" t="str">
        <f>IF(Ruimtestaat[[#This Row],[Frequentie werkdagen]]="","",_xlfn.CONCAT(Ruimtestaat[[#This Row],[Ruimte code]],"-",Ruimtestaat[[#This Row],[Frequentie werkdagen]]," ",Ruimtestaat[[#This Row],[Vloer code]]))</f>
        <v>6-5w S</v>
      </c>
      <c r="AI450" s="185" t="str">
        <f>_xlfn.IFNA(VLOOKUP($AH450,Programma!$F$3:$G$1101,2,0),"")</f>
        <v>_</v>
      </c>
      <c r="AJ450" s="185" t="str">
        <f>_xlfn.IFNA(VLOOKUP($AH450,Programma!$F$3:$H$1101,3,0),"")</f>
        <v>_</v>
      </c>
      <c r="AK450" s="185" t="str">
        <f>_xlfn.IFNA(VLOOKUP($AH450,Programma!$F$3:$I$1101,4,0),"")</f>
        <v>5w</v>
      </c>
      <c r="AL450" s="185" t="str">
        <f>_xlfn.IFNA(VLOOKUP($AH450,Programma!$F$3:$J$1101,5,0),"")</f>
        <v>_</v>
      </c>
      <c r="AM450" s="185" t="str">
        <f>_xlfn.IFNA(VLOOKUP($AH450,Programma!$F$3:$K$1101,6,0),"")</f>
        <v>5w</v>
      </c>
      <c r="AN450" s="185" t="str">
        <f>_xlfn.IFNA(VLOOKUP($AH450,Programma!$F$3:$L$1101,7,0),"")</f>
        <v>_</v>
      </c>
      <c r="AO450" s="185" t="str">
        <f>_xlfn.IFNA(VLOOKUP($AH450,Programma!$F$3:$M$1101,8,0),"")</f>
        <v>_</v>
      </c>
      <c r="AP450" s="185" t="str">
        <f>_xlfn.IFNA(VLOOKUP($AH450,Programma!$F$3:$N$1101,9,0),"")</f>
        <v>_</v>
      </c>
      <c r="AQ450" s="185" t="str">
        <f>_xlfn.IFNA(VLOOKUP($AH450,Programma!$F$3:$O$1101,10,0),"")</f>
        <v>5w</v>
      </c>
      <c r="AR450" s="185" t="str">
        <f>_xlfn.IFNA(VLOOKUP($AH450,Programma!$F$3:$P$1101,11,0),"")</f>
        <v>5w</v>
      </c>
      <c r="AS450" s="185" t="str">
        <f>_xlfn.IFNA(VLOOKUP($AH450,Programma!$F$3:$Q$1101,12,0),"")</f>
        <v>1w</v>
      </c>
      <c r="AT450" s="185" t="str">
        <f>_xlfn.IFNA(VLOOKUP($AH450,Programma!$F$3:$R$1101,13,0),"")</f>
        <v>1w</v>
      </c>
      <c r="AU450" s="185" t="str">
        <f>_xlfn.IFNA(VLOOKUP($AH450,Programma!$F$3:$S$1101,14,0),"")</f>
        <v>1m</v>
      </c>
      <c r="AV450" s="185" t="str">
        <f>_xlfn.IFNA(VLOOKUP($AH450,Programma!$F$3:$T$1101,15,0),"")</f>
        <v>2j</v>
      </c>
      <c r="AW450" s="185" t="str">
        <f>_xlfn.IFNA(VLOOKUP($AH450,Programma!$F$3:$U$1101,16,0),"")</f>
        <v>1j</v>
      </c>
      <c r="AX450" s="185" t="str">
        <f>_xlfn.IFNA(VLOOKUP($AH450,Programma!$F$3:$V$1101,17,0),"")</f>
        <v>_</v>
      </c>
      <c r="AY450" s="185" t="str">
        <f>_xlfn.IFNA(VLOOKUP($AH450,Programma!$F$3:$W$1101,18,0),"")</f>
        <v>_</v>
      </c>
      <c r="AZ450" s="185" t="str">
        <f>_xlfn.IFNA(VLOOKUP($AH450,Programma!$F$3:$X$1101,19,0),"")</f>
        <v>_</v>
      </c>
      <c r="BA450" s="185" t="str">
        <f>_xlfn.IFNA(VLOOKUP($AH450,Programma!$F$3:$Y$1101,20,0),"")</f>
        <v>_</v>
      </c>
      <c r="BB450" s="182"/>
      <c r="BC450" s="181" t="str">
        <f>IF(Ruimtestaat[[#This Row],[Frequentie weekend]]="","",_xlfn.CONCAT(Ruimtestaat[[#This Row],[Ruimte code]],"-",Ruimtestaat[[#This Row],[Frequentie weekend]]," ",Ruimtestaat[[#This Row],[Vloer code]]))</f>
        <v/>
      </c>
      <c r="BD450" s="185" t="str">
        <f>_xlfn.IFNA(VLOOKUP($BC450,Programma!$F$3:$G$1101,2,0),"")</f>
        <v/>
      </c>
      <c r="BE450" s="185" t="str">
        <f>_xlfn.IFNA(VLOOKUP($BC450,Programma!$F$3:$H$1101,3,0),"")</f>
        <v/>
      </c>
      <c r="BF450" s="185" t="str">
        <f>_xlfn.IFNA(VLOOKUP($BC450,Programma!$F$3:$I$1101,4,0),"")</f>
        <v/>
      </c>
      <c r="BG450" s="185" t="str">
        <f>_xlfn.IFNA(VLOOKUP($BC450,Programma!$F$3:$J$1101,5,0),"")</f>
        <v/>
      </c>
      <c r="BH450" s="185" t="str">
        <f>_xlfn.IFNA(VLOOKUP($BC450,Programma!$F$3:$K$1101,6,0),"")</f>
        <v/>
      </c>
      <c r="BI450" s="185" t="str">
        <f>_xlfn.IFNA(VLOOKUP($BC450,Programma!$F$3:$L$1101,7,0),"")</f>
        <v/>
      </c>
      <c r="BJ450" s="185" t="str">
        <f>_xlfn.IFNA(VLOOKUP($BC450,Programma!$F$3:$M$1101,8,0),"")</f>
        <v/>
      </c>
      <c r="BK450" s="185" t="str">
        <f>_xlfn.IFNA(VLOOKUP($BC450,Programma!$F$3:$N$1101,9,0),"")</f>
        <v/>
      </c>
      <c r="BL450" s="185" t="str">
        <f>_xlfn.IFNA(VLOOKUP($BC450,Programma!$F$3:$O$1101,10,0),"")</f>
        <v/>
      </c>
      <c r="BM450" s="185" t="str">
        <f>_xlfn.IFNA(VLOOKUP($BC450,Programma!$F$3:$P$1101,11,0),"")</f>
        <v/>
      </c>
      <c r="BN450" s="185" t="str">
        <f>_xlfn.IFNA(VLOOKUP($BC450,Programma!$F$3:$Q$1101,12,0),"")</f>
        <v/>
      </c>
      <c r="BO450" s="185" t="str">
        <f>_xlfn.IFNA(VLOOKUP($BC450,Programma!$F$3:$R$1101,13,0),"")</f>
        <v/>
      </c>
      <c r="BP450" s="185" t="str">
        <f>_xlfn.IFNA(VLOOKUP($BC450,Programma!$F$3:$S$1101,14,0),"")</f>
        <v/>
      </c>
      <c r="BQ450" s="185" t="str">
        <f>_xlfn.IFNA(VLOOKUP($BC450,Programma!$F$3:$T$1101,15,0),"")</f>
        <v/>
      </c>
      <c r="BR450" s="185" t="str">
        <f>_xlfn.IFNA(VLOOKUP($BC450,Programma!$F$3:$U$1101,16,0),"")</f>
        <v/>
      </c>
      <c r="BS450" s="185" t="str">
        <f>_xlfn.IFNA(VLOOKUP($BC450,Programma!$F$3:$V$1101,17,0),"")</f>
        <v/>
      </c>
      <c r="BT450" s="185" t="str">
        <f>_xlfn.IFNA(VLOOKUP($BC450,Programma!$F$3:$W$1101,18,0),"")</f>
        <v/>
      </c>
      <c r="BU450" s="185" t="str">
        <f>_xlfn.IFNA(VLOOKUP($BC450,Programma!$F$3:$X$1101,19,0),"")</f>
        <v/>
      </c>
      <c r="BV450" s="185" t="str">
        <f>_xlfn.IFNA(VLOOKUP($BC450,Programma!$F$3:$Y$1101,20,0),"")</f>
        <v/>
      </c>
    </row>
    <row r="451" spans="1:74" s="78" customFormat="1" ht="15" customHeight="1">
      <c r="A451" s="99">
        <v>13</v>
      </c>
      <c r="B451" s="176" t="str">
        <f>VLOOKUP(Ruimtestaat[[#This Row],[Code]],Locaties[[Code]:[Locatie]],2,FALSE)</f>
        <v>OMBS Het Zeggelt (Meeuwen)</v>
      </c>
      <c r="C451" s="176" t="str">
        <f>VLOOKUP(Ruimtestaat[[#This Row],[Code]],Locaties[[#All],[Code]:[Adres]],4,FALSE)</f>
        <v>Meeuwenstraat 4</v>
      </c>
      <c r="D451" s="176" t="str">
        <f>VLOOKUP(Ruimtestaat[[#This Row],[Code]],Locaties[[#All],[Code]:[Postcode]],5,FALSE)</f>
        <v>7523 XV</v>
      </c>
      <c r="E451" s="176" t="str">
        <f>VLOOKUP(Ruimtestaat[[#This Row],[Code]],Locaties[#All],6,FALSE)</f>
        <v>Enschede</v>
      </c>
      <c r="F451" s="183"/>
      <c r="G451" s="99" t="s">
        <v>1646</v>
      </c>
      <c r="H451" s="99" t="s">
        <v>1694</v>
      </c>
      <c r="I451" s="183" t="s">
        <v>1651</v>
      </c>
      <c r="J451" s="99">
        <v>16</v>
      </c>
      <c r="K451" s="183" t="str">
        <f>VLOOKUP(Ruimtestaat[[#This Row],[Ruimte code]],Ruimtegroepen[[#All],[Code]:[Ruimte omschrijving]],2,FALSE)</f>
        <v>Leslokalen</v>
      </c>
      <c r="L451" s="99" t="s">
        <v>100</v>
      </c>
      <c r="M451" s="99" t="s">
        <v>1697</v>
      </c>
      <c r="N451" s="177">
        <v>59</v>
      </c>
      <c r="O451" s="177"/>
      <c r="P451" s="178" t="str">
        <f>VLOOKUP(Ruimtestaat[[#This Row],[Ruimte code]],Ruimtegroepen[],4,FALSE)</f>
        <v>Le</v>
      </c>
      <c r="Q451" s="149">
        <v>40</v>
      </c>
      <c r="R451" s="149" t="s">
        <v>2</v>
      </c>
      <c r="S451" s="149">
        <f>IF(Q451&gt;0,IF(RIGHT(Ruimtestaat[[#This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1" s="149">
        <f>IF(S451&gt;0,VLOOKUP($J451,Ruimtegroepen[],3,FALSE)*VLOOKUP($L451,Vloersoorten[],3,FALSE)*VLOOKUP($R451,Frequenties[],3,FALSE)*VLOOKUP($A451,Locaties[],3,FALSE),0)</f>
        <v>0</v>
      </c>
      <c r="U451" s="149">
        <f>Ruimtestaat[[#This Row],[Uitvoeringen werkdagen]]*Ruimtestaat[[#This Row],[Oppervlak (netto)]]</f>
        <v>11800</v>
      </c>
      <c r="V451" s="179">
        <f>IF(T451&gt;0,Ruimtestaat[[#This Row],[Prest. (m2 /jaar) werkdagen]]/Ruimtestaat[[#This Row],[Norm (m2/uur) werkdagen]],0)</f>
        <v>0</v>
      </c>
      <c r="W451" s="180">
        <f>Ruimtestaat[[#This Row],[uren / jaar werkdagen]]*Tariefsopbouw!$E$35</f>
        <v>0</v>
      </c>
      <c r="X451" s="149"/>
      <c r="Y451" s="149">
        <f>IF(Ruimtestaat[[#This Row],[Frequentie weekend]]&gt;0,VALUE(LEFT(X451,1))*Q451,0)</f>
        <v>0</v>
      </c>
      <c r="Z451" s="148">
        <f>IF($Y451&gt;0,VLOOKUP($J451,Ruimtegroepen[],3,FALSE)*VLOOKUP($L451,Vloersoorten[],3,FALSE)*VLOOKUP($X451,Frequenties[],3,FALSE)*VLOOKUP(Ruimtestaat[[#This Row],[Code]],Locaties[],3,FALSE),0)</f>
        <v>0</v>
      </c>
      <c r="AA451" s="148">
        <f>Ruimtestaat[[#This Row],[Uitvoeringen weekend]]*Ruimtestaat[[#This Row],[Oppervlak (netto)]]</f>
        <v>0</v>
      </c>
      <c r="AB451" s="148">
        <f>IF(Z451&gt;0,Ruimtestaat[[#This Row],[Prest. (m2 /jaar) weekend]]/Ruimtestaat[[#This Row],[Norm (m2/uur) weekend]],0)</f>
        <v>0</v>
      </c>
      <c r="AC451" s="180">
        <f>Ruimtestaat[[#This Row],[uren / jaar weekend]]*Tariefsopbouw!$D$40</f>
        <v>0</v>
      </c>
      <c r="AD451" s="179">
        <f>Ruimtestaat[[#This Row],[Prest. (m2 /jaar) weekend]]+Ruimtestaat[[#This Row],[Prest. (m2 /jaar) werkdagen]]</f>
        <v>11800</v>
      </c>
      <c r="AE451" s="179">
        <f>Ruimtestaat[[#This Row],[uren / jaar weekend]]+Ruimtestaat[[#This Row],[uren / jaar werkdagen]]</f>
        <v>0</v>
      </c>
      <c r="AF451" s="174">
        <f>Ruimtestaat[[#This Row],[kosten / jaar weekend]]+Ruimtestaat[[#This Row],[kosten / jaar werkdagen]]</f>
        <v>0</v>
      </c>
      <c r="AG451" s="174"/>
      <c r="AH451" s="181" t="str">
        <f>IF(Ruimtestaat[[#This Row],[Frequentie werkdagen]]="","",_xlfn.CONCAT(Ruimtestaat[[#This Row],[Ruimte code]],"-",Ruimtestaat[[#This Row],[Frequentie werkdagen]]," ",Ruimtestaat[[#This Row],[Vloer code]]))</f>
        <v>16-5w L</v>
      </c>
      <c r="AI451" s="185" t="str">
        <f>_xlfn.IFNA(VLOOKUP($AH451,Programma!$F$3:$G$1101,2,0),"")</f>
        <v>_</v>
      </c>
      <c r="AJ451" s="185" t="str">
        <f>_xlfn.IFNA(VLOOKUP($AH451,Programma!$F$3:$H$1101,3,0),"")</f>
        <v>_</v>
      </c>
      <c r="AK451" s="185" t="str">
        <f>_xlfn.IFNA(VLOOKUP($AH451,Programma!$F$3:$I$1101,4,0),"")</f>
        <v>4w</v>
      </c>
      <c r="AL451" s="185" t="str">
        <f>_xlfn.IFNA(VLOOKUP($AH451,Programma!$F$3:$J$1101,5,0),"")</f>
        <v>1w</v>
      </c>
      <c r="AM451" s="185" t="str">
        <f>_xlfn.IFNA(VLOOKUP($AH451,Programma!$F$3:$K$1101,6,0),"")</f>
        <v>_</v>
      </c>
      <c r="AN451" s="185" t="str">
        <f>_xlfn.IFNA(VLOOKUP($AH451,Programma!$F$3:$L$1101,7,0),"")</f>
        <v>_</v>
      </c>
      <c r="AO451" s="185" t="str">
        <f>_xlfn.IFNA(VLOOKUP($AH451,Programma!$F$3:$M$1101,8,0),"")</f>
        <v>_</v>
      </c>
      <c r="AP451" s="185" t="str">
        <f>_xlfn.IFNA(VLOOKUP($AH451,Programma!$F$3:$N$1101,9,0),"")</f>
        <v>_</v>
      </c>
      <c r="AQ451" s="185" t="str">
        <f>_xlfn.IFNA(VLOOKUP($AH451,Programma!$F$3:$O$1101,10,0),"")</f>
        <v>5w</v>
      </c>
      <c r="AR451" s="185" t="str">
        <f>_xlfn.IFNA(VLOOKUP($AH451,Programma!$F$3:$P$1101,11,0),"")</f>
        <v>5w</v>
      </c>
      <c r="AS451" s="185" t="str">
        <f>_xlfn.IFNA(VLOOKUP($AH451,Programma!$F$3:$Q$1101,12,0),"")</f>
        <v>1w</v>
      </c>
      <c r="AT451" s="185" t="str">
        <f>_xlfn.IFNA(VLOOKUP($AH451,Programma!$F$3:$R$1101,13,0),"")</f>
        <v>1w</v>
      </c>
      <c r="AU451" s="185" t="str">
        <f>_xlfn.IFNA(VLOOKUP($AH451,Programma!$F$3:$S$1101,14,0),"")</f>
        <v>1m</v>
      </c>
      <c r="AV451" s="185" t="str">
        <f>_xlfn.IFNA(VLOOKUP($AH451,Programma!$F$3:$T$1101,15,0),"")</f>
        <v>2j</v>
      </c>
      <c r="AW451" s="185" t="str">
        <f>_xlfn.IFNA(VLOOKUP($AH451,Programma!$F$3:$U$1101,16,0),"")</f>
        <v>1j</v>
      </c>
      <c r="AX451" s="185" t="str">
        <f>_xlfn.IFNA(VLOOKUP($AH451,Programma!$F$3:$V$1101,17,0),"")</f>
        <v>_</v>
      </c>
      <c r="AY451" s="185" t="str">
        <f>_xlfn.IFNA(VLOOKUP($AH451,Programma!$F$3:$W$1101,18,0),"")</f>
        <v>_</v>
      </c>
      <c r="AZ451" s="185" t="str">
        <f>_xlfn.IFNA(VLOOKUP($AH451,Programma!$F$3:$X$1101,19,0),"")</f>
        <v>_</v>
      </c>
      <c r="BA451" s="185" t="str">
        <f>_xlfn.IFNA(VLOOKUP($AH451,Programma!$F$3:$Y$1101,20,0),"")</f>
        <v>_</v>
      </c>
      <c r="BB451" s="182"/>
      <c r="BC451" s="181" t="str">
        <f>IF(Ruimtestaat[[#This Row],[Frequentie weekend]]="","",_xlfn.CONCAT(Ruimtestaat[[#This Row],[Ruimte code]],"-",Ruimtestaat[[#This Row],[Frequentie weekend]]," ",Ruimtestaat[[#This Row],[Vloer code]]))</f>
        <v/>
      </c>
      <c r="BD451" s="185" t="str">
        <f>_xlfn.IFNA(VLOOKUP($BC451,Programma!$F$3:$G$1101,2,0),"")</f>
        <v/>
      </c>
      <c r="BE451" s="185" t="str">
        <f>_xlfn.IFNA(VLOOKUP($BC451,Programma!$F$3:$H$1101,3,0),"")</f>
        <v/>
      </c>
      <c r="BF451" s="185" t="str">
        <f>_xlfn.IFNA(VLOOKUP($BC451,Programma!$F$3:$I$1101,4,0),"")</f>
        <v/>
      </c>
      <c r="BG451" s="185" t="str">
        <f>_xlfn.IFNA(VLOOKUP($BC451,Programma!$F$3:$J$1101,5,0),"")</f>
        <v/>
      </c>
      <c r="BH451" s="185" t="str">
        <f>_xlfn.IFNA(VLOOKUP($BC451,Programma!$F$3:$K$1101,6,0),"")</f>
        <v/>
      </c>
      <c r="BI451" s="185" t="str">
        <f>_xlfn.IFNA(VLOOKUP($BC451,Programma!$F$3:$L$1101,7,0),"")</f>
        <v/>
      </c>
      <c r="BJ451" s="185" t="str">
        <f>_xlfn.IFNA(VLOOKUP($BC451,Programma!$F$3:$M$1101,8,0),"")</f>
        <v/>
      </c>
      <c r="BK451" s="185" t="str">
        <f>_xlfn.IFNA(VLOOKUP($BC451,Programma!$F$3:$N$1101,9,0),"")</f>
        <v/>
      </c>
      <c r="BL451" s="185" t="str">
        <f>_xlfn.IFNA(VLOOKUP($BC451,Programma!$F$3:$O$1101,10,0),"")</f>
        <v/>
      </c>
      <c r="BM451" s="185" t="str">
        <f>_xlfn.IFNA(VLOOKUP($BC451,Programma!$F$3:$P$1101,11,0),"")</f>
        <v/>
      </c>
      <c r="BN451" s="185" t="str">
        <f>_xlfn.IFNA(VLOOKUP($BC451,Programma!$F$3:$Q$1101,12,0),"")</f>
        <v/>
      </c>
      <c r="BO451" s="185" t="str">
        <f>_xlfn.IFNA(VLOOKUP($BC451,Programma!$F$3:$R$1101,13,0),"")</f>
        <v/>
      </c>
      <c r="BP451" s="185" t="str">
        <f>_xlfn.IFNA(VLOOKUP($BC451,Programma!$F$3:$S$1101,14,0),"")</f>
        <v/>
      </c>
      <c r="BQ451" s="185" t="str">
        <f>_xlfn.IFNA(VLOOKUP($BC451,Programma!$F$3:$T$1101,15,0),"")</f>
        <v/>
      </c>
      <c r="BR451" s="185" t="str">
        <f>_xlfn.IFNA(VLOOKUP($BC451,Programma!$F$3:$U$1101,16,0),"")</f>
        <v/>
      </c>
      <c r="BS451" s="185" t="str">
        <f>_xlfn.IFNA(VLOOKUP($BC451,Programma!$F$3:$V$1101,17,0),"")</f>
        <v/>
      </c>
      <c r="BT451" s="185" t="str">
        <f>_xlfn.IFNA(VLOOKUP($BC451,Programma!$F$3:$W$1101,18,0),"")</f>
        <v/>
      </c>
      <c r="BU451" s="185" t="str">
        <f>_xlfn.IFNA(VLOOKUP($BC451,Programma!$F$3:$X$1101,19,0),"")</f>
        <v/>
      </c>
      <c r="BV451" s="185" t="str">
        <f>_xlfn.IFNA(VLOOKUP($BC451,Programma!$F$3:$Y$1101,20,0),"")</f>
        <v/>
      </c>
    </row>
    <row r="452" spans="1:74" s="78" customFormat="1" ht="15" customHeight="1">
      <c r="A452" s="99">
        <v>13</v>
      </c>
      <c r="B452" s="176" t="str">
        <f>VLOOKUP(Ruimtestaat[[#This Row],[Code]],Locaties[[Code]:[Locatie]],2,FALSE)</f>
        <v>OMBS Het Zeggelt (Meeuwen)</v>
      </c>
      <c r="C452" s="176" t="str">
        <f>VLOOKUP(Ruimtestaat[[#This Row],[Code]],Locaties[[#All],[Code]:[Adres]],4,FALSE)</f>
        <v>Meeuwenstraat 4</v>
      </c>
      <c r="D452" s="176" t="str">
        <f>VLOOKUP(Ruimtestaat[[#This Row],[Code]],Locaties[[#All],[Code]:[Postcode]],5,FALSE)</f>
        <v>7523 XV</v>
      </c>
      <c r="E452" s="176" t="str">
        <f>VLOOKUP(Ruimtestaat[[#This Row],[Code]],Locaties[#All],6,FALSE)</f>
        <v>Enschede</v>
      </c>
      <c r="F452" s="183"/>
      <c r="G452" s="99" t="s">
        <v>1646</v>
      </c>
      <c r="H452" s="99" t="s">
        <v>1695</v>
      </c>
      <c r="I452" s="183" t="s">
        <v>1655</v>
      </c>
      <c r="J452" s="99">
        <v>5</v>
      </c>
      <c r="K452" s="183" t="str">
        <f>VLOOKUP(Ruimtestaat[[#This Row],[Ruimte code]],Ruimtegroepen[[#All],[Code]:[Ruimte omschrijving]],2,FALSE)</f>
        <v>Sanitair</v>
      </c>
      <c r="L452" s="99" t="s">
        <v>101</v>
      </c>
      <c r="M452" s="99" t="s">
        <v>1682</v>
      </c>
      <c r="N452" s="177">
        <v>12.2</v>
      </c>
      <c r="O452" s="177"/>
      <c r="P452" s="178" t="str">
        <f>VLOOKUP(Ruimtestaat[[#This Row],[Ruimte code]],Ruimtegroepen[],4,FALSE)</f>
        <v>Sa</v>
      </c>
      <c r="Q452" s="149">
        <v>40</v>
      </c>
      <c r="R452" s="149" t="s">
        <v>2</v>
      </c>
      <c r="S452" s="149">
        <f>IF(Q452&gt;0,IF(RIGHT(Ruimtestaat[[#This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2" s="149">
        <f>IF(S452&gt;0,VLOOKUP($J452,Ruimtegroepen[],3,FALSE)*VLOOKUP($L452,Vloersoorten[],3,FALSE)*VLOOKUP($R452,Frequenties[],3,FALSE)*VLOOKUP($A452,Locaties[],3,FALSE),0)</f>
        <v>0</v>
      </c>
      <c r="U452" s="149">
        <f>Ruimtestaat[[#This Row],[Uitvoeringen werkdagen]]*Ruimtestaat[[#This Row],[Oppervlak (netto)]]</f>
        <v>2440</v>
      </c>
      <c r="V452" s="179">
        <f>IF(T452&gt;0,Ruimtestaat[[#This Row],[Prest. (m2 /jaar) werkdagen]]/Ruimtestaat[[#This Row],[Norm (m2/uur) werkdagen]],0)</f>
        <v>0</v>
      </c>
      <c r="W452" s="180">
        <f>Ruimtestaat[[#This Row],[uren / jaar werkdagen]]*Tariefsopbouw!$E$35</f>
        <v>0</v>
      </c>
      <c r="X452" s="149"/>
      <c r="Y452" s="149">
        <f>IF(Ruimtestaat[[#This Row],[Frequentie weekend]]&gt;0,VALUE(LEFT(X452,1))*Q452,0)</f>
        <v>0</v>
      </c>
      <c r="Z452" s="148">
        <f>IF($Y452&gt;0,VLOOKUP($J452,Ruimtegroepen[],3,FALSE)*VLOOKUP($L452,Vloersoorten[],3,FALSE)*VLOOKUP($X452,Frequenties[],3,FALSE)*VLOOKUP(Ruimtestaat[[#This Row],[Code]],Locaties[],3,FALSE),0)</f>
        <v>0</v>
      </c>
      <c r="AA452" s="148">
        <f>Ruimtestaat[[#This Row],[Uitvoeringen weekend]]*Ruimtestaat[[#This Row],[Oppervlak (netto)]]</f>
        <v>0</v>
      </c>
      <c r="AB452" s="148">
        <f>IF(Z452&gt;0,Ruimtestaat[[#This Row],[Prest. (m2 /jaar) weekend]]/Ruimtestaat[[#This Row],[Norm (m2/uur) weekend]],0)</f>
        <v>0</v>
      </c>
      <c r="AC452" s="180">
        <f>Ruimtestaat[[#This Row],[uren / jaar weekend]]*Tariefsopbouw!$D$40</f>
        <v>0</v>
      </c>
      <c r="AD452" s="179">
        <f>Ruimtestaat[[#This Row],[Prest. (m2 /jaar) weekend]]+Ruimtestaat[[#This Row],[Prest. (m2 /jaar) werkdagen]]</f>
        <v>2440</v>
      </c>
      <c r="AE452" s="179">
        <f>Ruimtestaat[[#This Row],[uren / jaar weekend]]+Ruimtestaat[[#This Row],[uren / jaar werkdagen]]</f>
        <v>0</v>
      </c>
      <c r="AF452" s="174">
        <f>Ruimtestaat[[#This Row],[kosten / jaar weekend]]+Ruimtestaat[[#This Row],[kosten / jaar werkdagen]]</f>
        <v>0</v>
      </c>
      <c r="AG452" s="174"/>
      <c r="AH452" s="181" t="str">
        <f>IF(Ruimtestaat[[#This Row],[Frequentie werkdagen]]="","",_xlfn.CONCAT(Ruimtestaat[[#This Row],[Ruimte code]],"-",Ruimtestaat[[#This Row],[Frequentie werkdagen]]," ",Ruimtestaat[[#This Row],[Vloer code]]))</f>
        <v>5-5w S</v>
      </c>
      <c r="AI452" s="185" t="str">
        <f>_xlfn.IFNA(VLOOKUP($AH452,Programma!$F$3:$G$1101,2,0),"")</f>
        <v>_</v>
      </c>
      <c r="AJ452" s="185" t="str">
        <f>_xlfn.IFNA(VLOOKUP($AH452,Programma!$F$3:$H$1101,3,0),"")</f>
        <v>_</v>
      </c>
      <c r="AK452" s="185" t="str">
        <f>_xlfn.IFNA(VLOOKUP($AH452,Programma!$F$3:$I$1101,4,0),"")</f>
        <v>_</v>
      </c>
      <c r="AL452" s="185" t="str">
        <f>_xlfn.IFNA(VLOOKUP($AH452,Programma!$F$3:$J$1101,5,0),"")</f>
        <v>4w</v>
      </c>
      <c r="AM452" s="185" t="str">
        <f>_xlfn.IFNA(VLOOKUP($AH452,Programma!$F$3:$K$1101,6,0),"")</f>
        <v>1w</v>
      </c>
      <c r="AN452" s="185" t="str">
        <f>_xlfn.IFNA(VLOOKUP($AH452,Programma!$F$3:$L$1101,7,0),"")</f>
        <v>_</v>
      </c>
      <c r="AO452" s="185" t="str">
        <f>_xlfn.IFNA(VLOOKUP($AH452,Programma!$F$3:$M$1101,8,0),"")</f>
        <v>_</v>
      </c>
      <c r="AP452" s="185" t="str">
        <f>_xlfn.IFNA(VLOOKUP($AH452,Programma!$F$3:$N$1101,9,0),"")</f>
        <v>_</v>
      </c>
      <c r="AQ452" s="185" t="str">
        <f>_xlfn.IFNA(VLOOKUP($AH452,Programma!$F$3:$O$1101,10,0),"")</f>
        <v>_</v>
      </c>
      <c r="AR452" s="185" t="str">
        <f>_xlfn.IFNA(VLOOKUP($AH452,Programma!$F$3:$P$1101,11,0),"")</f>
        <v>_</v>
      </c>
      <c r="AS452" s="185" t="str">
        <f>_xlfn.IFNA(VLOOKUP($AH452,Programma!$F$3:$Q$1101,12,0),"")</f>
        <v>_</v>
      </c>
      <c r="AT452" s="185" t="str">
        <f>_xlfn.IFNA(VLOOKUP($AH452,Programma!$F$3:$R$1101,13,0),"")</f>
        <v>_</v>
      </c>
      <c r="AU452" s="185" t="str">
        <f>_xlfn.IFNA(VLOOKUP($AH452,Programma!$F$3:$S$1101,14,0),"")</f>
        <v>_</v>
      </c>
      <c r="AV452" s="185" t="str">
        <f>_xlfn.IFNA(VLOOKUP($AH452,Programma!$F$3:$T$1101,15,0),"")</f>
        <v>_</v>
      </c>
      <c r="AW452" s="185" t="str">
        <f>_xlfn.IFNA(VLOOKUP($AH452,Programma!$F$3:$U$1101,16,0),"")</f>
        <v>_</v>
      </c>
      <c r="AX452" s="185" t="str">
        <f>_xlfn.IFNA(VLOOKUP($AH452,Programma!$F$3:$V$1101,17,0),"")</f>
        <v>_</v>
      </c>
      <c r="AY452" s="185" t="str">
        <f>_xlfn.IFNA(VLOOKUP($AH452,Programma!$F$3:$W$1101,18,0),"")</f>
        <v>4w</v>
      </c>
      <c r="AZ452" s="185" t="str">
        <f>_xlfn.IFNA(VLOOKUP($AH452,Programma!$F$3:$X$1101,19,0),"")</f>
        <v>1w</v>
      </c>
      <c r="BA452" s="185" t="str">
        <f>_xlfn.IFNA(VLOOKUP($AH452,Programma!$F$3:$Y$1101,20,0),"")</f>
        <v>_</v>
      </c>
      <c r="BB452" s="182"/>
      <c r="BC452" s="181" t="str">
        <f>IF(Ruimtestaat[[#This Row],[Frequentie weekend]]="","",_xlfn.CONCAT(Ruimtestaat[[#This Row],[Ruimte code]],"-",Ruimtestaat[[#This Row],[Frequentie weekend]]," ",Ruimtestaat[[#This Row],[Vloer code]]))</f>
        <v/>
      </c>
      <c r="BD452" s="185" t="str">
        <f>_xlfn.IFNA(VLOOKUP($BC452,Programma!$F$3:$G$1101,2,0),"")</f>
        <v/>
      </c>
      <c r="BE452" s="185" t="str">
        <f>_xlfn.IFNA(VLOOKUP($BC452,Programma!$F$3:$H$1101,3,0),"")</f>
        <v/>
      </c>
      <c r="BF452" s="185" t="str">
        <f>_xlfn.IFNA(VLOOKUP($BC452,Programma!$F$3:$I$1101,4,0),"")</f>
        <v/>
      </c>
      <c r="BG452" s="185" t="str">
        <f>_xlfn.IFNA(VLOOKUP($BC452,Programma!$F$3:$J$1101,5,0),"")</f>
        <v/>
      </c>
      <c r="BH452" s="185" t="str">
        <f>_xlfn.IFNA(VLOOKUP($BC452,Programma!$F$3:$K$1101,6,0),"")</f>
        <v/>
      </c>
      <c r="BI452" s="185" t="str">
        <f>_xlfn.IFNA(VLOOKUP($BC452,Programma!$F$3:$L$1101,7,0),"")</f>
        <v/>
      </c>
      <c r="BJ452" s="185" t="str">
        <f>_xlfn.IFNA(VLOOKUP($BC452,Programma!$F$3:$M$1101,8,0),"")</f>
        <v/>
      </c>
      <c r="BK452" s="185" t="str">
        <f>_xlfn.IFNA(VLOOKUP($BC452,Programma!$F$3:$N$1101,9,0),"")</f>
        <v/>
      </c>
      <c r="BL452" s="185" t="str">
        <f>_xlfn.IFNA(VLOOKUP($BC452,Programma!$F$3:$O$1101,10,0),"")</f>
        <v/>
      </c>
      <c r="BM452" s="185" t="str">
        <f>_xlfn.IFNA(VLOOKUP($BC452,Programma!$F$3:$P$1101,11,0),"")</f>
        <v/>
      </c>
      <c r="BN452" s="185" t="str">
        <f>_xlfn.IFNA(VLOOKUP($BC452,Programma!$F$3:$Q$1101,12,0),"")</f>
        <v/>
      </c>
      <c r="BO452" s="185" t="str">
        <f>_xlfn.IFNA(VLOOKUP($BC452,Programma!$F$3:$R$1101,13,0),"")</f>
        <v/>
      </c>
      <c r="BP452" s="185" t="str">
        <f>_xlfn.IFNA(VLOOKUP($BC452,Programma!$F$3:$S$1101,14,0),"")</f>
        <v/>
      </c>
      <c r="BQ452" s="185" t="str">
        <f>_xlfn.IFNA(VLOOKUP($BC452,Programma!$F$3:$T$1101,15,0),"")</f>
        <v/>
      </c>
      <c r="BR452" s="185" t="str">
        <f>_xlfn.IFNA(VLOOKUP($BC452,Programma!$F$3:$U$1101,16,0),"")</f>
        <v/>
      </c>
      <c r="BS452" s="185" t="str">
        <f>_xlfn.IFNA(VLOOKUP($BC452,Programma!$F$3:$V$1101,17,0),"")</f>
        <v/>
      </c>
      <c r="BT452" s="185" t="str">
        <f>_xlfn.IFNA(VLOOKUP($BC452,Programma!$F$3:$W$1101,18,0),"")</f>
        <v/>
      </c>
      <c r="BU452" s="185" t="str">
        <f>_xlfn.IFNA(VLOOKUP($BC452,Programma!$F$3:$X$1101,19,0),"")</f>
        <v/>
      </c>
      <c r="BV452" s="185" t="str">
        <f>_xlfn.IFNA(VLOOKUP($BC452,Programma!$F$3:$Y$1101,20,0),"")</f>
        <v/>
      </c>
    </row>
    <row r="453" spans="1:74" s="78" customFormat="1" ht="15" customHeight="1">
      <c r="A453" s="99">
        <v>13</v>
      </c>
      <c r="B453" s="176" t="str">
        <f>VLOOKUP(Ruimtestaat[[#This Row],[Code]],Locaties[[Code]:[Locatie]],2,FALSE)</f>
        <v>OMBS Het Zeggelt (Meeuwen)</v>
      </c>
      <c r="C453" s="176" t="str">
        <f>VLOOKUP(Ruimtestaat[[#This Row],[Code]],Locaties[[#All],[Code]:[Adres]],4,FALSE)</f>
        <v>Meeuwenstraat 4</v>
      </c>
      <c r="D453" s="176" t="str">
        <f>VLOOKUP(Ruimtestaat[[#This Row],[Code]],Locaties[[#All],[Code]:[Postcode]],5,FALSE)</f>
        <v>7523 XV</v>
      </c>
      <c r="E453" s="176" t="str">
        <f>VLOOKUP(Ruimtestaat[[#This Row],[Code]],Locaties[#All],6,FALSE)</f>
        <v>Enschede</v>
      </c>
      <c r="F453" s="183"/>
      <c r="G453" s="99" t="s">
        <v>1646</v>
      </c>
      <c r="H453" s="99" t="s">
        <v>1696</v>
      </c>
      <c r="I453" s="183" t="s">
        <v>1655</v>
      </c>
      <c r="J453" s="99">
        <v>5</v>
      </c>
      <c r="K453" s="183" t="str">
        <f>VLOOKUP(Ruimtestaat[[#This Row],[Ruimte code]],Ruimtegroepen[[#All],[Code]:[Ruimte omschrijving]],2,FALSE)</f>
        <v>Sanitair</v>
      </c>
      <c r="L453" s="99" t="s">
        <v>101</v>
      </c>
      <c r="M453" s="99" t="s">
        <v>1682</v>
      </c>
      <c r="N453" s="177">
        <v>12.4</v>
      </c>
      <c r="O453" s="177"/>
      <c r="P453" s="178" t="str">
        <f>VLOOKUP(Ruimtestaat[[#This Row],[Ruimte code]],Ruimtegroepen[],4,FALSE)</f>
        <v>Sa</v>
      </c>
      <c r="Q453" s="149">
        <v>40</v>
      </c>
      <c r="R453" s="149" t="s">
        <v>2</v>
      </c>
      <c r="S453" s="149">
        <f>IF(Q453&gt;0,IF(RIGHT(Ruimtestaat[[#This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3" s="149">
        <f>IF(S453&gt;0,VLOOKUP($J453,Ruimtegroepen[],3,FALSE)*VLOOKUP($L453,Vloersoorten[],3,FALSE)*VLOOKUP($R453,Frequenties[],3,FALSE)*VLOOKUP($A453,Locaties[],3,FALSE),0)</f>
        <v>0</v>
      </c>
      <c r="U453" s="149">
        <f>Ruimtestaat[[#This Row],[Uitvoeringen werkdagen]]*Ruimtestaat[[#This Row],[Oppervlak (netto)]]</f>
        <v>2480</v>
      </c>
      <c r="V453" s="179">
        <f>IF(T453&gt;0,Ruimtestaat[[#This Row],[Prest. (m2 /jaar) werkdagen]]/Ruimtestaat[[#This Row],[Norm (m2/uur) werkdagen]],0)</f>
        <v>0</v>
      </c>
      <c r="W453" s="180">
        <f>Ruimtestaat[[#This Row],[uren / jaar werkdagen]]*Tariefsopbouw!$E$35</f>
        <v>0</v>
      </c>
      <c r="X453" s="149"/>
      <c r="Y453" s="149">
        <f>IF(Ruimtestaat[[#This Row],[Frequentie weekend]]&gt;0,VALUE(LEFT(X453,1))*Q453,0)</f>
        <v>0</v>
      </c>
      <c r="Z453" s="148">
        <f>IF($Y453&gt;0,VLOOKUP($J453,Ruimtegroepen[],3,FALSE)*VLOOKUP($L453,Vloersoorten[],3,FALSE)*VLOOKUP($X453,Frequenties[],3,FALSE)*VLOOKUP(Ruimtestaat[[#This Row],[Code]],Locaties[],3,FALSE),0)</f>
        <v>0</v>
      </c>
      <c r="AA453" s="148">
        <f>Ruimtestaat[[#This Row],[Uitvoeringen weekend]]*Ruimtestaat[[#This Row],[Oppervlak (netto)]]</f>
        <v>0</v>
      </c>
      <c r="AB453" s="148">
        <f>IF(Z453&gt;0,Ruimtestaat[[#This Row],[Prest. (m2 /jaar) weekend]]/Ruimtestaat[[#This Row],[Norm (m2/uur) weekend]],0)</f>
        <v>0</v>
      </c>
      <c r="AC453" s="180">
        <f>Ruimtestaat[[#This Row],[uren / jaar weekend]]*Tariefsopbouw!$D$40</f>
        <v>0</v>
      </c>
      <c r="AD453" s="179">
        <f>Ruimtestaat[[#This Row],[Prest. (m2 /jaar) weekend]]+Ruimtestaat[[#This Row],[Prest. (m2 /jaar) werkdagen]]</f>
        <v>2480</v>
      </c>
      <c r="AE453" s="179">
        <f>Ruimtestaat[[#This Row],[uren / jaar weekend]]+Ruimtestaat[[#This Row],[uren / jaar werkdagen]]</f>
        <v>0</v>
      </c>
      <c r="AF453" s="174">
        <f>Ruimtestaat[[#This Row],[kosten / jaar weekend]]+Ruimtestaat[[#This Row],[kosten / jaar werkdagen]]</f>
        <v>0</v>
      </c>
      <c r="AG453" s="174"/>
      <c r="AH453" s="181" t="str">
        <f>IF(Ruimtestaat[[#This Row],[Frequentie werkdagen]]="","",_xlfn.CONCAT(Ruimtestaat[[#This Row],[Ruimte code]],"-",Ruimtestaat[[#This Row],[Frequentie werkdagen]]," ",Ruimtestaat[[#This Row],[Vloer code]]))</f>
        <v>5-5w S</v>
      </c>
      <c r="AI453" s="185" t="str">
        <f>_xlfn.IFNA(VLOOKUP($AH453,Programma!$F$3:$G$1101,2,0),"")</f>
        <v>_</v>
      </c>
      <c r="AJ453" s="185" t="str">
        <f>_xlfn.IFNA(VLOOKUP($AH453,Programma!$F$3:$H$1101,3,0),"")</f>
        <v>_</v>
      </c>
      <c r="AK453" s="185" t="str">
        <f>_xlfn.IFNA(VLOOKUP($AH453,Programma!$F$3:$I$1101,4,0),"")</f>
        <v>_</v>
      </c>
      <c r="AL453" s="185" t="str">
        <f>_xlfn.IFNA(VLOOKUP($AH453,Programma!$F$3:$J$1101,5,0),"")</f>
        <v>4w</v>
      </c>
      <c r="AM453" s="185" t="str">
        <f>_xlfn.IFNA(VLOOKUP($AH453,Programma!$F$3:$K$1101,6,0),"")</f>
        <v>1w</v>
      </c>
      <c r="AN453" s="185" t="str">
        <f>_xlfn.IFNA(VLOOKUP($AH453,Programma!$F$3:$L$1101,7,0),"")</f>
        <v>_</v>
      </c>
      <c r="AO453" s="185" t="str">
        <f>_xlfn.IFNA(VLOOKUP($AH453,Programma!$F$3:$M$1101,8,0),"")</f>
        <v>_</v>
      </c>
      <c r="AP453" s="185" t="str">
        <f>_xlfn.IFNA(VLOOKUP($AH453,Programma!$F$3:$N$1101,9,0),"")</f>
        <v>_</v>
      </c>
      <c r="AQ453" s="185" t="str">
        <f>_xlfn.IFNA(VLOOKUP($AH453,Programma!$F$3:$O$1101,10,0),"")</f>
        <v>_</v>
      </c>
      <c r="AR453" s="185" t="str">
        <f>_xlfn.IFNA(VLOOKUP($AH453,Programma!$F$3:$P$1101,11,0),"")</f>
        <v>_</v>
      </c>
      <c r="AS453" s="185" t="str">
        <f>_xlfn.IFNA(VLOOKUP($AH453,Programma!$F$3:$Q$1101,12,0),"")</f>
        <v>_</v>
      </c>
      <c r="AT453" s="185" t="str">
        <f>_xlfn.IFNA(VLOOKUP($AH453,Programma!$F$3:$R$1101,13,0),"")</f>
        <v>_</v>
      </c>
      <c r="AU453" s="185" t="str">
        <f>_xlfn.IFNA(VLOOKUP($AH453,Programma!$F$3:$S$1101,14,0),"")</f>
        <v>_</v>
      </c>
      <c r="AV453" s="185" t="str">
        <f>_xlfn.IFNA(VLOOKUP($AH453,Programma!$F$3:$T$1101,15,0),"")</f>
        <v>_</v>
      </c>
      <c r="AW453" s="185" t="str">
        <f>_xlfn.IFNA(VLOOKUP($AH453,Programma!$F$3:$U$1101,16,0),"")</f>
        <v>_</v>
      </c>
      <c r="AX453" s="185" t="str">
        <f>_xlfn.IFNA(VLOOKUP($AH453,Programma!$F$3:$V$1101,17,0),"")</f>
        <v>_</v>
      </c>
      <c r="AY453" s="185" t="str">
        <f>_xlfn.IFNA(VLOOKUP($AH453,Programma!$F$3:$W$1101,18,0),"")</f>
        <v>4w</v>
      </c>
      <c r="AZ453" s="185" t="str">
        <f>_xlfn.IFNA(VLOOKUP($AH453,Programma!$F$3:$X$1101,19,0),"")</f>
        <v>1w</v>
      </c>
      <c r="BA453" s="185" t="str">
        <f>_xlfn.IFNA(VLOOKUP($AH453,Programma!$F$3:$Y$1101,20,0),"")</f>
        <v>_</v>
      </c>
      <c r="BB453" s="182"/>
      <c r="BC453" s="181" t="str">
        <f>IF(Ruimtestaat[[#This Row],[Frequentie weekend]]="","",_xlfn.CONCAT(Ruimtestaat[[#This Row],[Ruimte code]],"-",Ruimtestaat[[#This Row],[Frequentie weekend]]," ",Ruimtestaat[[#This Row],[Vloer code]]))</f>
        <v/>
      </c>
      <c r="BD453" s="185" t="str">
        <f>_xlfn.IFNA(VLOOKUP($BC453,Programma!$F$3:$G$1101,2,0),"")</f>
        <v/>
      </c>
      <c r="BE453" s="185" t="str">
        <f>_xlfn.IFNA(VLOOKUP($BC453,Programma!$F$3:$H$1101,3,0),"")</f>
        <v/>
      </c>
      <c r="BF453" s="185" t="str">
        <f>_xlfn.IFNA(VLOOKUP($BC453,Programma!$F$3:$I$1101,4,0),"")</f>
        <v/>
      </c>
      <c r="BG453" s="185" t="str">
        <f>_xlfn.IFNA(VLOOKUP($BC453,Programma!$F$3:$J$1101,5,0),"")</f>
        <v/>
      </c>
      <c r="BH453" s="185" t="str">
        <f>_xlfn.IFNA(VLOOKUP($BC453,Programma!$F$3:$K$1101,6,0),"")</f>
        <v/>
      </c>
      <c r="BI453" s="185" t="str">
        <f>_xlfn.IFNA(VLOOKUP($BC453,Programma!$F$3:$L$1101,7,0),"")</f>
        <v/>
      </c>
      <c r="BJ453" s="185" t="str">
        <f>_xlfn.IFNA(VLOOKUP($BC453,Programma!$F$3:$M$1101,8,0),"")</f>
        <v/>
      </c>
      <c r="BK453" s="185" t="str">
        <f>_xlfn.IFNA(VLOOKUP($BC453,Programma!$F$3:$N$1101,9,0),"")</f>
        <v/>
      </c>
      <c r="BL453" s="185" t="str">
        <f>_xlfn.IFNA(VLOOKUP($BC453,Programma!$F$3:$O$1101,10,0),"")</f>
        <v/>
      </c>
      <c r="BM453" s="185" t="str">
        <f>_xlfn.IFNA(VLOOKUP($BC453,Programma!$F$3:$P$1101,11,0),"")</f>
        <v/>
      </c>
      <c r="BN453" s="185" t="str">
        <f>_xlfn.IFNA(VLOOKUP($BC453,Programma!$F$3:$Q$1101,12,0),"")</f>
        <v/>
      </c>
      <c r="BO453" s="185" t="str">
        <f>_xlfn.IFNA(VLOOKUP($BC453,Programma!$F$3:$R$1101,13,0),"")</f>
        <v/>
      </c>
      <c r="BP453" s="185" t="str">
        <f>_xlfn.IFNA(VLOOKUP($BC453,Programma!$F$3:$S$1101,14,0),"")</f>
        <v/>
      </c>
      <c r="BQ453" s="185" t="str">
        <f>_xlfn.IFNA(VLOOKUP($BC453,Programma!$F$3:$T$1101,15,0),"")</f>
        <v/>
      </c>
      <c r="BR453" s="185" t="str">
        <f>_xlfn.IFNA(VLOOKUP($BC453,Programma!$F$3:$U$1101,16,0),"")</f>
        <v/>
      </c>
      <c r="BS453" s="185" t="str">
        <f>_xlfn.IFNA(VLOOKUP($BC453,Programma!$F$3:$V$1101,17,0),"")</f>
        <v/>
      </c>
      <c r="BT453" s="185" t="str">
        <f>_xlfn.IFNA(VLOOKUP($BC453,Programma!$F$3:$W$1101,18,0),"")</f>
        <v/>
      </c>
      <c r="BU453" s="185" t="str">
        <f>_xlfn.IFNA(VLOOKUP($BC453,Programma!$F$3:$X$1101,19,0),"")</f>
        <v/>
      </c>
      <c r="BV453" s="185" t="str">
        <f>_xlfn.IFNA(VLOOKUP($BC453,Programma!$F$3:$Y$1101,20,0),"")</f>
        <v/>
      </c>
    </row>
    <row r="454" spans="1:74" s="78" customFormat="1" ht="15" customHeight="1">
      <c r="A454" s="99">
        <v>13</v>
      </c>
      <c r="B454" s="176" t="str">
        <f>VLOOKUP(Ruimtestaat[[#This Row],[Code]],Locaties[[Code]:[Locatie]],2,FALSE)</f>
        <v>OMBS Het Zeggelt (Meeuwen)</v>
      </c>
      <c r="C454" s="176" t="str">
        <f>VLOOKUP(Ruimtestaat[[#This Row],[Code]],Locaties[[#All],[Code]:[Adres]],4,FALSE)</f>
        <v>Meeuwenstraat 4</v>
      </c>
      <c r="D454" s="176" t="str">
        <f>VLOOKUP(Ruimtestaat[[#This Row],[Code]],Locaties[[#All],[Code]:[Postcode]],5,FALSE)</f>
        <v>7523 XV</v>
      </c>
      <c r="E454" s="176" t="str">
        <f>VLOOKUP(Ruimtestaat[[#This Row],[Code]],Locaties[#All],6,FALSE)</f>
        <v>Enschede</v>
      </c>
      <c r="F454" s="183"/>
      <c r="G454" s="99" t="s">
        <v>1646</v>
      </c>
      <c r="H454" s="99" t="s">
        <v>1703</v>
      </c>
      <c r="I454" s="183" t="s">
        <v>1651</v>
      </c>
      <c r="J454" s="99">
        <v>16</v>
      </c>
      <c r="K454" s="183" t="str">
        <f>VLOOKUP(Ruimtestaat[[#This Row],[Ruimte code]],Ruimtegroepen[[#All],[Code]:[Ruimte omschrijving]],2,FALSE)</f>
        <v>Leslokalen</v>
      </c>
      <c r="L454" s="99" t="s">
        <v>100</v>
      </c>
      <c r="M454" s="99" t="s">
        <v>1697</v>
      </c>
      <c r="N454" s="177">
        <v>57.8</v>
      </c>
      <c r="O454" s="177"/>
      <c r="P454" s="178" t="str">
        <f>VLOOKUP(Ruimtestaat[[#This Row],[Ruimte code]],Ruimtegroepen[],4,FALSE)</f>
        <v>Le</v>
      </c>
      <c r="Q454" s="149">
        <v>40</v>
      </c>
      <c r="R454" s="149" t="s">
        <v>2</v>
      </c>
      <c r="S454" s="149">
        <f>IF(Q454&gt;0,IF(RIGHT(Ruimtestaat[[#This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4" s="149">
        <f>IF(S454&gt;0,VLOOKUP($J454,Ruimtegroepen[],3,FALSE)*VLOOKUP($L454,Vloersoorten[],3,FALSE)*VLOOKUP($R454,Frequenties[],3,FALSE)*VLOOKUP($A454,Locaties[],3,FALSE),0)</f>
        <v>0</v>
      </c>
      <c r="U454" s="149">
        <f>Ruimtestaat[[#This Row],[Uitvoeringen werkdagen]]*Ruimtestaat[[#This Row],[Oppervlak (netto)]]</f>
        <v>11560</v>
      </c>
      <c r="V454" s="179">
        <f>IF(T454&gt;0,Ruimtestaat[[#This Row],[Prest. (m2 /jaar) werkdagen]]/Ruimtestaat[[#This Row],[Norm (m2/uur) werkdagen]],0)</f>
        <v>0</v>
      </c>
      <c r="W454" s="180">
        <f>Ruimtestaat[[#This Row],[uren / jaar werkdagen]]*Tariefsopbouw!$E$35</f>
        <v>0</v>
      </c>
      <c r="X454" s="149"/>
      <c r="Y454" s="149">
        <f>IF(Ruimtestaat[[#This Row],[Frequentie weekend]]&gt;0,VALUE(LEFT(X454,1))*Q454,0)</f>
        <v>0</v>
      </c>
      <c r="Z454" s="148">
        <f>IF($Y454&gt;0,VLOOKUP($J454,Ruimtegroepen[],3,FALSE)*VLOOKUP($L454,Vloersoorten[],3,FALSE)*VLOOKUP($X454,Frequenties[],3,FALSE)*VLOOKUP(Ruimtestaat[[#This Row],[Code]],Locaties[],3,FALSE),0)</f>
        <v>0</v>
      </c>
      <c r="AA454" s="148">
        <f>Ruimtestaat[[#This Row],[Uitvoeringen weekend]]*Ruimtestaat[[#This Row],[Oppervlak (netto)]]</f>
        <v>0</v>
      </c>
      <c r="AB454" s="148">
        <f>IF(Z454&gt;0,Ruimtestaat[[#This Row],[Prest. (m2 /jaar) weekend]]/Ruimtestaat[[#This Row],[Norm (m2/uur) weekend]],0)</f>
        <v>0</v>
      </c>
      <c r="AC454" s="180">
        <f>Ruimtestaat[[#This Row],[uren / jaar weekend]]*Tariefsopbouw!$D$40</f>
        <v>0</v>
      </c>
      <c r="AD454" s="179">
        <f>Ruimtestaat[[#This Row],[Prest. (m2 /jaar) weekend]]+Ruimtestaat[[#This Row],[Prest. (m2 /jaar) werkdagen]]</f>
        <v>11560</v>
      </c>
      <c r="AE454" s="179">
        <f>Ruimtestaat[[#This Row],[uren / jaar weekend]]+Ruimtestaat[[#This Row],[uren / jaar werkdagen]]</f>
        <v>0</v>
      </c>
      <c r="AF454" s="174">
        <f>Ruimtestaat[[#This Row],[kosten / jaar weekend]]+Ruimtestaat[[#This Row],[kosten / jaar werkdagen]]</f>
        <v>0</v>
      </c>
      <c r="AG454" s="174"/>
      <c r="AH454" s="181" t="str">
        <f>IF(Ruimtestaat[[#This Row],[Frequentie werkdagen]]="","",_xlfn.CONCAT(Ruimtestaat[[#This Row],[Ruimte code]],"-",Ruimtestaat[[#This Row],[Frequentie werkdagen]]," ",Ruimtestaat[[#This Row],[Vloer code]]))</f>
        <v>16-5w L</v>
      </c>
      <c r="AI454" s="185" t="str">
        <f>_xlfn.IFNA(VLOOKUP($AH454,Programma!$F$3:$G$1101,2,0),"")</f>
        <v>_</v>
      </c>
      <c r="AJ454" s="185" t="str">
        <f>_xlfn.IFNA(VLOOKUP($AH454,Programma!$F$3:$H$1101,3,0),"")</f>
        <v>_</v>
      </c>
      <c r="AK454" s="185" t="str">
        <f>_xlfn.IFNA(VLOOKUP($AH454,Programma!$F$3:$I$1101,4,0),"")</f>
        <v>4w</v>
      </c>
      <c r="AL454" s="185" t="str">
        <f>_xlfn.IFNA(VLOOKUP($AH454,Programma!$F$3:$J$1101,5,0),"")</f>
        <v>1w</v>
      </c>
      <c r="AM454" s="185" t="str">
        <f>_xlfn.IFNA(VLOOKUP($AH454,Programma!$F$3:$K$1101,6,0),"")</f>
        <v>_</v>
      </c>
      <c r="AN454" s="185" t="str">
        <f>_xlfn.IFNA(VLOOKUP($AH454,Programma!$F$3:$L$1101,7,0),"")</f>
        <v>_</v>
      </c>
      <c r="AO454" s="185" t="str">
        <f>_xlfn.IFNA(VLOOKUP($AH454,Programma!$F$3:$M$1101,8,0),"")</f>
        <v>_</v>
      </c>
      <c r="AP454" s="185" t="str">
        <f>_xlfn.IFNA(VLOOKUP($AH454,Programma!$F$3:$N$1101,9,0),"")</f>
        <v>_</v>
      </c>
      <c r="AQ454" s="185" t="str">
        <f>_xlfn.IFNA(VLOOKUP($AH454,Programma!$F$3:$O$1101,10,0),"")</f>
        <v>5w</v>
      </c>
      <c r="AR454" s="185" t="str">
        <f>_xlfn.IFNA(VLOOKUP($AH454,Programma!$F$3:$P$1101,11,0),"")</f>
        <v>5w</v>
      </c>
      <c r="AS454" s="185" t="str">
        <f>_xlfn.IFNA(VLOOKUP($AH454,Programma!$F$3:$Q$1101,12,0),"")</f>
        <v>1w</v>
      </c>
      <c r="AT454" s="185" t="str">
        <f>_xlfn.IFNA(VLOOKUP($AH454,Programma!$F$3:$R$1101,13,0),"")</f>
        <v>1w</v>
      </c>
      <c r="AU454" s="185" t="str">
        <f>_xlfn.IFNA(VLOOKUP($AH454,Programma!$F$3:$S$1101,14,0),"")</f>
        <v>1m</v>
      </c>
      <c r="AV454" s="185" t="str">
        <f>_xlfn.IFNA(VLOOKUP($AH454,Programma!$F$3:$T$1101,15,0),"")</f>
        <v>2j</v>
      </c>
      <c r="AW454" s="185" t="str">
        <f>_xlfn.IFNA(VLOOKUP($AH454,Programma!$F$3:$U$1101,16,0),"")</f>
        <v>1j</v>
      </c>
      <c r="AX454" s="185" t="str">
        <f>_xlfn.IFNA(VLOOKUP($AH454,Programma!$F$3:$V$1101,17,0),"")</f>
        <v>_</v>
      </c>
      <c r="AY454" s="185" t="str">
        <f>_xlfn.IFNA(VLOOKUP($AH454,Programma!$F$3:$W$1101,18,0),"")</f>
        <v>_</v>
      </c>
      <c r="AZ454" s="185" t="str">
        <f>_xlfn.IFNA(VLOOKUP($AH454,Programma!$F$3:$X$1101,19,0),"")</f>
        <v>_</v>
      </c>
      <c r="BA454" s="185" t="str">
        <f>_xlfn.IFNA(VLOOKUP($AH454,Programma!$F$3:$Y$1101,20,0),"")</f>
        <v>_</v>
      </c>
      <c r="BB454" s="182"/>
      <c r="BC454" s="181" t="str">
        <f>IF(Ruimtestaat[[#This Row],[Frequentie weekend]]="","",_xlfn.CONCAT(Ruimtestaat[[#This Row],[Ruimte code]],"-",Ruimtestaat[[#This Row],[Frequentie weekend]]," ",Ruimtestaat[[#This Row],[Vloer code]]))</f>
        <v/>
      </c>
      <c r="BD454" s="185" t="str">
        <f>_xlfn.IFNA(VLOOKUP($BC454,Programma!$F$3:$G$1101,2,0),"")</f>
        <v/>
      </c>
      <c r="BE454" s="185" t="str">
        <f>_xlfn.IFNA(VLOOKUP($BC454,Programma!$F$3:$H$1101,3,0),"")</f>
        <v/>
      </c>
      <c r="BF454" s="185" t="str">
        <f>_xlfn.IFNA(VLOOKUP($BC454,Programma!$F$3:$I$1101,4,0),"")</f>
        <v/>
      </c>
      <c r="BG454" s="185" t="str">
        <f>_xlfn.IFNA(VLOOKUP($BC454,Programma!$F$3:$J$1101,5,0),"")</f>
        <v/>
      </c>
      <c r="BH454" s="185" t="str">
        <f>_xlfn.IFNA(VLOOKUP($BC454,Programma!$F$3:$K$1101,6,0),"")</f>
        <v/>
      </c>
      <c r="BI454" s="185" t="str">
        <f>_xlfn.IFNA(VLOOKUP($BC454,Programma!$F$3:$L$1101,7,0),"")</f>
        <v/>
      </c>
      <c r="BJ454" s="185" t="str">
        <f>_xlfn.IFNA(VLOOKUP($BC454,Programma!$F$3:$M$1101,8,0),"")</f>
        <v/>
      </c>
      <c r="BK454" s="185" t="str">
        <f>_xlfn.IFNA(VLOOKUP($BC454,Programma!$F$3:$N$1101,9,0),"")</f>
        <v/>
      </c>
      <c r="BL454" s="185" t="str">
        <f>_xlfn.IFNA(VLOOKUP($BC454,Programma!$F$3:$O$1101,10,0),"")</f>
        <v/>
      </c>
      <c r="BM454" s="185" t="str">
        <f>_xlfn.IFNA(VLOOKUP($BC454,Programma!$F$3:$P$1101,11,0),"")</f>
        <v/>
      </c>
      <c r="BN454" s="185" t="str">
        <f>_xlfn.IFNA(VLOOKUP($BC454,Programma!$F$3:$Q$1101,12,0),"")</f>
        <v/>
      </c>
      <c r="BO454" s="185" t="str">
        <f>_xlfn.IFNA(VLOOKUP($BC454,Programma!$F$3:$R$1101,13,0),"")</f>
        <v/>
      </c>
      <c r="BP454" s="185" t="str">
        <f>_xlfn.IFNA(VLOOKUP($BC454,Programma!$F$3:$S$1101,14,0),"")</f>
        <v/>
      </c>
      <c r="BQ454" s="185" t="str">
        <f>_xlfn.IFNA(VLOOKUP($BC454,Programma!$F$3:$T$1101,15,0),"")</f>
        <v/>
      </c>
      <c r="BR454" s="185" t="str">
        <f>_xlfn.IFNA(VLOOKUP($BC454,Programma!$F$3:$U$1101,16,0),"")</f>
        <v/>
      </c>
      <c r="BS454" s="185" t="str">
        <f>_xlfn.IFNA(VLOOKUP($BC454,Programma!$F$3:$V$1101,17,0),"")</f>
        <v/>
      </c>
      <c r="BT454" s="185" t="str">
        <f>_xlfn.IFNA(VLOOKUP($BC454,Programma!$F$3:$W$1101,18,0),"")</f>
        <v/>
      </c>
      <c r="BU454" s="185" t="str">
        <f>_xlfn.IFNA(VLOOKUP($BC454,Programma!$F$3:$X$1101,19,0),"")</f>
        <v/>
      </c>
      <c r="BV454" s="185" t="str">
        <f>_xlfn.IFNA(VLOOKUP($BC454,Programma!$F$3:$Y$1101,20,0),"")</f>
        <v/>
      </c>
    </row>
    <row r="455" spans="1:74" s="78" customFormat="1" ht="15" customHeight="1">
      <c r="A455" s="99">
        <v>13</v>
      </c>
      <c r="B455" s="176" t="str">
        <f>VLOOKUP(Ruimtestaat[[#This Row],[Code]],Locaties[[Code]:[Locatie]],2,FALSE)</f>
        <v>OMBS Het Zeggelt (Meeuwen)</v>
      </c>
      <c r="C455" s="176" t="str">
        <f>VLOOKUP(Ruimtestaat[[#This Row],[Code]],Locaties[[#All],[Code]:[Adres]],4,FALSE)</f>
        <v>Meeuwenstraat 4</v>
      </c>
      <c r="D455" s="176" t="str">
        <f>VLOOKUP(Ruimtestaat[[#This Row],[Code]],Locaties[[#All],[Code]:[Postcode]],5,FALSE)</f>
        <v>7523 XV</v>
      </c>
      <c r="E455" s="176" t="str">
        <f>VLOOKUP(Ruimtestaat[[#This Row],[Code]],Locaties[#All],6,FALSE)</f>
        <v>Enschede</v>
      </c>
      <c r="F455" s="183"/>
      <c r="G455" s="99" t="s">
        <v>1646</v>
      </c>
      <c r="H455" s="99" t="s">
        <v>1704</v>
      </c>
      <c r="I455" s="183" t="s">
        <v>1658</v>
      </c>
      <c r="J455" s="99">
        <v>6</v>
      </c>
      <c r="K455" s="183" t="str">
        <f>VLOOKUP(Ruimtestaat[[#This Row],[Ruimte code]],Ruimtegroepen[[#All],[Code]:[Ruimte omschrijving]],2,FALSE)</f>
        <v>Gangen/hallen</v>
      </c>
      <c r="L455" s="99" t="s">
        <v>101</v>
      </c>
      <c r="M455" s="99" t="s">
        <v>119</v>
      </c>
      <c r="N455" s="177">
        <v>46.6</v>
      </c>
      <c r="O455" s="177"/>
      <c r="P455" s="178" t="str">
        <f>VLOOKUP(Ruimtestaat[[#This Row],[Ruimte code]],Ruimtegroepen[],4,FALSE)</f>
        <v>Ve</v>
      </c>
      <c r="Q455" s="149">
        <v>40</v>
      </c>
      <c r="R455" s="149" t="s">
        <v>2</v>
      </c>
      <c r="S455" s="149">
        <f>IF(Q455&gt;0,IF(RIGHT(Ruimtestaat[[#This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5" s="149">
        <f>IF(S455&gt;0,VLOOKUP($J455,Ruimtegroepen[],3,FALSE)*VLOOKUP($L455,Vloersoorten[],3,FALSE)*VLOOKUP($R455,Frequenties[],3,FALSE)*VLOOKUP($A455,Locaties[],3,FALSE),0)</f>
        <v>0</v>
      </c>
      <c r="U455" s="149">
        <f>Ruimtestaat[[#This Row],[Uitvoeringen werkdagen]]*Ruimtestaat[[#This Row],[Oppervlak (netto)]]</f>
        <v>9320</v>
      </c>
      <c r="V455" s="179">
        <f>IF(T455&gt;0,Ruimtestaat[[#This Row],[Prest. (m2 /jaar) werkdagen]]/Ruimtestaat[[#This Row],[Norm (m2/uur) werkdagen]],0)</f>
        <v>0</v>
      </c>
      <c r="W455" s="180">
        <f>Ruimtestaat[[#This Row],[uren / jaar werkdagen]]*Tariefsopbouw!$E$35</f>
        <v>0</v>
      </c>
      <c r="X455" s="149"/>
      <c r="Y455" s="149">
        <f>IF(Ruimtestaat[[#This Row],[Frequentie weekend]]&gt;0,VALUE(LEFT(X455,1))*Q455,0)</f>
        <v>0</v>
      </c>
      <c r="Z455" s="148">
        <f>IF($Y455&gt;0,VLOOKUP($J455,Ruimtegroepen[],3,FALSE)*VLOOKUP($L455,Vloersoorten[],3,FALSE)*VLOOKUP($X455,Frequenties[],3,FALSE)*VLOOKUP(Ruimtestaat[[#This Row],[Code]],Locaties[],3,FALSE),0)</f>
        <v>0</v>
      </c>
      <c r="AA455" s="148">
        <f>Ruimtestaat[[#This Row],[Uitvoeringen weekend]]*Ruimtestaat[[#This Row],[Oppervlak (netto)]]</f>
        <v>0</v>
      </c>
      <c r="AB455" s="148">
        <f>IF(Z455&gt;0,Ruimtestaat[[#This Row],[Prest. (m2 /jaar) weekend]]/Ruimtestaat[[#This Row],[Norm (m2/uur) weekend]],0)</f>
        <v>0</v>
      </c>
      <c r="AC455" s="180">
        <f>Ruimtestaat[[#This Row],[uren / jaar weekend]]*Tariefsopbouw!$D$40</f>
        <v>0</v>
      </c>
      <c r="AD455" s="179">
        <f>Ruimtestaat[[#This Row],[Prest. (m2 /jaar) weekend]]+Ruimtestaat[[#This Row],[Prest. (m2 /jaar) werkdagen]]</f>
        <v>9320</v>
      </c>
      <c r="AE455" s="179">
        <f>Ruimtestaat[[#This Row],[uren / jaar weekend]]+Ruimtestaat[[#This Row],[uren / jaar werkdagen]]</f>
        <v>0</v>
      </c>
      <c r="AF455" s="174">
        <f>Ruimtestaat[[#This Row],[kosten / jaar weekend]]+Ruimtestaat[[#This Row],[kosten / jaar werkdagen]]</f>
        <v>0</v>
      </c>
      <c r="AG455" s="174"/>
      <c r="AH455" s="181" t="str">
        <f>IF(Ruimtestaat[[#This Row],[Frequentie werkdagen]]="","",_xlfn.CONCAT(Ruimtestaat[[#This Row],[Ruimte code]],"-",Ruimtestaat[[#This Row],[Frequentie werkdagen]]," ",Ruimtestaat[[#This Row],[Vloer code]]))</f>
        <v>6-5w S</v>
      </c>
      <c r="AI455" s="185" t="str">
        <f>_xlfn.IFNA(VLOOKUP($AH455,Programma!$F$3:$G$1101,2,0),"")</f>
        <v>_</v>
      </c>
      <c r="AJ455" s="185" t="str">
        <f>_xlfn.IFNA(VLOOKUP($AH455,Programma!$F$3:$H$1101,3,0),"")</f>
        <v>_</v>
      </c>
      <c r="AK455" s="185" t="str">
        <f>_xlfn.IFNA(VLOOKUP($AH455,Programma!$F$3:$I$1101,4,0),"")</f>
        <v>5w</v>
      </c>
      <c r="AL455" s="185" t="str">
        <f>_xlfn.IFNA(VLOOKUP($AH455,Programma!$F$3:$J$1101,5,0),"")</f>
        <v>_</v>
      </c>
      <c r="AM455" s="185" t="str">
        <f>_xlfn.IFNA(VLOOKUP($AH455,Programma!$F$3:$K$1101,6,0),"")</f>
        <v>5w</v>
      </c>
      <c r="AN455" s="185" t="str">
        <f>_xlfn.IFNA(VLOOKUP($AH455,Programma!$F$3:$L$1101,7,0),"")</f>
        <v>_</v>
      </c>
      <c r="AO455" s="185" t="str">
        <f>_xlfn.IFNA(VLOOKUP($AH455,Programma!$F$3:$M$1101,8,0),"")</f>
        <v>_</v>
      </c>
      <c r="AP455" s="185" t="str">
        <f>_xlfn.IFNA(VLOOKUP($AH455,Programma!$F$3:$N$1101,9,0),"")</f>
        <v>_</v>
      </c>
      <c r="AQ455" s="185" t="str">
        <f>_xlfn.IFNA(VLOOKUP($AH455,Programma!$F$3:$O$1101,10,0),"")</f>
        <v>5w</v>
      </c>
      <c r="AR455" s="185" t="str">
        <f>_xlfn.IFNA(VLOOKUP($AH455,Programma!$F$3:$P$1101,11,0),"")</f>
        <v>5w</v>
      </c>
      <c r="AS455" s="185" t="str">
        <f>_xlfn.IFNA(VLOOKUP($AH455,Programma!$F$3:$Q$1101,12,0),"")</f>
        <v>1w</v>
      </c>
      <c r="AT455" s="185" t="str">
        <f>_xlfn.IFNA(VLOOKUP($AH455,Programma!$F$3:$R$1101,13,0),"")</f>
        <v>1w</v>
      </c>
      <c r="AU455" s="185" t="str">
        <f>_xlfn.IFNA(VLOOKUP($AH455,Programma!$F$3:$S$1101,14,0),"")</f>
        <v>1m</v>
      </c>
      <c r="AV455" s="185" t="str">
        <f>_xlfn.IFNA(VLOOKUP($AH455,Programma!$F$3:$T$1101,15,0),"")</f>
        <v>2j</v>
      </c>
      <c r="AW455" s="185" t="str">
        <f>_xlfn.IFNA(VLOOKUP($AH455,Programma!$F$3:$U$1101,16,0),"")</f>
        <v>1j</v>
      </c>
      <c r="AX455" s="185" t="str">
        <f>_xlfn.IFNA(VLOOKUP($AH455,Programma!$F$3:$V$1101,17,0),"")</f>
        <v>_</v>
      </c>
      <c r="AY455" s="185" t="str">
        <f>_xlfn.IFNA(VLOOKUP($AH455,Programma!$F$3:$W$1101,18,0),"")</f>
        <v>_</v>
      </c>
      <c r="AZ455" s="185" t="str">
        <f>_xlfn.IFNA(VLOOKUP($AH455,Programma!$F$3:$X$1101,19,0),"")</f>
        <v>_</v>
      </c>
      <c r="BA455" s="185" t="str">
        <f>_xlfn.IFNA(VLOOKUP($AH455,Programma!$F$3:$Y$1101,20,0),"")</f>
        <v>_</v>
      </c>
      <c r="BB455" s="182"/>
      <c r="BC455" s="181" t="str">
        <f>IF(Ruimtestaat[[#This Row],[Frequentie weekend]]="","",_xlfn.CONCAT(Ruimtestaat[[#This Row],[Ruimte code]],"-",Ruimtestaat[[#This Row],[Frequentie weekend]]," ",Ruimtestaat[[#This Row],[Vloer code]]))</f>
        <v/>
      </c>
      <c r="BD455" s="185" t="str">
        <f>_xlfn.IFNA(VLOOKUP($BC455,Programma!$F$3:$G$1101,2,0),"")</f>
        <v/>
      </c>
      <c r="BE455" s="185" t="str">
        <f>_xlfn.IFNA(VLOOKUP($BC455,Programma!$F$3:$H$1101,3,0),"")</f>
        <v/>
      </c>
      <c r="BF455" s="185" t="str">
        <f>_xlfn.IFNA(VLOOKUP($BC455,Programma!$F$3:$I$1101,4,0),"")</f>
        <v/>
      </c>
      <c r="BG455" s="185" t="str">
        <f>_xlfn.IFNA(VLOOKUP($BC455,Programma!$F$3:$J$1101,5,0),"")</f>
        <v/>
      </c>
      <c r="BH455" s="185" t="str">
        <f>_xlfn.IFNA(VLOOKUP($BC455,Programma!$F$3:$K$1101,6,0),"")</f>
        <v/>
      </c>
      <c r="BI455" s="185" t="str">
        <f>_xlfn.IFNA(VLOOKUP($BC455,Programma!$F$3:$L$1101,7,0),"")</f>
        <v/>
      </c>
      <c r="BJ455" s="185" t="str">
        <f>_xlfn.IFNA(VLOOKUP($BC455,Programma!$F$3:$M$1101,8,0),"")</f>
        <v/>
      </c>
      <c r="BK455" s="185" t="str">
        <f>_xlfn.IFNA(VLOOKUP($BC455,Programma!$F$3:$N$1101,9,0),"")</f>
        <v/>
      </c>
      <c r="BL455" s="185" t="str">
        <f>_xlfn.IFNA(VLOOKUP($BC455,Programma!$F$3:$O$1101,10,0),"")</f>
        <v/>
      </c>
      <c r="BM455" s="185" t="str">
        <f>_xlfn.IFNA(VLOOKUP($BC455,Programma!$F$3:$P$1101,11,0),"")</f>
        <v/>
      </c>
      <c r="BN455" s="185" t="str">
        <f>_xlfn.IFNA(VLOOKUP($BC455,Programma!$F$3:$Q$1101,12,0),"")</f>
        <v/>
      </c>
      <c r="BO455" s="185" t="str">
        <f>_xlfn.IFNA(VLOOKUP($BC455,Programma!$F$3:$R$1101,13,0),"")</f>
        <v/>
      </c>
      <c r="BP455" s="185" t="str">
        <f>_xlfn.IFNA(VLOOKUP($BC455,Programma!$F$3:$S$1101,14,0),"")</f>
        <v/>
      </c>
      <c r="BQ455" s="185" t="str">
        <f>_xlfn.IFNA(VLOOKUP($BC455,Programma!$F$3:$T$1101,15,0),"")</f>
        <v/>
      </c>
      <c r="BR455" s="185" t="str">
        <f>_xlfn.IFNA(VLOOKUP($BC455,Programma!$F$3:$U$1101,16,0),"")</f>
        <v/>
      </c>
      <c r="BS455" s="185" t="str">
        <f>_xlfn.IFNA(VLOOKUP($BC455,Programma!$F$3:$V$1101,17,0),"")</f>
        <v/>
      </c>
      <c r="BT455" s="185" t="str">
        <f>_xlfn.IFNA(VLOOKUP($BC455,Programma!$F$3:$W$1101,18,0),"")</f>
        <v/>
      </c>
      <c r="BU455" s="185" t="str">
        <f>_xlfn.IFNA(VLOOKUP($BC455,Programma!$F$3:$X$1101,19,0),"")</f>
        <v/>
      </c>
      <c r="BV455" s="185" t="str">
        <f>_xlfn.IFNA(VLOOKUP($BC455,Programma!$F$3:$Y$1101,20,0),"")</f>
        <v/>
      </c>
    </row>
    <row r="456" spans="1:74" s="78" customFormat="1" ht="15" customHeight="1">
      <c r="A456" s="99">
        <v>13</v>
      </c>
      <c r="B456" s="176" t="str">
        <f>VLOOKUP(Ruimtestaat[[#This Row],[Code]],Locaties[[Code]:[Locatie]],2,FALSE)</f>
        <v>OMBS Het Zeggelt (Meeuwen)</v>
      </c>
      <c r="C456" s="176" t="str">
        <f>VLOOKUP(Ruimtestaat[[#This Row],[Code]],Locaties[[#All],[Code]:[Adres]],4,FALSE)</f>
        <v>Meeuwenstraat 4</v>
      </c>
      <c r="D456" s="176" t="str">
        <f>VLOOKUP(Ruimtestaat[[#This Row],[Code]],Locaties[[#All],[Code]:[Postcode]],5,FALSE)</f>
        <v>7523 XV</v>
      </c>
      <c r="E456" s="176" t="str">
        <f>VLOOKUP(Ruimtestaat[[#This Row],[Code]],Locaties[#All],6,FALSE)</f>
        <v>Enschede</v>
      </c>
      <c r="F456" s="183"/>
      <c r="G456" s="99" t="s">
        <v>1646</v>
      </c>
      <c r="H456" s="99" t="s">
        <v>1705</v>
      </c>
      <c r="I456" s="183" t="s">
        <v>1681</v>
      </c>
      <c r="J456" s="99">
        <v>6</v>
      </c>
      <c r="K456" s="183" t="str">
        <f>VLOOKUP(Ruimtestaat[[#This Row],[Ruimte code]],Ruimtegroepen[[#All],[Code]:[Ruimte omschrijving]],2,FALSE)</f>
        <v>Gangen/hallen</v>
      </c>
      <c r="L456" s="99" t="s">
        <v>102</v>
      </c>
      <c r="M456" s="99" t="s">
        <v>120</v>
      </c>
      <c r="N456" s="177">
        <v>115.4</v>
      </c>
      <c r="O456" s="177"/>
      <c r="P456" s="178" t="str">
        <f>VLOOKUP(Ruimtestaat[[#This Row],[Ruimte code]],Ruimtegroepen[],4,FALSE)</f>
        <v>Ve</v>
      </c>
      <c r="Q456" s="149">
        <v>40</v>
      </c>
      <c r="R456" s="149" t="s">
        <v>2</v>
      </c>
      <c r="S456" s="149">
        <f>IF(Q456&gt;0,IF(RIGHT(Ruimtestaat[[#This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6" s="149">
        <f>IF(S456&gt;0,VLOOKUP($J456,Ruimtegroepen[],3,FALSE)*VLOOKUP($L456,Vloersoorten[],3,FALSE)*VLOOKUP($R456,Frequenties[],3,FALSE)*VLOOKUP($A456,Locaties[],3,FALSE),0)</f>
        <v>0</v>
      </c>
      <c r="U456" s="149">
        <f>Ruimtestaat[[#This Row],[Uitvoeringen werkdagen]]*Ruimtestaat[[#This Row],[Oppervlak (netto)]]</f>
        <v>23080</v>
      </c>
      <c r="V456" s="179">
        <f>IF(T456&gt;0,Ruimtestaat[[#This Row],[Prest. (m2 /jaar) werkdagen]]/Ruimtestaat[[#This Row],[Norm (m2/uur) werkdagen]],0)</f>
        <v>0</v>
      </c>
      <c r="W456" s="180">
        <f>Ruimtestaat[[#This Row],[uren / jaar werkdagen]]*Tariefsopbouw!$E$35</f>
        <v>0</v>
      </c>
      <c r="X456" s="149"/>
      <c r="Y456" s="149">
        <f>IF(Ruimtestaat[[#This Row],[Frequentie weekend]]&gt;0,VALUE(LEFT(X456,1))*Q456,0)</f>
        <v>0</v>
      </c>
      <c r="Z456" s="148">
        <f>IF($Y456&gt;0,VLOOKUP($J456,Ruimtegroepen[],3,FALSE)*VLOOKUP($L456,Vloersoorten[],3,FALSE)*VLOOKUP($X456,Frequenties[],3,FALSE)*VLOOKUP(Ruimtestaat[[#This Row],[Code]],Locaties[],3,FALSE),0)</f>
        <v>0</v>
      </c>
      <c r="AA456" s="148">
        <f>Ruimtestaat[[#This Row],[Uitvoeringen weekend]]*Ruimtestaat[[#This Row],[Oppervlak (netto)]]</f>
        <v>0</v>
      </c>
      <c r="AB456" s="148">
        <f>IF(Z456&gt;0,Ruimtestaat[[#This Row],[Prest. (m2 /jaar) weekend]]/Ruimtestaat[[#This Row],[Norm (m2/uur) weekend]],0)</f>
        <v>0</v>
      </c>
      <c r="AC456" s="180">
        <f>Ruimtestaat[[#This Row],[uren / jaar weekend]]*Tariefsopbouw!$D$40</f>
        <v>0</v>
      </c>
      <c r="AD456" s="179">
        <f>Ruimtestaat[[#This Row],[Prest. (m2 /jaar) weekend]]+Ruimtestaat[[#This Row],[Prest. (m2 /jaar) werkdagen]]</f>
        <v>23080</v>
      </c>
      <c r="AE456" s="179">
        <f>Ruimtestaat[[#This Row],[uren / jaar weekend]]+Ruimtestaat[[#This Row],[uren / jaar werkdagen]]</f>
        <v>0</v>
      </c>
      <c r="AF456" s="174">
        <f>Ruimtestaat[[#This Row],[kosten / jaar weekend]]+Ruimtestaat[[#This Row],[kosten / jaar werkdagen]]</f>
        <v>0</v>
      </c>
      <c r="AG456" s="174"/>
      <c r="AH456" s="181" t="str">
        <f>IF(Ruimtestaat[[#This Row],[Frequentie werkdagen]]="","",_xlfn.CONCAT(Ruimtestaat[[#This Row],[Ruimte code]],"-",Ruimtestaat[[#This Row],[Frequentie werkdagen]]," ",Ruimtestaat[[#This Row],[Vloer code]]))</f>
        <v>6-5w P</v>
      </c>
      <c r="AI456" s="185" t="str">
        <f>_xlfn.IFNA(VLOOKUP($AH456,Programma!$F$3:$G$1101,2,0),"")</f>
        <v>_</v>
      </c>
      <c r="AJ456" s="185" t="str">
        <f>_xlfn.IFNA(VLOOKUP($AH456,Programma!$F$3:$H$1101,3,0),"")</f>
        <v>_</v>
      </c>
      <c r="AK456" s="185" t="str">
        <f>_xlfn.IFNA(VLOOKUP($AH456,Programma!$F$3:$I$1101,4,0),"")</f>
        <v>5w</v>
      </c>
      <c r="AL456" s="185" t="str">
        <f>_xlfn.IFNA(VLOOKUP($AH456,Programma!$F$3:$J$1101,5,0),"")</f>
        <v>_</v>
      </c>
      <c r="AM456" s="185" t="str">
        <f>_xlfn.IFNA(VLOOKUP($AH456,Programma!$F$3:$K$1101,6,0),"")</f>
        <v>5w</v>
      </c>
      <c r="AN456" s="185" t="str">
        <f>_xlfn.IFNA(VLOOKUP($AH456,Programma!$F$3:$L$1101,7,0),"")</f>
        <v>_</v>
      </c>
      <c r="AO456" s="185" t="str">
        <f>_xlfn.IFNA(VLOOKUP($AH456,Programma!$F$3:$M$1101,8,0),"")</f>
        <v>_</v>
      </c>
      <c r="AP456" s="185" t="str">
        <f>_xlfn.IFNA(VLOOKUP($AH456,Programma!$F$3:$N$1101,9,0),"")</f>
        <v>_</v>
      </c>
      <c r="AQ456" s="185" t="str">
        <f>_xlfn.IFNA(VLOOKUP($AH456,Programma!$F$3:$O$1101,10,0),"")</f>
        <v>5w</v>
      </c>
      <c r="AR456" s="185" t="str">
        <f>_xlfn.IFNA(VLOOKUP($AH456,Programma!$F$3:$P$1101,11,0),"")</f>
        <v>5w</v>
      </c>
      <c r="AS456" s="185" t="str">
        <f>_xlfn.IFNA(VLOOKUP($AH456,Programma!$F$3:$Q$1101,12,0),"")</f>
        <v>1w</v>
      </c>
      <c r="AT456" s="185" t="str">
        <f>_xlfn.IFNA(VLOOKUP($AH456,Programma!$F$3:$R$1101,13,0),"")</f>
        <v>1w</v>
      </c>
      <c r="AU456" s="185" t="str">
        <f>_xlfn.IFNA(VLOOKUP($AH456,Programma!$F$3:$S$1101,14,0),"")</f>
        <v>1m</v>
      </c>
      <c r="AV456" s="185" t="str">
        <f>_xlfn.IFNA(VLOOKUP($AH456,Programma!$F$3:$T$1101,15,0),"")</f>
        <v>2j</v>
      </c>
      <c r="AW456" s="185" t="str">
        <f>_xlfn.IFNA(VLOOKUP($AH456,Programma!$F$3:$U$1101,16,0),"")</f>
        <v>1j</v>
      </c>
      <c r="AX456" s="185" t="str">
        <f>_xlfn.IFNA(VLOOKUP($AH456,Programma!$F$3:$V$1101,17,0),"")</f>
        <v>_</v>
      </c>
      <c r="AY456" s="185" t="str">
        <f>_xlfn.IFNA(VLOOKUP($AH456,Programma!$F$3:$W$1101,18,0),"")</f>
        <v>_</v>
      </c>
      <c r="AZ456" s="185" t="str">
        <f>_xlfn.IFNA(VLOOKUP($AH456,Programma!$F$3:$X$1101,19,0),"")</f>
        <v>_</v>
      </c>
      <c r="BA456" s="185" t="str">
        <f>_xlfn.IFNA(VLOOKUP($AH456,Programma!$F$3:$Y$1101,20,0),"")</f>
        <v>_</v>
      </c>
      <c r="BB456" s="182"/>
      <c r="BC456" s="181" t="str">
        <f>IF(Ruimtestaat[[#This Row],[Frequentie weekend]]="","",_xlfn.CONCAT(Ruimtestaat[[#This Row],[Ruimte code]],"-",Ruimtestaat[[#This Row],[Frequentie weekend]]," ",Ruimtestaat[[#This Row],[Vloer code]]))</f>
        <v/>
      </c>
      <c r="BD456" s="185" t="str">
        <f>_xlfn.IFNA(VLOOKUP($BC456,Programma!$F$3:$G$1101,2,0),"")</f>
        <v/>
      </c>
      <c r="BE456" s="185" t="str">
        <f>_xlfn.IFNA(VLOOKUP($BC456,Programma!$F$3:$H$1101,3,0),"")</f>
        <v/>
      </c>
      <c r="BF456" s="185" t="str">
        <f>_xlfn.IFNA(VLOOKUP($BC456,Programma!$F$3:$I$1101,4,0),"")</f>
        <v/>
      </c>
      <c r="BG456" s="185" t="str">
        <f>_xlfn.IFNA(VLOOKUP($BC456,Programma!$F$3:$J$1101,5,0),"")</f>
        <v/>
      </c>
      <c r="BH456" s="185" t="str">
        <f>_xlfn.IFNA(VLOOKUP($BC456,Programma!$F$3:$K$1101,6,0),"")</f>
        <v/>
      </c>
      <c r="BI456" s="185" t="str">
        <f>_xlfn.IFNA(VLOOKUP($BC456,Programma!$F$3:$L$1101,7,0),"")</f>
        <v/>
      </c>
      <c r="BJ456" s="185" t="str">
        <f>_xlfn.IFNA(VLOOKUP($BC456,Programma!$F$3:$M$1101,8,0),"")</f>
        <v/>
      </c>
      <c r="BK456" s="185" t="str">
        <f>_xlfn.IFNA(VLOOKUP($BC456,Programma!$F$3:$N$1101,9,0),"")</f>
        <v/>
      </c>
      <c r="BL456" s="185" t="str">
        <f>_xlfn.IFNA(VLOOKUP($BC456,Programma!$F$3:$O$1101,10,0),"")</f>
        <v/>
      </c>
      <c r="BM456" s="185" t="str">
        <f>_xlfn.IFNA(VLOOKUP($BC456,Programma!$F$3:$P$1101,11,0),"")</f>
        <v/>
      </c>
      <c r="BN456" s="185" t="str">
        <f>_xlfn.IFNA(VLOOKUP($BC456,Programma!$F$3:$Q$1101,12,0),"")</f>
        <v/>
      </c>
      <c r="BO456" s="185" t="str">
        <f>_xlfn.IFNA(VLOOKUP($BC456,Programma!$F$3:$R$1101,13,0),"")</f>
        <v/>
      </c>
      <c r="BP456" s="185" t="str">
        <f>_xlfn.IFNA(VLOOKUP($BC456,Programma!$F$3:$S$1101,14,0),"")</f>
        <v/>
      </c>
      <c r="BQ456" s="185" t="str">
        <f>_xlfn.IFNA(VLOOKUP($BC456,Programma!$F$3:$T$1101,15,0),"")</f>
        <v/>
      </c>
      <c r="BR456" s="185" t="str">
        <f>_xlfn.IFNA(VLOOKUP($BC456,Programma!$F$3:$U$1101,16,0),"")</f>
        <v/>
      </c>
      <c r="BS456" s="185" t="str">
        <f>_xlfn.IFNA(VLOOKUP($BC456,Programma!$F$3:$V$1101,17,0),"")</f>
        <v/>
      </c>
      <c r="BT456" s="185" t="str">
        <f>_xlfn.IFNA(VLOOKUP($BC456,Programma!$F$3:$W$1101,18,0),"")</f>
        <v/>
      </c>
      <c r="BU456" s="185" t="str">
        <f>_xlfn.IFNA(VLOOKUP($BC456,Programma!$F$3:$X$1101,19,0),"")</f>
        <v/>
      </c>
      <c r="BV456" s="185" t="str">
        <f>_xlfn.IFNA(VLOOKUP($BC456,Programma!$F$3:$Y$1101,20,0),"")</f>
        <v/>
      </c>
    </row>
    <row r="457" spans="1:74" s="78" customFormat="1" ht="15" customHeight="1">
      <c r="A457" s="99">
        <v>13</v>
      </c>
      <c r="B457" s="176" t="str">
        <f>VLOOKUP(Ruimtestaat[[#This Row],[Code]],Locaties[[Code]:[Locatie]],2,FALSE)</f>
        <v>OMBS Het Zeggelt (Meeuwen)</v>
      </c>
      <c r="C457" s="176" t="str">
        <f>VLOOKUP(Ruimtestaat[[#This Row],[Code]],Locaties[[#All],[Code]:[Adres]],4,FALSE)</f>
        <v>Meeuwenstraat 4</v>
      </c>
      <c r="D457" s="176" t="str">
        <f>VLOOKUP(Ruimtestaat[[#This Row],[Code]],Locaties[[#All],[Code]:[Postcode]],5,FALSE)</f>
        <v>7523 XV</v>
      </c>
      <c r="E457" s="176" t="str">
        <f>VLOOKUP(Ruimtestaat[[#This Row],[Code]],Locaties[#All],6,FALSE)</f>
        <v>Enschede</v>
      </c>
      <c r="F457" s="183"/>
      <c r="G457" s="99" t="s">
        <v>1646</v>
      </c>
      <c r="H457" s="99" t="s">
        <v>1706</v>
      </c>
      <c r="I457" s="183" t="s">
        <v>1702</v>
      </c>
      <c r="J457" s="99">
        <v>10</v>
      </c>
      <c r="K457" s="183" t="str">
        <f>VLOOKUP(Ruimtestaat[[#This Row],[Ruimte code]],Ruimtegroepen[[#All],[Code]:[Ruimte omschrijving]],2,FALSE)</f>
        <v>Trappenhuizen/lift</v>
      </c>
      <c r="L457" s="99" t="s">
        <v>101</v>
      </c>
      <c r="M457" s="99" t="s">
        <v>119</v>
      </c>
      <c r="N457" s="177">
        <v>6.4</v>
      </c>
      <c r="O457" s="177"/>
      <c r="P457" s="178" t="str">
        <f>VLOOKUP(Ruimtestaat[[#This Row],[Ruimte code]],Ruimtegroepen[],4,FALSE)</f>
        <v>Ve</v>
      </c>
      <c r="Q457" s="149">
        <v>40</v>
      </c>
      <c r="R457" s="149" t="s">
        <v>2</v>
      </c>
      <c r="S457" s="149">
        <f>IF(Q457&gt;0,IF(RIGHT(Ruimtestaat[[#This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7" s="149">
        <f>IF(S457&gt;0,VLOOKUP($J457,Ruimtegroepen[],3,FALSE)*VLOOKUP($L457,Vloersoorten[],3,FALSE)*VLOOKUP($R457,Frequenties[],3,FALSE)*VLOOKUP($A457,Locaties[],3,FALSE),0)</f>
        <v>0</v>
      </c>
      <c r="U457" s="149">
        <f>Ruimtestaat[[#This Row],[Uitvoeringen werkdagen]]*Ruimtestaat[[#This Row],[Oppervlak (netto)]]</f>
        <v>1280</v>
      </c>
      <c r="V457" s="179">
        <f>IF(T457&gt;0,Ruimtestaat[[#This Row],[Prest. (m2 /jaar) werkdagen]]/Ruimtestaat[[#This Row],[Norm (m2/uur) werkdagen]],0)</f>
        <v>0</v>
      </c>
      <c r="W457" s="180">
        <f>Ruimtestaat[[#This Row],[uren / jaar werkdagen]]*Tariefsopbouw!$E$35</f>
        <v>0</v>
      </c>
      <c r="X457" s="149"/>
      <c r="Y457" s="149">
        <f>IF(Ruimtestaat[[#This Row],[Frequentie weekend]]&gt;0,VALUE(LEFT(X457,1))*Q457,0)</f>
        <v>0</v>
      </c>
      <c r="Z457" s="148">
        <f>IF($Y457&gt;0,VLOOKUP($J457,Ruimtegroepen[],3,FALSE)*VLOOKUP($L457,Vloersoorten[],3,FALSE)*VLOOKUP($X457,Frequenties[],3,FALSE)*VLOOKUP(Ruimtestaat[[#This Row],[Code]],Locaties[],3,FALSE),0)</f>
        <v>0</v>
      </c>
      <c r="AA457" s="148">
        <f>Ruimtestaat[[#This Row],[Uitvoeringen weekend]]*Ruimtestaat[[#This Row],[Oppervlak (netto)]]</f>
        <v>0</v>
      </c>
      <c r="AB457" s="148">
        <f>IF(Z457&gt;0,Ruimtestaat[[#This Row],[Prest. (m2 /jaar) weekend]]/Ruimtestaat[[#This Row],[Norm (m2/uur) weekend]],0)</f>
        <v>0</v>
      </c>
      <c r="AC457" s="180">
        <f>Ruimtestaat[[#This Row],[uren / jaar weekend]]*Tariefsopbouw!$D$40</f>
        <v>0</v>
      </c>
      <c r="AD457" s="179">
        <f>Ruimtestaat[[#This Row],[Prest. (m2 /jaar) weekend]]+Ruimtestaat[[#This Row],[Prest. (m2 /jaar) werkdagen]]</f>
        <v>1280</v>
      </c>
      <c r="AE457" s="179">
        <f>Ruimtestaat[[#This Row],[uren / jaar weekend]]+Ruimtestaat[[#This Row],[uren / jaar werkdagen]]</f>
        <v>0</v>
      </c>
      <c r="AF457" s="174">
        <f>Ruimtestaat[[#This Row],[kosten / jaar weekend]]+Ruimtestaat[[#This Row],[kosten / jaar werkdagen]]</f>
        <v>0</v>
      </c>
      <c r="AG457" s="174"/>
      <c r="AH457" s="181" t="str">
        <f>IF(Ruimtestaat[[#This Row],[Frequentie werkdagen]]="","",_xlfn.CONCAT(Ruimtestaat[[#This Row],[Ruimte code]],"-",Ruimtestaat[[#This Row],[Frequentie werkdagen]]," ",Ruimtestaat[[#This Row],[Vloer code]]))</f>
        <v>10-5w S</v>
      </c>
      <c r="AI457" s="185" t="str">
        <f>_xlfn.IFNA(VLOOKUP($AH457,Programma!$F$3:$G$1101,2,0),"")</f>
        <v>_</v>
      </c>
      <c r="AJ457" s="185" t="str">
        <f>_xlfn.IFNA(VLOOKUP($AH457,Programma!$F$3:$H$1101,3,0),"")</f>
        <v>_</v>
      </c>
      <c r="AK457" s="185" t="str">
        <f>_xlfn.IFNA(VLOOKUP($AH457,Programma!$F$3:$I$1101,4,0),"")</f>
        <v>4w</v>
      </c>
      <c r="AL457" s="185" t="str">
        <f>_xlfn.IFNA(VLOOKUP($AH457,Programma!$F$3:$J$1101,5,0),"")</f>
        <v>1w</v>
      </c>
      <c r="AM457" s="185" t="str">
        <f>_xlfn.IFNA(VLOOKUP($AH457,Programma!$F$3:$K$1101,6,0),"")</f>
        <v>4j</v>
      </c>
      <c r="AN457" s="185" t="str">
        <f>_xlfn.IFNA(VLOOKUP($AH457,Programma!$F$3:$L$1101,7,0),"")</f>
        <v>_</v>
      </c>
      <c r="AO457" s="185" t="str">
        <f>_xlfn.IFNA(VLOOKUP($AH457,Programma!$F$3:$M$1101,8,0),"")</f>
        <v>_</v>
      </c>
      <c r="AP457" s="185" t="str">
        <f>_xlfn.IFNA(VLOOKUP($AH457,Programma!$F$3:$N$1101,9,0),"")</f>
        <v>_</v>
      </c>
      <c r="AQ457" s="185" t="str">
        <f>_xlfn.IFNA(VLOOKUP($AH457,Programma!$F$3:$O$1101,10,0),"")</f>
        <v>5w</v>
      </c>
      <c r="AR457" s="185" t="str">
        <f>_xlfn.IFNA(VLOOKUP($AH457,Programma!$F$3:$P$1101,11,0),"")</f>
        <v>5w</v>
      </c>
      <c r="AS457" s="185" t="str">
        <f>_xlfn.IFNA(VLOOKUP($AH457,Programma!$F$3:$Q$1101,12,0),"")</f>
        <v>1w</v>
      </c>
      <c r="AT457" s="185" t="str">
        <f>_xlfn.IFNA(VLOOKUP($AH457,Programma!$F$3:$R$1101,13,0),"")</f>
        <v>1w</v>
      </c>
      <c r="AU457" s="185" t="str">
        <f>_xlfn.IFNA(VLOOKUP($AH457,Programma!$F$3:$S$1101,14,0),"")</f>
        <v>1m</v>
      </c>
      <c r="AV457" s="185" t="str">
        <f>_xlfn.IFNA(VLOOKUP($AH457,Programma!$F$3:$T$1101,15,0),"")</f>
        <v>2j</v>
      </c>
      <c r="AW457" s="185" t="str">
        <f>_xlfn.IFNA(VLOOKUP($AH457,Programma!$F$3:$U$1101,16,0),"")</f>
        <v>1j</v>
      </c>
      <c r="AX457" s="185" t="str">
        <f>_xlfn.IFNA(VLOOKUP($AH457,Programma!$F$3:$V$1101,17,0),"")</f>
        <v>_</v>
      </c>
      <c r="AY457" s="185" t="str">
        <f>_xlfn.IFNA(VLOOKUP($AH457,Programma!$F$3:$W$1101,18,0),"")</f>
        <v>_</v>
      </c>
      <c r="AZ457" s="185" t="str">
        <f>_xlfn.IFNA(VLOOKUP($AH457,Programma!$F$3:$X$1101,19,0),"")</f>
        <v>_</v>
      </c>
      <c r="BA457" s="185" t="str">
        <f>_xlfn.IFNA(VLOOKUP($AH457,Programma!$F$3:$Y$1101,20,0),"")</f>
        <v>_</v>
      </c>
      <c r="BB457" s="182"/>
      <c r="BC457" s="181" t="str">
        <f>IF(Ruimtestaat[[#This Row],[Frequentie weekend]]="","",_xlfn.CONCAT(Ruimtestaat[[#This Row],[Ruimte code]],"-",Ruimtestaat[[#This Row],[Frequentie weekend]]," ",Ruimtestaat[[#This Row],[Vloer code]]))</f>
        <v/>
      </c>
      <c r="BD457" s="185" t="str">
        <f>_xlfn.IFNA(VLOOKUP($BC457,Programma!$F$3:$G$1101,2,0),"")</f>
        <v/>
      </c>
      <c r="BE457" s="185" t="str">
        <f>_xlfn.IFNA(VLOOKUP($BC457,Programma!$F$3:$H$1101,3,0),"")</f>
        <v/>
      </c>
      <c r="BF457" s="185" t="str">
        <f>_xlfn.IFNA(VLOOKUP($BC457,Programma!$F$3:$I$1101,4,0),"")</f>
        <v/>
      </c>
      <c r="BG457" s="185" t="str">
        <f>_xlfn.IFNA(VLOOKUP($BC457,Programma!$F$3:$J$1101,5,0),"")</f>
        <v/>
      </c>
      <c r="BH457" s="185" t="str">
        <f>_xlfn.IFNA(VLOOKUP($BC457,Programma!$F$3:$K$1101,6,0),"")</f>
        <v/>
      </c>
      <c r="BI457" s="185" t="str">
        <f>_xlfn.IFNA(VLOOKUP($BC457,Programma!$F$3:$L$1101,7,0),"")</f>
        <v/>
      </c>
      <c r="BJ457" s="185" t="str">
        <f>_xlfn.IFNA(VLOOKUP($BC457,Programma!$F$3:$M$1101,8,0),"")</f>
        <v/>
      </c>
      <c r="BK457" s="185" t="str">
        <f>_xlfn.IFNA(VLOOKUP($BC457,Programma!$F$3:$N$1101,9,0),"")</f>
        <v/>
      </c>
      <c r="BL457" s="185" t="str">
        <f>_xlfn.IFNA(VLOOKUP($BC457,Programma!$F$3:$O$1101,10,0),"")</f>
        <v/>
      </c>
      <c r="BM457" s="185" t="str">
        <f>_xlfn.IFNA(VLOOKUP($BC457,Programma!$F$3:$P$1101,11,0),"")</f>
        <v/>
      </c>
      <c r="BN457" s="185" t="str">
        <f>_xlfn.IFNA(VLOOKUP($BC457,Programma!$F$3:$Q$1101,12,0),"")</f>
        <v/>
      </c>
      <c r="BO457" s="185" t="str">
        <f>_xlfn.IFNA(VLOOKUP($BC457,Programma!$F$3:$R$1101,13,0),"")</f>
        <v/>
      </c>
      <c r="BP457" s="185" t="str">
        <f>_xlfn.IFNA(VLOOKUP($BC457,Programma!$F$3:$S$1101,14,0),"")</f>
        <v/>
      </c>
      <c r="BQ457" s="185" t="str">
        <f>_xlfn.IFNA(VLOOKUP($BC457,Programma!$F$3:$T$1101,15,0),"")</f>
        <v/>
      </c>
      <c r="BR457" s="185" t="str">
        <f>_xlfn.IFNA(VLOOKUP($BC457,Programma!$F$3:$U$1101,16,0),"")</f>
        <v/>
      </c>
      <c r="BS457" s="185" t="str">
        <f>_xlfn.IFNA(VLOOKUP($BC457,Programma!$F$3:$V$1101,17,0),"")</f>
        <v/>
      </c>
      <c r="BT457" s="185" t="str">
        <f>_xlfn.IFNA(VLOOKUP($BC457,Programma!$F$3:$W$1101,18,0),"")</f>
        <v/>
      </c>
      <c r="BU457" s="185" t="str">
        <f>_xlfn.IFNA(VLOOKUP($BC457,Programma!$F$3:$X$1101,19,0),"")</f>
        <v/>
      </c>
      <c r="BV457" s="185" t="str">
        <f>_xlfn.IFNA(VLOOKUP($BC457,Programma!$F$3:$Y$1101,20,0),"")</f>
        <v/>
      </c>
    </row>
    <row r="458" spans="1:74" s="78" customFormat="1" ht="15" customHeight="1">
      <c r="A458" s="99">
        <v>13</v>
      </c>
      <c r="B458" s="176" t="str">
        <f>VLOOKUP(Ruimtestaat[[#This Row],[Code]],Locaties[[Code]:[Locatie]],2,FALSE)</f>
        <v>OMBS Het Zeggelt (Meeuwen)</v>
      </c>
      <c r="C458" s="176" t="str">
        <f>VLOOKUP(Ruimtestaat[[#This Row],[Code]],Locaties[[#All],[Code]:[Adres]],4,FALSE)</f>
        <v>Meeuwenstraat 4</v>
      </c>
      <c r="D458" s="176" t="str">
        <f>VLOOKUP(Ruimtestaat[[#This Row],[Code]],Locaties[[#All],[Code]:[Postcode]],5,FALSE)</f>
        <v>7523 XV</v>
      </c>
      <c r="E458" s="176" t="str">
        <f>VLOOKUP(Ruimtestaat[[#This Row],[Code]],Locaties[#All],6,FALSE)</f>
        <v>Enschede</v>
      </c>
      <c r="F458" s="183"/>
      <c r="G458" s="99" t="s">
        <v>1646</v>
      </c>
      <c r="H458" s="99" t="s">
        <v>1707</v>
      </c>
      <c r="I458" s="183" t="s">
        <v>1799</v>
      </c>
      <c r="J458" s="99">
        <v>18</v>
      </c>
      <c r="K458" s="183" t="str">
        <f>VLOOKUP(Ruimtestaat[[#This Row],[Ruimte code]],Ruimtegroepen[[#All],[Code]:[Ruimte omschrijving]],2,FALSE)</f>
        <v>Gymzaal</v>
      </c>
      <c r="L458" s="99" t="s">
        <v>99</v>
      </c>
      <c r="M458" s="99" t="s">
        <v>36</v>
      </c>
      <c r="N458" s="177">
        <v>65.2</v>
      </c>
      <c r="O458" s="177"/>
      <c r="P458" s="178" t="str">
        <f>VLOOKUP(Ruimtestaat[[#This Row],[Ruimte code]],Ruimtegroepen[],4,FALSE)</f>
        <v>Sp</v>
      </c>
      <c r="Q458" s="149">
        <v>40</v>
      </c>
      <c r="R458" s="149" t="s">
        <v>2</v>
      </c>
      <c r="S458" s="149">
        <f>IF(Q458&gt;0,IF(RIGHT(Ruimtestaat[[#This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8" s="149">
        <f>IF(S458&gt;0,VLOOKUP($J458,Ruimtegroepen[],3,FALSE)*VLOOKUP($L458,Vloersoorten[],3,FALSE)*VLOOKUP($R458,Frequenties[],3,FALSE)*VLOOKUP($A458,Locaties[],3,FALSE),0)</f>
        <v>0</v>
      </c>
      <c r="U458" s="149">
        <f>Ruimtestaat[[#This Row],[Uitvoeringen werkdagen]]*Ruimtestaat[[#This Row],[Oppervlak (netto)]]</f>
        <v>13040</v>
      </c>
      <c r="V458" s="179">
        <f>IF(T458&gt;0,Ruimtestaat[[#This Row],[Prest. (m2 /jaar) werkdagen]]/Ruimtestaat[[#This Row],[Norm (m2/uur) werkdagen]],0)</f>
        <v>0</v>
      </c>
      <c r="W458" s="180">
        <f>Ruimtestaat[[#This Row],[uren / jaar werkdagen]]*Tariefsopbouw!$E$35</f>
        <v>0</v>
      </c>
      <c r="X458" s="149"/>
      <c r="Y458" s="149">
        <f>IF(Ruimtestaat[[#This Row],[Frequentie weekend]]&gt;0,VALUE(LEFT(X458,1))*Q458,0)</f>
        <v>0</v>
      </c>
      <c r="Z458" s="148">
        <f>IF($Y458&gt;0,VLOOKUP($J458,Ruimtegroepen[],3,FALSE)*VLOOKUP($L458,Vloersoorten[],3,FALSE)*VLOOKUP($X458,Frequenties[],3,FALSE)*VLOOKUP(Ruimtestaat[[#This Row],[Code]],Locaties[],3,FALSE),0)</f>
        <v>0</v>
      </c>
      <c r="AA458" s="148">
        <f>Ruimtestaat[[#This Row],[Uitvoeringen weekend]]*Ruimtestaat[[#This Row],[Oppervlak (netto)]]</f>
        <v>0</v>
      </c>
      <c r="AB458" s="148">
        <f>IF(Z458&gt;0,Ruimtestaat[[#This Row],[Prest. (m2 /jaar) weekend]]/Ruimtestaat[[#This Row],[Norm (m2/uur) weekend]],0)</f>
        <v>0</v>
      </c>
      <c r="AC458" s="180">
        <f>Ruimtestaat[[#This Row],[uren / jaar weekend]]*Tariefsopbouw!$D$40</f>
        <v>0</v>
      </c>
      <c r="AD458" s="179">
        <f>Ruimtestaat[[#This Row],[Prest. (m2 /jaar) weekend]]+Ruimtestaat[[#This Row],[Prest. (m2 /jaar) werkdagen]]</f>
        <v>13040</v>
      </c>
      <c r="AE458" s="179">
        <f>Ruimtestaat[[#This Row],[uren / jaar weekend]]+Ruimtestaat[[#This Row],[uren / jaar werkdagen]]</f>
        <v>0</v>
      </c>
      <c r="AF458" s="174">
        <f>Ruimtestaat[[#This Row],[kosten / jaar weekend]]+Ruimtestaat[[#This Row],[kosten / jaar werkdagen]]</f>
        <v>0</v>
      </c>
      <c r="AG458" s="174"/>
      <c r="AH458" s="181" t="str">
        <f>IF(Ruimtestaat[[#This Row],[Frequentie werkdagen]]="","",_xlfn.CONCAT(Ruimtestaat[[#This Row],[Ruimte code]],"-",Ruimtestaat[[#This Row],[Frequentie werkdagen]]," ",Ruimtestaat[[#This Row],[Vloer code]]))</f>
        <v>18-5w T</v>
      </c>
      <c r="AI458" s="185" t="str">
        <f>_xlfn.IFNA(VLOOKUP($AH458,Programma!$F$3:$G$1101,2,0),"")</f>
        <v>4w</v>
      </c>
      <c r="AJ458" s="185" t="str">
        <f>_xlfn.IFNA(VLOOKUP($AH458,Programma!$F$3:$H$1101,3,0),"")</f>
        <v>1w</v>
      </c>
      <c r="AK458" s="185" t="str">
        <f>_xlfn.IFNA(VLOOKUP($AH458,Programma!$F$3:$I$1101,4,0),"")</f>
        <v>_</v>
      </c>
      <c r="AL458" s="185" t="str">
        <f>_xlfn.IFNA(VLOOKUP($AH458,Programma!$F$3:$J$1101,5,0),"")</f>
        <v>_</v>
      </c>
      <c r="AM458" s="185" t="str">
        <f>_xlfn.IFNA(VLOOKUP($AH458,Programma!$F$3:$K$1101,6,0),"")</f>
        <v>_</v>
      </c>
      <c r="AN458" s="185" t="str">
        <f>_xlfn.IFNA(VLOOKUP($AH458,Programma!$F$3:$L$1101,7,0),"")</f>
        <v>_</v>
      </c>
      <c r="AO458" s="185" t="str">
        <f>_xlfn.IFNA(VLOOKUP($AH458,Programma!$F$3:$M$1101,8,0),"")</f>
        <v>_</v>
      </c>
      <c r="AP458" s="185" t="str">
        <f>_xlfn.IFNA(VLOOKUP($AH458,Programma!$F$3:$N$1101,9,0),"")</f>
        <v>_</v>
      </c>
      <c r="AQ458" s="185" t="str">
        <f>_xlfn.IFNA(VLOOKUP($AH458,Programma!$F$3:$O$1101,10,0),"")</f>
        <v>5w</v>
      </c>
      <c r="AR458" s="185" t="str">
        <f>_xlfn.IFNA(VLOOKUP($AH458,Programma!$F$3:$P$1101,11,0),"")</f>
        <v>5w</v>
      </c>
      <c r="AS458" s="185" t="str">
        <f>_xlfn.IFNA(VLOOKUP($AH458,Programma!$F$3:$Q$1101,12,0),"")</f>
        <v>5w</v>
      </c>
      <c r="AT458" s="185" t="str">
        <f>_xlfn.IFNA(VLOOKUP($AH458,Programma!$F$3:$R$1101,13,0),"")</f>
        <v>5w</v>
      </c>
      <c r="AU458" s="185" t="str">
        <f>_xlfn.IFNA(VLOOKUP($AH458,Programma!$F$3:$S$1101,14,0),"")</f>
        <v>1m</v>
      </c>
      <c r="AV458" s="185" t="str">
        <f>_xlfn.IFNA(VLOOKUP($AH458,Programma!$F$3:$T$1101,15,0),"")</f>
        <v>2j</v>
      </c>
      <c r="AW458" s="185" t="str">
        <f>_xlfn.IFNA(VLOOKUP($AH458,Programma!$F$3:$U$1101,16,0),"")</f>
        <v>1j</v>
      </c>
      <c r="AX458" s="185" t="str">
        <f>_xlfn.IFNA(VLOOKUP($AH458,Programma!$F$3:$V$1101,17,0),"")</f>
        <v>_</v>
      </c>
      <c r="AY458" s="185" t="str">
        <f>_xlfn.IFNA(VLOOKUP($AH458,Programma!$F$3:$W$1101,18,0),"")</f>
        <v>_</v>
      </c>
      <c r="AZ458" s="185" t="str">
        <f>_xlfn.IFNA(VLOOKUP($AH458,Programma!$F$3:$X$1101,19,0),"")</f>
        <v>_</v>
      </c>
      <c r="BA458" s="185" t="str">
        <f>_xlfn.IFNA(VLOOKUP($AH458,Programma!$F$3:$Y$1101,20,0),"")</f>
        <v>_</v>
      </c>
      <c r="BB458" s="182"/>
      <c r="BC458" s="181" t="str">
        <f>IF(Ruimtestaat[[#This Row],[Frequentie weekend]]="","",_xlfn.CONCAT(Ruimtestaat[[#This Row],[Ruimte code]],"-",Ruimtestaat[[#This Row],[Frequentie weekend]]," ",Ruimtestaat[[#This Row],[Vloer code]]))</f>
        <v/>
      </c>
      <c r="BD458" s="185" t="str">
        <f>_xlfn.IFNA(VLOOKUP($BC458,Programma!$F$3:$G$1101,2,0),"")</f>
        <v/>
      </c>
      <c r="BE458" s="185" t="str">
        <f>_xlfn.IFNA(VLOOKUP($BC458,Programma!$F$3:$H$1101,3,0),"")</f>
        <v/>
      </c>
      <c r="BF458" s="185" t="str">
        <f>_xlfn.IFNA(VLOOKUP($BC458,Programma!$F$3:$I$1101,4,0),"")</f>
        <v/>
      </c>
      <c r="BG458" s="185" t="str">
        <f>_xlfn.IFNA(VLOOKUP($BC458,Programma!$F$3:$J$1101,5,0),"")</f>
        <v/>
      </c>
      <c r="BH458" s="185" t="str">
        <f>_xlfn.IFNA(VLOOKUP($BC458,Programma!$F$3:$K$1101,6,0),"")</f>
        <v/>
      </c>
      <c r="BI458" s="185" t="str">
        <f>_xlfn.IFNA(VLOOKUP($BC458,Programma!$F$3:$L$1101,7,0),"")</f>
        <v/>
      </c>
      <c r="BJ458" s="185" t="str">
        <f>_xlfn.IFNA(VLOOKUP($BC458,Programma!$F$3:$M$1101,8,0),"")</f>
        <v/>
      </c>
      <c r="BK458" s="185" t="str">
        <f>_xlfn.IFNA(VLOOKUP($BC458,Programma!$F$3:$N$1101,9,0),"")</f>
        <v/>
      </c>
      <c r="BL458" s="185" t="str">
        <f>_xlfn.IFNA(VLOOKUP($BC458,Programma!$F$3:$O$1101,10,0),"")</f>
        <v/>
      </c>
      <c r="BM458" s="185" t="str">
        <f>_xlfn.IFNA(VLOOKUP($BC458,Programma!$F$3:$P$1101,11,0),"")</f>
        <v/>
      </c>
      <c r="BN458" s="185" t="str">
        <f>_xlfn.IFNA(VLOOKUP($BC458,Programma!$F$3:$Q$1101,12,0),"")</f>
        <v/>
      </c>
      <c r="BO458" s="185" t="str">
        <f>_xlfn.IFNA(VLOOKUP($BC458,Programma!$F$3:$R$1101,13,0),"")</f>
        <v/>
      </c>
      <c r="BP458" s="185" t="str">
        <f>_xlfn.IFNA(VLOOKUP($BC458,Programma!$F$3:$S$1101,14,0),"")</f>
        <v/>
      </c>
      <c r="BQ458" s="185" t="str">
        <f>_xlfn.IFNA(VLOOKUP($BC458,Programma!$F$3:$T$1101,15,0),"")</f>
        <v/>
      </c>
      <c r="BR458" s="185" t="str">
        <f>_xlfn.IFNA(VLOOKUP($BC458,Programma!$F$3:$U$1101,16,0),"")</f>
        <v/>
      </c>
      <c r="BS458" s="185" t="str">
        <f>_xlfn.IFNA(VLOOKUP($BC458,Programma!$F$3:$V$1101,17,0),"")</f>
        <v/>
      </c>
      <c r="BT458" s="185" t="str">
        <f>_xlfn.IFNA(VLOOKUP($BC458,Programma!$F$3:$W$1101,18,0),"")</f>
        <v/>
      </c>
      <c r="BU458" s="185" t="str">
        <f>_xlfn.IFNA(VLOOKUP($BC458,Programma!$F$3:$X$1101,19,0),"")</f>
        <v/>
      </c>
      <c r="BV458" s="185" t="str">
        <f>_xlfn.IFNA(VLOOKUP($BC458,Programma!$F$3:$Y$1101,20,0),"")</f>
        <v/>
      </c>
    </row>
    <row r="459" spans="1:74" s="78" customFormat="1" ht="15" customHeight="1">
      <c r="A459" s="99">
        <v>13</v>
      </c>
      <c r="B459" s="176" t="str">
        <f>VLOOKUP(Ruimtestaat[[#This Row],[Code]],Locaties[[Code]:[Locatie]],2,FALSE)</f>
        <v>OMBS Het Zeggelt (Meeuwen)</v>
      </c>
      <c r="C459" s="176" t="str">
        <f>VLOOKUP(Ruimtestaat[[#This Row],[Code]],Locaties[[#All],[Code]:[Adres]],4,FALSE)</f>
        <v>Meeuwenstraat 4</v>
      </c>
      <c r="D459" s="176" t="str">
        <f>VLOOKUP(Ruimtestaat[[#This Row],[Code]],Locaties[[#All],[Code]:[Postcode]],5,FALSE)</f>
        <v>7523 XV</v>
      </c>
      <c r="E459" s="176" t="str">
        <f>VLOOKUP(Ruimtestaat[[#This Row],[Code]],Locaties[#All],6,FALSE)</f>
        <v>Enschede</v>
      </c>
      <c r="F459" s="183"/>
      <c r="G459" s="99" t="s">
        <v>1800</v>
      </c>
      <c r="H459" s="99" t="s">
        <v>1708</v>
      </c>
      <c r="I459" s="183" t="s">
        <v>1651</v>
      </c>
      <c r="J459" s="99">
        <v>16</v>
      </c>
      <c r="K459" s="183" t="str">
        <f>VLOOKUP(Ruimtestaat[[#This Row],[Ruimte code]],Ruimtegroepen[[#All],[Code]:[Ruimte omschrijving]],2,FALSE)</f>
        <v>Leslokalen</v>
      </c>
      <c r="L459" s="99" t="s">
        <v>99</v>
      </c>
      <c r="M459" s="99" t="s">
        <v>36</v>
      </c>
      <c r="N459" s="177">
        <v>44.2</v>
      </c>
      <c r="O459" s="177"/>
      <c r="P459" s="178" t="str">
        <f>VLOOKUP(Ruimtestaat[[#This Row],[Ruimte code]],Ruimtegroepen[],4,FALSE)</f>
        <v>Le</v>
      </c>
      <c r="Q459" s="149">
        <v>40</v>
      </c>
      <c r="R459" s="149" t="s">
        <v>2</v>
      </c>
      <c r="S459" s="149">
        <f>IF(Q459&gt;0,IF(RIGHT(Ruimtestaat[[#This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59" s="149">
        <f>IF(S459&gt;0,VLOOKUP($J459,Ruimtegroepen[],3,FALSE)*VLOOKUP($L459,Vloersoorten[],3,FALSE)*VLOOKUP($R459,Frequenties[],3,FALSE)*VLOOKUP($A459,Locaties[],3,FALSE),0)</f>
        <v>0</v>
      </c>
      <c r="U459" s="149">
        <f>Ruimtestaat[[#This Row],[Uitvoeringen werkdagen]]*Ruimtestaat[[#This Row],[Oppervlak (netto)]]</f>
        <v>8840</v>
      </c>
      <c r="V459" s="179">
        <f>IF(T459&gt;0,Ruimtestaat[[#This Row],[Prest. (m2 /jaar) werkdagen]]/Ruimtestaat[[#This Row],[Norm (m2/uur) werkdagen]],0)</f>
        <v>0</v>
      </c>
      <c r="W459" s="180">
        <f>Ruimtestaat[[#This Row],[uren / jaar werkdagen]]*Tariefsopbouw!$E$35</f>
        <v>0</v>
      </c>
      <c r="X459" s="149"/>
      <c r="Y459" s="149">
        <f>IF(Ruimtestaat[[#This Row],[Frequentie weekend]]&gt;0,VALUE(LEFT(X459,1))*Q459,0)</f>
        <v>0</v>
      </c>
      <c r="Z459" s="148">
        <f>IF($Y459&gt;0,VLOOKUP($J459,Ruimtegroepen[],3,FALSE)*VLOOKUP($L459,Vloersoorten[],3,FALSE)*VLOOKUP($X459,Frequenties[],3,FALSE)*VLOOKUP(Ruimtestaat[[#This Row],[Code]],Locaties[],3,FALSE),0)</f>
        <v>0</v>
      </c>
      <c r="AA459" s="148">
        <f>Ruimtestaat[[#This Row],[Uitvoeringen weekend]]*Ruimtestaat[[#This Row],[Oppervlak (netto)]]</f>
        <v>0</v>
      </c>
      <c r="AB459" s="148">
        <f>IF(Z459&gt;0,Ruimtestaat[[#This Row],[Prest. (m2 /jaar) weekend]]/Ruimtestaat[[#This Row],[Norm (m2/uur) weekend]],0)</f>
        <v>0</v>
      </c>
      <c r="AC459" s="180">
        <f>Ruimtestaat[[#This Row],[uren / jaar weekend]]*Tariefsopbouw!$D$40</f>
        <v>0</v>
      </c>
      <c r="AD459" s="179">
        <f>Ruimtestaat[[#This Row],[Prest. (m2 /jaar) weekend]]+Ruimtestaat[[#This Row],[Prest. (m2 /jaar) werkdagen]]</f>
        <v>8840</v>
      </c>
      <c r="AE459" s="179">
        <f>Ruimtestaat[[#This Row],[uren / jaar weekend]]+Ruimtestaat[[#This Row],[uren / jaar werkdagen]]</f>
        <v>0</v>
      </c>
      <c r="AF459" s="174">
        <f>Ruimtestaat[[#This Row],[kosten / jaar weekend]]+Ruimtestaat[[#This Row],[kosten / jaar werkdagen]]</f>
        <v>0</v>
      </c>
      <c r="AG459" s="174"/>
      <c r="AH459" s="181" t="str">
        <f>IF(Ruimtestaat[[#This Row],[Frequentie werkdagen]]="","",_xlfn.CONCAT(Ruimtestaat[[#This Row],[Ruimte code]],"-",Ruimtestaat[[#This Row],[Frequentie werkdagen]]," ",Ruimtestaat[[#This Row],[Vloer code]]))</f>
        <v>16-5w T</v>
      </c>
      <c r="AI459" s="185" t="str">
        <f>_xlfn.IFNA(VLOOKUP($AH459,Programma!$F$3:$G$1101,2,0),"")</f>
        <v>3w</v>
      </c>
      <c r="AJ459" s="185" t="str">
        <f>_xlfn.IFNA(VLOOKUP($AH459,Programma!$F$3:$H$1101,3,0),"")</f>
        <v>2w</v>
      </c>
      <c r="AK459" s="185" t="str">
        <f>_xlfn.IFNA(VLOOKUP($AH459,Programma!$F$3:$I$1101,4,0),"")</f>
        <v>_</v>
      </c>
      <c r="AL459" s="185" t="str">
        <f>_xlfn.IFNA(VLOOKUP($AH459,Programma!$F$3:$J$1101,5,0),"")</f>
        <v>_</v>
      </c>
      <c r="AM459" s="185" t="str">
        <f>_xlfn.IFNA(VLOOKUP($AH459,Programma!$F$3:$K$1101,6,0),"")</f>
        <v>_</v>
      </c>
      <c r="AN459" s="185" t="str">
        <f>_xlfn.IFNA(VLOOKUP($AH459,Programma!$F$3:$L$1101,7,0),"")</f>
        <v>_</v>
      </c>
      <c r="AO459" s="185" t="str">
        <f>_xlfn.IFNA(VLOOKUP($AH459,Programma!$F$3:$M$1101,8,0),"")</f>
        <v>_</v>
      </c>
      <c r="AP459" s="185" t="str">
        <f>_xlfn.IFNA(VLOOKUP($AH459,Programma!$F$3:$N$1101,9,0),"")</f>
        <v>_</v>
      </c>
      <c r="AQ459" s="185" t="str">
        <f>_xlfn.IFNA(VLOOKUP($AH459,Programma!$F$3:$O$1101,10,0),"")</f>
        <v>5w</v>
      </c>
      <c r="AR459" s="185" t="str">
        <f>_xlfn.IFNA(VLOOKUP($AH459,Programma!$F$3:$P$1101,11,0),"")</f>
        <v>5w</v>
      </c>
      <c r="AS459" s="185" t="str">
        <f>_xlfn.IFNA(VLOOKUP($AH459,Programma!$F$3:$Q$1101,12,0),"")</f>
        <v>1w</v>
      </c>
      <c r="AT459" s="185" t="str">
        <f>_xlfn.IFNA(VLOOKUP($AH459,Programma!$F$3:$R$1101,13,0),"")</f>
        <v>1w</v>
      </c>
      <c r="AU459" s="185" t="str">
        <f>_xlfn.IFNA(VLOOKUP($AH459,Programma!$F$3:$S$1101,14,0),"")</f>
        <v>1m</v>
      </c>
      <c r="AV459" s="185" t="str">
        <f>_xlfn.IFNA(VLOOKUP($AH459,Programma!$F$3:$T$1101,15,0),"")</f>
        <v>2j</v>
      </c>
      <c r="AW459" s="185" t="str">
        <f>_xlfn.IFNA(VLOOKUP($AH459,Programma!$F$3:$U$1101,16,0),"")</f>
        <v>1j</v>
      </c>
      <c r="AX459" s="185" t="str">
        <f>_xlfn.IFNA(VLOOKUP($AH459,Programma!$F$3:$V$1101,17,0),"")</f>
        <v>_</v>
      </c>
      <c r="AY459" s="185" t="str">
        <f>_xlfn.IFNA(VLOOKUP($AH459,Programma!$F$3:$W$1101,18,0),"")</f>
        <v>_</v>
      </c>
      <c r="AZ459" s="185" t="str">
        <f>_xlfn.IFNA(VLOOKUP($AH459,Programma!$F$3:$X$1101,19,0),"")</f>
        <v>_</v>
      </c>
      <c r="BA459" s="185" t="str">
        <f>_xlfn.IFNA(VLOOKUP($AH459,Programma!$F$3:$Y$1101,20,0),"")</f>
        <v>_</v>
      </c>
      <c r="BB459" s="182"/>
      <c r="BC459" s="181" t="str">
        <f>IF(Ruimtestaat[[#This Row],[Frequentie weekend]]="","",_xlfn.CONCAT(Ruimtestaat[[#This Row],[Ruimte code]],"-",Ruimtestaat[[#This Row],[Frequentie weekend]]," ",Ruimtestaat[[#This Row],[Vloer code]]))</f>
        <v/>
      </c>
      <c r="BD459" s="185" t="str">
        <f>_xlfn.IFNA(VLOOKUP($BC459,Programma!$F$3:$G$1101,2,0),"")</f>
        <v/>
      </c>
      <c r="BE459" s="185" t="str">
        <f>_xlfn.IFNA(VLOOKUP($BC459,Programma!$F$3:$H$1101,3,0),"")</f>
        <v/>
      </c>
      <c r="BF459" s="185" t="str">
        <f>_xlfn.IFNA(VLOOKUP($BC459,Programma!$F$3:$I$1101,4,0),"")</f>
        <v/>
      </c>
      <c r="BG459" s="185" t="str">
        <f>_xlfn.IFNA(VLOOKUP($BC459,Programma!$F$3:$J$1101,5,0),"")</f>
        <v/>
      </c>
      <c r="BH459" s="185" t="str">
        <f>_xlfn.IFNA(VLOOKUP($BC459,Programma!$F$3:$K$1101,6,0),"")</f>
        <v/>
      </c>
      <c r="BI459" s="185" t="str">
        <f>_xlfn.IFNA(VLOOKUP($BC459,Programma!$F$3:$L$1101,7,0),"")</f>
        <v/>
      </c>
      <c r="BJ459" s="185" t="str">
        <f>_xlfn.IFNA(VLOOKUP($BC459,Programma!$F$3:$M$1101,8,0),"")</f>
        <v/>
      </c>
      <c r="BK459" s="185" t="str">
        <f>_xlfn.IFNA(VLOOKUP($BC459,Programma!$F$3:$N$1101,9,0),"")</f>
        <v/>
      </c>
      <c r="BL459" s="185" t="str">
        <f>_xlfn.IFNA(VLOOKUP($BC459,Programma!$F$3:$O$1101,10,0),"")</f>
        <v/>
      </c>
      <c r="BM459" s="185" t="str">
        <f>_xlfn.IFNA(VLOOKUP($BC459,Programma!$F$3:$P$1101,11,0),"")</f>
        <v/>
      </c>
      <c r="BN459" s="185" t="str">
        <f>_xlfn.IFNA(VLOOKUP($BC459,Programma!$F$3:$Q$1101,12,0),"")</f>
        <v/>
      </c>
      <c r="BO459" s="185" t="str">
        <f>_xlfn.IFNA(VLOOKUP($BC459,Programma!$F$3:$R$1101,13,0),"")</f>
        <v/>
      </c>
      <c r="BP459" s="185" t="str">
        <f>_xlfn.IFNA(VLOOKUP($BC459,Programma!$F$3:$S$1101,14,0),"")</f>
        <v/>
      </c>
      <c r="BQ459" s="185" t="str">
        <f>_xlfn.IFNA(VLOOKUP($BC459,Programma!$F$3:$T$1101,15,0),"")</f>
        <v/>
      </c>
      <c r="BR459" s="185" t="str">
        <f>_xlfn.IFNA(VLOOKUP($BC459,Programma!$F$3:$U$1101,16,0),"")</f>
        <v/>
      </c>
      <c r="BS459" s="185" t="str">
        <f>_xlfn.IFNA(VLOOKUP($BC459,Programma!$F$3:$V$1101,17,0),"")</f>
        <v/>
      </c>
      <c r="BT459" s="185" t="str">
        <f>_xlfn.IFNA(VLOOKUP($BC459,Programma!$F$3:$W$1101,18,0),"")</f>
        <v/>
      </c>
      <c r="BU459" s="185" t="str">
        <f>_xlfn.IFNA(VLOOKUP($BC459,Programma!$F$3:$X$1101,19,0),"")</f>
        <v/>
      </c>
      <c r="BV459" s="185" t="str">
        <f>_xlfn.IFNA(VLOOKUP($BC459,Programma!$F$3:$Y$1101,20,0),"")</f>
        <v/>
      </c>
    </row>
    <row r="460" spans="1:74" s="78" customFormat="1" ht="15" customHeight="1">
      <c r="A460" s="99">
        <v>13</v>
      </c>
      <c r="B460" s="176" t="str">
        <f>VLOOKUP(Ruimtestaat[[#This Row],[Code]],Locaties[[Code]:[Locatie]],2,FALSE)</f>
        <v>OMBS Het Zeggelt (Meeuwen)</v>
      </c>
      <c r="C460" s="176" t="str">
        <f>VLOOKUP(Ruimtestaat[[#This Row],[Code]],Locaties[[#All],[Code]:[Adres]],4,FALSE)</f>
        <v>Meeuwenstraat 4</v>
      </c>
      <c r="D460" s="176" t="str">
        <f>VLOOKUP(Ruimtestaat[[#This Row],[Code]],Locaties[[#All],[Code]:[Postcode]],5,FALSE)</f>
        <v>7523 XV</v>
      </c>
      <c r="E460" s="176" t="str">
        <f>VLOOKUP(Ruimtestaat[[#This Row],[Code]],Locaties[#All],6,FALSE)</f>
        <v>Enschede</v>
      </c>
      <c r="F460" s="183"/>
      <c r="G460" s="99" t="s">
        <v>1800</v>
      </c>
      <c r="H460" s="99" t="s">
        <v>1709</v>
      </c>
      <c r="I460" s="183" t="s">
        <v>1651</v>
      </c>
      <c r="J460" s="99">
        <v>16</v>
      </c>
      <c r="K460" s="183" t="str">
        <f>VLOOKUP(Ruimtestaat[[#This Row],[Ruimte code]],Ruimtegroepen[[#All],[Code]:[Ruimte omschrijving]],2,FALSE)</f>
        <v>Leslokalen</v>
      </c>
      <c r="L460" s="99" t="s">
        <v>99</v>
      </c>
      <c r="M460" s="99" t="s">
        <v>36</v>
      </c>
      <c r="N460" s="177">
        <v>44.3</v>
      </c>
      <c r="O460" s="177"/>
      <c r="P460" s="178" t="str">
        <f>VLOOKUP(Ruimtestaat[[#This Row],[Ruimte code]],Ruimtegroepen[],4,FALSE)</f>
        <v>Le</v>
      </c>
      <c r="Q460" s="149">
        <v>40</v>
      </c>
      <c r="R460" s="149" t="s">
        <v>2</v>
      </c>
      <c r="S460" s="149">
        <f>IF(Q460&gt;0,IF(RIGHT(Ruimtestaat[[#This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0" s="149">
        <f>IF(S460&gt;0,VLOOKUP($J460,Ruimtegroepen[],3,FALSE)*VLOOKUP($L460,Vloersoorten[],3,FALSE)*VLOOKUP($R460,Frequenties[],3,FALSE)*VLOOKUP($A460,Locaties[],3,FALSE),0)</f>
        <v>0</v>
      </c>
      <c r="U460" s="149">
        <f>Ruimtestaat[[#This Row],[Uitvoeringen werkdagen]]*Ruimtestaat[[#This Row],[Oppervlak (netto)]]</f>
        <v>8860</v>
      </c>
      <c r="V460" s="179">
        <f>IF(T460&gt;0,Ruimtestaat[[#This Row],[Prest. (m2 /jaar) werkdagen]]/Ruimtestaat[[#This Row],[Norm (m2/uur) werkdagen]],0)</f>
        <v>0</v>
      </c>
      <c r="W460" s="180">
        <f>Ruimtestaat[[#This Row],[uren / jaar werkdagen]]*Tariefsopbouw!$E$35</f>
        <v>0</v>
      </c>
      <c r="X460" s="149"/>
      <c r="Y460" s="149">
        <f>IF(Ruimtestaat[[#This Row],[Frequentie weekend]]&gt;0,VALUE(LEFT(X460,1))*Q460,0)</f>
        <v>0</v>
      </c>
      <c r="Z460" s="148">
        <f>IF($Y460&gt;0,VLOOKUP($J460,Ruimtegroepen[],3,FALSE)*VLOOKUP($L460,Vloersoorten[],3,FALSE)*VLOOKUP($X460,Frequenties[],3,FALSE)*VLOOKUP(Ruimtestaat[[#This Row],[Code]],Locaties[],3,FALSE),0)</f>
        <v>0</v>
      </c>
      <c r="AA460" s="148">
        <f>Ruimtestaat[[#This Row],[Uitvoeringen weekend]]*Ruimtestaat[[#This Row],[Oppervlak (netto)]]</f>
        <v>0</v>
      </c>
      <c r="AB460" s="148">
        <f>IF(Z460&gt;0,Ruimtestaat[[#This Row],[Prest. (m2 /jaar) weekend]]/Ruimtestaat[[#This Row],[Norm (m2/uur) weekend]],0)</f>
        <v>0</v>
      </c>
      <c r="AC460" s="180">
        <f>Ruimtestaat[[#This Row],[uren / jaar weekend]]*Tariefsopbouw!$D$40</f>
        <v>0</v>
      </c>
      <c r="AD460" s="179">
        <f>Ruimtestaat[[#This Row],[Prest. (m2 /jaar) weekend]]+Ruimtestaat[[#This Row],[Prest. (m2 /jaar) werkdagen]]</f>
        <v>8860</v>
      </c>
      <c r="AE460" s="179">
        <f>Ruimtestaat[[#This Row],[uren / jaar weekend]]+Ruimtestaat[[#This Row],[uren / jaar werkdagen]]</f>
        <v>0</v>
      </c>
      <c r="AF460" s="174">
        <f>Ruimtestaat[[#This Row],[kosten / jaar weekend]]+Ruimtestaat[[#This Row],[kosten / jaar werkdagen]]</f>
        <v>0</v>
      </c>
      <c r="AG460" s="174"/>
      <c r="AH460" s="181" t="str">
        <f>IF(Ruimtestaat[[#This Row],[Frequentie werkdagen]]="","",_xlfn.CONCAT(Ruimtestaat[[#This Row],[Ruimte code]],"-",Ruimtestaat[[#This Row],[Frequentie werkdagen]]," ",Ruimtestaat[[#This Row],[Vloer code]]))</f>
        <v>16-5w T</v>
      </c>
      <c r="AI460" s="185" t="str">
        <f>_xlfn.IFNA(VLOOKUP($AH460,Programma!$F$3:$G$1101,2,0),"")</f>
        <v>3w</v>
      </c>
      <c r="AJ460" s="185" t="str">
        <f>_xlfn.IFNA(VLOOKUP($AH460,Programma!$F$3:$H$1101,3,0),"")</f>
        <v>2w</v>
      </c>
      <c r="AK460" s="185" t="str">
        <f>_xlfn.IFNA(VLOOKUP($AH460,Programma!$F$3:$I$1101,4,0),"")</f>
        <v>_</v>
      </c>
      <c r="AL460" s="185" t="str">
        <f>_xlfn.IFNA(VLOOKUP($AH460,Programma!$F$3:$J$1101,5,0),"")</f>
        <v>_</v>
      </c>
      <c r="AM460" s="185" t="str">
        <f>_xlfn.IFNA(VLOOKUP($AH460,Programma!$F$3:$K$1101,6,0),"")</f>
        <v>_</v>
      </c>
      <c r="AN460" s="185" t="str">
        <f>_xlfn.IFNA(VLOOKUP($AH460,Programma!$F$3:$L$1101,7,0),"")</f>
        <v>_</v>
      </c>
      <c r="AO460" s="185" t="str">
        <f>_xlfn.IFNA(VLOOKUP($AH460,Programma!$F$3:$M$1101,8,0),"")</f>
        <v>_</v>
      </c>
      <c r="AP460" s="185" t="str">
        <f>_xlfn.IFNA(VLOOKUP($AH460,Programma!$F$3:$N$1101,9,0),"")</f>
        <v>_</v>
      </c>
      <c r="AQ460" s="185" t="str">
        <f>_xlfn.IFNA(VLOOKUP($AH460,Programma!$F$3:$O$1101,10,0),"")</f>
        <v>5w</v>
      </c>
      <c r="AR460" s="185" t="str">
        <f>_xlfn.IFNA(VLOOKUP($AH460,Programma!$F$3:$P$1101,11,0),"")</f>
        <v>5w</v>
      </c>
      <c r="AS460" s="185" t="str">
        <f>_xlfn.IFNA(VLOOKUP($AH460,Programma!$F$3:$Q$1101,12,0),"")</f>
        <v>1w</v>
      </c>
      <c r="AT460" s="185" t="str">
        <f>_xlfn.IFNA(VLOOKUP($AH460,Programma!$F$3:$R$1101,13,0),"")</f>
        <v>1w</v>
      </c>
      <c r="AU460" s="185" t="str">
        <f>_xlfn.IFNA(VLOOKUP($AH460,Programma!$F$3:$S$1101,14,0),"")</f>
        <v>1m</v>
      </c>
      <c r="AV460" s="185" t="str">
        <f>_xlfn.IFNA(VLOOKUP($AH460,Programma!$F$3:$T$1101,15,0),"")</f>
        <v>2j</v>
      </c>
      <c r="AW460" s="185" t="str">
        <f>_xlfn.IFNA(VLOOKUP($AH460,Programma!$F$3:$U$1101,16,0),"")</f>
        <v>1j</v>
      </c>
      <c r="AX460" s="185" t="str">
        <f>_xlfn.IFNA(VLOOKUP($AH460,Programma!$F$3:$V$1101,17,0),"")</f>
        <v>_</v>
      </c>
      <c r="AY460" s="185" t="str">
        <f>_xlfn.IFNA(VLOOKUP($AH460,Programma!$F$3:$W$1101,18,0),"")</f>
        <v>_</v>
      </c>
      <c r="AZ460" s="185" t="str">
        <f>_xlfn.IFNA(VLOOKUP($AH460,Programma!$F$3:$X$1101,19,0),"")</f>
        <v>_</v>
      </c>
      <c r="BA460" s="185" t="str">
        <f>_xlfn.IFNA(VLOOKUP($AH460,Programma!$F$3:$Y$1101,20,0),"")</f>
        <v>_</v>
      </c>
      <c r="BB460" s="182"/>
      <c r="BC460" s="181" t="str">
        <f>IF(Ruimtestaat[[#This Row],[Frequentie weekend]]="","",_xlfn.CONCAT(Ruimtestaat[[#This Row],[Ruimte code]],"-",Ruimtestaat[[#This Row],[Frequentie weekend]]," ",Ruimtestaat[[#This Row],[Vloer code]]))</f>
        <v/>
      </c>
      <c r="BD460" s="185" t="str">
        <f>_xlfn.IFNA(VLOOKUP($BC460,Programma!$F$3:$G$1101,2,0),"")</f>
        <v/>
      </c>
      <c r="BE460" s="185" t="str">
        <f>_xlfn.IFNA(VLOOKUP($BC460,Programma!$F$3:$H$1101,3,0),"")</f>
        <v/>
      </c>
      <c r="BF460" s="185" t="str">
        <f>_xlfn.IFNA(VLOOKUP($BC460,Programma!$F$3:$I$1101,4,0),"")</f>
        <v/>
      </c>
      <c r="BG460" s="185" t="str">
        <f>_xlfn.IFNA(VLOOKUP($BC460,Programma!$F$3:$J$1101,5,0),"")</f>
        <v/>
      </c>
      <c r="BH460" s="185" t="str">
        <f>_xlfn.IFNA(VLOOKUP($BC460,Programma!$F$3:$K$1101,6,0),"")</f>
        <v/>
      </c>
      <c r="BI460" s="185" t="str">
        <f>_xlfn.IFNA(VLOOKUP($BC460,Programma!$F$3:$L$1101,7,0),"")</f>
        <v/>
      </c>
      <c r="BJ460" s="185" t="str">
        <f>_xlfn.IFNA(VLOOKUP($BC460,Programma!$F$3:$M$1101,8,0),"")</f>
        <v/>
      </c>
      <c r="BK460" s="185" t="str">
        <f>_xlfn.IFNA(VLOOKUP($BC460,Programma!$F$3:$N$1101,9,0),"")</f>
        <v/>
      </c>
      <c r="BL460" s="185" t="str">
        <f>_xlfn.IFNA(VLOOKUP($BC460,Programma!$F$3:$O$1101,10,0),"")</f>
        <v/>
      </c>
      <c r="BM460" s="185" t="str">
        <f>_xlfn.IFNA(VLOOKUP($BC460,Programma!$F$3:$P$1101,11,0),"")</f>
        <v/>
      </c>
      <c r="BN460" s="185" t="str">
        <f>_xlfn.IFNA(VLOOKUP($BC460,Programma!$F$3:$Q$1101,12,0),"")</f>
        <v/>
      </c>
      <c r="BO460" s="185" t="str">
        <f>_xlfn.IFNA(VLOOKUP($BC460,Programma!$F$3:$R$1101,13,0),"")</f>
        <v/>
      </c>
      <c r="BP460" s="185" t="str">
        <f>_xlfn.IFNA(VLOOKUP($BC460,Programma!$F$3:$S$1101,14,0),"")</f>
        <v/>
      </c>
      <c r="BQ460" s="185" t="str">
        <f>_xlfn.IFNA(VLOOKUP($BC460,Programma!$F$3:$T$1101,15,0),"")</f>
        <v/>
      </c>
      <c r="BR460" s="185" t="str">
        <f>_xlfn.IFNA(VLOOKUP($BC460,Programma!$F$3:$U$1101,16,0),"")</f>
        <v/>
      </c>
      <c r="BS460" s="185" t="str">
        <f>_xlfn.IFNA(VLOOKUP($BC460,Programma!$F$3:$V$1101,17,0),"")</f>
        <v/>
      </c>
      <c r="BT460" s="185" t="str">
        <f>_xlfn.IFNA(VLOOKUP($BC460,Programma!$F$3:$W$1101,18,0),"")</f>
        <v/>
      </c>
      <c r="BU460" s="185" t="str">
        <f>_xlfn.IFNA(VLOOKUP($BC460,Programma!$F$3:$X$1101,19,0),"")</f>
        <v/>
      </c>
      <c r="BV460" s="185" t="str">
        <f>_xlfn.IFNA(VLOOKUP($BC460,Programma!$F$3:$Y$1101,20,0),"")</f>
        <v/>
      </c>
    </row>
    <row r="461" spans="1:74" s="78" customFormat="1" ht="15" customHeight="1">
      <c r="A461" s="99">
        <v>13</v>
      </c>
      <c r="B461" s="176" t="str">
        <f>VLOOKUP(Ruimtestaat[[#This Row],[Code]],Locaties[[Code]:[Locatie]],2,FALSE)</f>
        <v>OMBS Het Zeggelt (Meeuwen)</v>
      </c>
      <c r="C461" s="176" t="str">
        <f>VLOOKUP(Ruimtestaat[[#This Row],[Code]],Locaties[[#All],[Code]:[Adres]],4,FALSE)</f>
        <v>Meeuwenstraat 4</v>
      </c>
      <c r="D461" s="176" t="str">
        <f>VLOOKUP(Ruimtestaat[[#This Row],[Code]],Locaties[[#All],[Code]:[Postcode]],5,FALSE)</f>
        <v>7523 XV</v>
      </c>
      <c r="E461" s="176" t="str">
        <f>VLOOKUP(Ruimtestaat[[#This Row],[Code]],Locaties[#All],6,FALSE)</f>
        <v>Enschede</v>
      </c>
      <c r="F461" s="183"/>
      <c r="G461" s="99" t="s">
        <v>1800</v>
      </c>
      <c r="H461" s="99" t="s">
        <v>1710</v>
      </c>
      <c r="I461" s="183" t="s">
        <v>1658</v>
      </c>
      <c r="J461" s="99">
        <v>6</v>
      </c>
      <c r="K461" s="183" t="str">
        <f>VLOOKUP(Ruimtestaat[[#This Row],[Ruimte code]],Ruimtegroepen[[#All],[Code]:[Ruimte omschrijving]],2,FALSE)</f>
        <v>Gangen/hallen</v>
      </c>
      <c r="L461" s="99" t="s">
        <v>99</v>
      </c>
      <c r="M461" s="99" t="s">
        <v>36</v>
      </c>
      <c r="N461" s="177">
        <v>57</v>
      </c>
      <c r="O461" s="177"/>
      <c r="P461" s="178" t="str">
        <f>VLOOKUP(Ruimtestaat[[#This Row],[Ruimte code]],Ruimtegroepen[],4,FALSE)</f>
        <v>Ve</v>
      </c>
      <c r="Q461" s="149">
        <v>40</v>
      </c>
      <c r="R461" s="149" t="s">
        <v>2</v>
      </c>
      <c r="S461" s="149">
        <f>IF(Q461&gt;0,IF(RIGHT(Ruimtestaat[[#This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1" s="149">
        <f>IF(S461&gt;0,VLOOKUP($J461,Ruimtegroepen[],3,FALSE)*VLOOKUP($L461,Vloersoorten[],3,FALSE)*VLOOKUP($R461,Frequenties[],3,FALSE)*VLOOKUP($A461,Locaties[],3,FALSE),0)</f>
        <v>0</v>
      </c>
      <c r="U461" s="149">
        <f>Ruimtestaat[[#This Row],[Uitvoeringen werkdagen]]*Ruimtestaat[[#This Row],[Oppervlak (netto)]]</f>
        <v>11400</v>
      </c>
      <c r="V461" s="179">
        <f>IF(T461&gt;0,Ruimtestaat[[#This Row],[Prest. (m2 /jaar) werkdagen]]/Ruimtestaat[[#This Row],[Norm (m2/uur) werkdagen]],0)</f>
        <v>0</v>
      </c>
      <c r="W461" s="180">
        <f>Ruimtestaat[[#This Row],[uren / jaar werkdagen]]*Tariefsopbouw!$E$35</f>
        <v>0</v>
      </c>
      <c r="X461" s="149"/>
      <c r="Y461" s="149">
        <f>IF(Ruimtestaat[[#This Row],[Frequentie weekend]]&gt;0,VALUE(LEFT(X461,1))*Q461,0)</f>
        <v>0</v>
      </c>
      <c r="Z461" s="148">
        <f>IF($Y461&gt;0,VLOOKUP($J461,Ruimtegroepen[],3,FALSE)*VLOOKUP($L461,Vloersoorten[],3,FALSE)*VLOOKUP($X461,Frequenties[],3,FALSE)*VLOOKUP(Ruimtestaat[[#This Row],[Code]],Locaties[],3,FALSE),0)</f>
        <v>0</v>
      </c>
      <c r="AA461" s="148">
        <f>Ruimtestaat[[#This Row],[Uitvoeringen weekend]]*Ruimtestaat[[#This Row],[Oppervlak (netto)]]</f>
        <v>0</v>
      </c>
      <c r="AB461" s="148">
        <f>IF(Z461&gt;0,Ruimtestaat[[#This Row],[Prest. (m2 /jaar) weekend]]/Ruimtestaat[[#This Row],[Norm (m2/uur) weekend]],0)</f>
        <v>0</v>
      </c>
      <c r="AC461" s="180">
        <f>Ruimtestaat[[#This Row],[uren / jaar weekend]]*Tariefsopbouw!$D$40</f>
        <v>0</v>
      </c>
      <c r="AD461" s="179">
        <f>Ruimtestaat[[#This Row],[Prest. (m2 /jaar) weekend]]+Ruimtestaat[[#This Row],[Prest. (m2 /jaar) werkdagen]]</f>
        <v>11400</v>
      </c>
      <c r="AE461" s="179">
        <f>Ruimtestaat[[#This Row],[uren / jaar weekend]]+Ruimtestaat[[#This Row],[uren / jaar werkdagen]]</f>
        <v>0</v>
      </c>
      <c r="AF461" s="174">
        <f>Ruimtestaat[[#This Row],[kosten / jaar weekend]]+Ruimtestaat[[#This Row],[kosten / jaar werkdagen]]</f>
        <v>0</v>
      </c>
      <c r="AG461" s="174"/>
      <c r="AH461" s="181" t="str">
        <f>IF(Ruimtestaat[[#This Row],[Frequentie werkdagen]]="","",_xlfn.CONCAT(Ruimtestaat[[#This Row],[Ruimte code]],"-",Ruimtestaat[[#This Row],[Frequentie werkdagen]]," ",Ruimtestaat[[#This Row],[Vloer code]]))</f>
        <v>6-5w T</v>
      </c>
      <c r="AI461" s="185" t="str">
        <f>_xlfn.IFNA(VLOOKUP($AH461,Programma!$F$3:$G$1101,2,0),"")</f>
        <v>_</v>
      </c>
      <c r="AJ461" s="185" t="str">
        <f>_xlfn.IFNA(VLOOKUP($AH461,Programma!$F$3:$H$1101,3,0),"")</f>
        <v>5w</v>
      </c>
      <c r="AK461" s="185" t="str">
        <f>_xlfn.IFNA(VLOOKUP($AH461,Programma!$F$3:$I$1101,4,0),"")</f>
        <v>_</v>
      </c>
      <c r="AL461" s="185" t="str">
        <f>_xlfn.IFNA(VLOOKUP($AH461,Programma!$F$3:$J$1101,5,0),"")</f>
        <v>_</v>
      </c>
      <c r="AM461" s="185" t="str">
        <f>_xlfn.IFNA(VLOOKUP($AH461,Programma!$F$3:$K$1101,6,0),"")</f>
        <v>_</v>
      </c>
      <c r="AN461" s="185" t="str">
        <f>_xlfn.IFNA(VLOOKUP($AH461,Programma!$F$3:$L$1101,7,0),"")</f>
        <v>_</v>
      </c>
      <c r="AO461" s="185" t="str">
        <f>_xlfn.IFNA(VLOOKUP($AH461,Programma!$F$3:$M$1101,8,0),"")</f>
        <v>_</v>
      </c>
      <c r="AP461" s="185" t="str">
        <f>_xlfn.IFNA(VLOOKUP($AH461,Programma!$F$3:$N$1101,9,0),"")</f>
        <v>_</v>
      </c>
      <c r="AQ461" s="185" t="str">
        <f>_xlfn.IFNA(VLOOKUP($AH461,Programma!$F$3:$O$1101,10,0),"")</f>
        <v>5w</v>
      </c>
      <c r="AR461" s="185" t="str">
        <f>_xlfn.IFNA(VLOOKUP($AH461,Programma!$F$3:$P$1101,11,0),"")</f>
        <v>5w</v>
      </c>
      <c r="AS461" s="185" t="str">
        <f>_xlfn.IFNA(VLOOKUP($AH461,Programma!$F$3:$Q$1101,12,0),"")</f>
        <v>1w</v>
      </c>
      <c r="AT461" s="185" t="str">
        <f>_xlfn.IFNA(VLOOKUP($AH461,Programma!$F$3:$R$1101,13,0),"")</f>
        <v>1w</v>
      </c>
      <c r="AU461" s="185" t="str">
        <f>_xlfn.IFNA(VLOOKUP($AH461,Programma!$F$3:$S$1101,14,0),"")</f>
        <v>1m</v>
      </c>
      <c r="AV461" s="185" t="str">
        <f>_xlfn.IFNA(VLOOKUP($AH461,Programma!$F$3:$T$1101,15,0),"")</f>
        <v>2j</v>
      </c>
      <c r="AW461" s="185" t="str">
        <f>_xlfn.IFNA(VLOOKUP($AH461,Programma!$F$3:$U$1101,16,0),"")</f>
        <v>1j</v>
      </c>
      <c r="AX461" s="185" t="str">
        <f>_xlfn.IFNA(VLOOKUP($AH461,Programma!$F$3:$V$1101,17,0),"")</f>
        <v>_</v>
      </c>
      <c r="AY461" s="185" t="str">
        <f>_xlfn.IFNA(VLOOKUP($AH461,Programma!$F$3:$W$1101,18,0),"")</f>
        <v>_</v>
      </c>
      <c r="AZ461" s="185" t="str">
        <f>_xlfn.IFNA(VLOOKUP($AH461,Programma!$F$3:$X$1101,19,0),"")</f>
        <v>_</v>
      </c>
      <c r="BA461" s="185" t="str">
        <f>_xlfn.IFNA(VLOOKUP($AH461,Programma!$F$3:$Y$1101,20,0),"")</f>
        <v>_</v>
      </c>
      <c r="BB461" s="182"/>
      <c r="BC461" s="181" t="str">
        <f>IF(Ruimtestaat[[#This Row],[Frequentie weekend]]="","",_xlfn.CONCAT(Ruimtestaat[[#This Row],[Ruimte code]],"-",Ruimtestaat[[#This Row],[Frequentie weekend]]," ",Ruimtestaat[[#This Row],[Vloer code]]))</f>
        <v/>
      </c>
      <c r="BD461" s="185" t="str">
        <f>_xlfn.IFNA(VLOOKUP($BC461,Programma!$F$3:$G$1101,2,0),"")</f>
        <v/>
      </c>
      <c r="BE461" s="185" t="str">
        <f>_xlfn.IFNA(VLOOKUP($BC461,Programma!$F$3:$H$1101,3,0),"")</f>
        <v/>
      </c>
      <c r="BF461" s="185" t="str">
        <f>_xlfn.IFNA(VLOOKUP($BC461,Programma!$F$3:$I$1101,4,0),"")</f>
        <v/>
      </c>
      <c r="BG461" s="185" t="str">
        <f>_xlfn.IFNA(VLOOKUP($BC461,Programma!$F$3:$J$1101,5,0),"")</f>
        <v/>
      </c>
      <c r="BH461" s="185" t="str">
        <f>_xlfn.IFNA(VLOOKUP($BC461,Programma!$F$3:$K$1101,6,0),"")</f>
        <v/>
      </c>
      <c r="BI461" s="185" t="str">
        <f>_xlfn.IFNA(VLOOKUP($BC461,Programma!$F$3:$L$1101,7,0),"")</f>
        <v/>
      </c>
      <c r="BJ461" s="185" t="str">
        <f>_xlfn.IFNA(VLOOKUP($BC461,Programma!$F$3:$M$1101,8,0),"")</f>
        <v/>
      </c>
      <c r="BK461" s="185" t="str">
        <f>_xlfn.IFNA(VLOOKUP($BC461,Programma!$F$3:$N$1101,9,0),"")</f>
        <v/>
      </c>
      <c r="BL461" s="185" t="str">
        <f>_xlfn.IFNA(VLOOKUP($BC461,Programma!$F$3:$O$1101,10,0),"")</f>
        <v/>
      </c>
      <c r="BM461" s="185" t="str">
        <f>_xlfn.IFNA(VLOOKUP($BC461,Programma!$F$3:$P$1101,11,0),"")</f>
        <v/>
      </c>
      <c r="BN461" s="185" t="str">
        <f>_xlfn.IFNA(VLOOKUP($BC461,Programma!$F$3:$Q$1101,12,0),"")</f>
        <v/>
      </c>
      <c r="BO461" s="185" t="str">
        <f>_xlfn.IFNA(VLOOKUP($BC461,Programma!$F$3:$R$1101,13,0),"")</f>
        <v/>
      </c>
      <c r="BP461" s="185" t="str">
        <f>_xlfn.IFNA(VLOOKUP($BC461,Programma!$F$3:$S$1101,14,0),"")</f>
        <v/>
      </c>
      <c r="BQ461" s="185" t="str">
        <f>_xlfn.IFNA(VLOOKUP($BC461,Programma!$F$3:$T$1101,15,0),"")</f>
        <v/>
      </c>
      <c r="BR461" s="185" t="str">
        <f>_xlfn.IFNA(VLOOKUP($BC461,Programma!$F$3:$U$1101,16,0),"")</f>
        <v/>
      </c>
      <c r="BS461" s="185" t="str">
        <f>_xlfn.IFNA(VLOOKUP($BC461,Programma!$F$3:$V$1101,17,0),"")</f>
        <v/>
      </c>
      <c r="BT461" s="185" t="str">
        <f>_xlfn.IFNA(VLOOKUP($BC461,Programma!$F$3:$W$1101,18,0),"")</f>
        <v/>
      </c>
      <c r="BU461" s="185" t="str">
        <f>_xlfn.IFNA(VLOOKUP($BC461,Programma!$F$3:$X$1101,19,0),"")</f>
        <v/>
      </c>
      <c r="BV461" s="185" t="str">
        <f>_xlfn.IFNA(VLOOKUP($BC461,Programma!$F$3:$Y$1101,20,0),"")</f>
        <v/>
      </c>
    </row>
    <row r="462" spans="1:74" s="78" customFormat="1" ht="15" customHeight="1">
      <c r="A462" s="99">
        <v>14</v>
      </c>
      <c r="B462" s="176" t="str">
        <f>VLOOKUP(Ruimtestaat[[#This Row],[Code]],Locaties[[Code]:[Locatie]],2,FALSE)</f>
        <v>Prinseschool Prinsestraat</v>
      </c>
      <c r="C462" s="176" t="str">
        <f>VLOOKUP(Ruimtestaat[[#This Row],[Code]],Locaties[[#All],[Code]:[Adres]],4,FALSE)</f>
        <v>Prinsestraat 10-10a </v>
      </c>
      <c r="D462" s="176" t="str">
        <f>VLOOKUP(Ruimtestaat[[#This Row],[Code]],Locaties[[#All],[Code]:[Postcode]],5,FALSE)</f>
        <v>7513 AL</v>
      </c>
      <c r="E462" s="176" t="str">
        <f>VLOOKUP(Ruimtestaat[[#This Row],[Code]],Locaties[#All],6,FALSE)</f>
        <v>Enschede</v>
      </c>
      <c r="F462" s="183"/>
      <c r="G462" s="99" t="s">
        <v>1646</v>
      </c>
      <c r="H462" s="99" t="s">
        <v>1647</v>
      </c>
      <c r="I462" s="183" t="s">
        <v>38</v>
      </c>
      <c r="J462" s="99">
        <v>7</v>
      </c>
      <c r="K462" s="183" t="str">
        <f>VLOOKUP(Ruimtestaat[[#This Row],[Ruimte code]],Ruimtegroepen[[#All],[Code]:[Ruimte omschrijving]],2,FALSE)</f>
        <v>Entree</v>
      </c>
      <c r="L462" s="99" t="s">
        <v>99</v>
      </c>
      <c r="M462" s="99" t="s">
        <v>1700</v>
      </c>
      <c r="N462" s="177">
        <v>7</v>
      </c>
      <c r="O462" s="177"/>
      <c r="P462" s="178" t="str">
        <f>VLOOKUP(Ruimtestaat[[#This Row],[Ruimte code]],Ruimtegroepen[],4,FALSE)</f>
        <v>Ve</v>
      </c>
      <c r="Q462" s="149">
        <v>40</v>
      </c>
      <c r="R462" s="149" t="s">
        <v>2</v>
      </c>
      <c r="S462" s="149">
        <f>IF(Q462&gt;0,IF(RIGHT(Ruimtestaat[[#This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2" s="149">
        <f>IF(S462&gt;0,VLOOKUP($J462,Ruimtegroepen[],3,FALSE)*VLOOKUP($L462,Vloersoorten[],3,FALSE)*VLOOKUP($R462,Frequenties[],3,FALSE)*VLOOKUP($A462,Locaties[],3,FALSE),0)</f>
        <v>0</v>
      </c>
      <c r="U462" s="149">
        <f>Ruimtestaat[[#This Row],[Uitvoeringen werkdagen]]*Ruimtestaat[[#This Row],[Oppervlak (netto)]]</f>
        <v>1400</v>
      </c>
      <c r="V462" s="179">
        <f>IF(T462&gt;0,Ruimtestaat[[#This Row],[Prest. (m2 /jaar) werkdagen]]/Ruimtestaat[[#This Row],[Norm (m2/uur) werkdagen]],0)</f>
        <v>0</v>
      </c>
      <c r="W462" s="180">
        <f>Ruimtestaat[[#This Row],[uren / jaar werkdagen]]*Tariefsopbouw!$E$35</f>
        <v>0</v>
      </c>
      <c r="X462" s="149"/>
      <c r="Y462" s="149">
        <f>IF(Ruimtestaat[[#This Row],[Frequentie weekend]]&gt;0,VALUE(LEFT(X462,1))*Q462,0)</f>
        <v>0</v>
      </c>
      <c r="Z462" s="148">
        <f>IF($Y462&gt;0,VLOOKUP($J462,Ruimtegroepen[],3,FALSE)*VLOOKUP($L462,Vloersoorten[],3,FALSE)*VLOOKUP($X462,Frequenties[],3,FALSE)*VLOOKUP(Ruimtestaat[[#This Row],[Code]],Locaties[],3,FALSE),0)</f>
        <v>0</v>
      </c>
      <c r="AA462" s="148">
        <f>Ruimtestaat[[#This Row],[Uitvoeringen weekend]]*Ruimtestaat[[#This Row],[Oppervlak (netto)]]</f>
        <v>0</v>
      </c>
      <c r="AB462" s="148">
        <f>IF(Z462&gt;0,Ruimtestaat[[#This Row],[Prest. (m2 /jaar) weekend]]/Ruimtestaat[[#This Row],[Norm (m2/uur) weekend]],0)</f>
        <v>0</v>
      </c>
      <c r="AC462" s="180">
        <f>Ruimtestaat[[#This Row],[uren / jaar weekend]]*Tariefsopbouw!$D$40</f>
        <v>0</v>
      </c>
      <c r="AD462" s="179">
        <f>Ruimtestaat[[#This Row],[Prest. (m2 /jaar) weekend]]+Ruimtestaat[[#This Row],[Prest. (m2 /jaar) werkdagen]]</f>
        <v>1400</v>
      </c>
      <c r="AE462" s="179">
        <f>Ruimtestaat[[#This Row],[uren / jaar weekend]]+Ruimtestaat[[#This Row],[uren / jaar werkdagen]]</f>
        <v>0</v>
      </c>
      <c r="AF462" s="174">
        <f>Ruimtestaat[[#This Row],[kosten / jaar weekend]]+Ruimtestaat[[#This Row],[kosten / jaar werkdagen]]</f>
        <v>0</v>
      </c>
      <c r="AG462" s="174"/>
      <c r="AH462" s="181" t="str">
        <f>IF(Ruimtestaat[[#This Row],[Frequentie werkdagen]]="","",_xlfn.CONCAT(Ruimtestaat[[#This Row],[Ruimte code]],"-",Ruimtestaat[[#This Row],[Frequentie werkdagen]]," ",Ruimtestaat[[#This Row],[Vloer code]]))</f>
        <v>7-5w T</v>
      </c>
      <c r="AI462" s="185" t="str">
        <f>_xlfn.IFNA(VLOOKUP($AH462,Programma!$F$3:$G$1101,2,0),"")</f>
        <v>_</v>
      </c>
      <c r="AJ462" s="185" t="str">
        <f>_xlfn.IFNA(VLOOKUP($AH462,Programma!$F$3:$H$1101,3,0),"")</f>
        <v>5w</v>
      </c>
      <c r="AK462" s="185" t="str">
        <f>_xlfn.IFNA(VLOOKUP($AH462,Programma!$F$3:$I$1101,4,0),"")</f>
        <v>_</v>
      </c>
      <c r="AL462" s="185" t="str">
        <f>_xlfn.IFNA(VLOOKUP($AH462,Programma!$F$3:$J$1101,5,0),"")</f>
        <v>_</v>
      </c>
      <c r="AM462" s="185" t="str">
        <f>_xlfn.IFNA(VLOOKUP($AH462,Programma!$F$3:$K$1101,6,0),"")</f>
        <v>_</v>
      </c>
      <c r="AN462" s="185" t="str">
        <f>_xlfn.IFNA(VLOOKUP($AH462,Programma!$F$3:$L$1101,7,0),"")</f>
        <v>_</v>
      </c>
      <c r="AO462" s="185" t="str">
        <f>_xlfn.IFNA(VLOOKUP($AH462,Programma!$F$3:$M$1101,8,0),"")</f>
        <v>_</v>
      </c>
      <c r="AP462" s="185" t="str">
        <f>_xlfn.IFNA(VLOOKUP($AH462,Programma!$F$3:$N$1101,9,0),"")</f>
        <v>_</v>
      </c>
      <c r="AQ462" s="185" t="str">
        <f>_xlfn.IFNA(VLOOKUP($AH462,Programma!$F$3:$O$1101,10,0),"")</f>
        <v>5w</v>
      </c>
      <c r="AR462" s="185" t="str">
        <f>_xlfn.IFNA(VLOOKUP($AH462,Programma!$F$3:$P$1101,11,0),"")</f>
        <v>5w</v>
      </c>
      <c r="AS462" s="185" t="str">
        <f>_xlfn.IFNA(VLOOKUP($AH462,Programma!$F$3:$Q$1101,12,0),"")</f>
        <v>1w</v>
      </c>
      <c r="AT462" s="185" t="str">
        <f>_xlfn.IFNA(VLOOKUP($AH462,Programma!$F$3:$R$1101,13,0),"")</f>
        <v>1w</v>
      </c>
      <c r="AU462" s="185" t="str">
        <f>_xlfn.IFNA(VLOOKUP($AH462,Programma!$F$3:$S$1101,14,0),"")</f>
        <v>1m</v>
      </c>
      <c r="AV462" s="185" t="str">
        <f>_xlfn.IFNA(VLOOKUP($AH462,Programma!$F$3:$T$1101,15,0),"")</f>
        <v>2j</v>
      </c>
      <c r="AW462" s="185" t="str">
        <f>_xlfn.IFNA(VLOOKUP($AH462,Programma!$F$3:$U$1101,16,0),"")</f>
        <v>1j</v>
      </c>
      <c r="AX462" s="185" t="str">
        <f>_xlfn.IFNA(VLOOKUP($AH462,Programma!$F$3:$V$1101,17,0),"")</f>
        <v>_</v>
      </c>
      <c r="AY462" s="185" t="str">
        <f>_xlfn.IFNA(VLOOKUP($AH462,Programma!$F$3:$W$1101,18,0),"")</f>
        <v>_</v>
      </c>
      <c r="AZ462" s="185" t="str">
        <f>_xlfn.IFNA(VLOOKUP($AH462,Programma!$F$3:$X$1101,19,0),"")</f>
        <v>_</v>
      </c>
      <c r="BA462" s="185" t="str">
        <f>_xlfn.IFNA(VLOOKUP($AH462,Programma!$F$3:$Y$1101,20,0),"")</f>
        <v>_</v>
      </c>
      <c r="BB462" s="182"/>
      <c r="BC462" s="181" t="str">
        <f>IF(Ruimtestaat[[#This Row],[Frequentie weekend]]="","",_xlfn.CONCAT(Ruimtestaat[[#This Row],[Ruimte code]],"-",Ruimtestaat[[#This Row],[Frequentie weekend]]," ",Ruimtestaat[[#This Row],[Vloer code]]))</f>
        <v/>
      </c>
      <c r="BD462" s="185" t="str">
        <f>_xlfn.IFNA(VLOOKUP($BC462,Programma!$F$3:$G$1101,2,0),"")</f>
        <v/>
      </c>
      <c r="BE462" s="185" t="str">
        <f>_xlfn.IFNA(VLOOKUP($BC462,Programma!$F$3:$H$1101,3,0),"")</f>
        <v/>
      </c>
      <c r="BF462" s="185" t="str">
        <f>_xlfn.IFNA(VLOOKUP($BC462,Programma!$F$3:$I$1101,4,0),"")</f>
        <v/>
      </c>
      <c r="BG462" s="185" t="str">
        <f>_xlfn.IFNA(VLOOKUP($BC462,Programma!$F$3:$J$1101,5,0),"")</f>
        <v/>
      </c>
      <c r="BH462" s="185" t="str">
        <f>_xlfn.IFNA(VLOOKUP($BC462,Programma!$F$3:$K$1101,6,0),"")</f>
        <v/>
      </c>
      <c r="BI462" s="185" t="str">
        <f>_xlfn.IFNA(VLOOKUP($BC462,Programma!$F$3:$L$1101,7,0),"")</f>
        <v/>
      </c>
      <c r="BJ462" s="185" t="str">
        <f>_xlfn.IFNA(VLOOKUP($BC462,Programma!$F$3:$M$1101,8,0),"")</f>
        <v/>
      </c>
      <c r="BK462" s="185" t="str">
        <f>_xlfn.IFNA(VLOOKUP($BC462,Programma!$F$3:$N$1101,9,0),"")</f>
        <v/>
      </c>
      <c r="BL462" s="185" t="str">
        <f>_xlfn.IFNA(VLOOKUP($BC462,Programma!$F$3:$O$1101,10,0),"")</f>
        <v/>
      </c>
      <c r="BM462" s="185" t="str">
        <f>_xlfn.IFNA(VLOOKUP($BC462,Programma!$F$3:$P$1101,11,0),"")</f>
        <v/>
      </c>
      <c r="BN462" s="185" t="str">
        <f>_xlfn.IFNA(VLOOKUP($BC462,Programma!$F$3:$Q$1101,12,0),"")</f>
        <v/>
      </c>
      <c r="BO462" s="185" t="str">
        <f>_xlfn.IFNA(VLOOKUP($BC462,Programma!$F$3:$R$1101,13,0),"")</f>
        <v/>
      </c>
      <c r="BP462" s="185" t="str">
        <f>_xlfn.IFNA(VLOOKUP($BC462,Programma!$F$3:$S$1101,14,0),"")</f>
        <v/>
      </c>
      <c r="BQ462" s="185" t="str">
        <f>_xlfn.IFNA(VLOOKUP($BC462,Programma!$F$3:$T$1101,15,0),"")</f>
        <v/>
      </c>
      <c r="BR462" s="185" t="str">
        <f>_xlfn.IFNA(VLOOKUP($BC462,Programma!$F$3:$U$1101,16,0),"")</f>
        <v/>
      </c>
      <c r="BS462" s="185" t="str">
        <f>_xlfn.IFNA(VLOOKUP($BC462,Programma!$F$3:$V$1101,17,0),"")</f>
        <v/>
      </c>
      <c r="BT462" s="185" t="str">
        <f>_xlfn.IFNA(VLOOKUP($BC462,Programma!$F$3:$W$1101,18,0),"")</f>
        <v/>
      </c>
      <c r="BU462" s="185" t="str">
        <f>_xlfn.IFNA(VLOOKUP($BC462,Programma!$F$3:$X$1101,19,0),"")</f>
        <v/>
      </c>
      <c r="BV462" s="185" t="str">
        <f>_xlfn.IFNA(VLOOKUP($BC462,Programma!$F$3:$Y$1101,20,0),"")</f>
        <v/>
      </c>
    </row>
    <row r="463" spans="1:74" s="78" customFormat="1" ht="15" customHeight="1">
      <c r="A463" s="99">
        <v>14</v>
      </c>
      <c r="B463" s="176" t="str">
        <f>VLOOKUP(Ruimtestaat[[#This Row],[Code]],Locaties[[Code]:[Locatie]],2,FALSE)</f>
        <v>Prinseschool Prinsestraat</v>
      </c>
      <c r="C463" s="176" t="str">
        <f>VLOOKUP(Ruimtestaat[[#This Row],[Code]],Locaties[[#All],[Code]:[Adres]],4,FALSE)</f>
        <v>Prinsestraat 10-10a </v>
      </c>
      <c r="D463" s="176" t="str">
        <f>VLOOKUP(Ruimtestaat[[#This Row],[Code]],Locaties[[#All],[Code]:[Postcode]],5,FALSE)</f>
        <v>7513 AL</v>
      </c>
      <c r="E463" s="176" t="str">
        <f>VLOOKUP(Ruimtestaat[[#This Row],[Code]],Locaties[#All],6,FALSE)</f>
        <v>Enschede</v>
      </c>
      <c r="F463" s="183"/>
      <c r="G463" s="99" t="s">
        <v>1646</v>
      </c>
      <c r="H463" s="99" t="s">
        <v>1648</v>
      </c>
      <c r="I463" s="183" t="s">
        <v>1649</v>
      </c>
      <c r="J463" s="99">
        <v>2</v>
      </c>
      <c r="K463" s="183" t="str">
        <f>VLOOKUP(Ruimtestaat[[#This Row],[Ruimte code]],Ruimtegroepen[[#All],[Code]:[Ruimte omschrijving]],2,FALSE)</f>
        <v>Kantoren</v>
      </c>
      <c r="L463" s="99" t="s">
        <v>99</v>
      </c>
      <c r="M463" s="99" t="s">
        <v>36</v>
      </c>
      <c r="N463" s="177">
        <v>28</v>
      </c>
      <c r="O463" s="177"/>
      <c r="P463" s="178" t="str">
        <f>VLOOKUP(Ruimtestaat[[#This Row],[Ruimte code]],Ruimtegroepen[],4,FALSE)</f>
        <v>Bu</v>
      </c>
      <c r="Q463" s="149">
        <v>40</v>
      </c>
      <c r="R463" s="149" t="s">
        <v>18</v>
      </c>
      <c r="S463" s="149">
        <f>IF(Q463&gt;0,IF(RIGHT(Ruimtestaat[[#This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63" s="149">
        <f>IF(S463&gt;0,VLOOKUP($J463,Ruimtegroepen[],3,FALSE)*VLOOKUP($L463,Vloersoorten[],3,FALSE)*VLOOKUP($R463,Frequenties[],3,FALSE)*VLOOKUP($A463,Locaties[],3,FALSE),0)</f>
        <v>0</v>
      </c>
      <c r="U463" s="149">
        <f>Ruimtestaat[[#This Row],[Uitvoeringen werkdagen]]*Ruimtestaat[[#This Row],[Oppervlak (netto)]]</f>
        <v>3360</v>
      </c>
      <c r="V463" s="179">
        <f>IF(T463&gt;0,Ruimtestaat[[#This Row],[Prest. (m2 /jaar) werkdagen]]/Ruimtestaat[[#This Row],[Norm (m2/uur) werkdagen]],0)</f>
        <v>0</v>
      </c>
      <c r="W463" s="180">
        <f>Ruimtestaat[[#This Row],[uren / jaar werkdagen]]*Tariefsopbouw!$E$35</f>
        <v>0</v>
      </c>
      <c r="X463" s="149"/>
      <c r="Y463" s="149">
        <f>IF(Ruimtestaat[[#This Row],[Frequentie weekend]]&gt;0,VALUE(LEFT(X463,1))*Q463,0)</f>
        <v>0</v>
      </c>
      <c r="Z463" s="148">
        <f>IF($Y463&gt;0,VLOOKUP($J463,Ruimtegroepen[],3,FALSE)*VLOOKUP($L463,Vloersoorten[],3,FALSE)*VLOOKUP($X463,Frequenties[],3,FALSE)*VLOOKUP(Ruimtestaat[[#This Row],[Code]],Locaties[],3,FALSE),0)</f>
        <v>0</v>
      </c>
      <c r="AA463" s="148">
        <f>Ruimtestaat[[#This Row],[Uitvoeringen weekend]]*Ruimtestaat[[#This Row],[Oppervlak (netto)]]</f>
        <v>0</v>
      </c>
      <c r="AB463" s="148">
        <f>IF(Z463&gt;0,Ruimtestaat[[#This Row],[Prest. (m2 /jaar) weekend]]/Ruimtestaat[[#This Row],[Norm (m2/uur) weekend]],0)</f>
        <v>0</v>
      </c>
      <c r="AC463" s="180">
        <f>Ruimtestaat[[#This Row],[uren / jaar weekend]]*Tariefsopbouw!$D$40</f>
        <v>0</v>
      </c>
      <c r="AD463" s="179">
        <f>Ruimtestaat[[#This Row],[Prest. (m2 /jaar) weekend]]+Ruimtestaat[[#This Row],[Prest. (m2 /jaar) werkdagen]]</f>
        <v>3360</v>
      </c>
      <c r="AE463" s="179">
        <f>Ruimtestaat[[#This Row],[uren / jaar weekend]]+Ruimtestaat[[#This Row],[uren / jaar werkdagen]]</f>
        <v>0</v>
      </c>
      <c r="AF463" s="174">
        <f>Ruimtestaat[[#This Row],[kosten / jaar weekend]]+Ruimtestaat[[#This Row],[kosten / jaar werkdagen]]</f>
        <v>0</v>
      </c>
      <c r="AG463" s="174"/>
      <c r="AH463" s="181" t="str">
        <f>IF(Ruimtestaat[[#This Row],[Frequentie werkdagen]]="","",_xlfn.CONCAT(Ruimtestaat[[#This Row],[Ruimte code]],"-",Ruimtestaat[[#This Row],[Frequentie werkdagen]]," ",Ruimtestaat[[#This Row],[Vloer code]]))</f>
        <v>2-3w T</v>
      </c>
      <c r="AI463" s="185" t="str">
        <f>_xlfn.IFNA(VLOOKUP($AH463,Programma!$F$3:$G$1101,2,0),"")</f>
        <v>2w</v>
      </c>
      <c r="AJ463" s="185" t="str">
        <f>_xlfn.IFNA(VLOOKUP($AH463,Programma!$F$3:$H$1101,3,0),"")</f>
        <v>1w</v>
      </c>
      <c r="AK463" s="185" t="str">
        <f>_xlfn.IFNA(VLOOKUP($AH463,Programma!$F$3:$I$1101,4,0),"")</f>
        <v>_</v>
      </c>
      <c r="AL463" s="185" t="str">
        <f>_xlfn.IFNA(VLOOKUP($AH463,Programma!$F$3:$J$1101,5,0),"")</f>
        <v>_</v>
      </c>
      <c r="AM463" s="185" t="str">
        <f>_xlfn.IFNA(VLOOKUP($AH463,Programma!$F$3:$K$1101,6,0),"")</f>
        <v>_</v>
      </c>
      <c r="AN463" s="185" t="str">
        <f>_xlfn.IFNA(VLOOKUP($AH463,Programma!$F$3:$L$1101,7,0),"")</f>
        <v>_</v>
      </c>
      <c r="AO463" s="185" t="str">
        <f>_xlfn.IFNA(VLOOKUP($AH463,Programma!$F$3:$M$1101,8,0),"")</f>
        <v>_</v>
      </c>
      <c r="AP463" s="185" t="str">
        <f>_xlfn.IFNA(VLOOKUP($AH463,Programma!$F$3:$N$1101,9,0),"")</f>
        <v>_</v>
      </c>
      <c r="AQ463" s="185" t="str">
        <f>_xlfn.IFNA(VLOOKUP($AH463,Programma!$F$3:$O$1101,10,0),"")</f>
        <v>3w</v>
      </c>
      <c r="AR463" s="185" t="str">
        <f>_xlfn.IFNA(VLOOKUP($AH463,Programma!$F$3:$P$1101,11,0),"")</f>
        <v>3w</v>
      </c>
      <c r="AS463" s="185" t="str">
        <f>_xlfn.IFNA(VLOOKUP($AH463,Programma!$F$3:$Q$1101,12,0),"")</f>
        <v>1w</v>
      </c>
      <c r="AT463" s="185" t="str">
        <f>_xlfn.IFNA(VLOOKUP($AH463,Programma!$F$3:$R$1101,13,0),"")</f>
        <v>1w</v>
      </c>
      <c r="AU463" s="185" t="str">
        <f>_xlfn.IFNA(VLOOKUP($AH463,Programma!$F$3:$S$1101,14,0),"")</f>
        <v>1m</v>
      </c>
      <c r="AV463" s="185" t="str">
        <f>_xlfn.IFNA(VLOOKUP($AH463,Programma!$F$3:$T$1101,15,0),"")</f>
        <v>2j</v>
      </c>
      <c r="AW463" s="185" t="str">
        <f>_xlfn.IFNA(VLOOKUP($AH463,Programma!$F$3:$U$1101,16,0),"")</f>
        <v>1j</v>
      </c>
      <c r="AX463" s="185" t="str">
        <f>_xlfn.IFNA(VLOOKUP($AH463,Programma!$F$3:$V$1101,17,0),"")</f>
        <v>_</v>
      </c>
      <c r="AY463" s="185" t="str">
        <f>_xlfn.IFNA(VLOOKUP($AH463,Programma!$F$3:$W$1101,18,0),"")</f>
        <v>_</v>
      </c>
      <c r="AZ463" s="185" t="str">
        <f>_xlfn.IFNA(VLOOKUP($AH463,Programma!$F$3:$X$1101,19,0),"")</f>
        <v>_</v>
      </c>
      <c r="BA463" s="185" t="str">
        <f>_xlfn.IFNA(VLOOKUP($AH463,Programma!$F$3:$Y$1101,20,0),"")</f>
        <v>_</v>
      </c>
      <c r="BB463" s="182"/>
      <c r="BC463" s="181" t="str">
        <f>IF(Ruimtestaat[[#This Row],[Frequentie weekend]]="","",_xlfn.CONCAT(Ruimtestaat[[#This Row],[Ruimte code]],"-",Ruimtestaat[[#This Row],[Frequentie weekend]]," ",Ruimtestaat[[#This Row],[Vloer code]]))</f>
        <v/>
      </c>
      <c r="BD463" s="185" t="str">
        <f>_xlfn.IFNA(VLOOKUP($BC463,Programma!$F$3:$G$1101,2,0),"")</f>
        <v/>
      </c>
      <c r="BE463" s="185" t="str">
        <f>_xlfn.IFNA(VLOOKUP($BC463,Programma!$F$3:$H$1101,3,0),"")</f>
        <v/>
      </c>
      <c r="BF463" s="185" t="str">
        <f>_xlfn.IFNA(VLOOKUP($BC463,Programma!$F$3:$I$1101,4,0),"")</f>
        <v/>
      </c>
      <c r="BG463" s="185" t="str">
        <f>_xlfn.IFNA(VLOOKUP($BC463,Programma!$F$3:$J$1101,5,0),"")</f>
        <v/>
      </c>
      <c r="BH463" s="185" t="str">
        <f>_xlfn.IFNA(VLOOKUP($BC463,Programma!$F$3:$K$1101,6,0),"")</f>
        <v/>
      </c>
      <c r="BI463" s="185" t="str">
        <f>_xlfn.IFNA(VLOOKUP($BC463,Programma!$F$3:$L$1101,7,0),"")</f>
        <v/>
      </c>
      <c r="BJ463" s="185" t="str">
        <f>_xlfn.IFNA(VLOOKUP($BC463,Programma!$F$3:$M$1101,8,0),"")</f>
        <v/>
      </c>
      <c r="BK463" s="185" t="str">
        <f>_xlfn.IFNA(VLOOKUP($BC463,Programma!$F$3:$N$1101,9,0),"")</f>
        <v/>
      </c>
      <c r="BL463" s="185" t="str">
        <f>_xlfn.IFNA(VLOOKUP($BC463,Programma!$F$3:$O$1101,10,0),"")</f>
        <v/>
      </c>
      <c r="BM463" s="185" t="str">
        <f>_xlfn.IFNA(VLOOKUP($BC463,Programma!$F$3:$P$1101,11,0),"")</f>
        <v/>
      </c>
      <c r="BN463" s="185" t="str">
        <f>_xlfn.IFNA(VLOOKUP($BC463,Programma!$F$3:$Q$1101,12,0),"")</f>
        <v/>
      </c>
      <c r="BO463" s="185" t="str">
        <f>_xlfn.IFNA(VLOOKUP($BC463,Programma!$F$3:$R$1101,13,0),"")</f>
        <v/>
      </c>
      <c r="BP463" s="185" t="str">
        <f>_xlfn.IFNA(VLOOKUP($BC463,Programma!$F$3:$S$1101,14,0),"")</f>
        <v/>
      </c>
      <c r="BQ463" s="185" t="str">
        <f>_xlfn.IFNA(VLOOKUP($BC463,Programma!$F$3:$T$1101,15,0),"")</f>
        <v/>
      </c>
      <c r="BR463" s="185" t="str">
        <f>_xlfn.IFNA(VLOOKUP($BC463,Programma!$F$3:$U$1101,16,0),"")</f>
        <v/>
      </c>
      <c r="BS463" s="185" t="str">
        <f>_xlfn.IFNA(VLOOKUP($BC463,Programma!$F$3:$V$1101,17,0),"")</f>
        <v/>
      </c>
      <c r="BT463" s="185" t="str">
        <f>_xlfn.IFNA(VLOOKUP($BC463,Programma!$F$3:$W$1101,18,0),"")</f>
        <v/>
      </c>
      <c r="BU463" s="185" t="str">
        <f>_xlfn.IFNA(VLOOKUP($BC463,Programma!$F$3:$X$1101,19,0),"")</f>
        <v/>
      </c>
      <c r="BV463" s="185" t="str">
        <f>_xlfn.IFNA(VLOOKUP($BC463,Programma!$F$3:$Y$1101,20,0),"")</f>
        <v/>
      </c>
    </row>
    <row r="464" spans="1:74" s="78" customFormat="1" ht="15" customHeight="1">
      <c r="A464" s="99">
        <v>14</v>
      </c>
      <c r="B464" s="176" t="str">
        <f>VLOOKUP(Ruimtestaat[[#This Row],[Code]],Locaties[[Code]:[Locatie]],2,FALSE)</f>
        <v>Prinseschool Prinsestraat</v>
      </c>
      <c r="C464" s="176" t="str">
        <f>VLOOKUP(Ruimtestaat[[#This Row],[Code]],Locaties[[#All],[Code]:[Adres]],4,FALSE)</f>
        <v>Prinsestraat 10-10a </v>
      </c>
      <c r="D464" s="176" t="str">
        <f>VLOOKUP(Ruimtestaat[[#This Row],[Code]],Locaties[[#All],[Code]:[Postcode]],5,FALSE)</f>
        <v>7513 AL</v>
      </c>
      <c r="E464" s="176" t="str">
        <f>VLOOKUP(Ruimtestaat[[#This Row],[Code]],Locaties[#All],6,FALSE)</f>
        <v>Enschede</v>
      </c>
      <c r="F464" s="183"/>
      <c r="G464" s="99" t="s">
        <v>1646</v>
      </c>
      <c r="H464" s="99" t="s">
        <v>1650</v>
      </c>
      <c r="I464" s="183" t="s">
        <v>1802</v>
      </c>
      <c r="J464" s="99">
        <v>20</v>
      </c>
      <c r="K464" s="183" t="str">
        <f>VLOOKUP(Ruimtestaat[[#This Row],[Ruimte code]],Ruimtegroepen[[#All],[Code]:[Ruimte omschrijving]],2,FALSE)</f>
        <v>Niet in Onderhoud</v>
      </c>
      <c r="L464" s="99"/>
      <c r="M464" s="99"/>
      <c r="N464" s="177"/>
      <c r="O464" s="177"/>
      <c r="P464" s="178">
        <f>VLOOKUP(Ruimtestaat[[#This Row],[Ruimte code]],Ruimtegroepen[],4,FALSE)</f>
        <v>0</v>
      </c>
      <c r="Q464" s="149"/>
      <c r="R464" s="149"/>
      <c r="S464" s="149">
        <f>IF(Q464&gt;0,IF(RIGHT(Ruimtestaat[[#This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4" s="149">
        <f>IF(S464&gt;0,VLOOKUP($J464,Ruimtegroepen[],3,FALSE)*VLOOKUP($L464,Vloersoorten[],3,FALSE)*VLOOKUP($R464,Frequenties[],3,FALSE)*VLOOKUP($A464,Locaties[],3,FALSE),0)</f>
        <v>0</v>
      </c>
      <c r="U464" s="149">
        <f>Ruimtestaat[[#This Row],[Uitvoeringen werkdagen]]*Ruimtestaat[[#This Row],[Oppervlak (netto)]]</f>
        <v>0</v>
      </c>
      <c r="V464" s="179">
        <f>IF(T464&gt;0,Ruimtestaat[[#This Row],[Prest. (m2 /jaar) werkdagen]]/Ruimtestaat[[#This Row],[Norm (m2/uur) werkdagen]],0)</f>
        <v>0</v>
      </c>
      <c r="W464" s="180">
        <f>Ruimtestaat[[#This Row],[uren / jaar werkdagen]]*Tariefsopbouw!$E$35</f>
        <v>0</v>
      </c>
      <c r="X464" s="149"/>
      <c r="Y464" s="149">
        <f>IF(Ruimtestaat[[#This Row],[Frequentie weekend]]&gt;0,VALUE(LEFT(X464,1))*Q464,0)</f>
        <v>0</v>
      </c>
      <c r="Z464" s="148">
        <f>IF($Y464&gt;0,VLOOKUP($J464,Ruimtegroepen[],3,FALSE)*VLOOKUP($L464,Vloersoorten[],3,FALSE)*VLOOKUP($X464,Frequenties[],3,FALSE)*VLOOKUP(Ruimtestaat[[#This Row],[Code]],Locaties[],3,FALSE),0)</f>
        <v>0</v>
      </c>
      <c r="AA464" s="148">
        <f>Ruimtestaat[[#This Row],[Uitvoeringen weekend]]*Ruimtestaat[[#This Row],[Oppervlak (netto)]]</f>
        <v>0</v>
      </c>
      <c r="AB464" s="148">
        <f>IF(Z464&gt;0,Ruimtestaat[[#This Row],[Prest. (m2 /jaar) weekend]]/Ruimtestaat[[#This Row],[Norm (m2/uur) weekend]],0)</f>
        <v>0</v>
      </c>
      <c r="AC464" s="180">
        <f>Ruimtestaat[[#This Row],[uren / jaar weekend]]*Tariefsopbouw!$D$40</f>
        <v>0</v>
      </c>
      <c r="AD464" s="179">
        <f>Ruimtestaat[[#This Row],[Prest. (m2 /jaar) weekend]]+Ruimtestaat[[#This Row],[Prest. (m2 /jaar) werkdagen]]</f>
        <v>0</v>
      </c>
      <c r="AE464" s="179">
        <f>Ruimtestaat[[#This Row],[uren / jaar weekend]]+Ruimtestaat[[#This Row],[uren / jaar werkdagen]]</f>
        <v>0</v>
      </c>
      <c r="AF464" s="174">
        <f>Ruimtestaat[[#This Row],[kosten / jaar weekend]]+Ruimtestaat[[#This Row],[kosten / jaar werkdagen]]</f>
        <v>0</v>
      </c>
      <c r="AG464" s="174"/>
      <c r="AH464" s="181" t="str">
        <f>IF(Ruimtestaat[[#This Row],[Frequentie werkdagen]]="","",_xlfn.CONCAT(Ruimtestaat[[#This Row],[Ruimte code]],"-",Ruimtestaat[[#This Row],[Frequentie werkdagen]]," ",Ruimtestaat[[#This Row],[Vloer code]]))</f>
        <v/>
      </c>
      <c r="AI464" s="185" t="str">
        <f>_xlfn.IFNA(VLOOKUP($AH464,Programma!$F$3:$G$1101,2,0),"")</f>
        <v/>
      </c>
      <c r="AJ464" s="185" t="str">
        <f>_xlfn.IFNA(VLOOKUP($AH464,Programma!$F$3:$H$1101,3,0),"")</f>
        <v/>
      </c>
      <c r="AK464" s="185" t="str">
        <f>_xlfn.IFNA(VLOOKUP($AH464,Programma!$F$3:$I$1101,4,0),"")</f>
        <v/>
      </c>
      <c r="AL464" s="185" t="str">
        <f>_xlfn.IFNA(VLOOKUP($AH464,Programma!$F$3:$J$1101,5,0),"")</f>
        <v/>
      </c>
      <c r="AM464" s="185" t="str">
        <f>_xlfn.IFNA(VLOOKUP($AH464,Programma!$F$3:$K$1101,6,0),"")</f>
        <v/>
      </c>
      <c r="AN464" s="185" t="str">
        <f>_xlfn.IFNA(VLOOKUP($AH464,Programma!$F$3:$L$1101,7,0),"")</f>
        <v/>
      </c>
      <c r="AO464" s="185" t="str">
        <f>_xlfn.IFNA(VLOOKUP($AH464,Programma!$F$3:$M$1101,8,0),"")</f>
        <v/>
      </c>
      <c r="AP464" s="185" t="str">
        <f>_xlfn.IFNA(VLOOKUP($AH464,Programma!$F$3:$N$1101,9,0),"")</f>
        <v/>
      </c>
      <c r="AQ464" s="185" t="str">
        <f>_xlfn.IFNA(VLOOKUP($AH464,Programma!$F$3:$O$1101,10,0),"")</f>
        <v/>
      </c>
      <c r="AR464" s="185" t="str">
        <f>_xlfn.IFNA(VLOOKUP($AH464,Programma!$F$3:$P$1101,11,0),"")</f>
        <v/>
      </c>
      <c r="AS464" s="185" t="str">
        <f>_xlfn.IFNA(VLOOKUP($AH464,Programma!$F$3:$Q$1101,12,0),"")</f>
        <v/>
      </c>
      <c r="AT464" s="185" t="str">
        <f>_xlfn.IFNA(VLOOKUP($AH464,Programma!$F$3:$R$1101,13,0),"")</f>
        <v/>
      </c>
      <c r="AU464" s="185" t="str">
        <f>_xlfn.IFNA(VLOOKUP($AH464,Programma!$F$3:$S$1101,14,0),"")</f>
        <v/>
      </c>
      <c r="AV464" s="185" t="str">
        <f>_xlfn.IFNA(VLOOKUP($AH464,Programma!$F$3:$T$1101,15,0),"")</f>
        <v/>
      </c>
      <c r="AW464" s="185" t="str">
        <f>_xlfn.IFNA(VLOOKUP($AH464,Programma!$F$3:$U$1101,16,0),"")</f>
        <v/>
      </c>
      <c r="AX464" s="185" t="str">
        <f>_xlfn.IFNA(VLOOKUP($AH464,Programma!$F$3:$V$1101,17,0),"")</f>
        <v/>
      </c>
      <c r="AY464" s="185" t="str">
        <f>_xlfn.IFNA(VLOOKUP($AH464,Programma!$F$3:$W$1101,18,0),"")</f>
        <v/>
      </c>
      <c r="AZ464" s="185" t="str">
        <f>_xlfn.IFNA(VLOOKUP($AH464,Programma!$F$3:$X$1101,19,0),"")</f>
        <v/>
      </c>
      <c r="BA464" s="185" t="str">
        <f>_xlfn.IFNA(VLOOKUP($AH464,Programma!$F$3:$Y$1101,20,0),"")</f>
        <v/>
      </c>
      <c r="BB464" s="182"/>
      <c r="BC464" s="181" t="str">
        <f>IF(Ruimtestaat[[#This Row],[Frequentie weekend]]="","",_xlfn.CONCAT(Ruimtestaat[[#This Row],[Ruimte code]],"-",Ruimtestaat[[#This Row],[Frequentie weekend]]," ",Ruimtestaat[[#This Row],[Vloer code]]))</f>
        <v/>
      </c>
      <c r="BD464" s="185" t="str">
        <f>_xlfn.IFNA(VLOOKUP($BC464,Programma!$F$3:$G$1101,2,0),"")</f>
        <v/>
      </c>
      <c r="BE464" s="185" t="str">
        <f>_xlfn.IFNA(VLOOKUP($BC464,Programma!$F$3:$H$1101,3,0),"")</f>
        <v/>
      </c>
      <c r="BF464" s="185" t="str">
        <f>_xlfn.IFNA(VLOOKUP($BC464,Programma!$F$3:$I$1101,4,0),"")</f>
        <v/>
      </c>
      <c r="BG464" s="185" t="str">
        <f>_xlfn.IFNA(VLOOKUP($BC464,Programma!$F$3:$J$1101,5,0),"")</f>
        <v/>
      </c>
      <c r="BH464" s="185" t="str">
        <f>_xlfn.IFNA(VLOOKUP($BC464,Programma!$F$3:$K$1101,6,0),"")</f>
        <v/>
      </c>
      <c r="BI464" s="185" t="str">
        <f>_xlfn.IFNA(VLOOKUP($BC464,Programma!$F$3:$L$1101,7,0),"")</f>
        <v/>
      </c>
      <c r="BJ464" s="185" t="str">
        <f>_xlfn.IFNA(VLOOKUP($BC464,Programma!$F$3:$M$1101,8,0),"")</f>
        <v/>
      </c>
      <c r="BK464" s="185" t="str">
        <f>_xlfn.IFNA(VLOOKUP($BC464,Programma!$F$3:$N$1101,9,0),"")</f>
        <v/>
      </c>
      <c r="BL464" s="185" t="str">
        <f>_xlfn.IFNA(VLOOKUP($BC464,Programma!$F$3:$O$1101,10,0),"")</f>
        <v/>
      </c>
      <c r="BM464" s="185" t="str">
        <f>_xlfn.IFNA(VLOOKUP($BC464,Programma!$F$3:$P$1101,11,0),"")</f>
        <v/>
      </c>
      <c r="BN464" s="185" t="str">
        <f>_xlfn.IFNA(VLOOKUP($BC464,Programma!$F$3:$Q$1101,12,0),"")</f>
        <v/>
      </c>
      <c r="BO464" s="185" t="str">
        <f>_xlfn.IFNA(VLOOKUP($BC464,Programma!$F$3:$R$1101,13,0),"")</f>
        <v/>
      </c>
      <c r="BP464" s="185" t="str">
        <f>_xlfn.IFNA(VLOOKUP($BC464,Programma!$F$3:$S$1101,14,0),"")</f>
        <v/>
      </c>
      <c r="BQ464" s="185" t="str">
        <f>_xlfn.IFNA(VLOOKUP($BC464,Programma!$F$3:$T$1101,15,0),"")</f>
        <v/>
      </c>
      <c r="BR464" s="185" t="str">
        <f>_xlfn.IFNA(VLOOKUP($BC464,Programma!$F$3:$U$1101,16,0),"")</f>
        <v/>
      </c>
      <c r="BS464" s="185" t="str">
        <f>_xlfn.IFNA(VLOOKUP($BC464,Programma!$F$3:$V$1101,17,0),"")</f>
        <v/>
      </c>
      <c r="BT464" s="185" t="str">
        <f>_xlfn.IFNA(VLOOKUP($BC464,Programma!$F$3:$W$1101,18,0),"")</f>
        <v/>
      </c>
      <c r="BU464" s="185" t="str">
        <f>_xlfn.IFNA(VLOOKUP($BC464,Programma!$F$3:$X$1101,19,0),"")</f>
        <v/>
      </c>
      <c r="BV464" s="185" t="str">
        <f>_xlfn.IFNA(VLOOKUP($BC464,Programma!$F$3:$Y$1101,20,0),"")</f>
        <v/>
      </c>
    </row>
    <row r="465" spans="1:74" s="78" customFormat="1" ht="15" customHeight="1">
      <c r="A465" s="99">
        <v>14</v>
      </c>
      <c r="B465" s="176" t="str">
        <f>VLOOKUP(Ruimtestaat[[#This Row],[Code]],Locaties[[Code]:[Locatie]],2,FALSE)</f>
        <v>Prinseschool Prinsestraat</v>
      </c>
      <c r="C465" s="176" t="str">
        <f>VLOOKUP(Ruimtestaat[[#This Row],[Code]],Locaties[[#All],[Code]:[Adres]],4,FALSE)</f>
        <v>Prinsestraat 10-10a </v>
      </c>
      <c r="D465" s="176" t="str">
        <f>VLOOKUP(Ruimtestaat[[#This Row],[Code]],Locaties[[#All],[Code]:[Postcode]],5,FALSE)</f>
        <v>7513 AL</v>
      </c>
      <c r="E465" s="176" t="str">
        <f>VLOOKUP(Ruimtestaat[[#This Row],[Code]],Locaties[#All],6,FALSE)</f>
        <v>Enschede</v>
      </c>
      <c r="F465" s="183"/>
      <c r="G465" s="99" t="s">
        <v>1646</v>
      </c>
      <c r="H465" s="99" t="s">
        <v>1652</v>
      </c>
      <c r="I465" s="183" t="s">
        <v>1655</v>
      </c>
      <c r="J465" s="99">
        <v>5</v>
      </c>
      <c r="K465" s="183" t="str">
        <f>VLOOKUP(Ruimtestaat[[#This Row],[Ruimte code]],Ruimtegroepen[[#All],[Code]:[Ruimte omschrijving]],2,FALSE)</f>
        <v>Sanitair</v>
      </c>
      <c r="L465" s="99" t="s">
        <v>101</v>
      </c>
      <c r="M465" s="99" t="s">
        <v>1682</v>
      </c>
      <c r="N465" s="177">
        <v>3</v>
      </c>
      <c r="O465" s="177"/>
      <c r="P465" s="178" t="str">
        <f>VLOOKUP(Ruimtestaat[[#This Row],[Ruimte code]],Ruimtegroepen[],4,FALSE)</f>
        <v>Sa</v>
      </c>
      <c r="Q465" s="149">
        <v>40</v>
      </c>
      <c r="R465" s="149" t="s">
        <v>2</v>
      </c>
      <c r="S465" s="149">
        <f>IF(Q465&gt;0,IF(RIGHT(Ruimtestaat[[#This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5" s="149">
        <f>IF(S465&gt;0,VLOOKUP($J465,Ruimtegroepen[],3,FALSE)*VLOOKUP($L465,Vloersoorten[],3,FALSE)*VLOOKUP($R465,Frequenties[],3,FALSE)*VLOOKUP($A465,Locaties[],3,FALSE),0)</f>
        <v>0</v>
      </c>
      <c r="U465" s="149">
        <f>Ruimtestaat[[#This Row],[Uitvoeringen werkdagen]]*Ruimtestaat[[#This Row],[Oppervlak (netto)]]</f>
        <v>600</v>
      </c>
      <c r="V465" s="179">
        <f>IF(T465&gt;0,Ruimtestaat[[#This Row],[Prest. (m2 /jaar) werkdagen]]/Ruimtestaat[[#This Row],[Norm (m2/uur) werkdagen]],0)</f>
        <v>0</v>
      </c>
      <c r="W465" s="180">
        <f>Ruimtestaat[[#This Row],[uren / jaar werkdagen]]*Tariefsopbouw!$E$35</f>
        <v>0</v>
      </c>
      <c r="X465" s="149"/>
      <c r="Y465" s="149">
        <f>IF(Ruimtestaat[[#This Row],[Frequentie weekend]]&gt;0,VALUE(LEFT(X465,1))*Q465,0)</f>
        <v>0</v>
      </c>
      <c r="Z465" s="148">
        <f>IF($Y465&gt;0,VLOOKUP($J465,Ruimtegroepen[],3,FALSE)*VLOOKUP($L465,Vloersoorten[],3,FALSE)*VLOOKUP($X465,Frequenties[],3,FALSE)*VLOOKUP(Ruimtestaat[[#This Row],[Code]],Locaties[],3,FALSE),0)</f>
        <v>0</v>
      </c>
      <c r="AA465" s="148">
        <f>Ruimtestaat[[#This Row],[Uitvoeringen weekend]]*Ruimtestaat[[#This Row],[Oppervlak (netto)]]</f>
        <v>0</v>
      </c>
      <c r="AB465" s="148">
        <f>IF(Z465&gt;0,Ruimtestaat[[#This Row],[Prest. (m2 /jaar) weekend]]/Ruimtestaat[[#This Row],[Norm (m2/uur) weekend]],0)</f>
        <v>0</v>
      </c>
      <c r="AC465" s="180">
        <f>Ruimtestaat[[#This Row],[uren / jaar weekend]]*Tariefsopbouw!$D$40</f>
        <v>0</v>
      </c>
      <c r="AD465" s="179">
        <f>Ruimtestaat[[#This Row],[Prest. (m2 /jaar) weekend]]+Ruimtestaat[[#This Row],[Prest. (m2 /jaar) werkdagen]]</f>
        <v>600</v>
      </c>
      <c r="AE465" s="179">
        <f>Ruimtestaat[[#This Row],[uren / jaar weekend]]+Ruimtestaat[[#This Row],[uren / jaar werkdagen]]</f>
        <v>0</v>
      </c>
      <c r="AF465" s="174">
        <f>Ruimtestaat[[#This Row],[kosten / jaar weekend]]+Ruimtestaat[[#This Row],[kosten / jaar werkdagen]]</f>
        <v>0</v>
      </c>
      <c r="AG465" s="174"/>
      <c r="AH465" s="181" t="str">
        <f>IF(Ruimtestaat[[#This Row],[Frequentie werkdagen]]="","",_xlfn.CONCAT(Ruimtestaat[[#This Row],[Ruimte code]],"-",Ruimtestaat[[#This Row],[Frequentie werkdagen]]," ",Ruimtestaat[[#This Row],[Vloer code]]))</f>
        <v>5-5w S</v>
      </c>
      <c r="AI465" s="185" t="str">
        <f>_xlfn.IFNA(VLOOKUP($AH465,Programma!$F$3:$G$1101,2,0),"")</f>
        <v>_</v>
      </c>
      <c r="AJ465" s="185" t="str">
        <f>_xlfn.IFNA(VLOOKUP($AH465,Programma!$F$3:$H$1101,3,0),"")</f>
        <v>_</v>
      </c>
      <c r="AK465" s="185" t="str">
        <f>_xlfn.IFNA(VLOOKUP($AH465,Programma!$F$3:$I$1101,4,0),"")</f>
        <v>_</v>
      </c>
      <c r="AL465" s="185" t="str">
        <f>_xlfn.IFNA(VLOOKUP($AH465,Programma!$F$3:$J$1101,5,0),"")</f>
        <v>4w</v>
      </c>
      <c r="AM465" s="185" t="str">
        <f>_xlfn.IFNA(VLOOKUP($AH465,Programma!$F$3:$K$1101,6,0),"")</f>
        <v>1w</v>
      </c>
      <c r="AN465" s="185" t="str">
        <f>_xlfn.IFNA(VLOOKUP($AH465,Programma!$F$3:$L$1101,7,0),"")</f>
        <v>_</v>
      </c>
      <c r="AO465" s="185" t="str">
        <f>_xlfn.IFNA(VLOOKUP($AH465,Programma!$F$3:$M$1101,8,0),"")</f>
        <v>_</v>
      </c>
      <c r="AP465" s="185" t="str">
        <f>_xlfn.IFNA(VLOOKUP($AH465,Programma!$F$3:$N$1101,9,0),"")</f>
        <v>_</v>
      </c>
      <c r="AQ465" s="185" t="str">
        <f>_xlfn.IFNA(VLOOKUP($AH465,Programma!$F$3:$O$1101,10,0),"")</f>
        <v>_</v>
      </c>
      <c r="AR465" s="185" t="str">
        <f>_xlfn.IFNA(VLOOKUP($AH465,Programma!$F$3:$P$1101,11,0),"")</f>
        <v>_</v>
      </c>
      <c r="AS465" s="185" t="str">
        <f>_xlfn.IFNA(VLOOKUP($AH465,Programma!$F$3:$Q$1101,12,0),"")</f>
        <v>_</v>
      </c>
      <c r="AT465" s="185" t="str">
        <f>_xlfn.IFNA(VLOOKUP($AH465,Programma!$F$3:$R$1101,13,0),"")</f>
        <v>_</v>
      </c>
      <c r="AU465" s="185" t="str">
        <f>_xlfn.IFNA(VLOOKUP($AH465,Programma!$F$3:$S$1101,14,0),"")</f>
        <v>_</v>
      </c>
      <c r="AV465" s="185" t="str">
        <f>_xlfn.IFNA(VLOOKUP($AH465,Programma!$F$3:$T$1101,15,0),"")</f>
        <v>_</v>
      </c>
      <c r="AW465" s="185" t="str">
        <f>_xlfn.IFNA(VLOOKUP($AH465,Programma!$F$3:$U$1101,16,0),"")</f>
        <v>_</v>
      </c>
      <c r="AX465" s="185" t="str">
        <f>_xlfn.IFNA(VLOOKUP($AH465,Programma!$F$3:$V$1101,17,0),"")</f>
        <v>_</v>
      </c>
      <c r="AY465" s="185" t="str">
        <f>_xlfn.IFNA(VLOOKUP($AH465,Programma!$F$3:$W$1101,18,0),"")</f>
        <v>4w</v>
      </c>
      <c r="AZ465" s="185" t="str">
        <f>_xlfn.IFNA(VLOOKUP($AH465,Programma!$F$3:$X$1101,19,0),"")</f>
        <v>1w</v>
      </c>
      <c r="BA465" s="185" t="str">
        <f>_xlfn.IFNA(VLOOKUP($AH465,Programma!$F$3:$Y$1101,20,0),"")</f>
        <v>_</v>
      </c>
      <c r="BB465" s="182"/>
      <c r="BC465" s="181" t="str">
        <f>IF(Ruimtestaat[[#This Row],[Frequentie weekend]]="","",_xlfn.CONCAT(Ruimtestaat[[#This Row],[Ruimte code]],"-",Ruimtestaat[[#This Row],[Frequentie weekend]]," ",Ruimtestaat[[#This Row],[Vloer code]]))</f>
        <v/>
      </c>
      <c r="BD465" s="185" t="str">
        <f>_xlfn.IFNA(VLOOKUP($BC465,Programma!$F$3:$G$1101,2,0),"")</f>
        <v/>
      </c>
      <c r="BE465" s="185" t="str">
        <f>_xlfn.IFNA(VLOOKUP($BC465,Programma!$F$3:$H$1101,3,0),"")</f>
        <v/>
      </c>
      <c r="BF465" s="185" t="str">
        <f>_xlfn.IFNA(VLOOKUP($BC465,Programma!$F$3:$I$1101,4,0),"")</f>
        <v/>
      </c>
      <c r="BG465" s="185" t="str">
        <f>_xlfn.IFNA(VLOOKUP($BC465,Programma!$F$3:$J$1101,5,0),"")</f>
        <v/>
      </c>
      <c r="BH465" s="185" t="str">
        <f>_xlfn.IFNA(VLOOKUP($BC465,Programma!$F$3:$K$1101,6,0),"")</f>
        <v/>
      </c>
      <c r="BI465" s="185" t="str">
        <f>_xlfn.IFNA(VLOOKUP($BC465,Programma!$F$3:$L$1101,7,0),"")</f>
        <v/>
      </c>
      <c r="BJ465" s="185" t="str">
        <f>_xlfn.IFNA(VLOOKUP($BC465,Programma!$F$3:$M$1101,8,0),"")</f>
        <v/>
      </c>
      <c r="BK465" s="185" t="str">
        <f>_xlfn.IFNA(VLOOKUP($BC465,Programma!$F$3:$N$1101,9,0),"")</f>
        <v/>
      </c>
      <c r="BL465" s="185" t="str">
        <f>_xlfn.IFNA(VLOOKUP($BC465,Programma!$F$3:$O$1101,10,0),"")</f>
        <v/>
      </c>
      <c r="BM465" s="185" t="str">
        <f>_xlfn.IFNA(VLOOKUP($BC465,Programma!$F$3:$P$1101,11,0),"")</f>
        <v/>
      </c>
      <c r="BN465" s="185" t="str">
        <f>_xlfn.IFNA(VLOOKUP($BC465,Programma!$F$3:$Q$1101,12,0),"")</f>
        <v/>
      </c>
      <c r="BO465" s="185" t="str">
        <f>_xlfn.IFNA(VLOOKUP($BC465,Programma!$F$3:$R$1101,13,0),"")</f>
        <v/>
      </c>
      <c r="BP465" s="185" t="str">
        <f>_xlfn.IFNA(VLOOKUP($BC465,Programma!$F$3:$S$1101,14,0),"")</f>
        <v/>
      </c>
      <c r="BQ465" s="185" t="str">
        <f>_xlfn.IFNA(VLOOKUP($BC465,Programma!$F$3:$T$1101,15,0),"")</f>
        <v/>
      </c>
      <c r="BR465" s="185" t="str">
        <f>_xlfn.IFNA(VLOOKUP($BC465,Programma!$F$3:$U$1101,16,0),"")</f>
        <v/>
      </c>
      <c r="BS465" s="185" t="str">
        <f>_xlfn.IFNA(VLOOKUP($BC465,Programma!$F$3:$V$1101,17,0),"")</f>
        <v/>
      </c>
      <c r="BT465" s="185" t="str">
        <f>_xlfn.IFNA(VLOOKUP($BC465,Programma!$F$3:$W$1101,18,0),"")</f>
        <v/>
      </c>
      <c r="BU465" s="185" t="str">
        <f>_xlfn.IFNA(VLOOKUP($BC465,Programma!$F$3:$X$1101,19,0),"")</f>
        <v/>
      </c>
      <c r="BV465" s="185" t="str">
        <f>_xlfn.IFNA(VLOOKUP($BC465,Programma!$F$3:$Y$1101,20,0),"")</f>
        <v/>
      </c>
    </row>
    <row r="466" spans="1:74" s="78" customFormat="1" ht="15" customHeight="1">
      <c r="A466" s="99">
        <v>14</v>
      </c>
      <c r="B466" s="176" t="str">
        <f>VLOOKUP(Ruimtestaat[[#This Row],[Code]],Locaties[[Code]:[Locatie]],2,FALSE)</f>
        <v>Prinseschool Prinsestraat</v>
      </c>
      <c r="C466" s="176" t="str">
        <f>VLOOKUP(Ruimtestaat[[#This Row],[Code]],Locaties[[#All],[Code]:[Adres]],4,FALSE)</f>
        <v>Prinsestraat 10-10a </v>
      </c>
      <c r="D466" s="176" t="str">
        <f>VLOOKUP(Ruimtestaat[[#This Row],[Code]],Locaties[[#All],[Code]:[Postcode]],5,FALSE)</f>
        <v>7513 AL</v>
      </c>
      <c r="E466" s="176" t="str">
        <f>VLOOKUP(Ruimtestaat[[#This Row],[Code]],Locaties[#All],6,FALSE)</f>
        <v>Enschede</v>
      </c>
      <c r="F466" s="183"/>
      <c r="G466" s="99" t="s">
        <v>1646</v>
      </c>
      <c r="H466" s="99" t="s">
        <v>1653</v>
      </c>
      <c r="I466" s="183" t="s">
        <v>1655</v>
      </c>
      <c r="J466" s="99">
        <v>5</v>
      </c>
      <c r="K466" s="183" t="str">
        <f>VLOOKUP(Ruimtestaat[[#This Row],[Ruimte code]],Ruimtegroepen[[#All],[Code]:[Ruimte omschrijving]],2,FALSE)</f>
        <v>Sanitair</v>
      </c>
      <c r="L466" s="99" t="s">
        <v>101</v>
      </c>
      <c r="M466" s="99" t="s">
        <v>1682</v>
      </c>
      <c r="N466" s="177">
        <v>3</v>
      </c>
      <c r="O466" s="177"/>
      <c r="P466" s="178" t="str">
        <f>VLOOKUP(Ruimtestaat[[#This Row],[Ruimte code]],Ruimtegroepen[],4,FALSE)</f>
        <v>Sa</v>
      </c>
      <c r="Q466" s="149">
        <v>40</v>
      </c>
      <c r="R466" s="149" t="s">
        <v>2</v>
      </c>
      <c r="S466" s="149">
        <f>IF(Q466&gt;0,IF(RIGHT(Ruimtestaat[[#This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6" s="149">
        <f>IF(S466&gt;0,VLOOKUP($J466,Ruimtegroepen[],3,FALSE)*VLOOKUP($L466,Vloersoorten[],3,FALSE)*VLOOKUP($R466,Frequenties[],3,FALSE)*VLOOKUP($A466,Locaties[],3,FALSE),0)</f>
        <v>0</v>
      </c>
      <c r="U466" s="149">
        <f>Ruimtestaat[[#This Row],[Uitvoeringen werkdagen]]*Ruimtestaat[[#This Row],[Oppervlak (netto)]]</f>
        <v>600</v>
      </c>
      <c r="V466" s="179">
        <f>IF(T466&gt;0,Ruimtestaat[[#This Row],[Prest. (m2 /jaar) werkdagen]]/Ruimtestaat[[#This Row],[Norm (m2/uur) werkdagen]],0)</f>
        <v>0</v>
      </c>
      <c r="W466" s="180">
        <f>Ruimtestaat[[#This Row],[uren / jaar werkdagen]]*Tariefsopbouw!$E$35</f>
        <v>0</v>
      </c>
      <c r="X466" s="149"/>
      <c r="Y466" s="149">
        <f>IF(Ruimtestaat[[#This Row],[Frequentie weekend]]&gt;0,VALUE(LEFT(X466,1))*Q466,0)</f>
        <v>0</v>
      </c>
      <c r="Z466" s="148">
        <f>IF($Y466&gt;0,VLOOKUP($J466,Ruimtegroepen[],3,FALSE)*VLOOKUP($L466,Vloersoorten[],3,FALSE)*VLOOKUP($X466,Frequenties[],3,FALSE)*VLOOKUP(Ruimtestaat[[#This Row],[Code]],Locaties[],3,FALSE),0)</f>
        <v>0</v>
      </c>
      <c r="AA466" s="148">
        <f>Ruimtestaat[[#This Row],[Uitvoeringen weekend]]*Ruimtestaat[[#This Row],[Oppervlak (netto)]]</f>
        <v>0</v>
      </c>
      <c r="AB466" s="148">
        <f>IF(Z466&gt;0,Ruimtestaat[[#This Row],[Prest. (m2 /jaar) weekend]]/Ruimtestaat[[#This Row],[Norm (m2/uur) weekend]],0)</f>
        <v>0</v>
      </c>
      <c r="AC466" s="180">
        <f>Ruimtestaat[[#This Row],[uren / jaar weekend]]*Tariefsopbouw!$D$40</f>
        <v>0</v>
      </c>
      <c r="AD466" s="179">
        <f>Ruimtestaat[[#This Row],[Prest. (m2 /jaar) weekend]]+Ruimtestaat[[#This Row],[Prest. (m2 /jaar) werkdagen]]</f>
        <v>600</v>
      </c>
      <c r="AE466" s="179">
        <f>Ruimtestaat[[#This Row],[uren / jaar weekend]]+Ruimtestaat[[#This Row],[uren / jaar werkdagen]]</f>
        <v>0</v>
      </c>
      <c r="AF466" s="174">
        <f>Ruimtestaat[[#This Row],[kosten / jaar weekend]]+Ruimtestaat[[#This Row],[kosten / jaar werkdagen]]</f>
        <v>0</v>
      </c>
      <c r="AG466" s="174"/>
      <c r="AH466" s="181" t="str">
        <f>IF(Ruimtestaat[[#This Row],[Frequentie werkdagen]]="","",_xlfn.CONCAT(Ruimtestaat[[#This Row],[Ruimte code]],"-",Ruimtestaat[[#This Row],[Frequentie werkdagen]]," ",Ruimtestaat[[#This Row],[Vloer code]]))</f>
        <v>5-5w S</v>
      </c>
      <c r="AI466" s="185" t="str">
        <f>_xlfn.IFNA(VLOOKUP($AH466,Programma!$F$3:$G$1101,2,0),"")</f>
        <v>_</v>
      </c>
      <c r="AJ466" s="185" t="str">
        <f>_xlfn.IFNA(VLOOKUP($AH466,Programma!$F$3:$H$1101,3,0),"")</f>
        <v>_</v>
      </c>
      <c r="AK466" s="185" t="str">
        <f>_xlfn.IFNA(VLOOKUP($AH466,Programma!$F$3:$I$1101,4,0),"")</f>
        <v>_</v>
      </c>
      <c r="AL466" s="185" t="str">
        <f>_xlfn.IFNA(VLOOKUP($AH466,Programma!$F$3:$J$1101,5,0),"")</f>
        <v>4w</v>
      </c>
      <c r="AM466" s="185" t="str">
        <f>_xlfn.IFNA(VLOOKUP($AH466,Programma!$F$3:$K$1101,6,0),"")</f>
        <v>1w</v>
      </c>
      <c r="AN466" s="185" t="str">
        <f>_xlfn.IFNA(VLOOKUP($AH466,Programma!$F$3:$L$1101,7,0),"")</f>
        <v>_</v>
      </c>
      <c r="AO466" s="185" t="str">
        <f>_xlfn.IFNA(VLOOKUP($AH466,Programma!$F$3:$M$1101,8,0),"")</f>
        <v>_</v>
      </c>
      <c r="AP466" s="185" t="str">
        <f>_xlfn.IFNA(VLOOKUP($AH466,Programma!$F$3:$N$1101,9,0),"")</f>
        <v>_</v>
      </c>
      <c r="AQ466" s="185" t="str">
        <f>_xlfn.IFNA(VLOOKUP($AH466,Programma!$F$3:$O$1101,10,0),"")</f>
        <v>_</v>
      </c>
      <c r="AR466" s="185" t="str">
        <f>_xlfn.IFNA(VLOOKUP($AH466,Programma!$F$3:$P$1101,11,0),"")</f>
        <v>_</v>
      </c>
      <c r="AS466" s="185" t="str">
        <f>_xlfn.IFNA(VLOOKUP($AH466,Programma!$F$3:$Q$1101,12,0),"")</f>
        <v>_</v>
      </c>
      <c r="AT466" s="185" t="str">
        <f>_xlfn.IFNA(VLOOKUP($AH466,Programma!$F$3:$R$1101,13,0),"")</f>
        <v>_</v>
      </c>
      <c r="AU466" s="185" t="str">
        <f>_xlfn.IFNA(VLOOKUP($AH466,Programma!$F$3:$S$1101,14,0),"")</f>
        <v>_</v>
      </c>
      <c r="AV466" s="185" t="str">
        <f>_xlfn.IFNA(VLOOKUP($AH466,Programma!$F$3:$T$1101,15,0),"")</f>
        <v>_</v>
      </c>
      <c r="AW466" s="185" t="str">
        <f>_xlfn.IFNA(VLOOKUP($AH466,Programma!$F$3:$U$1101,16,0),"")</f>
        <v>_</v>
      </c>
      <c r="AX466" s="185" t="str">
        <f>_xlfn.IFNA(VLOOKUP($AH466,Programma!$F$3:$V$1101,17,0),"")</f>
        <v>_</v>
      </c>
      <c r="AY466" s="185" t="str">
        <f>_xlfn.IFNA(VLOOKUP($AH466,Programma!$F$3:$W$1101,18,0),"")</f>
        <v>4w</v>
      </c>
      <c r="AZ466" s="185" t="str">
        <f>_xlfn.IFNA(VLOOKUP($AH466,Programma!$F$3:$X$1101,19,0),"")</f>
        <v>1w</v>
      </c>
      <c r="BA466" s="185" t="str">
        <f>_xlfn.IFNA(VLOOKUP($AH466,Programma!$F$3:$Y$1101,20,0),"")</f>
        <v>_</v>
      </c>
      <c r="BB466" s="182"/>
      <c r="BC466" s="181" t="str">
        <f>IF(Ruimtestaat[[#This Row],[Frequentie weekend]]="","",_xlfn.CONCAT(Ruimtestaat[[#This Row],[Ruimte code]],"-",Ruimtestaat[[#This Row],[Frequentie weekend]]," ",Ruimtestaat[[#This Row],[Vloer code]]))</f>
        <v/>
      </c>
      <c r="BD466" s="185" t="str">
        <f>_xlfn.IFNA(VLOOKUP($BC466,Programma!$F$3:$G$1101,2,0),"")</f>
        <v/>
      </c>
      <c r="BE466" s="185" t="str">
        <f>_xlfn.IFNA(VLOOKUP($BC466,Programma!$F$3:$H$1101,3,0),"")</f>
        <v/>
      </c>
      <c r="BF466" s="185" t="str">
        <f>_xlfn.IFNA(VLOOKUP($BC466,Programma!$F$3:$I$1101,4,0),"")</f>
        <v/>
      </c>
      <c r="BG466" s="185" t="str">
        <f>_xlfn.IFNA(VLOOKUP($BC466,Programma!$F$3:$J$1101,5,0),"")</f>
        <v/>
      </c>
      <c r="BH466" s="185" t="str">
        <f>_xlfn.IFNA(VLOOKUP($BC466,Programma!$F$3:$K$1101,6,0),"")</f>
        <v/>
      </c>
      <c r="BI466" s="185" t="str">
        <f>_xlfn.IFNA(VLOOKUP($BC466,Programma!$F$3:$L$1101,7,0),"")</f>
        <v/>
      </c>
      <c r="BJ466" s="185" t="str">
        <f>_xlfn.IFNA(VLOOKUP($BC466,Programma!$F$3:$M$1101,8,0),"")</f>
        <v/>
      </c>
      <c r="BK466" s="185" t="str">
        <f>_xlfn.IFNA(VLOOKUP($BC466,Programma!$F$3:$N$1101,9,0),"")</f>
        <v/>
      </c>
      <c r="BL466" s="185" t="str">
        <f>_xlfn.IFNA(VLOOKUP($BC466,Programma!$F$3:$O$1101,10,0),"")</f>
        <v/>
      </c>
      <c r="BM466" s="185" t="str">
        <f>_xlfn.IFNA(VLOOKUP($BC466,Programma!$F$3:$P$1101,11,0),"")</f>
        <v/>
      </c>
      <c r="BN466" s="185" t="str">
        <f>_xlfn.IFNA(VLOOKUP($BC466,Programma!$F$3:$Q$1101,12,0),"")</f>
        <v/>
      </c>
      <c r="BO466" s="185" t="str">
        <f>_xlfn.IFNA(VLOOKUP($BC466,Programma!$F$3:$R$1101,13,0),"")</f>
        <v/>
      </c>
      <c r="BP466" s="185" t="str">
        <f>_xlfn.IFNA(VLOOKUP($BC466,Programma!$F$3:$S$1101,14,0),"")</f>
        <v/>
      </c>
      <c r="BQ466" s="185" t="str">
        <f>_xlfn.IFNA(VLOOKUP($BC466,Programma!$F$3:$T$1101,15,0),"")</f>
        <v/>
      </c>
      <c r="BR466" s="185" t="str">
        <f>_xlfn.IFNA(VLOOKUP($BC466,Programma!$F$3:$U$1101,16,0),"")</f>
        <v/>
      </c>
      <c r="BS466" s="185" t="str">
        <f>_xlfn.IFNA(VLOOKUP($BC466,Programma!$F$3:$V$1101,17,0),"")</f>
        <v/>
      </c>
      <c r="BT466" s="185" t="str">
        <f>_xlfn.IFNA(VLOOKUP($BC466,Programma!$F$3:$W$1101,18,0),"")</f>
        <v/>
      </c>
      <c r="BU466" s="185" t="str">
        <f>_xlfn.IFNA(VLOOKUP($BC466,Programma!$F$3:$X$1101,19,0),"")</f>
        <v/>
      </c>
      <c r="BV466" s="185" t="str">
        <f>_xlfn.IFNA(VLOOKUP($BC466,Programma!$F$3:$Y$1101,20,0),"")</f>
        <v/>
      </c>
    </row>
    <row r="467" spans="1:74" s="78" customFormat="1" ht="15" customHeight="1">
      <c r="A467" s="99">
        <v>14</v>
      </c>
      <c r="B467" s="176" t="str">
        <f>VLOOKUP(Ruimtestaat[[#This Row],[Code]],Locaties[[Code]:[Locatie]],2,FALSE)</f>
        <v>Prinseschool Prinsestraat</v>
      </c>
      <c r="C467" s="176" t="str">
        <f>VLOOKUP(Ruimtestaat[[#This Row],[Code]],Locaties[[#All],[Code]:[Adres]],4,FALSE)</f>
        <v>Prinsestraat 10-10a </v>
      </c>
      <c r="D467" s="176" t="str">
        <f>VLOOKUP(Ruimtestaat[[#This Row],[Code]],Locaties[[#All],[Code]:[Postcode]],5,FALSE)</f>
        <v>7513 AL</v>
      </c>
      <c r="E467" s="176" t="str">
        <f>VLOOKUP(Ruimtestaat[[#This Row],[Code]],Locaties[#All],6,FALSE)</f>
        <v>Enschede</v>
      </c>
      <c r="F467" s="183"/>
      <c r="G467" s="99" t="s">
        <v>1646</v>
      </c>
      <c r="H467" s="99" t="s">
        <v>1654</v>
      </c>
      <c r="I467" s="183" t="s">
        <v>1685</v>
      </c>
      <c r="J467" s="99">
        <v>20</v>
      </c>
      <c r="K467" s="183" t="str">
        <f>VLOOKUP(Ruimtestaat[[#This Row],[Ruimte code]],Ruimtegroepen[[#All],[Code]:[Ruimte omschrijving]],2,FALSE)</f>
        <v>Niet in Onderhoud</v>
      </c>
      <c r="L467" s="99"/>
      <c r="M467" s="99"/>
      <c r="N467" s="177"/>
      <c r="O467" s="177"/>
      <c r="P467" s="178">
        <f>VLOOKUP(Ruimtestaat[[#This Row],[Ruimte code]],Ruimtegroepen[],4,FALSE)</f>
        <v>0</v>
      </c>
      <c r="Q467" s="149"/>
      <c r="R467" s="149"/>
      <c r="S467" s="149">
        <f>IF(Q467&gt;0,IF(RIGHT(Ruimtestaat[[#This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67" s="149">
        <f>IF(S467&gt;0,VLOOKUP($J467,Ruimtegroepen[],3,FALSE)*VLOOKUP($L467,Vloersoorten[],3,FALSE)*VLOOKUP($R467,Frequenties[],3,FALSE)*VLOOKUP($A467,Locaties[],3,FALSE),0)</f>
        <v>0</v>
      </c>
      <c r="U467" s="149">
        <f>Ruimtestaat[[#This Row],[Uitvoeringen werkdagen]]*Ruimtestaat[[#This Row],[Oppervlak (netto)]]</f>
        <v>0</v>
      </c>
      <c r="V467" s="179">
        <f>IF(T467&gt;0,Ruimtestaat[[#This Row],[Prest. (m2 /jaar) werkdagen]]/Ruimtestaat[[#This Row],[Norm (m2/uur) werkdagen]],0)</f>
        <v>0</v>
      </c>
      <c r="W467" s="180">
        <f>Ruimtestaat[[#This Row],[uren / jaar werkdagen]]*Tariefsopbouw!$E$35</f>
        <v>0</v>
      </c>
      <c r="X467" s="149"/>
      <c r="Y467" s="149">
        <f>IF(Ruimtestaat[[#This Row],[Frequentie weekend]]&gt;0,VALUE(LEFT(X467,1))*Q467,0)</f>
        <v>0</v>
      </c>
      <c r="Z467" s="148">
        <f>IF($Y467&gt;0,VLOOKUP($J467,Ruimtegroepen[],3,FALSE)*VLOOKUP($L467,Vloersoorten[],3,FALSE)*VLOOKUP($X467,Frequenties[],3,FALSE)*VLOOKUP(Ruimtestaat[[#This Row],[Code]],Locaties[],3,FALSE),0)</f>
        <v>0</v>
      </c>
      <c r="AA467" s="148">
        <f>Ruimtestaat[[#This Row],[Uitvoeringen weekend]]*Ruimtestaat[[#This Row],[Oppervlak (netto)]]</f>
        <v>0</v>
      </c>
      <c r="AB467" s="148">
        <f>IF(Z467&gt;0,Ruimtestaat[[#This Row],[Prest. (m2 /jaar) weekend]]/Ruimtestaat[[#This Row],[Norm (m2/uur) weekend]],0)</f>
        <v>0</v>
      </c>
      <c r="AC467" s="180">
        <f>Ruimtestaat[[#This Row],[uren / jaar weekend]]*Tariefsopbouw!$D$40</f>
        <v>0</v>
      </c>
      <c r="AD467" s="179">
        <f>Ruimtestaat[[#This Row],[Prest. (m2 /jaar) weekend]]+Ruimtestaat[[#This Row],[Prest. (m2 /jaar) werkdagen]]</f>
        <v>0</v>
      </c>
      <c r="AE467" s="179">
        <f>Ruimtestaat[[#This Row],[uren / jaar weekend]]+Ruimtestaat[[#This Row],[uren / jaar werkdagen]]</f>
        <v>0</v>
      </c>
      <c r="AF467" s="174">
        <f>Ruimtestaat[[#This Row],[kosten / jaar weekend]]+Ruimtestaat[[#This Row],[kosten / jaar werkdagen]]</f>
        <v>0</v>
      </c>
      <c r="AG467" s="174"/>
      <c r="AH467" s="181" t="str">
        <f>IF(Ruimtestaat[[#This Row],[Frequentie werkdagen]]="","",_xlfn.CONCAT(Ruimtestaat[[#This Row],[Ruimte code]],"-",Ruimtestaat[[#This Row],[Frequentie werkdagen]]," ",Ruimtestaat[[#This Row],[Vloer code]]))</f>
        <v/>
      </c>
      <c r="AI467" s="185" t="str">
        <f>_xlfn.IFNA(VLOOKUP($AH467,Programma!$F$3:$G$1101,2,0),"")</f>
        <v/>
      </c>
      <c r="AJ467" s="185" t="str">
        <f>_xlfn.IFNA(VLOOKUP($AH467,Programma!$F$3:$H$1101,3,0),"")</f>
        <v/>
      </c>
      <c r="AK467" s="185" t="str">
        <f>_xlfn.IFNA(VLOOKUP($AH467,Programma!$F$3:$I$1101,4,0),"")</f>
        <v/>
      </c>
      <c r="AL467" s="185" t="str">
        <f>_xlfn.IFNA(VLOOKUP($AH467,Programma!$F$3:$J$1101,5,0),"")</f>
        <v/>
      </c>
      <c r="AM467" s="185" t="str">
        <f>_xlfn.IFNA(VLOOKUP($AH467,Programma!$F$3:$K$1101,6,0),"")</f>
        <v/>
      </c>
      <c r="AN467" s="185" t="str">
        <f>_xlfn.IFNA(VLOOKUP($AH467,Programma!$F$3:$L$1101,7,0),"")</f>
        <v/>
      </c>
      <c r="AO467" s="185" t="str">
        <f>_xlfn.IFNA(VLOOKUP($AH467,Programma!$F$3:$M$1101,8,0),"")</f>
        <v/>
      </c>
      <c r="AP467" s="185" t="str">
        <f>_xlfn.IFNA(VLOOKUP($AH467,Programma!$F$3:$N$1101,9,0),"")</f>
        <v/>
      </c>
      <c r="AQ467" s="185" t="str">
        <f>_xlfn.IFNA(VLOOKUP($AH467,Programma!$F$3:$O$1101,10,0),"")</f>
        <v/>
      </c>
      <c r="AR467" s="185" t="str">
        <f>_xlfn.IFNA(VLOOKUP($AH467,Programma!$F$3:$P$1101,11,0),"")</f>
        <v/>
      </c>
      <c r="AS467" s="185" t="str">
        <f>_xlfn.IFNA(VLOOKUP($AH467,Programma!$F$3:$Q$1101,12,0),"")</f>
        <v/>
      </c>
      <c r="AT467" s="185" t="str">
        <f>_xlfn.IFNA(VLOOKUP($AH467,Programma!$F$3:$R$1101,13,0),"")</f>
        <v/>
      </c>
      <c r="AU467" s="185" t="str">
        <f>_xlfn.IFNA(VLOOKUP($AH467,Programma!$F$3:$S$1101,14,0),"")</f>
        <v/>
      </c>
      <c r="AV467" s="185" t="str">
        <f>_xlfn.IFNA(VLOOKUP($AH467,Programma!$F$3:$T$1101,15,0),"")</f>
        <v/>
      </c>
      <c r="AW467" s="185" t="str">
        <f>_xlfn.IFNA(VLOOKUP($AH467,Programma!$F$3:$U$1101,16,0),"")</f>
        <v/>
      </c>
      <c r="AX467" s="185" t="str">
        <f>_xlfn.IFNA(VLOOKUP($AH467,Programma!$F$3:$V$1101,17,0),"")</f>
        <v/>
      </c>
      <c r="AY467" s="185" t="str">
        <f>_xlfn.IFNA(VLOOKUP($AH467,Programma!$F$3:$W$1101,18,0),"")</f>
        <v/>
      </c>
      <c r="AZ467" s="185" t="str">
        <f>_xlfn.IFNA(VLOOKUP($AH467,Programma!$F$3:$X$1101,19,0),"")</f>
        <v/>
      </c>
      <c r="BA467" s="185" t="str">
        <f>_xlfn.IFNA(VLOOKUP($AH467,Programma!$F$3:$Y$1101,20,0),"")</f>
        <v/>
      </c>
      <c r="BB467" s="182"/>
      <c r="BC467" s="181" t="str">
        <f>IF(Ruimtestaat[[#This Row],[Frequentie weekend]]="","",_xlfn.CONCAT(Ruimtestaat[[#This Row],[Ruimte code]],"-",Ruimtestaat[[#This Row],[Frequentie weekend]]," ",Ruimtestaat[[#This Row],[Vloer code]]))</f>
        <v/>
      </c>
      <c r="BD467" s="185" t="str">
        <f>_xlfn.IFNA(VLOOKUP($BC467,Programma!$F$3:$G$1101,2,0),"")</f>
        <v/>
      </c>
      <c r="BE467" s="185" t="str">
        <f>_xlfn.IFNA(VLOOKUP($BC467,Programma!$F$3:$H$1101,3,0),"")</f>
        <v/>
      </c>
      <c r="BF467" s="185" t="str">
        <f>_xlfn.IFNA(VLOOKUP($BC467,Programma!$F$3:$I$1101,4,0),"")</f>
        <v/>
      </c>
      <c r="BG467" s="185" t="str">
        <f>_xlfn.IFNA(VLOOKUP($BC467,Programma!$F$3:$J$1101,5,0),"")</f>
        <v/>
      </c>
      <c r="BH467" s="185" t="str">
        <f>_xlfn.IFNA(VLOOKUP($BC467,Programma!$F$3:$K$1101,6,0),"")</f>
        <v/>
      </c>
      <c r="BI467" s="185" t="str">
        <f>_xlfn.IFNA(VLOOKUP($BC467,Programma!$F$3:$L$1101,7,0),"")</f>
        <v/>
      </c>
      <c r="BJ467" s="185" t="str">
        <f>_xlfn.IFNA(VLOOKUP($BC467,Programma!$F$3:$M$1101,8,0),"")</f>
        <v/>
      </c>
      <c r="BK467" s="185" t="str">
        <f>_xlfn.IFNA(VLOOKUP($BC467,Programma!$F$3:$N$1101,9,0),"")</f>
        <v/>
      </c>
      <c r="BL467" s="185" t="str">
        <f>_xlfn.IFNA(VLOOKUP($BC467,Programma!$F$3:$O$1101,10,0),"")</f>
        <v/>
      </c>
      <c r="BM467" s="185" t="str">
        <f>_xlfn.IFNA(VLOOKUP($BC467,Programma!$F$3:$P$1101,11,0),"")</f>
        <v/>
      </c>
      <c r="BN467" s="185" t="str">
        <f>_xlfn.IFNA(VLOOKUP($BC467,Programma!$F$3:$Q$1101,12,0),"")</f>
        <v/>
      </c>
      <c r="BO467" s="185" t="str">
        <f>_xlfn.IFNA(VLOOKUP($BC467,Programma!$F$3:$R$1101,13,0),"")</f>
        <v/>
      </c>
      <c r="BP467" s="185" t="str">
        <f>_xlfn.IFNA(VLOOKUP($BC467,Programma!$F$3:$S$1101,14,0),"")</f>
        <v/>
      </c>
      <c r="BQ467" s="185" t="str">
        <f>_xlfn.IFNA(VLOOKUP($BC467,Programma!$F$3:$T$1101,15,0),"")</f>
        <v/>
      </c>
      <c r="BR467" s="185" t="str">
        <f>_xlfn.IFNA(VLOOKUP($BC467,Programma!$F$3:$U$1101,16,0),"")</f>
        <v/>
      </c>
      <c r="BS467" s="185" t="str">
        <f>_xlfn.IFNA(VLOOKUP($BC467,Programma!$F$3:$V$1101,17,0),"")</f>
        <v/>
      </c>
      <c r="BT467" s="185" t="str">
        <f>_xlfn.IFNA(VLOOKUP($BC467,Programma!$F$3:$W$1101,18,0),"")</f>
        <v/>
      </c>
      <c r="BU467" s="185" t="str">
        <f>_xlfn.IFNA(VLOOKUP($BC467,Programma!$F$3:$X$1101,19,0),"")</f>
        <v/>
      </c>
      <c r="BV467" s="185" t="str">
        <f>_xlfn.IFNA(VLOOKUP($BC467,Programma!$F$3:$Y$1101,20,0),"")</f>
        <v/>
      </c>
    </row>
    <row r="468" spans="1:74" s="78" customFormat="1" ht="15" customHeight="1">
      <c r="A468" s="99">
        <v>14</v>
      </c>
      <c r="B468" s="176" t="str">
        <f>VLOOKUP(Ruimtestaat[[#This Row],[Code]],Locaties[[Code]:[Locatie]],2,FALSE)</f>
        <v>Prinseschool Prinsestraat</v>
      </c>
      <c r="C468" s="176" t="str">
        <f>VLOOKUP(Ruimtestaat[[#This Row],[Code]],Locaties[[#All],[Code]:[Adres]],4,FALSE)</f>
        <v>Prinsestraat 10-10a </v>
      </c>
      <c r="D468" s="176" t="str">
        <f>VLOOKUP(Ruimtestaat[[#This Row],[Code]],Locaties[[#All],[Code]:[Postcode]],5,FALSE)</f>
        <v>7513 AL</v>
      </c>
      <c r="E468" s="176" t="str">
        <f>VLOOKUP(Ruimtestaat[[#This Row],[Code]],Locaties[#All],6,FALSE)</f>
        <v>Enschede</v>
      </c>
      <c r="F468" s="183"/>
      <c r="G468" s="99" t="s">
        <v>1646</v>
      </c>
      <c r="H468" s="99" t="s">
        <v>1656</v>
      </c>
      <c r="I468" s="183" t="s">
        <v>1743</v>
      </c>
      <c r="J468" s="99">
        <v>16</v>
      </c>
      <c r="K468" s="183" t="str">
        <f>VLOOKUP(Ruimtestaat[[#This Row],[Ruimte code]],Ruimtegroepen[[#All],[Code]:[Ruimte omschrijving]],2,FALSE)</f>
        <v>Leslokalen</v>
      </c>
      <c r="L468" s="99" t="s">
        <v>100</v>
      </c>
      <c r="M468" s="99" t="s">
        <v>1697</v>
      </c>
      <c r="N468" s="177">
        <v>58</v>
      </c>
      <c r="O468" s="177"/>
      <c r="P468" s="178" t="str">
        <f>VLOOKUP(Ruimtestaat[[#This Row],[Ruimte code]],Ruimtegroepen[],4,FALSE)</f>
        <v>Le</v>
      </c>
      <c r="Q468" s="149">
        <v>40</v>
      </c>
      <c r="R468" s="149" t="s">
        <v>2</v>
      </c>
      <c r="S468" s="149">
        <f>IF(Q468&gt;0,IF(RIGHT(Ruimtestaat[[#This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8" s="149">
        <f>IF(S468&gt;0,VLOOKUP($J468,Ruimtegroepen[],3,FALSE)*VLOOKUP($L468,Vloersoorten[],3,FALSE)*VLOOKUP($R468,Frequenties[],3,FALSE)*VLOOKUP($A468,Locaties[],3,FALSE),0)</f>
        <v>0</v>
      </c>
      <c r="U468" s="149">
        <f>Ruimtestaat[[#This Row],[Uitvoeringen werkdagen]]*Ruimtestaat[[#This Row],[Oppervlak (netto)]]</f>
        <v>11600</v>
      </c>
      <c r="V468" s="179">
        <f>IF(T468&gt;0,Ruimtestaat[[#This Row],[Prest. (m2 /jaar) werkdagen]]/Ruimtestaat[[#This Row],[Norm (m2/uur) werkdagen]],0)</f>
        <v>0</v>
      </c>
      <c r="W468" s="180">
        <f>Ruimtestaat[[#This Row],[uren / jaar werkdagen]]*Tariefsopbouw!$E$35</f>
        <v>0</v>
      </c>
      <c r="X468" s="149"/>
      <c r="Y468" s="149">
        <f>IF(Ruimtestaat[[#This Row],[Frequentie weekend]]&gt;0,VALUE(LEFT(X468,1))*Q468,0)</f>
        <v>0</v>
      </c>
      <c r="Z468" s="148">
        <f>IF($Y468&gt;0,VLOOKUP($J468,Ruimtegroepen[],3,FALSE)*VLOOKUP($L468,Vloersoorten[],3,FALSE)*VLOOKUP($X468,Frequenties[],3,FALSE)*VLOOKUP(Ruimtestaat[[#This Row],[Code]],Locaties[],3,FALSE),0)</f>
        <v>0</v>
      </c>
      <c r="AA468" s="148">
        <f>Ruimtestaat[[#This Row],[Uitvoeringen weekend]]*Ruimtestaat[[#This Row],[Oppervlak (netto)]]</f>
        <v>0</v>
      </c>
      <c r="AB468" s="148">
        <f>IF(Z468&gt;0,Ruimtestaat[[#This Row],[Prest. (m2 /jaar) weekend]]/Ruimtestaat[[#This Row],[Norm (m2/uur) weekend]],0)</f>
        <v>0</v>
      </c>
      <c r="AC468" s="180">
        <f>Ruimtestaat[[#This Row],[uren / jaar weekend]]*Tariefsopbouw!$D$40</f>
        <v>0</v>
      </c>
      <c r="AD468" s="179">
        <f>Ruimtestaat[[#This Row],[Prest. (m2 /jaar) weekend]]+Ruimtestaat[[#This Row],[Prest. (m2 /jaar) werkdagen]]</f>
        <v>11600</v>
      </c>
      <c r="AE468" s="179">
        <f>Ruimtestaat[[#This Row],[uren / jaar weekend]]+Ruimtestaat[[#This Row],[uren / jaar werkdagen]]</f>
        <v>0</v>
      </c>
      <c r="AF468" s="174">
        <f>Ruimtestaat[[#This Row],[kosten / jaar weekend]]+Ruimtestaat[[#This Row],[kosten / jaar werkdagen]]</f>
        <v>0</v>
      </c>
      <c r="AG468" s="174"/>
      <c r="AH468" s="181" t="str">
        <f>IF(Ruimtestaat[[#This Row],[Frequentie werkdagen]]="","",_xlfn.CONCAT(Ruimtestaat[[#This Row],[Ruimte code]],"-",Ruimtestaat[[#This Row],[Frequentie werkdagen]]," ",Ruimtestaat[[#This Row],[Vloer code]]))</f>
        <v>16-5w L</v>
      </c>
      <c r="AI468" s="185" t="str">
        <f>_xlfn.IFNA(VLOOKUP($AH468,Programma!$F$3:$G$1101,2,0),"")</f>
        <v>_</v>
      </c>
      <c r="AJ468" s="185" t="str">
        <f>_xlfn.IFNA(VLOOKUP($AH468,Programma!$F$3:$H$1101,3,0),"")</f>
        <v>_</v>
      </c>
      <c r="AK468" s="185" t="str">
        <f>_xlfn.IFNA(VLOOKUP($AH468,Programma!$F$3:$I$1101,4,0),"")</f>
        <v>4w</v>
      </c>
      <c r="AL468" s="185" t="str">
        <f>_xlfn.IFNA(VLOOKUP($AH468,Programma!$F$3:$J$1101,5,0),"")</f>
        <v>1w</v>
      </c>
      <c r="AM468" s="185" t="str">
        <f>_xlfn.IFNA(VLOOKUP($AH468,Programma!$F$3:$K$1101,6,0),"")</f>
        <v>_</v>
      </c>
      <c r="AN468" s="185" t="str">
        <f>_xlfn.IFNA(VLOOKUP($AH468,Programma!$F$3:$L$1101,7,0),"")</f>
        <v>_</v>
      </c>
      <c r="AO468" s="185" t="str">
        <f>_xlfn.IFNA(VLOOKUP($AH468,Programma!$F$3:$M$1101,8,0),"")</f>
        <v>_</v>
      </c>
      <c r="AP468" s="185" t="str">
        <f>_xlfn.IFNA(VLOOKUP($AH468,Programma!$F$3:$N$1101,9,0),"")</f>
        <v>_</v>
      </c>
      <c r="AQ468" s="185" t="str">
        <f>_xlfn.IFNA(VLOOKUP($AH468,Programma!$F$3:$O$1101,10,0),"")</f>
        <v>5w</v>
      </c>
      <c r="AR468" s="185" t="str">
        <f>_xlfn.IFNA(VLOOKUP($AH468,Programma!$F$3:$P$1101,11,0),"")</f>
        <v>5w</v>
      </c>
      <c r="AS468" s="185" t="str">
        <f>_xlfn.IFNA(VLOOKUP($AH468,Programma!$F$3:$Q$1101,12,0),"")</f>
        <v>1w</v>
      </c>
      <c r="AT468" s="185" t="str">
        <f>_xlfn.IFNA(VLOOKUP($AH468,Programma!$F$3:$R$1101,13,0),"")</f>
        <v>1w</v>
      </c>
      <c r="AU468" s="185" t="str">
        <f>_xlfn.IFNA(VLOOKUP($AH468,Programma!$F$3:$S$1101,14,0),"")</f>
        <v>1m</v>
      </c>
      <c r="AV468" s="185" t="str">
        <f>_xlfn.IFNA(VLOOKUP($AH468,Programma!$F$3:$T$1101,15,0),"")</f>
        <v>2j</v>
      </c>
      <c r="AW468" s="185" t="str">
        <f>_xlfn.IFNA(VLOOKUP($AH468,Programma!$F$3:$U$1101,16,0),"")</f>
        <v>1j</v>
      </c>
      <c r="AX468" s="185" t="str">
        <f>_xlfn.IFNA(VLOOKUP($AH468,Programma!$F$3:$V$1101,17,0),"")</f>
        <v>_</v>
      </c>
      <c r="AY468" s="185" t="str">
        <f>_xlfn.IFNA(VLOOKUP($AH468,Programma!$F$3:$W$1101,18,0),"")</f>
        <v>_</v>
      </c>
      <c r="AZ468" s="185" t="str">
        <f>_xlfn.IFNA(VLOOKUP($AH468,Programma!$F$3:$X$1101,19,0),"")</f>
        <v>_</v>
      </c>
      <c r="BA468" s="185" t="str">
        <f>_xlfn.IFNA(VLOOKUP($AH468,Programma!$F$3:$Y$1101,20,0),"")</f>
        <v>_</v>
      </c>
      <c r="BB468" s="182"/>
      <c r="BC468" s="181" t="str">
        <f>IF(Ruimtestaat[[#This Row],[Frequentie weekend]]="","",_xlfn.CONCAT(Ruimtestaat[[#This Row],[Ruimte code]],"-",Ruimtestaat[[#This Row],[Frequentie weekend]]," ",Ruimtestaat[[#This Row],[Vloer code]]))</f>
        <v/>
      </c>
      <c r="BD468" s="185" t="str">
        <f>_xlfn.IFNA(VLOOKUP($BC468,Programma!$F$3:$G$1101,2,0),"")</f>
        <v/>
      </c>
      <c r="BE468" s="185" t="str">
        <f>_xlfn.IFNA(VLOOKUP($BC468,Programma!$F$3:$H$1101,3,0),"")</f>
        <v/>
      </c>
      <c r="BF468" s="185" t="str">
        <f>_xlfn.IFNA(VLOOKUP($BC468,Programma!$F$3:$I$1101,4,0),"")</f>
        <v/>
      </c>
      <c r="BG468" s="185" t="str">
        <f>_xlfn.IFNA(VLOOKUP($BC468,Programma!$F$3:$J$1101,5,0),"")</f>
        <v/>
      </c>
      <c r="BH468" s="185" t="str">
        <f>_xlfn.IFNA(VLOOKUP($BC468,Programma!$F$3:$K$1101,6,0),"")</f>
        <v/>
      </c>
      <c r="BI468" s="185" t="str">
        <f>_xlfn.IFNA(VLOOKUP($BC468,Programma!$F$3:$L$1101,7,0),"")</f>
        <v/>
      </c>
      <c r="BJ468" s="185" t="str">
        <f>_xlfn.IFNA(VLOOKUP($BC468,Programma!$F$3:$M$1101,8,0),"")</f>
        <v/>
      </c>
      <c r="BK468" s="185" t="str">
        <f>_xlfn.IFNA(VLOOKUP($BC468,Programma!$F$3:$N$1101,9,0),"")</f>
        <v/>
      </c>
      <c r="BL468" s="185" t="str">
        <f>_xlfn.IFNA(VLOOKUP($BC468,Programma!$F$3:$O$1101,10,0),"")</f>
        <v/>
      </c>
      <c r="BM468" s="185" t="str">
        <f>_xlfn.IFNA(VLOOKUP($BC468,Programma!$F$3:$P$1101,11,0),"")</f>
        <v/>
      </c>
      <c r="BN468" s="185" t="str">
        <f>_xlfn.IFNA(VLOOKUP($BC468,Programma!$F$3:$Q$1101,12,0),"")</f>
        <v/>
      </c>
      <c r="BO468" s="185" t="str">
        <f>_xlfn.IFNA(VLOOKUP($BC468,Programma!$F$3:$R$1101,13,0),"")</f>
        <v/>
      </c>
      <c r="BP468" s="185" t="str">
        <f>_xlfn.IFNA(VLOOKUP($BC468,Programma!$F$3:$S$1101,14,0),"")</f>
        <v/>
      </c>
      <c r="BQ468" s="185" t="str">
        <f>_xlfn.IFNA(VLOOKUP($BC468,Programma!$F$3:$T$1101,15,0),"")</f>
        <v/>
      </c>
      <c r="BR468" s="185" t="str">
        <f>_xlfn.IFNA(VLOOKUP($BC468,Programma!$F$3:$U$1101,16,0),"")</f>
        <v/>
      </c>
      <c r="BS468" s="185" t="str">
        <f>_xlfn.IFNA(VLOOKUP($BC468,Programma!$F$3:$V$1101,17,0),"")</f>
        <v/>
      </c>
      <c r="BT468" s="185" t="str">
        <f>_xlfn.IFNA(VLOOKUP($BC468,Programma!$F$3:$W$1101,18,0),"")</f>
        <v/>
      </c>
      <c r="BU468" s="185" t="str">
        <f>_xlfn.IFNA(VLOOKUP($BC468,Programma!$F$3:$X$1101,19,0),"")</f>
        <v/>
      </c>
      <c r="BV468" s="185" t="str">
        <f>_xlfn.IFNA(VLOOKUP($BC468,Programma!$F$3:$Y$1101,20,0),"")</f>
        <v/>
      </c>
    </row>
    <row r="469" spans="1:74" s="78" customFormat="1" ht="15" customHeight="1">
      <c r="A469" s="99">
        <v>14</v>
      </c>
      <c r="B469" s="176" t="str">
        <f>VLOOKUP(Ruimtestaat[[#This Row],[Code]],Locaties[[Code]:[Locatie]],2,FALSE)</f>
        <v>Prinseschool Prinsestraat</v>
      </c>
      <c r="C469" s="176" t="str">
        <f>VLOOKUP(Ruimtestaat[[#This Row],[Code]],Locaties[[#All],[Code]:[Adres]],4,FALSE)</f>
        <v>Prinsestraat 10-10a </v>
      </c>
      <c r="D469" s="176" t="str">
        <f>VLOOKUP(Ruimtestaat[[#This Row],[Code]],Locaties[[#All],[Code]:[Postcode]],5,FALSE)</f>
        <v>7513 AL</v>
      </c>
      <c r="E469" s="176" t="str">
        <f>VLOOKUP(Ruimtestaat[[#This Row],[Code]],Locaties[#All],6,FALSE)</f>
        <v>Enschede</v>
      </c>
      <c r="F469" s="183"/>
      <c r="G469" s="99" t="s">
        <v>1646</v>
      </c>
      <c r="H469" s="99" t="s">
        <v>1657</v>
      </c>
      <c r="I469" s="183" t="s">
        <v>1743</v>
      </c>
      <c r="J469" s="99">
        <v>16</v>
      </c>
      <c r="K469" s="183" t="str">
        <f>VLOOKUP(Ruimtestaat[[#This Row],[Ruimte code]],Ruimtegroepen[[#All],[Code]:[Ruimte omschrijving]],2,FALSE)</f>
        <v>Leslokalen</v>
      </c>
      <c r="L469" s="99" t="s">
        <v>100</v>
      </c>
      <c r="M469" s="99" t="s">
        <v>1697</v>
      </c>
      <c r="N469" s="177">
        <v>49.3</v>
      </c>
      <c r="O469" s="177"/>
      <c r="P469" s="178" t="str">
        <f>VLOOKUP(Ruimtestaat[[#This Row],[Ruimte code]],Ruimtegroepen[],4,FALSE)</f>
        <v>Le</v>
      </c>
      <c r="Q469" s="149">
        <v>40</v>
      </c>
      <c r="R469" s="149" t="s">
        <v>2</v>
      </c>
      <c r="S469" s="149">
        <f>IF(Q469&gt;0,IF(RIGHT(Ruimtestaat[[#This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9" s="149">
        <f>IF(S469&gt;0,VLOOKUP($J469,Ruimtegroepen[],3,FALSE)*VLOOKUP($L469,Vloersoorten[],3,FALSE)*VLOOKUP($R469,Frequenties[],3,FALSE)*VLOOKUP($A469,Locaties[],3,FALSE),0)</f>
        <v>0</v>
      </c>
      <c r="U469" s="149">
        <f>Ruimtestaat[[#This Row],[Uitvoeringen werkdagen]]*Ruimtestaat[[#This Row],[Oppervlak (netto)]]</f>
        <v>9860</v>
      </c>
      <c r="V469" s="179">
        <f>IF(T469&gt;0,Ruimtestaat[[#This Row],[Prest. (m2 /jaar) werkdagen]]/Ruimtestaat[[#This Row],[Norm (m2/uur) werkdagen]],0)</f>
        <v>0</v>
      </c>
      <c r="W469" s="180">
        <f>Ruimtestaat[[#This Row],[uren / jaar werkdagen]]*Tariefsopbouw!$E$35</f>
        <v>0</v>
      </c>
      <c r="X469" s="149"/>
      <c r="Y469" s="149">
        <f>IF(Ruimtestaat[[#This Row],[Frequentie weekend]]&gt;0,VALUE(LEFT(X469,1))*Q469,0)</f>
        <v>0</v>
      </c>
      <c r="Z469" s="148">
        <f>IF($Y469&gt;0,VLOOKUP($J469,Ruimtegroepen[],3,FALSE)*VLOOKUP($L469,Vloersoorten[],3,FALSE)*VLOOKUP($X469,Frequenties[],3,FALSE)*VLOOKUP(Ruimtestaat[[#This Row],[Code]],Locaties[],3,FALSE),0)</f>
        <v>0</v>
      </c>
      <c r="AA469" s="148">
        <f>Ruimtestaat[[#This Row],[Uitvoeringen weekend]]*Ruimtestaat[[#This Row],[Oppervlak (netto)]]</f>
        <v>0</v>
      </c>
      <c r="AB469" s="148">
        <f>IF(Z469&gt;0,Ruimtestaat[[#This Row],[Prest. (m2 /jaar) weekend]]/Ruimtestaat[[#This Row],[Norm (m2/uur) weekend]],0)</f>
        <v>0</v>
      </c>
      <c r="AC469" s="180">
        <f>Ruimtestaat[[#This Row],[uren / jaar weekend]]*Tariefsopbouw!$D$40</f>
        <v>0</v>
      </c>
      <c r="AD469" s="179">
        <f>Ruimtestaat[[#This Row],[Prest. (m2 /jaar) weekend]]+Ruimtestaat[[#This Row],[Prest. (m2 /jaar) werkdagen]]</f>
        <v>9860</v>
      </c>
      <c r="AE469" s="179">
        <f>Ruimtestaat[[#This Row],[uren / jaar weekend]]+Ruimtestaat[[#This Row],[uren / jaar werkdagen]]</f>
        <v>0</v>
      </c>
      <c r="AF469" s="174">
        <f>Ruimtestaat[[#This Row],[kosten / jaar weekend]]+Ruimtestaat[[#This Row],[kosten / jaar werkdagen]]</f>
        <v>0</v>
      </c>
      <c r="AG469" s="174"/>
      <c r="AH469" s="181" t="str">
        <f>IF(Ruimtestaat[[#This Row],[Frequentie werkdagen]]="","",_xlfn.CONCAT(Ruimtestaat[[#This Row],[Ruimte code]],"-",Ruimtestaat[[#This Row],[Frequentie werkdagen]]," ",Ruimtestaat[[#This Row],[Vloer code]]))</f>
        <v>16-5w L</v>
      </c>
      <c r="AI469" s="185" t="str">
        <f>_xlfn.IFNA(VLOOKUP($AH469,Programma!$F$3:$G$1101,2,0),"")</f>
        <v>_</v>
      </c>
      <c r="AJ469" s="185" t="str">
        <f>_xlfn.IFNA(VLOOKUP($AH469,Programma!$F$3:$H$1101,3,0),"")</f>
        <v>_</v>
      </c>
      <c r="AK469" s="185" t="str">
        <f>_xlfn.IFNA(VLOOKUP($AH469,Programma!$F$3:$I$1101,4,0),"")</f>
        <v>4w</v>
      </c>
      <c r="AL469" s="185" t="str">
        <f>_xlfn.IFNA(VLOOKUP($AH469,Programma!$F$3:$J$1101,5,0),"")</f>
        <v>1w</v>
      </c>
      <c r="AM469" s="185" t="str">
        <f>_xlfn.IFNA(VLOOKUP($AH469,Programma!$F$3:$K$1101,6,0),"")</f>
        <v>_</v>
      </c>
      <c r="AN469" s="185" t="str">
        <f>_xlfn.IFNA(VLOOKUP($AH469,Programma!$F$3:$L$1101,7,0),"")</f>
        <v>_</v>
      </c>
      <c r="AO469" s="185" t="str">
        <f>_xlfn.IFNA(VLOOKUP($AH469,Programma!$F$3:$M$1101,8,0),"")</f>
        <v>_</v>
      </c>
      <c r="AP469" s="185" t="str">
        <f>_xlfn.IFNA(VLOOKUP($AH469,Programma!$F$3:$N$1101,9,0),"")</f>
        <v>_</v>
      </c>
      <c r="AQ469" s="185" t="str">
        <f>_xlfn.IFNA(VLOOKUP($AH469,Programma!$F$3:$O$1101,10,0),"")</f>
        <v>5w</v>
      </c>
      <c r="AR469" s="185" t="str">
        <f>_xlfn.IFNA(VLOOKUP($AH469,Programma!$F$3:$P$1101,11,0),"")</f>
        <v>5w</v>
      </c>
      <c r="AS469" s="185" t="str">
        <f>_xlfn.IFNA(VLOOKUP($AH469,Programma!$F$3:$Q$1101,12,0),"")</f>
        <v>1w</v>
      </c>
      <c r="AT469" s="185" t="str">
        <f>_xlfn.IFNA(VLOOKUP($AH469,Programma!$F$3:$R$1101,13,0),"")</f>
        <v>1w</v>
      </c>
      <c r="AU469" s="185" t="str">
        <f>_xlfn.IFNA(VLOOKUP($AH469,Programma!$F$3:$S$1101,14,0),"")</f>
        <v>1m</v>
      </c>
      <c r="AV469" s="185" t="str">
        <f>_xlfn.IFNA(VLOOKUP($AH469,Programma!$F$3:$T$1101,15,0),"")</f>
        <v>2j</v>
      </c>
      <c r="AW469" s="185" t="str">
        <f>_xlfn.IFNA(VLOOKUP($AH469,Programma!$F$3:$U$1101,16,0),"")</f>
        <v>1j</v>
      </c>
      <c r="AX469" s="185" t="str">
        <f>_xlfn.IFNA(VLOOKUP($AH469,Programma!$F$3:$V$1101,17,0),"")</f>
        <v>_</v>
      </c>
      <c r="AY469" s="185" t="str">
        <f>_xlfn.IFNA(VLOOKUP($AH469,Programma!$F$3:$W$1101,18,0),"")</f>
        <v>_</v>
      </c>
      <c r="AZ469" s="185" t="str">
        <f>_xlfn.IFNA(VLOOKUP($AH469,Programma!$F$3:$X$1101,19,0),"")</f>
        <v>_</v>
      </c>
      <c r="BA469" s="185" t="str">
        <f>_xlfn.IFNA(VLOOKUP($AH469,Programma!$F$3:$Y$1101,20,0),"")</f>
        <v>_</v>
      </c>
      <c r="BB469" s="182"/>
      <c r="BC469" s="181" t="str">
        <f>IF(Ruimtestaat[[#This Row],[Frequentie weekend]]="","",_xlfn.CONCAT(Ruimtestaat[[#This Row],[Ruimte code]],"-",Ruimtestaat[[#This Row],[Frequentie weekend]]," ",Ruimtestaat[[#This Row],[Vloer code]]))</f>
        <v/>
      </c>
      <c r="BD469" s="185" t="str">
        <f>_xlfn.IFNA(VLOOKUP($BC469,Programma!$F$3:$G$1101,2,0),"")</f>
        <v/>
      </c>
      <c r="BE469" s="185" t="str">
        <f>_xlfn.IFNA(VLOOKUP($BC469,Programma!$F$3:$H$1101,3,0),"")</f>
        <v/>
      </c>
      <c r="BF469" s="185" t="str">
        <f>_xlfn.IFNA(VLOOKUP($BC469,Programma!$F$3:$I$1101,4,0),"")</f>
        <v/>
      </c>
      <c r="BG469" s="185" t="str">
        <f>_xlfn.IFNA(VLOOKUP($BC469,Programma!$F$3:$J$1101,5,0),"")</f>
        <v/>
      </c>
      <c r="BH469" s="185" t="str">
        <f>_xlfn.IFNA(VLOOKUP($BC469,Programma!$F$3:$K$1101,6,0),"")</f>
        <v/>
      </c>
      <c r="BI469" s="185" t="str">
        <f>_xlfn.IFNA(VLOOKUP($BC469,Programma!$F$3:$L$1101,7,0),"")</f>
        <v/>
      </c>
      <c r="BJ469" s="185" t="str">
        <f>_xlfn.IFNA(VLOOKUP($BC469,Programma!$F$3:$M$1101,8,0),"")</f>
        <v/>
      </c>
      <c r="BK469" s="185" t="str">
        <f>_xlfn.IFNA(VLOOKUP($BC469,Programma!$F$3:$N$1101,9,0),"")</f>
        <v/>
      </c>
      <c r="BL469" s="185" t="str">
        <f>_xlfn.IFNA(VLOOKUP($BC469,Programma!$F$3:$O$1101,10,0),"")</f>
        <v/>
      </c>
      <c r="BM469" s="185" t="str">
        <f>_xlfn.IFNA(VLOOKUP($BC469,Programma!$F$3:$P$1101,11,0),"")</f>
        <v/>
      </c>
      <c r="BN469" s="185" t="str">
        <f>_xlfn.IFNA(VLOOKUP($BC469,Programma!$F$3:$Q$1101,12,0),"")</f>
        <v/>
      </c>
      <c r="BO469" s="185" t="str">
        <f>_xlfn.IFNA(VLOOKUP($BC469,Programma!$F$3:$R$1101,13,0),"")</f>
        <v/>
      </c>
      <c r="BP469" s="185" t="str">
        <f>_xlfn.IFNA(VLOOKUP($BC469,Programma!$F$3:$S$1101,14,0),"")</f>
        <v/>
      </c>
      <c r="BQ469" s="185" t="str">
        <f>_xlfn.IFNA(VLOOKUP($BC469,Programma!$F$3:$T$1101,15,0),"")</f>
        <v/>
      </c>
      <c r="BR469" s="185" t="str">
        <f>_xlfn.IFNA(VLOOKUP($BC469,Programma!$F$3:$U$1101,16,0),"")</f>
        <v/>
      </c>
      <c r="BS469" s="185" t="str">
        <f>_xlfn.IFNA(VLOOKUP($BC469,Programma!$F$3:$V$1101,17,0),"")</f>
        <v/>
      </c>
      <c r="BT469" s="185" t="str">
        <f>_xlfn.IFNA(VLOOKUP($BC469,Programma!$F$3:$W$1101,18,0),"")</f>
        <v/>
      </c>
      <c r="BU469" s="185" t="str">
        <f>_xlfn.IFNA(VLOOKUP($BC469,Programma!$F$3:$X$1101,19,0),"")</f>
        <v/>
      </c>
      <c r="BV469" s="185" t="str">
        <f>_xlfn.IFNA(VLOOKUP($BC469,Programma!$F$3:$Y$1101,20,0),"")</f>
        <v/>
      </c>
    </row>
    <row r="470" spans="1:74" s="78" customFormat="1" ht="15" customHeight="1">
      <c r="A470" s="99">
        <v>14</v>
      </c>
      <c r="B470" s="176" t="str">
        <f>VLOOKUP(Ruimtestaat[[#This Row],[Code]],Locaties[[Code]:[Locatie]],2,FALSE)</f>
        <v>Prinseschool Prinsestraat</v>
      </c>
      <c r="C470" s="176" t="str">
        <f>VLOOKUP(Ruimtestaat[[#This Row],[Code]],Locaties[[#All],[Code]:[Adres]],4,FALSE)</f>
        <v>Prinsestraat 10-10a </v>
      </c>
      <c r="D470" s="176" t="str">
        <f>VLOOKUP(Ruimtestaat[[#This Row],[Code]],Locaties[[#All],[Code]:[Postcode]],5,FALSE)</f>
        <v>7513 AL</v>
      </c>
      <c r="E470" s="176" t="str">
        <f>VLOOKUP(Ruimtestaat[[#This Row],[Code]],Locaties[#All],6,FALSE)</f>
        <v>Enschede</v>
      </c>
      <c r="F470" s="183"/>
      <c r="G470" s="99" t="s">
        <v>1646</v>
      </c>
      <c r="H470" s="99" t="s">
        <v>1659</v>
      </c>
      <c r="I470" s="183" t="s">
        <v>1743</v>
      </c>
      <c r="J470" s="99">
        <v>16</v>
      </c>
      <c r="K470" s="183" t="str">
        <f>VLOOKUP(Ruimtestaat[[#This Row],[Ruimte code]],Ruimtegroepen[[#All],[Code]:[Ruimte omschrijving]],2,FALSE)</f>
        <v>Leslokalen</v>
      </c>
      <c r="L470" s="99" t="s">
        <v>100</v>
      </c>
      <c r="M470" s="99" t="s">
        <v>1697</v>
      </c>
      <c r="N470" s="177">
        <v>49.3</v>
      </c>
      <c r="O470" s="177"/>
      <c r="P470" s="178" t="str">
        <f>VLOOKUP(Ruimtestaat[[#This Row],[Ruimte code]],Ruimtegroepen[],4,FALSE)</f>
        <v>Le</v>
      </c>
      <c r="Q470" s="149">
        <v>40</v>
      </c>
      <c r="R470" s="149" t="s">
        <v>2</v>
      </c>
      <c r="S470" s="149">
        <f>IF(Q470&gt;0,IF(RIGHT(Ruimtestaat[[#This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0" s="149">
        <f>IF(S470&gt;0,VLOOKUP($J470,Ruimtegroepen[],3,FALSE)*VLOOKUP($L470,Vloersoorten[],3,FALSE)*VLOOKUP($R470,Frequenties[],3,FALSE)*VLOOKUP($A470,Locaties[],3,FALSE),0)</f>
        <v>0</v>
      </c>
      <c r="U470" s="149">
        <f>Ruimtestaat[[#This Row],[Uitvoeringen werkdagen]]*Ruimtestaat[[#This Row],[Oppervlak (netto)]]</f>
        <v>9860</v>
      </c>
      <c r="V470" s="179">
        <f>IF(T470&gt;0,Ruimtestaat[[#This Row],[Prest. (m2 /jaar) werkdagen]]/Ruimtestaat[[#This Row],[Norm (m2/uur) werkdagen]],0)</f>
        <v>0</v>
      </c>
      <c r="W470" s="180">
        <f>Ruimtestaat[[#This Row],[uren / jaar werkdagen]]*Tariefsopbouw!$E$35</f>
        <v>0</v>
      </c>
      <c r="X470" s="149"/>
      <c r="Y470" s="149">
        <f>IF(Ruimtestaat[[#This Row],[Frequentie weekend]]&gt;0,VALUE(LEFT(X470,1))*Q470,0)</f>
        <v>0</v>
      </c>
      <c r="Z470" s="148">
        <f>IF($Y470&gt;0,VLOOKUP($J470,Ruimtegroepen[],3,FALSE)*VLOOKUP($L470,Vloersoorten[],3,FALSE)*VLOOKUP($X470,Frequenties[],3,FALSE)*VLOOKUP(Ruimtestaat[[#This Row],[Code]],Locaties[],3,FALSE),0)</f>
        <v>0</v>
      </c>
      <c r="AA470" s="148">
        <f>Ruimtestaat[[#This Row],[Uitvoeringen weekend]]*Ruimtestaat[[#This Row],[Oppervlak (netto)]]</f>
        <v>0</v>
      </c>
      <c r="AB470" s="148">
        <f>IF(Z470&gt;0,Ruimtestaat[[#This Row],[Prest. (m2 /jaar) weekend]]/Ruimtestaat[[#This Row],[Norm (m2/uur) weekend]],0)</f>
        <v>0</v>
      </c>
      <c r="AC470" s="180">
        <f>Ruimtestaat[[#This Row],[uren / jaar weekend]]*Tariefsopbouw!$D$40</f>
        <v>0</v>
      </c>
      <c r="AD470" s="179">
        <f>Ruimtestaat[[#This Row],[Prest. (m2 /jaar) weekend]]+Ruimtestaat[[#This Row],[Prest. (m2 /jaar) werkdagen]]</f>
        <v>9860</v>
      </c>
      <c r="AE470" s="179">
        <f>Ruimtestaat[[#This Row],[uren / jaar weekend]]+Ruimtestaat[[#This Row],[uren / jaar werkdagen]]</f>
        <v>0</v>
      </c>
      <c r="AF470" s="174">
        <f>Ruimtestaat[[#This Row],[kosten / jaar weekend]]+Ruimtestaat[[#This Row],[kosten / jaar werkdagen]]</f>
        <v>0</v>
      </c>
      <c r="AG470" s="174"/>
      <c r="AH470" s="181" t="str">
        <f>IF(Ruimtestaat[[#This Row],[Frequentie werkdagen]]="","",_xlfn.CONCAT(Ruimtestaat[[#This Row],[Ruimte code]],"-",Ruimtestaat[[#This Row],[Frequentie werkdagen]]," ",Ruimtestaat[[#This Row],[Vloer code]]))</f>
        <v>16-5w L</v>
      </c>
      <c r="AI470" s="185" t="str">
        <f>_xlfn.IFNA(VLOOKUP($AH470,Programma!$F$3:$G$1101,2,0),"")</f>
        <v>_</v>
      </c>
      <c r="AJ470" s="185" t="str">
        <f>_xlfn.IFNA(VLOOKUP($AH470,Programma!$F$3:$H$1101,3,0),"")</f>
        <v>_</v>
      </c>
      <c r="AK470" s="185" t="str">
        <f>_xlfn.IFNA(VLOOKUP($AH470,Programma!$F$3:$I$1101,4,0),"")</f>
        <v>4w</v>
      </c>
      <c r="AL470" s="185" t="str">
        <f>_xlfn.IFNA(VLOOKUP($AH470,Programma!$F$3:$J$1101,5,0),"")</f>
        <v>1w</v>
      </c>
      <c r="AM470" s="185" t="str">
        <f>_xlfn.IFNA(VLOOKUP($AH470,Programma!$F$3:$K$1101,6,0),"")</f>
        <v>_</v>
      </c>
      <c r="AN470" s="185" t="str">
        <f>_xlfn.IFNA(VLOOKUP($AH470,Programma!$F$3:$L$1101,7,0),"")</f>
        <v>_</v>
      </c>
      <c r="AO470" s="185" t="str">
        <f>_xlfn.IFNA(VLOOKUP($AH470,Programma!$F$3:$M$1101,8,0),"")</f>
        <v>_</v>
      </c>
      <c r="AP470" s="185" t="str">
        <f>_xlfn.IFNA(VLOOKUP($AH470,Programma!$F$3:$N$1101,9,0),"")</f>
        <v>_</v>
      </c>
      <c r="AQ470" s="185" t="str">
        <f>_xlfn.IFNA(VLOOKUP($AH470,Programma!$F$3:$O$1101,10,0),"")</f>
        <v>5w</v>
      </c>
      <c r="AR470" s="185" t="str">
        <f>_xlfn.IFNA(VLOOKUP($AH470,Programma!$F$3:$P$1101,11,0),"")</f>
        <v>5w</v>
      </c>
      <c r="AS470" s="185" t="str">
        <f>_xlfn.IFNA(VLOOKUP($AH470,Programma!$F$3:$Q$1101,12,0),"")</f>
        <v>1w</v>
      </c>
      <c r="AT470" s="185" t="str">
        <f>_xlfn.IFNA(VLOOKUP($AH470,Programma!$F$3:$R$1101,13,0),"")</f>
        <v>1w</v>
      </c>
      <c r="AU470" s="185" t="str">
        <f>_xlfn.IFNA(VLOOKUP($AH470,Programma!$F$3:$S$1101,14,0),"")</f>
        <v>1m</v>
      </c>
      <c r="AV470" s="185" t="str">
        <f>_xlfn.IFNA(VLOOKUP($AH470,Programma!$F$3:$T$1101,15,0),"")</f>
        <v>2j</v>
      </c>
      <c r="AW470" s="185" t="str">
        <f>_xlfn.IFNA(VLOOKUP($AH470,Programma!$F$3:$U$1101,16,0),"")</f>
        <v>1j</v>
      </c>
      <c r="AX470" s="185" t="str">
        <f>_xlfn.IFNA(VLOOKUP($AH470,Programma!$F$3:$V$1101,17,0),"")</f>
        <v>_</v>
      </c>
      <c r="AY470" s="185" t="str">
        <f>_xlfn.IFNA(VLOOKUP($AH470,Programma!$F$3:$W$1101,18,0),"")</f>
        <v>_</v>
      </c>
      <c r="AZ470" s="185" t="str">
        <f>_xlfn.IFNA(VLOOKUP($AH470,Programma!$F$3:$X$1101,19,0),"")</f>
        <v>_</v>
      </c>
      <c r="BA470" s="185" t="str">
        <f>_xlfn.IFNA(VLOOKUP($AH470,Programma!$F$3:$Y$1101,20,0),"")</f>
        <v>_</v>
      </c>
      <c r="BB470" s="182"/>
      <c r="BC470" s="181" t="str">
        <f>IF(Ruimtestaat[[#This Row],[Frequentie weekend]]="","",_xlfn.CONCAT(Ruimtestaat[[#This Row],[Ruimte code]],"-",Ruimtestaat[[#This Row],[Frequentie weekend]]," ",Ruimtestaat[[#This Row],[Vloer code]]))</f>
        <v/>
      </c>
      <c r="BD470" s="185" t="str">
        <f>_xlfn.IFNA(VLOOKUP($BC470,Programma!$F$3:$G$1101,2,0),"")</f>
        <v/>
      </c>
      <c r="BE470" s="185" t="str">
        <f>_xlfn.IFNA(VLOOKUP($BC470,Programma!$F$3:$H$1101,3,0),"")</f>
        <v/>
      </c>
      <c r="BF470" s="185" t="str">
        <f>_xlfn.IFNA(VLOOKUP($BC470,Programma!$F$3:$I$1101,4,0),"")</f>
        <v/>
      </c>
      <c r="BG470" s="185" t="str">
        <f>_xlfn.IFNA(VLOOKUP($BC470,Programma!$F$3:$J$1101,5,0),"")</f>
        <v/>
      </c>
      <c r="BH470" s="185" t="str">
        <f>_xlfn.IFNA(VLOOKUP($BC470,Programma!$F$3:$K$1101,6,0),"")</f>
        <v/>
      </c>
      <c r="BI470" s="185" t="str">
        <f>_xlfn.IFNA(VLOOKUP($BC470,Programma!$F$3:$L$1101,7,0),"")</f>
        <v/>
      </c>
      <c r="BJ470" s="185" t="str">
        <f>_xlfn.IFNA(VLOOKUP($BC470,Programma!$F$3:$M$1101,8,0),"")</f>
        <v/>
      </c>
      <c r="BK470" s="185" t="str">
        <f>_xlfn.IFNA(VLOOKUP($BC470,Programma!$F$3:$N$1101,9,0),"")</f>
        <v/>
      </c>
      <c r="BL470" s="185" t="str">
        <f>_xlfn.IFNA(VLOOKUP($BC470,Programma!$F$3:$O$1101,10,0),"")</f>
        <v/>
      </c>
      <c r="BM470" s="185" t="str">
        <f>_xlfn.IFNA(VLOOKUP($BC470,Programma!$F$3:$P$1101,11,0),"")</f>
        <v/>
      </c>
      <c r="BN470" s="185" t="str">
        <f>_xlfn.IFNA(VLOOKUP($BC470,Programma!$F$3:$Q$1101,12,0),"")</f>
        <v/>
      </c>
      <c r="BO470" s="185" t="str">
        <f>_xlfn.IFNA(VLOOKUP($BC470,Programma!$F$3:$R$1101,13,0),"")</f>
        <v/>
      </c>
      <c r="BP470" s="185" t="str">
        <f>_xlfn.IFNA(VLOOKUP($BC470,Programma!$F$3:$S$1101,14,0),"")</f>
        <v/>
      </c>
      <c r="BQ470" s="185" t="str">
        <f>_xlfn.IFNA(VLOOKUP($BC470,Programma!$F$3:$T$1101,15,0),"")</f>
        <v/>
      </c>
      <c r="BR470" s="185" t="str">
        <f>_xlfn.IFNA(VLOOKUP($BC470,Programma!$F$3:$U$1101,16,0),"")</f>
        <v/>
      </c>
      <c r="BS470" s="185" t="str">
        <f>_xlfn.IFNA(VLOOKUP($BC470,Programma!$F$3:$V$1101,17,0),"")</f>
        <v/>
      </c>
      <c r="BT470" s="185" t="str">
        <f>_xlfn.IFNA(VLOOKUP($BC470,Programma!$F$3:$W$1101,18,0),"")</f>
        <v/>
      </c>
      <c r="BU470" s="185" t="str">
        <f>_xlfn.IFNA(VLOOKUP($BC470,Programma!$F$3:$X$1101,19,0),"")</f>
        <v/>
      </c>
      <c r="BV470" s="185" t="str">
        <f>_xlfn.IFNA(VLOOKUP($BC470,Programma!$F$3:$Y$1101,20,0),"")</f>
        <v/>
      </c>
    </row>
    <row r="471" spans="1:74" s="78" customFormat="1" ht="15" customHeight="1">
      <c r="A471" s="99">
        <v>14</v>
      </c>
      <c r="B471" s="176" t="str">
        <f>VLOOKUP(Ruimtestaat[[#This Row],[Code]],Locaties[[Code]:[Locatie]],2,FALSE)</f>
        <v>Prinseschool Prinsestraat</v>
      </c>
      <c r="C471" s="176" t="str">
        <f>VLOOKUP(Ruimtestaat[[#This Row],[Code]],Locaties[[#All],[Code]:[Adres]],4,FALSE)</f>
        <v>Prinsestraat 10-10a </v>
      </c>
      <c r="D471" s="176" t="str">
        <f>VLOOKUP(Ruimtestaat[[#This Row],[Code]],Locaties[[#All],[Code]:[Postcode]],5,FALSE)</f>
        <v>7513 AL</v>
      </c>
      <c r="E471" s="176" t="str">
        <f>VLOOKUP(Ruimtestaat[[#This Row],[Code]],Locaties[#All],6,FALSE)</f>
        <v>Enschede</v>
      </c>
      <c r="F471" s="183"/>
      <c r="G471" s="99" t="s">
        <v>1646</v>
      </c>
      <c r="H471" s="99" t="s">
        <v>1660</v>
      </c>
      <c r="I471" s="183" t="s">
        <v>1743</v>
      </c>
      <c r="J471" s="99">
        <v>16</v>
      </c>
      <c r="K471" s="183" t="str">
        <f>VLOOKUP(Ruimtestaat[[#This Row],[Ruimte code]],Ruimtegroepen[[#All],[Code]:[Ruimte omschrijving]],2,FALSE)</f>
        <v>Leslokalen</v>
      </c>
      <c r="L471" s="99" t="s">
        <v>100</v>
      </c>
      <c r="M471" s="99" t="s">
        <v>1697</v>
      </c>
      <c r="N471" s="177">
        <v>49.3</v>
      </c>
      <c r="O471" s="177"/>
      <c r="P471" s="178" t="str">
        <f>VLOOKUP(Ruimtestaat[[#This Row],[Ruimte code]],Ruimtegroepen[],4,FALSE)</f>
        <v>Le</v>
      </c>
      <c r="Q471" s="149">
        <v>40</v>
      </c>
      <c r="R471" s="149" t="s">
        <v>2</v>
      </c>
      <c r="S471" s="149">
        <f>IF(Q471&gt;0,IF(RIGHT(Ruimtestaat[[#This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1" s="149">
        <f>IF(S471&gt;0,VLOOKUP($J471,Ruimtegroepen[],3,FALSE)*VLOOKUP($L471,Vloersoorten[],3,FALSE)*VLOOKUP($R471,Frequenties[],3,FALSE)*VLOOKUP($A471,Locaties[],3,FALSE),0)</f>
        <v>0</v>
      </c>
      <c r="U471" s="149">
        <f>Ruimtestaat[[#This Row],[Uitvoeringen werkdagen]]*Ruimtestaat[[#This Row],[Oppervlak (netto)]]</f>
        <v>9860</v>
      </c>
      <c r="V471" s="179">
        <f>IF(T471&gt;0,Ruimtestaat[[#This Row],[Prest. (m2 /jaar) werkdagen]]/Ruimtestaat[[#This Row],[Norm (m2/uur) werkdagen]],0)</f>
        <v>0</v>
      </c>
      <c r="W471" s="180">
        <f>Ruimtestaat[[#This Row],[uren / jaar werkdagen]]*Tariefsopbouw!$E$35</f>
        <v>0</v>
      </c>
      <c r="X471" s="149"/>
      <c r="Y471" s="149">
        <f>IF(Ruimtestaat[[#This Row],[Frequentie weekend]]&gt;0,VALUE(LEFT(X471,1))*Q471,0)</f>
        <v>0</v>
      </c>
      <c r="Z471" s="148">
        <f>IF($Y471&gt;0,VLOOKUP($J471,Ruimtegroepen[],3,FALSE)*VLOOKUP($L471,Vloersoorten[],3,FALSE)*VLOOKUP($X471,Frequenties[],3,FALSE)*VLOOKUP(Ruimtestaat[[#This Row],[Code]],Locaties[],3,FALSE),0)</f>
        <v>0</v>
      </c>
      <c r="AA471" s="148">
        <f>Ruimtestaat[[#This Row],[Uitvoeringen weekend]]*Ruimtestaat[[#This Row],[Oppervlak (netto)]]</f>
        <v>0</v>
      </c>
      <c r="AB471" s="148">
        <f>IF(Z471&gt;0,Ruimtestaat[[#This Row],[Prest. (m2 /jaar) weekend]]/Ruimtestaat[[#This Row],[Norm (m2/uur) weekend]],0)</f>
        <v>0</v>
      </c>
      <c r="AC471" s="180">
        <f>Ruimtestaat[[#This Row],[uren / jaar weekend]]*Tariefsopbouw!$D$40</f>
        <v>0</v>
      </c>
      <c r="AD471" s="179">
        <f>Ruimtestaat[[#This Row],[Prest. (m2 /jaar) weekend]]+Ruimtestaat[[#This Row],[Prest. (m2 /jaar) werkdagen]]</f>
        <v>9860</v>
      </c>
      <c r="AE471" s="179">
        <f>Ruimtestaat[[#This Row],[uren / jaar weekend]]+Ruimtestaat[[#This Row],[uren / jaar werkdagen]]</f>
        <v>0</v>
      </c>
      <c r="AF471" s="174">
        <f>Ruimtestaat[[#This Row],[kosten / jaar weekend]]+Ruimtestaat[[#This Row],[kosten / jaar werkdagen]]</f>
        <v>0</v>
      </c>
      <c r="AG471" s="174"/>
      <c r="AH471" s="181" t="str">
        <f>IF(Ruimtestaat[[#This Row],[Frequentie werkdagen]]="","",_xlfn.CONCAT(Ruimtestaat[[#This Row],[Ruimte code]],"-",Ruimtestaat[[#This Row],[Frequentie werkdagen]]," ",Ruimtestaat[[#This Row],[Vloer code]]))</f>
        <v>16-5w L</v>
      </c>
      <c r="AI471" s="185" t="str">
        <f>_xlfn.IFNA(VLOOKUP($AH471,Programma!$F$3:$G$1101,2,0),"")</f>
        <v>_</v>
      </c>
      <c r="AJ471" s="185" t="str">
        <f>_xlfn.IFNA(VLOOKUP($AH471,Programma!$F$3:$H$1101,3,0),"")</f>
        <v>_</v>
      </c>
      <c r="AK471" s="185" t="str">
        <f>_xlfn.IFNA(VLOOKUP($AH471,Programma!$F$3:$I$1101,4,0),"")</f>
        <v>4w</v>
      </c>
      <c r="AL471" s="185" t="str">
        <f>_xlfn.IFNA(VLOOKUP($AH471,Programma!$F$3:$J$1101,5,0),"")</f>
        <v>1w</v>
      </c>
      <c r="AM471" s="185" t="str">
        <f>_xlfn.IFNA(VLOOKUP($AH471,Programma!$F$3:$K$1101,6,0),"")</f>
        <v>_</v>
      </c>
      <c r="AN471" s="185" t="str">
        <f>_xlfn.IFNA(VLOOKUP($AH471,Programma!$F$3:$L$1101,7,0),"")</f>
        <v>_</v>
      </c>
      <c r="AO471" s="185" t="str">
        <f>_xlfn.IFNA(VLOOKUP($AH471,Programma!$F$3:$M$1101,8,0),"")</f>
        <v>_</v>
      </c>
      <c r="AP471" s="185" t="str">
        <f>_xlfn.IFNA(VLOOKUP($AH471,Programma!$F$3:$N$1101,9,0),"")</f>
        <v>_</v>
      </c>
      <c r="AQ471" s="185" t="str">
        <f>_xlfn.IFNA(VLOOKUP($AH471,Programma!$F$3:$O$1101,10,0),"")</f>
        <v>5w</v>
      </c>
      <c r="AR471" s="185" t="str">
        <f>_xlfn.IFNA(VLOOKUP($AH471,Programma!$F$3:$P$1101,11,0),"")</f>
        <v>5w</v>
      </c>
      <c r="AS471" s="185" t="str">
        <f>_xlfn.IFNA(VLOOKUP($AH471,Programma!$F$3:$Q$1101,12,0),"")</f>
        <v>1w</v>
      </c>
      <c r="AT471" s="185" t="str">
        <f>_xlfn.IFNA(VLOOKUP($AH471,Programma!$F$3:$R$1101,13,0),"")</f>
        <v>1w</v>
      </c>
      <c r="AU471" s="185" t="str">
        <f>_xlfn.IFNA(VLOOKUP($AH471,Programma!$F$3:$S$1101,14,0),"")</f>
        <v>1m</v>
      </c>
      <c r="AV471" s="185" t="str">
        <f>_xlfn.IFNA(VLOOKUP($AH471,Programma!$F$3:$T$1101,15,0),"")</f>
        <v>2j</v>
      </c>
      <c r="AW471" s="185" t="str">
        <f>_xlfn.IFNA(VLOOKUP($AH471,Programma!$F$3:$U$1101,16,0),"")</f>
        <v>1j</v>
      </c>
      <c r="AX471" s="185" t="str">
        <f>_xlfn.IFNA(VLOOKUP($AH471,Programma!$F$3:$V$1101,17,0),"")</f>
        <v>_</v>
      </c>
      <c r="AY471" s="185" t="str">
        <f>_xlfn.IFNA(VLOOKUP($AH471,Programma!$F$3:$W$1101,18,0),"")</f>
        <v>_</v>
      </c>
      <c r="AZ471" s="185" t="str">
        <f>_xlfn.IFNA(VLOOKUP($AH471,Programma!$F$3:$X$1101,19,0),"")</f>
        <v>_</v>
      </c>
      <c r="BA471" s="185" t="str">
        <f>_xlfn.IFNA(VLOOKUP($AH471,Programma!$F$3:$Y$1101,20,0),"")</f>
        <v>_</v>
      </c>
      <c r="BB471" s="182"/>
      <c r="BC471" s="181" t="str">
        <f>IF(Ruimtestaat[[#This Row],[Frequentie weekend]]="","",_xlfn.CONCAT(Ruimtestaat[[#This Row],[Ruimte code]],"-",Ruimtestaat[[#This Row],[Frequentie weekend]]," ",Ruimtestaat[[#This Row],[Vloer code]]))</f>
        <v/>
      </c>
      <c r="BD471" s="185" t="str">
        <f>_xlfn.IFNA(VLOOKUP($BC471,Programma!$F$3:$G$1101,2,0),"")</f>
        <v/>
      </c>
      <c r="BE471" s="185" t="str">
        <f>_xlfn.IFNA(VLOOKUP($BC471,Programma!$F$3:$H$1101,3,0),"")</f>
        <v/>
      </c>
      <c r="BF471" s="185" t="str">
        <f>_xlfn.IFNA(VLOOKUP($BC471,Programma!$F$3:$I$1101,4,0),"")</f>
        <v/>
      </c>
      <c r="BG471" s="185" t="str">
        <f>_xlfn.IFNA(VLOOKUP($BC471,Programma!$F$3:$J$1101,5,0),"")</f>
        <v/>
      </c>
      <c r="BH471" s="185" t="str">
        <f>_xlfn.IFNA(VLOOKUP($BC471,Programma!$F$3:$K$1101,6,0),"")</f>
        <v/>
      </c>
      <c r="BI471" s="185" t="str">
        <f>_xlfn.IFNA(VLOOKUP($BC471,Programma!$F$3:$L$1101,7,0),"")</f>
        <v/>
      </c>
      <c r="BJ471" s="185" t="str">
        <f>_xlfn.IFNA(VLOOKUP($BC471,Programma!$F$3:$M$1101,8,0),"")</f>
        <v/>
      </c>
      <c r="BK471" s="185" t="str">
        <f>_xlfn.IFNA(VLOOKUP($BC471,Programma!$F$3:$N$1101,9,0),"")</f>
        <v/>
      </c>
      <c r="BL471" s="185" t="str">
        <f>_xlfn.IFNA(VLOOKUP($BC471,Programma!$F$3:$O$1101,10,0),"")</f>
        <v/>
      </c>
      <c r="BM471" s="185" t="str">
        <f>_xlfn.IFNA(VLOOKUP($BC471,Programma!$F$3:$P$1101,11,0),"")</f>
        <v/>
      </c>
      <c r="BN471" s="185" t="str">
        <f>_xlfn.IFNA(VLOOKUP($BC471,Programma!$F$3:$Q$1101,12,0),"")</f>
        <v/>
      </c>
      <c r="BO471" s="185" t="str">
        <f>_xlfn.IFNA(VLOOKUP($BC471,Programma!$F$3:$R$1101,13,0),"")</f>
        <v/>
      </c>
      <c r="BP471" s="185" t="str">
        <f>_xlfn.IFNA(VLOOKUP($BC471,Programma!$F$3:$S$1101,14,0),"")</f>
        <v/>
      </c>
      <c r="BQ471" s="185" t="str">
        <f>_xlfn.IFNA(VLOOKUP($BC471,Programma!$F$3:$T$1101,15,0),"")</f>
        <v/>
      </c>
      <c r="BR471" s="185" t="str">
        <f>_xlfn.IFNA(VLOOKUP($BC471,Programma!$F$3:$U$1101,16,0),"")</f>
        <v/>
      </c>
      <c r="BS471" s="185" t="str">
        <f>_xlfn.IFNA(VLOOKUP($BC471,Programma!$F$3:$V$1101,17,0),"")</f>
        <v/>
      </c>
      <c r="BT471" s="185" t="str">
        <f>_xlfn.IFNA(VLOOKUP($BC471,Programma!$F$3:$W$1101,18,0),"")</f>
        <v/>
      </c>
      <c r="BU471" s="185" t="str">
        <f>_xlfn.IFNA(VLOOKUP($BC471,Programma!$F$3:$X$1101,19,0),"")</f>
        <v/>
      </c>
      <c r="BV471" s="185" t="str">
        <f>_xlfn.IFNA(VLOOKUP($BC471,Programma!$F$3:$Y$1101,20,0),"")</f>
        <v/>
      </c>
    </row>
    <row r="472" spans="1:74" s="78" customFormat="1" ht="15" customHeight="1">
      <c r="A472" s="99">
        <v>14</v>
      </c>
      <c r="B472" s="176" t="str">
        <f>VLOOKUP(Ruimtestaat[[#This Row],[Code]],Locaties[[Code]:[Locatie]],2,FALSE)</f>
        <v>Prinseschool Prinsestraat</v>
      </c>
      <c r="C472" s="176" t="str">
        <f>VLOOKUP(Ruimtestaat[[#This Row],[Code]],Locaties[[#All],[Code]:[Adres]],4,FALSE)</f>
        <v>Prinsestraat 10-10a </v>
      </c>
      <c r="D472" s="176" t="str">
        <f>VLOOKUP(Ruimtestaat[[#This Row],[Code]],Locaties[[#All],[Code]:[Postcode]],5,FALSE)</f>
        <v>7513 AL</v>
      </c>
      <c r="E472" s="176" t="str">
        <f>VLOOKUP(Ruimtestaat[[#This Row],[Code]],Locaties[#All],6,FALSE)</f>
        <v>Enschede</v>
      </c>
      <c r="F472" s="183"/>
      <c r="G472" s="99" t="s">
        <v>1646</v>
      </c>
      <c r="H472" s="99" t="s">
        <v>1661</v>
      </c>
      <c r="I472" s="183" t="s">
        <v>1743</v>
      </c>
      <c r="J472" s="99">
        <v>16</v>
      </c>
      <c r="K472" s="183" t="str">
        <f>VLOOKUP(Ruimtestaat[[#This Row],[Ruimte code]],Ruimtegroepen[[#All],[Code]:[Ruimte omschrijving]],2,FALSE)</f>
        <v>Leslokalen</v>
      </c>
      <c r="L472" s="99" t="s">
        <v>100</v>
      </c>
      <c r="M472" s="99" t="s">
        <v>1697</v>
      </c>
      <c r="N472" s="177">
        <v>48.7</v>
      </c>
      <c r="O472" s="177"/>
      <c r="P472" s="178" t="str">
        <f>VLOOKUP(Ruimtestaat[[#This Row],[Ruimte code]],Ruimtegroepen[],4,FALSE)</f>
        <v>Le</v>
      </c>
      <c r="Q472" s="149">
        <v>40</v>
      </c>
      <c r="R472" s="149" t="s">
        <v>2</v>
      </c>
      <c r="S472" s="149">
        <f>IF(Q472&gt;0,IF(RIGHT(Ruimtestaat[[#This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2" s="149">
        <f>IF(S472&gt;0,VLOOKUP($J472,Ruimtegroepen[],3,FALSE)*VLOOKUP($L472,Vloersoorten[],3,FALSE)*VLOOKUP($R472,Frequenties[],3,FALSE)*VLOOKUP($A472,Locaties[],3,FALSE),0)</f>
        <v>0</v>
      </c>
      <c r="U472" s="149">
        <f>Ruimtestaat[[#This Row],[Uitvoeringen werkdagen]]*Ruimtestaat[[#This Row],[Oppervlak (netto)]]</f>
        <v>9740</v>
      </c>
      <c r="V472" s="179">
        <f>IF(T472&gt;0,Ruimtestaat[[#This Row],[Prest. (m2 /jaar) werkdagen]]/Ruimtestaat[[#This Row],[Norm (m2/uur) werkdagen]],0)</f>
        <v>0</v>
      </c>
      <c r="W472" s="180">
        <f>Ruimtestaat[[#This Row],[uren / jaar werkdagen]]*Tariefsopbouw!$E$35</f>
        <v>0</v>
      </c>
      <c r="X472" s="149"/>
      <c r="Y472" s="149">
        <f>IF(Ruimtestaat[[#This Row],[Frequentie weekend]]&gt;0,VALUE(LEFT(X472,1))*Q472,0)</f>
        <v>0</v>
      </c>
      <c r="Z472" s="148">
        <f>IF($Y472&gt;0,VLOOKUP($J472,Ruimtegroepen[],3,FALSE)*VLOOKUP($L472,Vloersoorten[],3,FALSE)*VLOOKUP($X472,Frequenties[],3,FALSE)*VLOOKUP(Ruimtestaat[[#This Row],[Code]],Locaties[],3,FALSE),0)</f>
        <v>0</v>
      </c>
      <c r="AA472" s="148">
        <f>Ruimtestaat[[#This Row],[Uitvoeringen weekend]]*Ruimtestaat[[#This Row],[Oppervlak (netto)]]</f>
        <v>0</v>
      </c>
      <c r="AB472" s="148">
        <f>IF(Z472&gt;0,Ruimtestaat[[#This Row],[Prest. (m2 /jaar) weekend]]/Ruimtestaat[[#This Row],[Norm (m2/uur) weekend]],0)</f>
        <v>0</v>
      </c>
      <c r="AC472" s="180">
        <f>Ruimtestaat[[#This Row],[uren / jaar weekend]]*Tariefsopbouw!$D$40</f>
        <v>0</v>
      </c>
      <c r="AD472" s="179">
        <f>Ruimtestaat[[#This Row],[Prest. (m2 /jaar) weekend]]+Ruimtestaat[[#This Row],[Prest. (m2 /jaar) werkdagen]]</f>
        <v>9740</v>
      </c>
      <c r="AE472" s="179">
        <f>Ruimtestaat[[#This Row],[uren / jaar weekend]]+Ruimtestaat[[#This Row],[uren / jaar werkdagen]]</f>
        <v>0</v>
      </c>
      <c r="AF472" s="174">
        <f>Ruimtestaat[[#This Row],[kosten / jaar weekend]]+Ruimtestaat[[#This Row],[kosten / jaar werkdagen]]</f>
        <v>0</v>
      </c>
      <c r="AG472" s="174"/>
      <c r="AH472" s="181" t="str">
        <f>IF(Ruimtestaat[[#This Row],[Frequentie werkdagen]]="","",_xlfn.CONCAT(Ruimtestaat[[#This Row],[Ruimte code]],"-",Ruimtestaat[[#This Row],[Frequentie werkdagen]]," ",Ruimtestaat[[#This Row],[Vloer code]]))</f>
        <v>16-5w L</v>
      </c>
      <c r="AI472" s="185" t="str">
        <f>_xlfn.IFNA(VLOOKUP($AH472,Programma!$F$3:$G$1101,2,0),"")</f>
        <v>_</v>
      </c>
      <c r="AJ472" s="185" t="str">
        <f>_xlfn.IFNA(VLOOKUP($AH472,Programma!$F$3:$H$1101,3,0),"")</f>
        <v>_</v>
      </c>
      <c r="AK472" s="185" t="str">
        <f>_xlfn.IFNA(VLOOKUP($AH472,Programma!$F$3:$I$1101,4,0),"")</f>
        <v>4w</v>
      </c>
      <c r="AL472" s="185" t="str">
        <f>_xlfn.IFNA(VLOOKUP($AH472,Programma!$F$3:$J$1101,5,0),"")</f>
        <v>1w</v>
      </c>
      <c r="AM472" s="185" t="str">
        <f>_xlfn.IFNA(VLOOKUP($AH472,Programma!$F$3:$K$1101,6,0),"")</f>
        <v>_</v>
      </c>
      <c r="AN472" s="185" t="str">
        <f>_xlfn.IFNA(VLOOKUP($AH472,Programma!$F$3:$L$1101,7,0),"")</f>
        <v>_</v>
      </c>
      <c r="AO472" s="185" t="str">
        <f>_xlfn.IFNA(VLOOKUP($AH472,Programma!$F$3:$M$1101,8,0),"")</f>
        <v>_</v>
      </c>
      <c r="AP472" s="185" t="str">
        <f>_xlfn.IFNA(VLOOKUP($AH472,Programma!$F$3:$N$1101,9,0),"")</f>
        <v>_</v>
      </c>
      <c r="AQ472" s="185" t="str">
        <f>_xlfn.IFNA(VLOOKUP($AH472,Programma!$F$3:$O$1101,10,0),"")</f>
        <v>5w</v>
      </c>
      <c r="AR472" s="185" t="str">
        <f>_xlfn.IFNA(VLOOKUP($AH472,Programma!$F$3:$P$1101,11,0),"")</f>
        <v>5w</v>
      </c>
      <c r="AS472" s="185" t="str">
        <f>_xlfn.IFNA(VLOOKUP($AH472,Programma!$F$3:$Q$1101,12,0),"")</f>
        <v>1w</v>
      </c>
      <c r="AT472" s="185" t="str">
        <f>_xlfn.IFNA(VLOOKUP($AH472,Programma!$F$3:$R$1101,13,0),"")</f>
        <v>1w</v>
      </c>
      <c r="AU472" s="185" t="str">
        <f>_xlfn.IFNA(VLOOKUP($AH472,Programma!$F$3:$S$1101,14,0),"")</f>
        <v>1m</v>
      </c>
      <c r="AV472" s="185" t="str">
        <f>_xlfn.IFNA(VLOOKUP($AH472,Programma!$F$3:$T$1101,15,0),"")</f>
        <v>2j</v>
      </c>
      <c r="AW472" s="185" t="str">
        <f>_xlfn.IFNA(VLOOKUP($AH472,Programma!$F$3:$U$1101,16,0),"")</f>
        <v>1j</v>
      </c>
      <c r="AX472" s="185" t="str">
        <f>_xlfn.IFNA(VLOOKUP($AH472,Programma!$F$3:$V$1101,17,0),"")</f>
        <v>_</v>
      </c>
      <c r="AY472" s="185" t="str">
        <f>_xlfn.IFNA(VLOOKUP($AH472,Programma!$F$3:$W$1101,18,0),"")</f>
        <v>_</v>
      </c>
      <c r="AZ472" s="185" t="str">
        <f>_xlfn.IFNA(VLOOKUP($AH472,Programma!$F$3:$X$1101,19,0),"")</f>
        <v>_</v>
      </c>
      <c r="BA472" s="185" t="str">
        <f>_xlfn.IFNA(VLOOKUP($AH472,Programma!$F$3:$Y$1101,20,0),"")</f>
        <v>_</v>
      </c>
      <c r="BB472" s="182"/>
      <c r="BC472" s="181" t="str">
        <f>IF(Ruimtestaat[[#This Row],[Frequentie weekend]]="","",_xlfn.CONCAT(Ruimtestaat[[#This Row],[Ruimte code]],"-",Ruimtestaat[[#This Row],[Frequentie weekend]]," ",Ruimtestaat[[#This Row],[Vloer code]]))</f>
        <v/>
      </c>
      <c r="BD472" s="185" t="str">
        <f>_xlfn.IFNA(VLOOKUP($BC472,Programma!$F$3:$G$1101,2,0),"")</f>
        <v/>
      </c>
      <c r="BE472" s="185" t="str">
        <f>_xlfn.IFNA(VLOOKUP($BC472,Programma!$F$3:$H$1101,3,0),"")</f>
        <v/>
      </c>
      <c r="BF472" s="185" t="str">
        <f>_xlfn.IFNA(VLOOKUP($BC472,Programma!$F$3:$I$1101,4,0),"")</f>
        <v/>
      </c>
      <c r="BG472" s="185" t="str">
        <f>_xlfn.IFNA(VLOOKUP($BC472,Programma!$F$3:$J$1101,5,0),"")</f>
        <v/>
      </c>
      <c r="BH472" s="185" t="str">
        <f>_xlfn.IFNA(VLOOKUP($BC472,Programma!$F$3:$K$1101,6,0),"")</f>
        <v/>
      </c>
      <c r="BI472" s="185" t="str">
        <f>_xlfn.IFNA(VLOOKUP($BC472,Programma!$F$3:$L$1101,7,0),"")</f>
        <v/>
      </c>
      <c r="BJ472" s="185" t="str">
        <f>_xlfn.IFNA(VLOOKUP($BC472,Programma!$F$3:$M$1101,8,0),"")</f>
        <v/>
      </c>
      <c r="BK472" s="185" t="str">
        <f>_xlfn.IFNA(VLOOKUP($BC472,Programma!$F$3:$N$1101,9,0),"")</f>
        <v/>
      </c>
      <c r="BL472" s="185" t="str">
        <f>_xlfn.IFNA(VLOOKUP($BC472,Programma!$F$3:$O$1101,10,0),"")</f>
        <v/>
      </c>
      <c r="BM472" s="185" t="str">
        <f>_xlfn.IFNA(VLOOKUP($BC472,Programma!$F$3:$P$1101,11,0),"")</f>
        <v/>
      </c>
      <c r="BN472" s="185" t="str">
        <f>_xlfn.IFNA(VLOOKUP($BC472,Programma!$F$3:$Q$1101,12,0),"")</f>
        <v/>
      </c>
      <c r="BO472" s="185" t="str">
        <f>_xlfn.IFNA(VLOOKUP($BC472,Programma!$F$3:$R$1101,13,0),"")</f>
        <v/>
      </c>
      <c r="BP472" s="185" t="str">
        <f>_xlfn.IFNA(VLOOKUP($BC472,Programma!$F$3:$S$1101,14,0),"")</f>
        <v/>
      </c>
      <c r="BQ472" s="185" t="str">
        <f>_xlfn.IFNA(VLOOKUP($BC472,Programma!$F$3:$T$1101,15,0),"")</f>
        <v/>
      </c>
      <c r="BR472" s="185" t="str">
        <f>_xlfn.IFNA(VLOOKUP($BC472,Programma!$F$3:$U$1101,16,0),"")</f>
        <v/>
      </c>
      <c r="BS472" s="185" t="str">
        <f>_xlfn.IFNA(VLOOKUP($BC472,Programma!$F$3:$V$1101,17,0),"")</f>
        <v/>
      </c>
      <c r="BT472" s="185" t="str">
        <f>_xlfn.IFNA(VLOOKUP($BC472,Programma!$F$3:$W$1101,18,0),"")</f>
        <v/>
      </c>
      <c r="BU472" s="185" t="str">
        <f>_xlfn.IFNA(VLOOKUP($BC472,Programma!$F$3:$X$1101,19,0),"")</f>
        <v/>
      </c>
      <c r="BV472" s="185" t="str">
        <f>_xlfn.IFNA(VLOOKUP($BC472,Programma!$F$3:$Y$1101,20,0),"")</f>
        <v/>
      </c>
    </row>
    <row r="473" spans="1:74" s="78" customFormat="1" ht="15" customHeight="1">
      <c r="A473" s="99">
        <v>14</v>
      </c>
      <c r="B473" s="176" t="str">
        <f>VLOOKUP(Ruimtestaat[[#This Row],[Code]],Locaties[[Code]:[Locatie]],2,FALSE)</f>
        <v>Prinseschool Prinsestraat</v>
      </c>
      <c r="C473" s="176" t="str">
        <f>VLOOKUP(Ruimtestaat[[#This Row],[Code]],Locaties[[#All],[Code]:[Adres]],4,FALSE)</f>
        <v>Prinsestraat 10-10a </v>
      </c>
      <c r="D473" s="176" t="str">
        <f>VLOOKUP(Ruimtestaat[[#This Row],[Code]],Locaties[[#All],[Code]:[Postcode]],5,FALSE)</f>
        <v>7513 AL</v>
      </c>
      <c r="E473" s="176" t="str">
        <f>VLOOKUP(Ruimtestaat[[#This Row],[Code]],Locaties[#All],6,FALSE)</f>
        <v>Enschede</v>
      </c>
      <c r="F473" s="183"/>
      <c r="G473" s="99" t="s">
        <v>1646</v>
      </c>
      <c r="H473" s="99" t="s">
        <v>1662</v>
      </c>
      <c r="I473" s="183" t="s">
        <v>1649</v>
      </c>
      <c r="J473" s="99">
        <v>2</v>
      </c>
      <c r="K473" s="183" t="str">
        <f>VLOOKUP(Ruimtestaat[[#This Row],[Ruimte code]],Ruimtegroepen[[#All],[Code]:[Ruimte omschrijving]],2,FALSE)</f>
        <v>Kantoren</v>
      </c>
      <c r="L473" s="99" t="s">
        <v>99</v>
      </c>
      <c r="M473" s="99" t="s">
        <v>36</v>
      </c>
      <c r="N473" s="177">
        <v>14</v>
      </c>
      <c r="O473" s="177"/>
      <c r="P473" s="178" t="str">
        <f>VLOOKUP(Ruimtestaat[[#This Row],[Ruimte code]],Ruimtegroepen[],4,FALSE)</f>
        <v>Bu</v>
      </c>
      <c r="Q473" s="149">
        <v>40</v>
      </c>
      <c r="R473" s="149" t="s">
        <v>18</v>
      </c>
      <c r="S473" s="149">
        <f>IF(Q473&gt;0,IF(RIGHT(Ruimtestaat[[#This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73" s="149">
        <f>IF(S473&gt;0,VLOOKUP($J473,Ruimtegroepen[],3,FALSE)*VLOOKUP($L473,Vloersoorten[],3,FALSE)*VLOOKUP($R473,Frequenties[],3,FALSE)*VLOOKUP($A473,Locaties[],3,FALSE),0)</f>
        <v>0</v>
      </c>
      <c r="U473" s="149">
        <f>Ruimtestaat[[#This Row],[Uitvoeringen werkdagen]]*Ruimtestaat[[#This Row],[Oppervlak (netto)]]</f>
        <v>1680</v>
      </c>
      <c r="V473" s="179">
        <f>IF(T473&gt;0,Ruimtestaat[[#This Row],[Prest. (m2 /jaar) werkdagen]]/Ruimtestaat[[#This Row],[Norm (m2/uur) werkdagen]],0)</f>
        <v>0</v>
      </c>
      <c r="W473" s="180">
        <f>Ruimtestaat[[#This Row],[uren / jaar werkdagen]]*Tariefsopbouw!$E$35</f>
        <v>0</v>
      </c>
      <c r="X473" s="149"/>
      <c r="Y473" s="149">
        <f>IF(Ruimtestaat[[#This Row],[Frequentie weekend]]&gt;0,VALUE(LEFT(X473,1))*Q473,0)</f>
        <v>0</v>
      </c>
      <c r="Z473" s="148">
        <f>IF($Y473&gt;0,VLOOKUP($J473,Ruimtegroepen[],3,FALSE)*VLOOKUP($L473,Vloersoorten[],3,FALSE)*VLOOKUP($X473,Frequenties[],3,FALSE)*VLOOKUP(Ruimtestaat[[#This Row],[Code]],Locaties[],3,FALSE),0)</f>
        <v>0</v>
      </c>
      <c r="AA473" s="148">
        <f>Ruimtestaat[[#This Row],[Uitvoeringen weekend]]*Ruimtestaat[[#This Row],[Oppervlak (netto)]]</f>
        <v>0</v>
      </c>
      <c r="AB473" s="148">
        <f>IF(Z473&gt;0,Ruimtestaat[[#This Row],[Prest. (m2 /jaar) weekend]]/Ruimtestaat[[#This Row],[Norm (m2/uur) weekend]],0)</f>
        <v>0</v>
      </c>
      <c r="AC473" s="180">
        <f>Ruimtestaat[[#This Row],[uren / jaar weekend]]*Tariefsopbouw!$D$40</f>
        <v>0</v>
      </c>
      <c r="AD473" s="179">
        <f>Ruimtestaat[[#This Row],[Prest. (m2 /jaar) weekend]]+Ruimtestaat[[#This Row],[Prest. (m2 /jaar) werkdagen]]</f>
        <v>1680</v>
      </c>
      <c r="AE473" s="179">
        <f>Ruimtestaat[[#This Row],[uren / jaar weekend]]+Ruimtestaat[[#This Row],[uren / jaar werkdagen]]</f>
        <v>0</v>
      </c>
      <c r="AF473" s="174">
        <f>Ruimtestaat[[#This Row],[kosten / jaar weekend]]+Ruimtestaat[[#This Row],[kosten / jaar werkdagen]]</f>
        <v>0</v>
      </c>
      <c r="AG473" s="174"/>
      <c r="AH473" s="181" t="str">
        <f>IF(Ruimtestaat[[#This Row],[Frequentie werkdagen]]="","",_xlfn.CONCAT(Ruimtestaat[[#This Row],[Ruimte code]],"-",Ruimtestaat[[#This Row],[Frequentie werkdagen]]," ",Ruimtestaat[[#This Row],[Vloer code]]))</f>
        <v>2-3w T</v>
      </c>
      <c r="AI473" s="185" t="str">
        <f>_xlfn.IFNA(VLOOKUP($AH473,Programma!$F$3:$G$1101,2,0),"")</f>
        <v>2w</v>
      </c>
      <c r="AJ473" s="185" t="str">
        <f>_xlfn.IFNA(VLOOKUP($AH473,Programma!$F$3:$H$1101,3,0),"")</f>
        <v>1w</v>
      </c>
      <c r="AK473" s="185" t="str">
        <f>_xlfn.IFNA(VLOOKUP($AH473,Programma!$F$3:$I$1101,4,0),"")</f>
        <v>_</v>
      </c>
      <c r="AL473" s="185" t="str">
        <f>_xlfn.IFNA(VLOOKUP($AH473,Programma!$F$3:$J$1101,5,0),"")</f>
        <v>_</v>
      </c>
      <c r="AM473" s="185" t="str">
        <f>_xlfn.IFNA(VLOOKUP($AH473,Programma!$F$3:$K$1101,6,0),"")</f>
        <v>_</v>
      </c>
      <c r="AN473" s="185" t="str">
        <f>_xlfn.IFNA(VLOOKUP($AH473,Programma!$F$3:$L$1101,7,0),"")</f>
        <v>_</v>
      </c>
      <c r="AO473" s="185" t="str">
        <f>_xlfn.IFNA(VLOOKUP($AH473,Programma!$F$3:$M$1101,8,0),"")</f>
        <v>_</v>
      </c>
      <c r="AP473" s="185" t="str">
        <f>_xlfn.IFNA(VLOOKUP($AH473,Programma!$F$3:$N$1101,9,0),"")</f>
        <v>_</v>
      </c>
      <c r="AQ473" s="185" t="str">
        <f>_xlfn.IFNA(VLOOKUP($AH473,Programma!$F$3:$O$1101,10,0),"")</f>
        <v>3w</v>
      </c>
      <c r="AR473" s="185" t="str">
        <f>_xlfn.IFNA(VLOOKUP($AH473,Programma!$F$3:$P$1101,11,0),"")</f>
        <v>3w</v>
      </c>
      <c r="AS473" s="185" t="str">
        <f>_xlfn.IFNA(VLOOKUP($AH473,Programma!$F$3:$Q$1101,12,0),"")</f>
        <v>1w</v>
      </c>
      <c r="AT473" s="185" t="str">
        <f>_xlfn.IFNA(VLOOKUP($AH473,Programma!$F$3:$R$1101,13,0),"")</f>
        <v>1w</v>
      </c>
      <c r="AU473" s="185" t="str">
        <f>_xlfn.IFNA(VLOOKUP($AH473,Programma!$F$3:$S$1101,14,0),"")</f>
        <v>1m</v>
      </c>
      <c r="AV473" s="185" t="str">
        <f>_xlfn.IFNA(VLOOKUP($AH473,Programma!$F$3:$T$1101,15,0),"")</f>
        <v>2j</v>
      </c>
      <c r="AW473" s="185" t="str">
        <f>_xlfn.IFNA(VLOOKUP($AH473,Programma!$F$3:$U$1101,16,0),"")</f>
        <v>1j</v>
      </c>
      <c r="AX473" s="185" t="str">
        <f>_xlfn.IFNA(VLOOKUP($AH473,Programma!$F$3:$V$1101,17,0),"")</f>
        <v>_</v>
      </c>
      <c r="AY473" s="185" t="str">
        <f>_xlfn.IFNA(VLOOKUP($AH473,Programma!$F$3:$W$1101,18,0),"")</f>
        <v>_</v>
      </c>
      <c r="AZ473" s="185" t="str">
        <f>_xlfn.IFNA(VLOOKUP($AH473,Programma!$F$3:$X$1101,19,0),"")</f>
        <v>_</v>
      </c>
      <c r="BA473" s="185" t="str">
        <f>_xlfn.IFNA(VLOOKUP($AH473,Programma!$F$3:$Y$1101,20,0),"")</f>
        <v>_</v>
      </c>
      <c r="BB473" s="182"/>
      <c r="BC473" s="181" t="str">
        <f>IF(Ruimtestaat[[#This Row],[Frequentie weekend]]="","",_xlfn.CONCAT(Ruimtestaat[[#This Row],[Ruimte code]],"-",Ruimtestaat[[#This Row],[Frequentie weekend]]," ",Ruimtestaat[[#This Row],[Vloer code]]))</f>
        <v/>
      </c>
      <c r="BD473" s="185" t="str">
        <f>_xlfn.IFNA(VLOOKUP($BC473,Programma!$F$3:$G$1101,2,0),"")</f>
        <v/>
      </c>
      <c r="BE473" s="185" t="str">
        <f>_xlfn.IFNA(VLOOKUP($BC473,Programma!$F$3:$H$1101,3,0),"")</f>
        <v/>
      </c>
      <c r="BF473" s="185" t="str">
        <f>_xlfn.IFNA(VLOOKUP($BC473,Programma!$F$3:$I$1101,4,0),"")</f>
        <v/>
      </c>
      <c r="BG473" s="185" t="str">
        <f>_xlfn.IFNA(VLOOKUP($BC473,Programma!$F$3:$J$1101,5,0),"")</f>
        <v/>
      </c>
      <c r="BH473" s="185" t="str">
        <f>_xlfn.IFNA(VLOOKUP($BC473,Programma!$F$3:$K$1101,6,0),"")</f>
        <v/>
      </c>
      <c r="BI473" s="185" t="str">
        <f>_xlfn.IFNA(VLOOKUP($BC473,Programma!$F$3:$L$1101,7,0),"")</f>
        <v/>
      </c>
      <c r="BJ473" s="185" t="str">
        <f>_xlfn.IFNA(VLOOKUP($BC473,Programma!$F$3:$M$1101,8,0),"")</f>
        <v/>
      </c>
      <c r="BK473" s="185" t="str">
        <f>_xlfn.IFNA(VLOOKUP($BC473,Programma!$F$3:$N$1101,9,0),"")</f>
        <v/>
      </c>
      <c r="BL473" s="185" t="str">
        <f>_xlfn.IFNA(VLOOKUP($BC473,Programma!$F$3:$O$1101,10,0),"")</f>
        <v/>
      </c>
      <c r="BM473" s="185" t="str">
        <f>_xlfn.IFNA(VLOOKUP($BC473,Programma!$F$3:$P$1101,11,0),"")</f>
        <v/>
      </c>
      <c r="BN473" s="185" t="str">
        <f>_xlfn.IFNA(VLOOKUP($BC473,Programma!$F$3:$Q$1101,12,0),"")</f>
        <v/>
      </c>
      <c r="BO473" s="185" t="str">
        <f>_xlfn.IFNA(VLOOKUP($BC473,Programma!$F$3:$R$1101,13,0),"")</f>
        <v/>
      </c>
      <c r="BP473" s="185" t="str">
        <f>_xlfn.IFNA(VLOOKUP($BC473,Programma!$F$3:$S$1101,14,0),"")</f>
        <v/>
      </c>
      <c r="BQ473" s="185" t="str">
        <f>_xlfn.IFNA(VLOOKUP($BC473,Programma!$F$3:$T$1101,15,0),"")</f>
        <v/>
      </c>
      <c r="BR473" s="185" t="str">
        <f>_xlfn.IFNA(VLOOKUP($BC473,Programma!$F$3:$U$1101,16,0),"")</f>
        <v/>
      </c>
      <c r="BS473" s="185" t="str">
        <f>_xlfn.IFNA(VLOOKUP($BC473,Programma!$F$3:$V$1101,17,0),"")</f>
        <v/>
      </c>
      <c r="BT473" s="185" t="str">
        <f>_xlfn.IFNA(VLOOKUP($BC473,Programma!$F$3:$W$1101,18,0),"")</f>
        <v/>
      </c>
      <c r="BU473" s="185" t="str">
        <f>_xlfn.IFNA(VLOOKUP($BC473,Programma!$F$3:$X$1101,19,0),"")</f>
        <v/>
      </c>
      <c r="BV473" s="185" t="str">
        <f>_xlfn.IFNA(VLOOKUP($BC473,Programma!$F$3:$Y$1101,20,0),"")</f>
        <v/>
      </c>
    </row>
    <row r="474" spans="1:74" s="78" customFormat="1" ht="15" customHeight="1">
      <c r="A474" s="99">
        <v>14</v>
      </c>
      <c r="B474" s="176" t="str">
        <f>VLOOKUP(Ruimtestaat[[#This Row],[Code]],Locaties[[Code]:[Locatie]],2,FALSE)</f>
        <v>Prinseschool Prinsestraat</v>
      </c>
      <c r="C474" s="176" t="str">
        <f>VLOOKUP(Ruimtestaat[[#This Row],[Code]],Locaties[[#All],[Code]:[Adres]],4,FALSE)</f>
        <v>Prinsestraat 10-10a </v>
      </c>
      <c r="D474" s="176" t="str">
        <f>VLOOKUP(Ruimtestaat[[#This Row],[Code]],Locaties[[#All],[Code]:[Postcode]],5,FALSE)</f>
        <v>7513 AL</v>
      </c>
      <c r="E474" s="176" t="str">
        <f>VLOOKUP(Ruimtestaat[[#This Row],[Code]],Locaties[#All],6,FALSE)</f>
        <v>Enschede</v>
      </c>
      <c r="F474" s="183"/>
      <c r="G474" s="99" t="s">
        <v>1646</v>
      </c>
      <c r="H474" s="99" t="s">
        <v>1663</v>
      </c>
      <c r="I474" s="183" t="s">
        <v>1683</v>
      </c>
      <c r="J474" s="99">
        <v>20</v>
      </c>
      <c r="K474" s="183" t="str">
        <f>VLOOKUP(Ruimtestaat[[#This Row],[Ruimte code]],Ruimtegroepen[[#All],[Code]:[Ruimte omschrijving]],2,FALSE)</f>
        <v>Niet in Onderhoud</v>
      </c>
      <c r="L474" s="99"/>
      <c r="M474" s="99"/>
      <c r="N474" s="177"/>
      <c r="O474" s="177"/>
      <c r="P474" s="178">
        <f>VLOOKUP(Ruimtestaat[[#This Row],[Ruimte code]],Ruimtegroepen[],4,FALSE)</f>
        <v>0</v>
      </c>
      <c r="Q474" s="149"/>
      <c r="R474" s="149"/>
      <c r="S474" s="149">
        <f>IF(Q474&gt;0,IF(RIGHT(Ruimtestaat[[#This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74" s="149">
        <f>IF(S474&gt;0,VLOOKUP($J474,Ruimtegroepen[],3,FALSE)*VLOOKUP($L474,Vloersoorten[],3,FALSE)*VLOOKUP($R474,Frequenties[],3,FALSE)*VLOOKUP($A474,Locaties[],3,FALSE),0)</f>
        <v>0</v>
      </c>
      <c r="U474" s="149">
        <f>Ruimtestaat[[#This Row],[Uitvoeringen werkdagen]]*Ruimtestaat[[#This Row],[Oppervlak (netto)]]</f>
        <v>0</v>
      </c>
      <c r="V474" s="179">
        <f>IF(T474&gt;0,Ruimtestaat[[#This Row],[Prest. (m2 /jaar) werkdagen]]/Ruimtestaat[[#This Row],[Norm (m2/uur) werkdagen]],0)</f>
        <v>0</v>
      </c>
      <c r="W474" s="180">
        <f>Ruimtestaat[[#This Row],[uren / jaar werkdagen]]*Tariefsopbouw!$E$35</f>
        <v>0</v>
      </c>
      <c r="X474" s="149"/>
      <c r="Y474" s="149">
        <f>IF(Ruimtestaat[[#This Row],[Frequentie weekend]]&gt;0,VALUE(LEFT(X474,1))*Q474,0)</f>
        <v>0</v>
      </c>
      <c r="Z474" s="148">
        <f>IF($Y474&gt;0,VLOOKUP($J474,Ruimtegroepen[],3,FALSE)*VLOOKUP($L474,Vloersoorten[],3,FALSE)*VLOOKUP($X474,Frequenties[],3,FALSE)*VLOOKUP(Ruimtestaat[[#This Row],[Code]],Locaties[],3,FALSE),0)</f>
        <v>0</v>
      </c>
      <c r="AA474" s="148">
        <f>Ruimtestaat[[#This Row],[Uitvoeringen weekend]]*Ruimtestaat[[#This Row],[Oppervlak (netto)]]</f>
        <v>0</v>
      </c>
      <c r="AB474" s="148">
        <f>IF(Z474&gt;0,Ruimtestaat[[#This Row],[Prest. (m2 /jaar) weekend]]/Ruimtestaat[[#This Row],[Norm (m2/uur) weekend]],0)</f>
        <v>0</v>
      </c>
      <c r="AC474" s="180">
        <f>Ruimtestaat[[#This Row],[uren / jaar weekend]]*Tariefsopbouw!$D$40</f>
        <v>0</v>
      </c>
      <c r="AD474" s="179">
        <f>Ruimtestaat[[#This Row],[Prest. (m2 /jaar) weekend]]+Ruimtestaat[[#This Row],[Prest. (m2 /jaar) werkdagen]]</f>
        <v>0</v>
      </c>
      <c r="AE474" s="179">
        <f>Ruimtestaat[[#This Row],[uren / jaar weekend]]+Ruimtestaat[[#This Row],[uren / jaar werkdagen]]</f>
        <v>0</v>
      </c>
      <c r="AF474" s="174">
        <f>Ruimtestaat[[#This Row],[kosten / jaar weekend]]+Ruimtestaat[[#This Row],[kosten / jaar werkdagen]]</f>
        <v>0</v>
      </c>
      <c r="AG474" s="174"/>
      <c r="AH474" s="181" t="str">
        <f>IF(Ruimtestaat[[#This Row],[Frequentie werkdagen]]="","",_xlfn.CONCAT(Ruimtestaat[[#This Row],[Ruimte code]],"-",Ruimtestaat[[#This Row],[Frequentie werkdagen]]," ",Ruimtestaat[[#This Row],[Vloer code]]))</f>
        <v/>
      </c>
      <c r="AI474" s="185" t="str">
        <f>_xlfn.IFNA(VLOOKUP($AH474,Programma!$F$3:$G$1101,2,0),"")</f>
        <v/>
      </c>
      <c r="AJ474" s="185" t="str">
        <f>_xlfn.IFNA(VLOOKUP($AH474,Programma!$F$3:$H$1101,3,0),"")</f>
        <v/>
      </c>
      <c r="AK474" s="185" t="str">
        <f>_xlfn.IFNA(VLOOKUP($AH474,Programma!$F$3:$I$1101,4,0),"")</f>
        <v/>
      </c>
      <c r="AL474" s="185" t="str">
        <f>_xlfn.IFNA(VLOOKUP($AH474,Programma!$F$3:$J$1101,5,0),"")</f>
        <v/>
      </c>
      <c r="AM474" s="185" t="str">
        <f>_xlfn.IFNA(VLOOKUP($AH474,Programma!$F$3:$K$1101,6,0),"")</f>
        <v/>
      </c>
      <c r="AN474" s="185" t="str">
        <f>_xlfn.IFNA(VLOOKUP($AH474,Programma!$F$3:$L$1101,7,0),"")</f>
        <v/>
      </c>
      <c r="AO474" s="185" t="str">
        <f>_xlfn.IFNA(VLOOKUP($AH474,Programma!$F$3:$M$1101,8,0),"")</f>
        <v/>
      </c>
      <c r="AP474" s="185" t="str">
        <f>_xlfn.IFNA(VLOOKUP($AH474,Programma!$F$3:$N$1101,9,0),"")</f>
        <v/>
      </c>
      <c r="AQ474" s="185" t="str">
        <f>_xlfn.IFNA(VLOOKUP($AH474,Programma!$F$3:$O$1101,10,0),"")</f>
        <v/>
      </c>
      <c r="AR474" s="185" t="str">
        <f>_xlfn.IFNA(VLOOKUP($AH474,Programma!$F$3:$P$1101,11,0),"")</f>
        <v/>
      </c>
      <c r="AS474" s="185" t="str">
        <f>_xlfn.IFNA(VLOOKUP($AH474,Programma!$F$3:$Q$1101,12,0),"")</f>
        <v/>
      </c>
      <c r="AT474" s="185" t="str">
        <f>_xlfn.IFNA(VLOOKUP($AH474,Programma!$F$3:$R$1101,13,0),"")</f>
        <v/>
      </c>
      <c r="AU474" s="185" t="str">
        <f>_xlfn.IFNA(VLOOKUP($AH474,Programma!$F$3:$S$1101,14,0),"")</f>
        <v/>
      </c>
      <c r="AV474" s="185" t="str">
        <f>_xlfn.IFNA(VLOOKUP($AH474,Programma!$F$3:$T$1101,15,0),"")</f>
        <v/>
      </c>
      <c r="AW474" s="185" t="str">
        <f>_xlfn.IFNA(VLOOKUP($AH474,Programma!$F$3:$U$1101,16,0),"")</f>
        <v/>
      </c>
      <c r="AX474" s="185" t="str">
        <f>_xlfn.IFNA(VLOOKUP($AH474,Programma!$F$3:$V$1101,17,0),"")</f>
        <v/>
      </c>
      <c r="AY474" s="185" t="str">
        <f>_xlfn.IFNA(VLOOKUP($AH474,Programma!$F$3:$W$1101,18,0),"")</f>
        <v/>
      </c>
      <c r="AZ474" s="185" t="str">
        <f>_xlfn.IFNA(VLOOKUP($AH474,Programma!$F$3:$X$1101,19,0),"")</f>
        <v/>
      </c>
      <c r="BA474" s="185" t="str">
        <f>_xlfn.IFNA(VLOOKUP($AH474,Programma!$F$3:$Y$1101,20,0),"")</f>
        <v/>
      </c>
      <c r="BB474" s="182"/>
      <c r="BC474" s="181" t="str">
        <f>IF(Ruimtestaat[[#This Row],[Frequentie weekend]]="","",_xlfn.CONCAT(Ruimtestaat[[#This Row],[Ruimte code]],"-",Ruimtestaat[[#This Row],[Frequentie weekend]]," ",Ruimtestaat[[#This Row],[Vloer code]]))</f>
        <v/>
      </c>
      <c r="BD474" s="185" t="str">
        <f>_xlfn.IFNA(VLOOKUP($BC474,Programma!$F$3:$G$1101,2,0),"")</f>
        <v/>
      </c>
      <c r="BE474" s="185" t="str">
        <f>_xlfn.IFNA(VLOOKUP($BC474,Programma!$F$3:$H$1101,3,0),"")</f>
        <v/>
      </c>
      <c r="BF474" s="185" t="str">
        <f>_xlfn.IFNA(VLOOKUP($BC474,Programma!$F$3:$I$1101,4,0),"")</f>
        <v/>
      </c>
      <c r="BG474" s="185" t="str">
        <f>_xlfn.IFNA(VLOOKUP($BC474,Programma!$F$3:$J$1101,5,0),"")</f>
        <v/>
      </c>
      <c r="BH474" s="185" t="str">
        <f>_xlfn.IFNA(VLOOKUP($BC474,Programma!$F$3:$K$1101,6,0),"")</f>
        <v/>
      </c>
      <c r="BI474" s="185" t="str">
        <f>_xlfn.IFNA(VLOOKUP($BC474,Programma!$F$3:$L$1101,7,0),"")</f>
        <v/>
      </c>
      <c r="BJ474" s="185" t="str">
        <f>_xlfn.IFNA(VLOOKUP($BC474,Programma!$F$3:$M$1101,8,0),"")</f>
        <v/>
      </c>
      <c r="BK474" s="185" t="str">
        <f>_xlfn.IFNA(VLOOKUP($BC474,Programma!$F$3:$N$1101,9,0),"")</f>
        <v/>
      </c>
      <c r="BL474" s="185" t="str">
        <f>_xlfn.IFNA(VLOOKUP($BC474,Programma!$F$3:$O$1101,10,0),"")</f>
        <v/>
      </c>
      <c r="BM474" s="185" t="str">
        <f>_xlfn.IFNA(VLOOKUP($BC474,Programma!$F$3:$P$1101,11,0),"")</f>
        <v/>
      </c>
      <c r="BN474" s="185" t="str">
        <f>_xlfn.IFNA(VLOOKUP($BC474,Programma!$F$3:$Q$1101,12,0),"")</f>
        <v/>
      </c>
      <c r="BO474" s="185" t="str">
        <f>_xlfn.IFNA(VLOOKUP($BC474,Programma!$F$3:$R$1101,13,0),"")</f>
        <v/>
      </c>
      <c r="BP474" s="185" t="str">
        <f>_xlfn.IFNA(VLOOKUP($BC474,Programma!$F$3:$S$1101,14,0),"")</f>
        <v/>
      </c>
      <c r="BQ474" s="185" t="str">
        <f>_xlfn.IFNA(VLOOKUP($BC474,Programma!$F$3:$T$1101,15,0),"")</f>
        <v/>
      </c>
      <c r="BR474" s="185" t="str">
        <f>_xlfn.IFNA(VLOOKUP($BC474,Programma!$F$3:$U$1101,16,0),"")</f>
        <v/>
      </c>
      <c r="BS474" s="185" t="str">
        <f>_xlfn.IFNA(VLOOKUP($BC474,Programma!$F$3:$V$1101,17,0),"")</f>
        <v/>
      </c>
      <c r="BT474" s="185" t="str">
        <f>_xlfn.IFNA(VLOOKUP($BC474,Programma!$F$3:$W$1101,18,0),"")</f>
        <v/>
      </c>
      <c r="BU474" s="185" t="str">
        <f>_xlfn.IFNA(VLOOKUP($BC474,Programma!$F$3:$X$1101,19,0),"")</f>
        <v/>
      </c>
      <c r="BV474" s="185" t="str">
        <f>_xlfn.IFNA(VLOOKUP($BC474,Programma!$F$3:$Y$1101,20,0),"")</f>
        <v/>
      </c>
    </row>
    <row r="475" spans="1:74" s="78" customFormat="1" ht="15" customHeight="1">
      <c r="A475" s="99">
        <v>14</v>
      </c>
      <c r="B475" s="176" t="str">
        <f>VLOOKUP(Ruimtestaat[[#This Row],[Code]],Locaties[[Code]:[Locatie]],2,FALSE)</f>
        <v>Prinseschool Prinsestraat</v>
      </c>
      <c r="C475" s="176" t="str">
        <f>VLOOKUP(Ruimtestaat[[#This Row],[Code]],Locaties[[#All],[Code]:[Adres]],4,FALSE)</f>
        <v>Prinsestraat 10-10a </v>
      </c>
      <c r="D475" s="176" t="str">
        <f>VLOOKUP(Ruimtestaat[[#This Row],[Code]],Locaties[[#All],[Code]:[Postcode]],5,FALSE)</f>
        <v>7513 AL</v>
      </c>
      <c r="E475" s="176" t="str">
        <f>VLOOKUP(Ruimtestaat[[#This Row],[Code]],Locaties[#All],6,FALSE)</f>
        <v>Enschede</v>
      </c>
      <c r="F475" s="183"/>
      <c r="G475" s="99" t="s">
        <v>1646</v>
      </c>
      <c r="H475" s="99" t="s">
        <v>1664</v>
      </c>
      <c r="I475" s="183" t="s">
        <v>38</v>
      </c>
      <c r="J475" s="99">
        <v>7</v>
      </c>
      <c r="K475" s="183" t="str">
        <f>VLOOKUP(Ruimtestaat[[#This Row],[Ruimte code]],Ruimtegroepen[[#All],[Code]:[Ruimte omschrijving]],2,FALSE)</f>
        <v>Entree</v>
      </c>
      <c r="L475" s="99" t="s">
        <v>99</v>
      </c>
      <c r="M475" s="99" t="s">
        <v>1700</v>
      </c>
      <c r="N475" s="177">
        <v>3</v>
      </c>
      <c r="O475" s="177"/>
      <c r="P475" s="178" t="str">
        <f>VLOOKUP(Ruimtestaat[[#This Row],[Ruimte code]],Ruimtegroepen[],4,FALSE)</f>
        <v>Ve</v>
      </c>
      <c r="Q475" s="149">
        <v>40</v>
      </c>
      <c r="R475" s="149" t="s">
        <v>2</v>
      </c>
      <c r="S475" s="149">
        <f>IF(Q475&gt;0,IF(RIGHT(Ruimtestaat[[#This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5" s="149">
        <f>IF(S475&gt;0,VLOOKUP($J475,Ruimtegroepen[],3,FALSE)*VLOOKUP($L475,Vloersoorten[],3,FALSE)*VLOOKUP($R475,Frequenties[],3,FALSE)*VLOOKUP($A475,Locaties[],3,FALSE),0)</f>
        <v>0</v>
      </c>
      <c r="U475" s="149">
        <f>Ruimtestaat[[#This Row],[Uitvoeringen werkdagen]]*Ruimtestaat[[#This Row],[Oppervlak (netto)]]</f>
        <v>600</v>
      </c>
      <c r="V475" s="179">
        <f>IF(T475&gt;0,Ruimtestaat[[#This Row],[Prest. (m2 /jaar) werkdagen]]/Ruimtestaat[[#This Row],[Norm (m2/uur) werkdagen]],0)</f>
        <v>0</v>
      </c>
      <c r="W475" s="180">
        <f>Ruimtestaat[[#This Row],[uren / jaar werkdagen]]*Tariefsopbouw!$E$35</f>
        <v>0</v>
      </c>
      <c r="X475" s="149"/>
      <c r="Y475" s="149">
        <f>IF(Ruimtestaat[[#This Row],[Frequentie weekend]]&gt;0,VALUE(LEFT(X475,1))*Q475,0)</f>
        <v>0</v>
      </c>
      <c r="Z475" s="148">
        <f>IF($Y475&gt;0,VLOOKUP($J475,Ruimtegroepen[],3,FALSE)*VLOOKUP($L475,Vloersoorten[],3,FALSE)*VLOOKUP($X475,Frequenties[],3,FALSE)*VLOOKUP(Ruimtestaat[[#This Row],[Code]],Locaties[],3,FALSE),0)</f>
        <v>0</v>
      </c>
      <c r="AA475" s="148">
        <f>Ruimtestaat[[#This Row],[Uitvoeringen weekend]]*Ruimtestaat[[#This Row],[Oppervlak (netto)]]</f>
        <v>0</v>
      </c>
      <c r="AB475" s="148">
        <f>IF(Z475&gt;0,Ruimtestaat[[#This Row],[Prest. (m2 /jaar) weekend]]/Ruimtestaat[[#This Row],[Norm (m2/uur) weekend]],0)</f>
        <v>0</v>
      </c>
      <c r="AC475" s="180">
        <f>Ruimtestaat[[#This Row],[uren / jaar weekend]]*Tariefsopbouw!$D$40</f>
        <v>0</v>
      </c>
      <c r="AD475" s="179">
        <f>Ruimtestaat[[#This Row],[Prest. (m2 /jaar) weekend]]+Ruimtestaat[[#This Row],[Prest. (m2 /jaar) werkdagen]]</f>
        <v>600</v>
      </c>
      <c r="AE475" s="179">
        <f>Ruimtestaat[[#This Row],[uren / jaar weekend]]+Ruimtestaat[[#This Row],[uren / jaar werkdagen]]</f>
        <v>0</v>
      </c>
      <c r="AF475" s="174">
        <f>Ruimtestaat[[#This Row],[kosten / jaar weekend]]+Ruimtestaat[[#This Row],[kosten / jaar werkdagen]]</f>
        <v>0</v>
      </c>
      <c r="AG475" s="174"/>
      <c r="AH475" s="181" t="str">
        <f>IF(Ruimtestaat[[#This Row],[Frequentie werkdagen]]="","",_xlfn.CONCAT(Ruimtestaat[[#This Row],[Ruimte code]],"-",Ruimtestaat[[#This Row],[Frequentie werkdagen]]," ",Ruimtestaat[[#This Row],[Vloer code]]))</f>
        <v>7-5w T</v>
      </c>
      <c r="AI475" s="185" t="str">
        <f>_xlfn.IFNA(VLOOKUP($AH475,Programma!$F$3:$G$1101,2,0),"")</f>
        <v>_</v>
      </c>
      <c r="AJ475" s="185" t="str">
        <f>_xlfn.IFNA(VLOOKUP($AH475,Programma!$F$3:$H$1101,3,0),"")</f>
        <v>5w</v>
      </c>
      <c r="AK475" s="185" t="str">
        <f>_xlfn.IFNA(VLOOKUP($AH475,Programma!$F$3:$I$1101,4,0),"")</f>
        <v>_</v>
      </c>
      <c r="AL475" s="185" t="str">
        <f>_xlfn.IFNA(VLOOKUP($AH475,Programma!$F$3:$J$1101,5,0),"")</f>
        <v>_</v>
      </c>
      <c r="AM475" s="185" t="str">
        <f>_xlfn.IFNA(VLOOKUP($AH475,Programma!$F$3:$K$1101,6,0),"")</f>
        <v>_</v>
      </c>
      <c r="AN475" s="185" t="str">
        <f>_xlfn.IFNA(VLOOKUP($AH475,Programma!$F$3:$L$1101,7,0),"")</f>
        <v>_</v>
      </c>
      <c r="AO475" s="185" t="str">
        <f>_xlfn.IFNA(VLOOKUP($AH475,Programma!$F$3:$M$1101,8,0),"")</f>
        <v>_</v>
      </c>
      <c r="AP475" s="185" t="str">
        <f>_xlfn.IFNA(VLOOKUP($AH475,Programma!$F$3:$N$1101,9,0),"")</f>
        <v>_</v>
      </c>
      <c r="AQ475" s="185" t="str">
        <f>_xlfn.IFNA(VLOOKUP($AH475,Programma!$F$3:$O$1101,10,0),"")</f>
        <v>5w</v>
      </c>
      <c r="AR475" s="185" t="str">
        <f>_xlfn.IFNA(VLOOKUP($AH475,Programma!$F$3:$P$1101,11,0),"")</f>
        <v>5w</v>
      </c>
      <c r="AS475" s="185" t="str">
        <f>_xlfn.IFNA(VLOOKUP($AH475,Programma!$F$3:$Q$1101,12,0),"")</f>
        <v>1w</v>
      </c>
      <c r="AT475" s="185" t="str">
        <f>_xlfn.IFNA(VLOOKUP($AH475,Programma!$F$3:$R$1101,13,0),"")</f>
        <v>1w</v>
      </c>
      <c r="AU475" s="185" t="str">
        <f>_xlfn.IFNA(VLOOKUP($AH475,Programma!$F$3:$S$1101,14,0),"")</f>
        <v>1m</v>
      </c>
      <c r="AV475" s="185" t="str">
        <f>_xlfn.IFNA(VLOOKUP($AH475,Programma!$F$3:$T$1101,15,0),"")</f>
        <v>2j</v>
      </c>
      <c r="AW475" s="185" t="str">
        <f>_xlfn.IFNA(VLOOKUP($AH475,Programma!$F$3:$U$1101,16,0),"")</f>
        <v>1j</v>
      </c>
      <c r="AX475" s="185" t="str">
        <f>_xlfn.IFNA(VLOOKUP($AH475,Programma!$F$3:$V$1101,17,0),"")</f>
        <v>_</v>
      </c>
      <c r="AY475" s="185" t="str">
        <f>_xlfn.IFNA(VLOOKUP($AH475,Programma!$F$3:$W$1101,18,0),"")</f>
        <v>_</v>
      </c>
      <c r="AZ475" s="185" t="str">
        <f>_xlfn.IFNA(VLOOKUP($AH475,Programma!$F$3:$X$1101,19,0),"")</f>
        <v>_</v>
      </c>
      <c r="BA475" s="185" t="str">
        <f>_xlfn.IFNA(VLOOKUP($AH475,Programma!$F$3:$Y$1101,20,0),"")</f>
        <v>_</v>
      </c>
      <c r="BB475" s="182"/>
      <c r="BC475" s="181" t="str">
        <f>IF(Ruimtestaat[[#This Row],[Frequentie weekend]]="","",_xlfn.CONCAT(Ruimtestaat[[#This Row],[Ruimte code]],"-",Ruimtestaat[[#This Row],[Frequentie weekend]]," ",Ruimtestaat[[#This Row],[Vloer code]]))</f>
        <v/>
      </c>
      <c r="BD475" s="185" t="str">
        <f>_xlfn.IFNA(VLOOKUP($BC475,Programma!$F$3:$G$1101,2,0),"")</f>
        <v/>
      </c>
      <c r="BE475" s="185" t="str">
        <f>_xlfn.IFNA(VLOOKUP($BC475,Programma!$F$3:$H$1101,3,0),"")</f>
        <v/>
      </c>
      <c r="BF475" s="185" t="str">
        <f>_xlfn.IFNA(VLOOKUP($BC475,Programma!$F$3:$I$1101,4,0),"")</f>
        <v/>
      </c>
      <c r="BG475" s="185" t="str">
        <f>_xlfn.IFNA(VLOOKUP($BC475,Programma!$F$3:$J$1101,5,0),"")</f>
        <v/>
      </c>
      <c r="BH475" s="185" t="str">
        <f>_xlfn.IFNA(VLOOKUP($BC475,Programma!$F$3:$K$1101,6,0),"")</f>
        <v/>
      </c>
      <c r="BI475" s="185" t="str">
        <f>_xlfn.IFNA(VLOOKUP($BC475,Programma!$F$3:$L$1101,7,0),"")</f>
        <v/>
      </c>
      <c r="BJ475" s="185" t="str">
        <f>_xlfn.IFNA(VLOOKUP($BC475,Programma!$F$3:$M$1101,8,0),"")</f>
        <v/>
      </c>
      <c r="BK475" s="185" t="str">
        <f>_xlfn.IFNA(VLOOKUP($BC475,Programma!$F$3:$N$1101,9,0),"")</f>
        <v/>
      </c>
      <c r="BL475" s="185" t="str">
        <f>_xlfn.IFNA(VLOOKUP($BC475,Programma!$F$3:$O$1101,10,0),"")</f>
        <v/>
      </c>
      <c r="BM475" s="185" t="str">
        <f>_xlfn.IFNA(VLOOKUP($BC475,Programma!$F$3:$P$1101,11,0),"")</f>
        <v/>
      </c>
      <c r="BN475" s="185" t="str">
        <f>_xlfn.IFNA(VLOOKUP($BC475,Programma!$F$3:$Q$1101,12,0),"")</f>
        <v/>
      </c>
      <c r="BO475" s="185" t="str">
        <f>_xlfn.IFNA(VLOOKUP($BC475,Programma!$F$3:$R$1101,13,0),"")</f>
        <v/>
      </c>
      <c r="BP475" s="185" t="str">
        <f>_xlfn.IFNA(VLOOKUP($BC475,Programma!$F$3:$S$1101,14,0),"")</f>
        <v/>
      </c>
      <c r="BQ475" s="185" t="str">
        <f>_xlfn.IFNA(VLOOKUP($BC475,Programma!$F$3:$T$1101,15,0),"")</f>
        <v/>
      </c>
      <c r="BR475" s="185" t="str">
        <f>_xlfn.IFNA(VLOOKUP($BC475,Programma!$F$3:$U$1101,16,0),"")</f>
        <v/>
      </c>
      <c r="BS475" s="185" t="str">
        <f>_xlfn.IFNA(VLOOKUP($BC475,Programma!$F$3:$V$1101,17,0),"")</f>
        <v/>
      </c>
      <c r="BT475" s="185" t="str">
        <f>_xlfn.IFNA(VLOOKUP($BC475,Programma!$F$3:$W$1101,18,0),"")</f>
        <v/>
      </c>
      <c r="BU475" s="185" t="str">
        <f>_xlfn.IFNA(VLOOKUP($BC475,Programma!$F$3:$X$1101,19,0),"")</f>
        <v/>
      </c>
      <c r="BV475" s="185" t="str">
        <f>_xlfn.IFNA(VLOOKUP($BC475,Programma!$F$3:$Y$1101,20,0),"")</f>
        <v/>
      </c>
    </row>
    <row r="476" spans="1:74" s="78" customFormat="1" ht="15" customHeight="1">
      <c r="A476" s="99">
        <v>14</v>
      </c>
      <c r="B476" s="176" t="str">
        <f>VLOOKUP(Ruimtestaat[[#This Row],[Code]],Locaties[[Code]:[Locatie]],2,FALSE)</f>
        <v>Prinseschool Prinsestraat</v>
      </c>
      <c r="C476" s="176" t="str">
        <f>VLOOKUP(Ruimtestaat[[#This Row],[Code]],Locaties[[#All],[Code]:[Adres]],4,FALSE)</f>
        <v>Prinsestraat 10-10a </v>
      </c>
      <c r="D476" s="176" t="str">
        <f>VLOOKUP(Ruimtestaat[[#This Row],[Code]],Locaties[[#All],[Code]:[Postcode]],5,FALSE)</f>
        <v>7513 AL</v>
      </c>
      <c r="E476" s="176" t="str">
        <f>VLOOKUP(Ruimtestaat[[#This Row],[Code]],Locaties[#All],6,FALSE)</f>
        <v>Enschede</v>
      </c>
      <c r="F476" s="183"/>
      <c r="G476" s="99" t="s">
        <v>1646</v>
      </c>
      <c r="H476" s="99" t="s">
        <v>1666</v>
      </c>
      <c r="I476" s="183" t="s">
        <v>1684</v>
      </c>
      <c r="J476" s="99">
        <v>5</v>
      </c>
      <c r="K476" s="183" t="str">
        <f>VLOOKUP(Ruimtestaat[[#This Row],[Ruimte code]],Ruimtegroepen[[#All],[Code]:[Ruimte omschrijving]],2,FALSE)</f>
        <v>Sanitair</v>
      </c>
      <c r="L476" s="99" t="s">
        <v>101</v>
      </c>
      <c r="M476" s="99" t="s">
        <v>1682</v>
      </c>
      <c r="N476" s="177">
        <v>4.3</v>
      </c>
      <c r="O476" s="177"/>
      <c r="P476" s="178" t="str">
        <f>VLOOKUP(Ruimtestaat[[#This Row],[Ruimte code]],Ruimtegroepen[],4,FALSE)</f>
        <v>Sa</v>
      </c>
      <c r="Q476" s="149">
        <v>40</v>
      </c>
      <c r="R476" s="149" t="s">
        <v>2</v>
      </c>
      <c r="S476" s="149">
        <f>IF(Q476&gt;0,IF(RIGHT(Ruimtestaat[[#This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6" s="149">
        <f>IF(S476&gt;0,VLOOKUP($J476,Ruimtegroepen[],3,FALSE)*VLOOKUP($L476,Vloersoorten[],3,FALSE)*VLOOKUP($R476,Frequenties[],3,FALSE)*VLOOKUP($A476,Locaties[],3,FALSE),0)</f>
        <v>0</v>
      </c>
      <c r="U476" s="149">
        <f>Ruimtestaat[[#This Row],[Uitvoeringen werkdagen]]*Ruimtestaat[[#This Row],[Oppervlak (netto)]]</f>
        <v>860</v>
      </c>
      <c r="V476" s="179">
        <f>IF(T476&gt;0,Ruimtestaat[[#This Row],[Prest. (m2 /jaar) werkdagen]]/Ruimtestaat[[#This Row],[Norm (m2/uur) werkdagen]],0)</f>
        <v>0</v>
      </c>
      <c r="W476" s="180">
        <f>Ruimtestaat[[#This Row],[uren / jaar werkdagen]]*Tariefsopbouw!$E$35</f>
        <v>0</v>
      </c>
      <c r="X476" s="149"/>
      <c r="Y476" s="149">
        <f>IF(Ruimtestaat[[#This Row],[Frequentie weekend]]&gt;0,VALUE(LEFT(X476,1))*Q476,0)</f>
        <v>0</v>
      </c>
      <c r="Z476" s="148">
        <f>IF($Y476&gt;0,VLOOKUP($J476,Ruimtegroepen[],3,FALSE)*VLOOKUP($L476,Vloersoorten[],3,FALSE)*VLOOKUP($X476,Frequenties[],3,FALSE)*VLOOKUP(Ruimtestaat[[#This Row],[Code]],Locaties[],3,FALSE),0)</f>
        <v>0</v>
      </c>
      <c r="AA476" s="148">
        <f>Ruimtestaat[[#This Row],[Uitvoeringen weekend]]*Ruimtestaat[[#This Row],[Oppervlak (netto)]]</f>
        <v>0</v>
      </c>
      <c r="AB476" s="148">
        <f>IF(Z476&gt;0,Ruimtestaat[[#This Row],[Prest. (m2 /jaar) weekend]]/Ruimtestaat[[#This Row],[Norm (m2/uur) weekend]],0)</f>
        <v>0</v>
      </c>
      <c r="AC476" s="180">
        <f>Ruimtestaat[[#This Row],[uren / jaar weekend]]*Tariefsopbouw!$D$40</f>
        <v>0</v>
      </c>
      <c r="AD476" s="179">
        <f>Ruimtestaat[[#This Row],[Prest. (m2 /jaar) weekend]]+Ruimtestaat[[#This Row],[Prest. (m2 /jaar) werkdagen]]</f>
        <v>860</v>
      </c>
      <c r="AE476" s="179">
        <f>Ruimtestaat[[#This Row],[uren / jaar weekend]]+Ruimtestaat[[#This Row],[uren / jaar werkdagen]]</f>
        <v>0</v>
      </c>
      <c r="AF476" s="174">
        <f>Ruimtestaat[[#This Row],[kosten / jaar weekend]]+Ruimtestaat[[#This Row],[kosten / jaar werkdagen]]</f>
        <v>0</v>
      </c>
      <c r="AG476" s="174"/>
      <c r="AH476" s="181" t="str">
        <f>IF(Ruimtestaat[[#This Row],[Frequentie werkdagen]]="","",_xlfn.CONCAT(Ruimtestaat[[#This Row],[Ruimte code]],"-",Ruimtestaat[[#This Row],[Frequentie werkdagen]]," ",Ruimtestaat[[#This Row],[Vloer code]]))</f>
        <v>5-5w S</v>
      </c>
      <c r="AI476" s="185" t="str">
        <f>_xlfn.IFNA(VLOOKUP($AH476,Programma!$F$3:$G$1101,2,0),"")</f>
        <v>_</v>
      </c>
      <c r="AJ476" s="185" t="str">
        <f>_xlfn.IFNA(VLOOKUP($AH476,Programma!$F$3:$H$1101,3,0),"")</f>
        <v>_</v>
      </c>
      <c r="AK476" s="185" t="str">
        <f>_xlfn.IFNA(VLOOKUP($AH476,Programma!$F$3:$I$1101,4,0),"")</f>
        <v>_</v>
      </c>
      <c r="AL476" s="185" t="str">
        <f>_xlfn.IFNA(VLOOKUP($AH476,Programma!$F$3:$J$1101,5,0),"")</f>
        <v>4w</v>
      </c>
      <c r="AM476" s="185" t="str">
        <f>_xlfn.IFNA(VLOOKUP($AH476,Programma!$F$3:$K$1101,6,0),"")</f>
        <v>1w</v>
      </c>
      <c r="AN476" s="185" t="str">
        <f>_xlfn.IFNA(VLOOKUP($AH476,Programma!$F$3:$L$1101,7,0),"")</f>
        <v>_</v>
      </c>
      <c r="AO476" s="185" t="str">
        <f>_xlfn.IFNA(VLOOKUP($AH476,Programma!$F$3:$M$1101,8,0),"")</f>
        <v>_</v>
      </c>
      <c r="AP476" s="185" t="str">
        <f>_xlfn.IFNA(VLOOKUP($AH476,Programma!$F$3:$N$1101,9,0),"")</f>
        <v>_</v>
      </c>
      <c r="AQ476" s="185" t="str">
        <f>_xlfn.IFNA(VLOOKUP($AH476,Programma!$F$3:$O$1101,10,0),"")</f>
        <v>_</v>
      </c>
      <c r="AR476" s="185" t="str">
        <f>_xlfn.IFNA(VLOOKUP($AH476,Programma!$F$3:$P$1101,11,0),"")</f>
        <v>_</v>
      </c>
      <c r="AS476" s="185" t="str">
        <f>_xlfn.IFNA(VLOOKUP($AH476,Programma!$F$3:$Q$1101,12,0),"")</f>
        <v>_</v>
      </c>
      <c r="AT476" s="185" t="str">
        <f>_xlfn.IFNA(VLOOKUP($AH476,Programma!$F$3:$R$1101,13,0),"")</f>
        <v>_</v>
      </c>
      <c r="AU476" s="185" t="str">
        <f>_xlfn.IFNA(VLOOKUP($AH476,Programma!$F$3:$S$1101,14,0),"")</f>
        <v>_</v>
      </c>
      <c r="AV476" s="185" t="str">
        <f>_xlfn.IFNA(VLOOKUP($AH476,Programma!$F$3:$T$1101,15,0),"")</f>
        <v>_</v>
      </c>
      <c r="AW476" s="185" t="str">
        <f>_xlfn.IFNA(VLOOKUP($AH476,Programma!$F$3:$U$1101,16,0),"")</f>
        <v>_</v>
      </c>
      <c r="AX476" s="185" t="str">
        <f>_xlfn.IFNA(VLOOKUP($AH476,Programma!$F$3:$V$1101,17,0),"")</f>
        <v>_</v>
      </c>
      <c r="AY476" s="185" t="str">
        <f>_xlfn.IFNA(VLOOKUP($AH476,Programma!$F$3:$W$1101,18,0),"")</f>
        <v>4w</v>
      </c>
      <c r="AZ476" s="185" t="str">
        <f>_xlfn.IFNA(VLOOKUP($AH476,Programma!$F$3:$X$1101,19,0),"")</f>
        <v>1w</v>
      </c>
      <c r="BA476" s="185" t="str">
        <f>_xlfn.IFNA(VLOOKUP($AH476,Programma!$F$3:$Y$1101,20,0),"")</f>
        <v>_</v>
      </c>
      <c r="BB476" s="182"/>
      <c r="BC476" s="181" t="str">
        <f>IF(Ruimtestaat[[#This Row],[Frequentie weekend]]="","",_xlfn.CONCAT(Ruimtestaat[[#This Row],[Ruimte code]],"-",Ruimtestaat[[#This Row],[Frequentie weekend]]," ",Ruimtestaat[[#This Row],[Vloer code]]))</f>
        <v/>
      </c>
      <c r="BD476" s="185" t="str">
        <f>_xlfn.IFNA(VLOOKUP($BC476,Programma!$F$3:$G$1101,2,0),"")</f>
        <v/>
      </c>
      <c r="BE476" s="185" t="str">
        <f>_xlfn.IFNA(VLOOKUP($BC476,Programma!$F$3:$H$1101,3,0),"")</f>
        <v/>
      </c>
      <c r="BF476" s="185" t="str">
        <f>_xlfn.IFNA(VLOOKUP($BC476,Programma!$F$3:$I$1101,4,0),"")</f>
        <v/>
      </c>
      <c r="BG476" s="185" t="str">
        <f>_xlfn.IFNA(VLOOKUP($BC476,Programma!$F$3:$J$1101,5,0),"")</f>
        <v/>
      </c>
      <c r="BH476" s="185" t="str">
        <f>_xlfn.IFNA(VLOOKUP($BC476,Programma!$F$3:$K$1101,6,0),"")</f>
        <v/>
      </c>
      <c r="BI476" s="185" t="str">
        <f>_xlfn.IFNA(VLOOKUP($BC476,Programma!$F$3:$L$1101,7,0),"")</f>
        <v/>
      </c>
      <c r="BJ476" s="185" t="str">
        <f>_xlfn.IFNA(VLOOKUP($BC476,Programma!$F$3:$M$1101,8,0),"")</f>
        <v/>
      </c>
      <c r="BK476" s="185" t="str">
        <f>_xlfn.IFNA(VLOOKUP($BC476,Programma!$F$3:$N$1101,9,0),"")</f>
        <v/>
      </c>
      <c r="BL476" s="185" t="str">
        <f>_xlfn.IFNA(VLOOKUP($BC476,Programma!$F$3:$O$1101,10,0),"")</f>
        <v/>
      </c>
      <c r="BM476" s="185" t="str">
        <f>_xlfn.IFNA(VLOOKUP($BC476,Programma!$F$3:$P$1101,11,0),"")</f>
        <v/>
      </c>
      <c r="BN476" s="185" t="str">
        <f>_xlfn.IFNA(VLOOKUP($BC476,Programma!$F$3:$Q$1101,12,0),"")</f>
        <v/>
      </c>
      <c r="BO476" s="185" t="str">
        <f>_xlfn.IFNA(VLOOKUP($BC476,Programma!$F$3:$R$1101,13,0),"")</f>
        <v/>
      </c>
      <c r="BP476" s="185" t="str">
        <f>_xlfn.IFNA(VLOOKUP($BC476,Programma!$F$3:$S$1101,14,0),"")</f>
        <v/>
      </c>
      <c r="BQ476" s="185" t="str">
        <f>_xlfn.IFNA(VLOOKUP($BC476,Programma!$F$3:$T$1101,15,0),"")</f>
        <v/>
      </c>
      <c r="BR476" s="185" t="str">
        <f>_xlfn.IFNA(VLOOKUP($BC476,Programma!$F$3:$U$1101,16,0),"")</f>
        <v/>
      </c>
      <c r="BS476" s="185" t="str">
        <f>_xlfn.IFNA(VLOOKUP($BC476,Programma!$F$3:$V$1101,17,0),"")</f>
        <v/>
      </c>
      <c r="BT476" s="185" t="str">
        <f>_xlfn.IFNA(VLOOKUP($BC476,Programma!$F$3:$W$1101,18,0),"")</f>
        <v/>
      </c>
      <c r="BU476" s="185" t="str">
        <f>_xlfn.IFNA(VLOOKUP($BC476,Programma!$F$3:$X$1101,19,0),"")</f>
        <v/>
      </c>
      <c r="BV476" s="185" t="str">
        <f>_xlfn.IFNA(VLOOKUP($BC476,Programma!$F$3:$Y$1101,20,0),"")</f>
        <v/>
      </c>
    </row>
    <row r="477" spans="1:74" s="78" customFormat="1" ht="15" customHeight="1">
      <c r="A477" s="99">
        <v>14</v>
      </c>
      <c r="B477" s="176" t="str">
        <f>VLOOKUP(Ruimtestaat[[#This Row],[Code]],Locaties[[Code]:[Locatie]],2,FALSE)</f>
        <v>Prinseschool Prinsestraat</v>
      </c>
      <c r="C477" s="176" t="str">
        <f>VLOOKUP(Ruimtestaat[[#This Row],[Code]],Locaties[[#All],[Code]:[Adres]],4,FALSE)</f>
        <v>Prinsestraat 10-10a </v>
      </c>
      <c r="D477" s="176" t="str">
        <f>VLOOKUP(Ruimtestaat[[#This Row],[Code]],Locaties[[#All],[Code]:[Postcode]],5,FALSE)</f>
        <v>7513 AL</v>
      </c>
      <c r="E477" s="176" t="str">
        <f>VLOOKUP(Ruimtestaat[[#This Row],[Code]],Locaties[#All],6,FALSE)</f>
        <v>Enschede</v>
      </c>
      <c r="F477" s="183"/>
      <c r="G477" s="99" t="s">
        <v>1646</v>
      </c>
      <c r="H477" s="99" t="s">
        <v>1668</v>
      </c>
      <c r="I477" s="183" t="s">
        <v>1684</v>
      </c>
      <c r="J477" s="99">
        <v>5</v>
      </c>
      <c r="K477" s="183" t="str">
        <f>VLOOKUP(Ruimtestaat[[#This Row],[Ruimte code]],Ruimtegroepen[[#All],[Code]:[Ruimte omschrijving]],2,FALSE)</f>
        <v>Sanitair</v>
      </c>
      <c r="L477" s="99" t="s">
        <v>101</v>
      </c>
      <c r="M477" s="99" t="s">
        <v>1682</v>
      </c>
      <c r="N477" s="177">
        <v>4.4000000000000004</v>
      </c>
      <c r="O477" s="177"/>
      <c r="P477" s="178" t="str">
        <f>VLOOKUP(Ruimtestaat[[#This Row],[Ruimte code]],Ruimtegroepen[],4,FALSE)</f>
        <v>Sa</v>
      </c>
      <c r="Q477" s="149">
        <v>40</v>
      </c>
      <c r="R477" s="149" t="s">
        <v>2</v>
      </c>
      <c r="S477" s="149">
        <f>IF(Q477&gt;0,IF(RIGHT(Ruimtestaat[[#This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7" s="149">
        <f>IF(S477&gt;0,VLOOKUP($J477,Ruimtegroepen[],3,FALSE)*VLOOKUP($L477,Vloersoorten[],3,FALSE)*VLOOKUP($R477,Frequenties[],3,FALSE)*VLOOKUP($A477,Locaties[],3,FALSE),0)</f>
        <v>0</v>
      </c>
      <c r="U477" s="149">
        <f>Ruimtestaat[[#This Row],[Uitvoeringen werkdagen]]*Ruimtestaat[[#This Row],[Oppervlak (netto)]]</f>
        <v>880.00000000000011</v>
      </c>
      <c r="V477" s="179">
        <f>IF(T477&gt;0,Ruimtestaat[[#This Row],[Prest. (m2 /jaar) werkdagen]]/Ruimtestaat[[#This Row],[Norm (m2/uur) werkdagen]],0)</f>
        <v>0</v>
      </c>
      <c r="W477" s="180">
        <f>Ruimtestaat[[#This Row],[uren / jaar werkdagen]]*Tariefsopbouw!$E$35</f>
        <v>0</v>
      </c>
      <c r="X477" s="149"/>
      <c r="Y477" s="149">
        <f>IF(Ruimtestaat[[#This Row],[Frequentie weekend]]&gt;0,VALUE(LEFT(X477,1))*Q477,0)</f>
        <v>0</v>
      </c>
      <c r="Z477" s="148">
        <f>IF($Y477&gt;0,VLOOKUP($J477,Ruimtegroepen[],3,FALSE)*VLOOKUP($L477,Vloersoorten[],3,FALSE)*VLOOKUP($X477,Frequenties[],3,FALSE)*VLOOKUP(Ruimtestaat[[#This Row],[Code]],Locaties[],3,FALSE),0)</f>
        <v>0</v>
      </c>
      <c r="AA477" s="148">
        <f>Ruimtestaat[[#This Row],[Uitvoeringen weekend]]*Ruimtestaat[[#This Row],[Oppervlak (netto)]]</f>
        <v>0</v>
      </c>
      <c r="AB477" s="148">
        <f>IF(Z477&gt;0,Ruimtestaat[[#This Row],[Prest. (m2 /jaar) weekend]]/Ruimtestaat[[#This Row],[Norm (m2/uur) weekend]],0)</f>
        <v>0</v>
      </c>
      <c r="AC477" s="180">
        <f>Ruimtestaat[[#This Row],[uren / jaar weekend]]*Tariefsopbouw!$D$40</f>
        <v>0</v>
      </c>
      <c r="AD477" s="179">
        <f>Ruimtestaat[[#This Row],[Prest. (m2 /jaar) weekend]]+Ruimtestaat[[#This Row],[Prest. (m2 /jaar) werkdagen]]</f>
        <v>880.00000000000011</v>
      </c>
      <c r="AE477" s="179">
        <f>Ruimtestaat[[#This Row],[uren / jaar weekend]]+Ruimtestaat[[#This Row],[uren / jaar werkdagen]]</f>
        <v>0</v>
      </c>
      <c r="AF477" s="174">
        <f>Ruimtestaat[[#This Row],[kosten / jaar weekend]]+Ruimtestaat[[#This Row],[kosten / jaar werkdagen]]</f>
        <v>0</v>
      </c>
      <c r="AG477" s="174"/>
      <c r="AH477" s="181" t="str">
        <f>IF(Ruimtestaat[[#This Row],[Frequentie werkdagen]]="","",_xlfn.CONCAT(Ruimtestaat[[#This Row],[Ruimte code]],"-",Ruimtestaat[[#This Row],[Frequentie werkdagen]]," ",Ruimtestaat[[#This Row],[Vloer code]]))</f>
        <v>5-5w S</v>
      </c>
      <c r="AI477" s="185" t="str">
        <f>_xlfn.IFNA(VLOOKUP($AH477,Programma!$F$3:$G$1101,2,0),"")</f>
        <v>_</v>
      </c>
      <c r="AJ477" s="185" t="str">
        <f>_xlfn.IFNA(VLOOKUP($AH477,Programma!$F$3:$H$1101,3,0),"")</f>
        <v>_</v>
      </c>
      <c r="AK477" s="185" t="str">
        <f>_xlfn.IFNA(VLOOKUP($AH477,Programma!$F$3:$I$1101,4,0),"")</f>
        <v>_</v>
      </c>
      <c r="AL477" s="185" t="str">
        <f>_xlfn.IFNA(VLOOKUP($AH477,Programma!$F$3:$J$1101,5,0),"")</f>
        <v>4w</v>
      </c>
      <c r="AM477" s="185" t="str">
        <f>_xlfn.IFNA(VLOOKUP($AH477,Programma!$F$3:$K$1101,6,0),"")</f>
        <v>1w</v>
      </c>
      <c r="AN477" s="185" t="str">
        <f>_xlfn.IFNA(VLOOKUP($AH477,Programma!$F$3:$L$1101,7,0),"")</f>
        <v>_</v>
      </c>
      <c r="AO477" s="185" t="str">
        <f>_xlfn.IFNA(VLOOKUP($AH477,Programma!$F$3:$M$1101,8,0),"")</f>
        <v>_</v>
      </c>
      <c r="AP477" s="185" t="str">
        <f>_xlfn.IFNA(VLOOKUP($AH477,Programma!$F$3:$N$1101,9,0),"")</f>
        <v>_</v>
      </c>
      <c r="AQ477" s="185" t="str">
        <f>_xlfn.IFNA(VLOOKUP($AH477,Programma!$F$3:$O$1101,10,0),"")</f>
        <v>_</v>
      </c>
      <c r="AR477" s="185" t="str">
        <f>_xlfn.IFNA(VLOOKUP($AH477,Programma!$F$3:$P$1101,11,0),"")</f>
        <v>_</v>
      </c>
      <c r="AS477" s="185" t="str">
        <f>_xlfn.IFNA(VLOOKUP($AH477,Programma!$F$3:$Q$1101,12,0),"")</f>
        <v>_</v>
      </c>
      <c r="AT477" s="185" t="str">
        <f>_xlfn.IFNA(VLOOKUP($AH477,Programma!$F$3:$R$1101,13,0),"")</f>
        <v>_</v>
      </c>
      <c r="AU477" s="185" t="str">
        <f>_xlfn.IFNA(VLOOKUP($AH477,Programma!$F$3:$S$1101,14,0),"")</f>
        <v>_</v>
      </c>
      <c r="AV477" s="185" t="str">
        <f>_xlfn.IFNA(VLOOKUP($AH477,Programma!$F$3:$T$1101,15,0),"")</f>
        <v>_</v>
      </c>
      <c r="AW477" s="185" t="str">
        <f>_xlfn.IFNA(VLOOKUP($AH477,Programma!$F$3:$U$1101,16,0),"")</f>
        <v>_</v>
      </c>
      <c r="AX477" s="185" t="str">
        <f>_xlfn.IFNA(VLOOKUP($AH477,Programma!$F$3:$V$1101,17,0),"")</f>
        <v>_</v>
      </c>
      <c r="AY477" s="185" t="str">
        <f>_xlfn.IFNA(VLOOKUP($AH477,Programma!$F$3:$W$1101,18,0),"")</f>
        <v>4w</v>
      </c>
      <c r="AZ477" s="185" t="str">
        <f>_xlfn.IFNA(VLOOKUP($AH477,Programma!$F$3:$X$1101,19,0),"")</f>
        <v>1w</v>
      </c>
      <c r="BA477" s="185" t="str">
        <f>_xlfn.IFNA(VLOOKUP($AH477,Programma!$F$3:$Y$1101,20,0),"")</f>
        <v>_</v>
      </c>
      <c r="BB477" s="182"/>
      <c r="BC477" s="181" t="str">
        <f>IF(Ruimtestaat[[#This Row],[Frequentie weekend]]="","",_xlfn.CONCAT(Ruimtestaat[[#This Row],[Ruimte code]],"-",Ruimtestaat[[#This Row],[Frequentie weekend]]," ",Ruimtestaat[[#This Row],[Vloer code]]))</f>
        <v/>
      </c>
      <c r="BD477" s="185" t="str">
        <f>_xlfn.IFNA(VLOOKUP($BC477,Programma!$F$3:$G$1101,2,0),"")</f>
        <v/>
      </c>
      <c r="BE477" s="185" t="str">
        <f>_xlfn.IFNA(VLOOKUP($BC477,Programma!$F$3:$H$1101,3,0),"")</f>
        <v/>
      </c>
      <c r="BF477" s="185" t="str">
        <f>_xlfn.IFNA(VLOOKUP($BC477,Programma!$F$3:$I$1101,4,0),"")</f>
        <v/>
      </c>
      <c r="BG477" s="185" t="str">
        <f>_xlfn.IFNA(VLOOKUP($BC477,Programma!$F$3:$J$1101,5,0),"")</f>
        <v/>
      </c>
      <c r="BH477" s="185" t="str">
        <f>_xlfn.IFNA(VLOOKUP($BC477,Programma!$F$3:$K$1101,6,0),"")</f>
        <v/>
      </c>
      <c r="BI477" s="185" t="str">
        <f>_xlfn.IFNA(VLOOKUP($BC477,Programma!$F$3:$L$1101,7,0),"")</f>
        <v/>
      </c>
      <c r="BJ477" s="185" t="str">
        <f>_xlfn.IFNA(VLOOKUP($BC477,Programma!$F$3:$M$1101,8,0),"")</f>
        <v/>
      </c>
      <c r="BK477" s="185" t="str">
        <f>_xlfn.IFNA(VLOOKUP($BC477,Programma!$F$3:$N$1101,9,0),"")</f>
        <v/>
      </c>
      <c r="BL477" s="185" t="str">
        <f>_xlfn.IFNA(VLOOKUP($BC477,Programma!$F$3:$O$1101,10,0),"")</f>
        <v/>
      </c>
      <c r="BM477" s="185" t="str">
        <f>_xlfn.IFNA(VLOOKUP($BC477,Programma!$F$3:$P$1101,11,0),"")</f>
        <v/>
      </c>
      <c r="BN477" s="185" t="str">
        <f>_xlfn.IFNA(VLOOKUP($BC477,Programma!$F$3:$Q$1101,12,0),"")</f>
        <v/>
      </c>
      <c r="BO477" s="185" t="str">
        <f>_xlfn.IFNA(VLOOKUP($BC477,Programma!$F$3:$R$1101,13,0),"")</f>
        <v/>
      </c>
      <c r="BP477" s="185" t="str">
        <f>_xlfn.IFNA(VLOOKUP($BC477,Programma!$F$3:$S$1101,14,0),"")</f>
        <v/>
      </c>
      <c r="BQ477" s="185" t="str">
        <f>_xlfn.IFNA(VLOOKUP($BC477,Programma!$F$3:$T$1101,15,0),"")</f>
        <v/>
      </c>
      <c r="BR477" s="185" t="str">
        <f>_xlfn.IFNA(VLOOKUP($BC477,Programma!$F$3:$U$1101,16,0),"")</f>
        <v/>
      </c>
      <c r="BS477" s="185" t="str">
        <f>_xlfn.IFNA(VLOOKUP($BC477,Programma!$F$3:$V$1101,17,0),"")</f>
        <v/>
      </c>
      <c r="BT477" s="185" t="str">
        <f>_xlfn.IFNA(VLOOKUP($BC477,Programma!$F$3:$W$1101,18,0),"")</f>
        <v/>
      </c>
      <c r="BU477" s="185" t="str">
        <f>_xlfn.IFNA(VLOOKUP($BC477,Programma!$F$3:$X$1101,19,0),"")</f>
        <v/>
      </c>
      <c r="BV477" s="185" t="str">
        <f>_xlfn.IFNA(VLOOKUP($BC477,Programma!$F$3:$Y$1101,20,0),"")</f>
        <v/>
      </c>
    </row>
    <row r="478" spans="1:74" s="78" customFormat="1" ht="15" customHeight="1">
      <c r="A478" s="99">
        <v>14</v>
      </c>
      <c r="B478" s="176" t="str">
        <f>VLOOKUP(Ruimtestaat[[#This Row],[Code]],Locaties[[Code]:[Locatie]],2,FALSE)</f>
        <v>Prinseschool Prinsestraat</v>
      </c>
      <c r="C478" s="176" t="str">
        <f>VLOOKUP(Ruimtestaat[[#This Row],[Code]],Locaties[[#All],[Code]:[Adres]],4,FALSE)</f>
        <v>Prinsestraat 10-10a </v>
      </c>
      <c r="D478" s="176" t="str">
        <f>VLOOKUP(Ruimtestaat[[#This Row],[Code]],Locaties[[#All],[Code]:[Postcode]],5,FALSE)</f>
        <v>7513 AL</v>
      </c>
      <c r="E478" s="176" t="str">
        <f>VLOOKUP(Ruimtestaat[[#This Row],[Code]],Locaties[#All],6,FALSE)</f>
        <v>Enschede</v>
      </c>
      <c r="F478" s="183"/>
      <c r="G478" s="99" t="s">
        <v>1646</v>
      </c>
      <c r="H478" s="99" t="s">
        <v>1669</v>
      </c>
      <c r="I478" s="183" t="s">
        <v>1684</v>
      </c>
      <c r="J478" s="99">
        <v>5</v>
      </c>
      <c r="K478" s="183" t="str">
        <f>VLOOKUP(Ruimtestaat[[#This Row],[Ruimte code]],Ruimtegroepen[[#All],[Code]:[Ruimte omschrijving]],2,FALSE)</f>
        <v>Sanitair</v>
      </c>
      <c r="L478" s="99" t="s">
        <v>101</v>
      </c>
      <c r="M478" s="99" t="s">
        <v>1682</v>
      </c>
      <c r="N478" s="177">
        <v>4.4000000000000004</v>
      </c>
      <c r="O478" s="177"/>
      <c r="P478" s="178" t="str">
        <f>VLOOKUP(Ruimtestaat[[#This Row],[Ruimte code]],Ruimtegroepen[],4,FALSE)</f>
        <v>Sa</v>
      </c>
      <c r="Q478" s="149">
        <v>40</v>
      </c>
      <c r="R478" s="149" t="s">
        <v>2</v>
      </c>
      <c r="S478" s="149">
        <f>IF(Q478&gt;0,IF(RIGHT(Ruimtestaat[[#This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8" s="149">
        <f>IF(S478&gt;0,VLOOKUP($J478,Ruimtegroepen[],3,FALSE)*VLOOKUP($L478,Vloersoorten[],3,FALSE)*VLOOKUP($R478,Frequenties[],3,FALSE)*VLOOKUP($A478,Locaties[],3,FALSE),0)</f>
        <v>0</v>
      </c>
      <c r="U478" s="149">
        <f>Ruimtestaat[[#This Row],[Uitvoeringen werkdagen]]*Ruimtestaat[[#This Row],[Oppervlak (netto)]]</f>
        <v>880.00000000000011</v>
      </c>
      <c r="V478" s="179">
        <f>IF(T478&gt;0,Ruimtestaat[[#This Row],[Prest. (m2 /jaar) werkdagen]]/Ruimtestaat[[#This Row],[Norm (m2/uur) werkdagen]],0)</f>
        <v>0</v>
      </c>
      <c r="W478" s="180">
        <f>Ruimtestaat[[#This Row],[uren / jaar werkdagen]]*Tariefsopbouw!$E$35</f>
        <v>0</v>
      </c>
      <c r="X478" s="149"/>
      <c r="Y478" s="149">
        <f>IF(Ruimtestaat[[#This Row],[Frequentie weekend]]&gt;0,VALUE(LEFT(X478,1))*Q478,0)</f>
        <v>0</v>
      </c>
      <c r="Z478" s="148">
        <f>IF($Y478&gt;0,VLOOKUP($J478,Ruimtegroepen[],3,FALSE)*VLOOKUP($L478,Vloersoorten[],3,FALSE)*VLOOKUP($X478,Frequenties[],3,FALSE)*VLOOKUP(Ruimtestaat[[#This Row],[Code]],Locaties[],3,FALSE),0)</f>
        <v>0</v>
      </c>
      <c r="AA478" s="148">
        <f>Ruimtestaat[[#This Row],[Uitvoeringen weekend]]*Ruimtestaat[[#This Row],[Oppervlak (netto)]]</f>
        <v>0</v>
      </c>
      <c r="AB478" s="148">
        <f>IF(Z478&gt;0,Ruimtestaat[[#This Row],[Prest. (m2 /jaar) weekend]]/Ruimtestaat[[#This Row],[Norm (m2/uur) weekend]],0)</f>
        <v>0</v>
      </c>
      <c r="AC478" s="180">
        <f>Ruimtestaat[[#This Row],[uren / jaar weekend]]*Tariefsopbouw!$D$40</f>
        <v>0</v>
      </c>
      <c r="AD478" s="179">
        <f>Ruimtestaat[[#This Row],[Prest. (m2 /jaar) weekend]]+Ruimtestaat[[#This Row],[Prest. (m2 /jaar) werkdagen]]</f>
        <v>880.00000000000011</v>
      </c>
      <c r="AE478" s="179">
        <f>Ruimtestaat[[#This Row],[uren / jaar weekend]]+Ruimtestaat[[#This Row],[uren / jaar werkdagen]]</f>
        <v>0</v>
      </c>
      <c r="AF478" s="174">
        <f>Ruimtestaat[[#This Row],[kosten / jaar weekend]]+Ruimtestaat[[#This Row],[kosten / jaar werkdagen]]</f>
        <v>0</v>
      </c>
      <c r="AG478" s="174"/>
      <c r="AH478" s="181" t="str">
        <f>IF(Ruimtestaat[[#This Row],[Frequentie werkdagen]]="","",_xlfn.CONCAT(Ruimtestaat[[#This Row],[Ruimte code]],"-",Ruimtestaat[[#This Row],[Frequentie werkdagen]]," ",Ruimtestaat[[#This Row],[Vloer code]]))</f>
        <v>5-5w S</v>
      </c>
      <c r="AI478" s="185" t="str">
        <f>_xlfn.IFNA(VLOOKUP($AH478,Programma!$F$3:$G$1101,2,0),"")</f>
        <v>_</v>
      </c>
      <c r="AJ478" s="185" t="str">
        <f>_xlfn.IFNA(VLOOKUP($AH478,Programma!$F$3:$H$1101,3,0),"")</f>
        <v>_</v>
      </c>
      <c r="AK478" s="185" t="str">
        <f>_xlfn.IFNA(VLOOKUP($AH478,Programma!$F$3:$I$1101,4,0),"")</f>
        <v>_</v>
      </c>
      <c r="AL478" s="185" t="str">
        <f>_xlfn.IFNA(VLOOKUP($AH478,Programma!$F$3:$J$1101,5,0),"")</f>
        <v>4w</v>
      </c>
      <c r="AM478" s="185" t="str">
        <f>_xlfn.IFNA(VLOOKUP($AH478,Programma!$F$3:$K$1101,6,0),"")</f>
        <v>1w</v>
      </c>
      <c r="AN478" s="185" t="str">
        <f>_xlfn.IFNA(VLOOKUP($AH478,Programma!$F$3:$L$1101,7,0),"")</f>
        <v>_</v>
      </c>
      <c r="AO478" s="185" t="str">
        <f>_xlfn.IFNA(VLOOKUP($AH478,Programma!$F$3:$M$1101,8,0),"")</f>
        <v>_</v>
      </c>
      <c r="AP478" s="185" t="str">
        <f>_xlfn.IFNA(VLOOKUP($AH478,Programma!$F$3:$N$1101,9,0),"")</f>
        <v>_</v>
      </c>
      <c r="AQ478" s="185" t="str">
        <f>_xlfn.IFNA(VLOOKUP($AH478,Programma!$F$3:$O$1101,10,0),"")</f>
        <v>_</v>
      </c>
      <c r="AR478" s="185" t="str">
        <f>_xlfn.IFNA(VLOOKUP($AH478,Programma!$F$3:$P$1101,11,0),"")</f>
        <v>_</v>
      </c>
      <c r="AS478" s="185" t="str">
        <f>_xlfn.IFNA(VLOOKUP($AH478,Programma!$F$3:$Q$1101,12,0),"")</f>
        <v>_</v>
      </c>
      <c r="AT478" s="185" t="str">
        <f>_xlfn.IFNA(VLOOKUP($AH478,Programma!$F$3:$R$1101,13,0),"")</f>
        <v>_</v>
      </c>
      <c r="AU478" s="185" t="str">
        <f>_xlfn.IFNA(VLOOKUP($AH478,Programma!$F$3:$S$1101,14,0),"")</f>
        <v>_</v>
      </c>
      <c r="AV478" s="185" t="str">
        <f>_xlfn.IFNA(VLOOKUP($AH478,Programma!$F$3:$T$1101,15,0),"")</f>
        <v>_</v>
      </c>
      <c r="AW478" s="185" t="str">
        <f>_xlfn.IFNA(VLOOKUP($AH478,Programma!$F$3:$U$1101,16,0),"")</f>
        <v>_</v>
      </c>
      <c r="AX478" s="185" t="str">
        <f>_xlfn.IFNA(VLOOKUP($AH478,Programma!$F$3:$V$1101,17,0),"")</f>
        <v>_</v>
      </c>
      <c r="AY478" s="185" t="str">
        <f>_xlfn.IFNA(VLOOKUP($AH478,Programma!$F$3:$W$1101,18,0),"")</f>
        <v>4w</v>
      </c>
      <c r="AZ478" s="185" t="str">
        <f>_xlfn.IFNA(VLOOKUP($AH478,Programma!$F$3:$X$1101,19,0),"")</f>
        <v>1w</v>
      </c>
      <c r="BA478" s="185" t="str">
        <f>_xlfn.IFNA(VLOOKUP($AH478,Programma!$F$3:$Y$1101,20,0),"")</f>
        <v>_</v>
      </c>
      <c r="BB478" s="182"/>
      <c r="BC478" s="181" t="str">
        <f>IF(Ruimtestaat[[#This Row],[Frequentie weekend]]="","",_xlfn.CONCAT(Ruimtestaat[[#This Row],[Ruimte code]],"-",Ruimtestaat[[#This Row],[Frequentie weekend]]," ",Ruimtestaat[[#This Row],[Vloer code]]))</f>
        <v/>
      </c>
      <c r="BD478" s="185" t="str">
        <f>_xlfn.IFNA(VLOOKUP($BC478,Programma!$F$3:$G$1101,2,0),"")</f>
        <v/>
      </c>
      <c r="BE478" s="185" t="str">
        <f>_xlfn.IFNA(VLOOKUP($BC478,Programma!$F$3:$H$1101,3,0),"")</f>
        <v/>
      </c>
      <c r="BF478" s="185" t="str">
        <f>_xlfn.IFNA(VLOOKUP($BC478,Programma!$F$3:$I$1101,4,0),"")</f>
        <v/>
      </c>
      <c r="BG478" s="185" t="str">
        <f>_xlfn.IFNA(VLOOKUP($BC478,Programma!$F$3:$J$1101,5,0),"")</f>
        <v/>
      </c>
      <c r="BH478" s="185" t="str">
        <f>_xlfn.IFNA(VLOOKUP($BC478,Programma!$F$3:$K$1101,6,0),"")</f>
        <v/>
      </c>
      <c r="BI478" s="185" t="str">
        <f>_xlfn.IFNA(VLOOKUP($BC478,Programma!$F$3:$L$1101,7,0),"")</f>
        <v/>
      </c>
      <c r="BJ478" s="185" t="str">
        <f>_xlfn.IFNA(VLOOKUP($BC478,Programma!$F$3:$M$1101,8,0),"")</f>
        <v/>
      </c>
      <c r="BK478" s="185" t="str">
        <f>_xlfn.IFNA(VLOOKUP($BC478,Programma!$F$3:$N$1101,9,0),"")</f>
        <v/>
      </c>
      <c r="BL478" s="185" t="str">
        <f>_xlfn.IFNA(VLOOKUP($BC478,Programma!$F$3:$O$1101,10,0),"")</f>
        <v/>
      </c>
      <c r="BM478" s="185" t="str">
        <f>_xlfn.IFNA(VLOOKUP($BC478,Programma!$F$3:$P$1101,11,0),"")</f>
        <v/>
      </c>
      <c r="BN478" s="185" t="str">
        <f>_xlfn.IFNA(VLOOKUP($BC478,Programma!$F$3:$Q$1101,12,0),"")</f>
        <v/>
      </c>
      <c r="BO478" s="185" t="str">
        <f>_xlfn.IFNA(VLOOKUP($BC478,Programma!$F$3:$R$1101,13,0),"")</f>
        <v/>
      </c>
      <c r="BP478" s="185" t="str">
        <f>_xlfn.IFNA(VLOOKUP($BC478,Programma!$F$3:$S$1101,14,0),"")</f>
        <v/>
      </c>
      <c r="BQ478" s="185" t="str">
        <f>_xlfn.IFNA(VLOOKUP($BC478,Programma!$F$3:$T$1101,15,0),"")</f>
        <v/>
      </c>
      <c r="BR478" s="185" t="str">
        <f>_xlfn.IFNA(VLOOKUP($BC478,Programma!$F$3:$U$1101,16,0),"")</f>
        <v/>
      </c>
      <c r="BS478" s="185" t="str">
        <f>_xlfn.IFNA(VLOOKUP($BC478,Programma!$F$3:$V$1101,17,0),"")</f>
        <v/>
      </c>
      <c r="BT478" s="185" t="str">
        <f>_xlfn.IFNA(VLOOKUP($BC478,Programma!$F$3:$W$1101,18,0),"")</f>
        <v/>
      </c>
      <c r="BU478" s="185" t="str">
        <f>_xlfn.IFNA(VLOOKUP($BC478,Programma!$F$3:$X$1101,19,0),"")</f>
        <v/>
      </c>
      <c r="BV478" s="185" t="str">
        <f>_xlfn.IFNA(VLOOKUP($BC478,Programma!$F$3:$Y$1101,20,0),"")</f>
        <v/>
      </c>
    </row>
    <row r="479" spans="1:74" s="78" customFormat="1" ht="15" customHeight="1">
      <c r="A479" s="99">
        <v>14</v>
      </c>
      <c r="B479" s="176" t="str">
        <f>VLOOKUP(Ruimtestaat[[#This Row],[Code]],Locaties[[Code]:[Locatie]],2,FALSE)</f>
        <v>Prinseschool Prinsestraat</v>
      </c>
      <c r="C479" s="176" t="str">
        <f>VLOOKUP(Ruimtestaat[[#This Row],[Code]],Locaties[[#All],[Code]:[Adres]],4,FALSE)</f>
        <v>Prinsestraat 10-10a </v>
      </c>
      <c r="D479" s="176" t="str">
        <f>VLOOKUP(Ruimtestaat[[#This Row],[Code]],Locaties[[#All],[Code]:[Postcode]],5,FALSE)</f>
        <v>7513 AL</v>
      </c>
      <c r="E479" s="176" t="str">
        <f>VLOOKUP(Ruimtestaat[[#This Row],[Code]],Locaties[#All],6,FALSE)</f>
        <v>Enschede</v>
      </c>
      <c r="F479" s="183"/>
      <c r="G479" s="99" t="s">
        <v>1646</v>
      </c>
      <c r="H479" s="99" t="s">
        <v>1670</v>
      </c>
      <c r="I479" s="183" t="s">
        <v>38</v>
      </c>
      <c r="J479" s="99">
        <v>7</v>
      </c>
      <c r="K479" s="183" t="str">
        <f>VLOOKUP(Ruimtestaat[[#This Row],[Ruimte code]],Ruimtegroepen[[#All],[Code]:[Ruimte omschrijving]],2,FALSE)</f>
        <v>Entree</v>
      </c>
      <c r="L479" s="99" t="s">
        <v>99</v>
      </c>
      <c r="M479" s="99" t="s">
        <v>1700</v>
      </c>
      <c r="N479" s="177">
        <v>4</v>
      </c>
      <c r="O479" s="177"/>
      <c r="P479" s="178" t="str">
        <f>VLOOKUP(Ruimtestaat[[#This Row],[Ruimte code]],Ruimtegroepen[],4,FALSE)</f>
        <v>Ve</v>
      </c>
      <c r="Q479" s="149">
        <v>40</v>
      </c>
      <c r="R479" s="149" t="s">
        <v>2</v>
      </c>
      <c r="S479" s="149">
        <f>IF(Q479&gt;0,IF(RIGHT(Ruimtestaat[[#This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9" s="149">
        <f>IF(S479&gt;0,VLOOKUP($J479,Ruimtegroepen[],3,FALSE)*VLOOKUP($L479,Vloersoorten[],3,FALSE)*VLOOKUP($R479,Frequenties[],3,FALSE)*VLOOKUP($A479,Locaties[],3,FALSE),0)</f>
        <v>0</v>
      </c>
      <c r="U479" s="149">
        <f>Ruimtestaat[[#This Row],[Uitvoeringen werkdagen]]*Ruimtestaat[[#This Row],[Oppervlak (netto)]]</f>
        <v>800</v>
      </c>
      <c r="V479" s="179">
        <f>IF(T479&gt;0,Ruimtestaat[[#This Row],[Prest. (m2 /jaar) werkdagen]]/Ruimtestaat[[#This Row],[Norm (m2/uur) werkdagen]],0)</f>
        <v>0</v>
      </c>
      <c r="W479" s="180">
        <f>Ruimtestaat[[#This Row],[uren / jaar werkdagen]]*Tariefsopbouw!$E$35</f>
        <v>0</v>
      </c>
      <c r="X479" s="149"/>
      <c r="Y479" s="149">
        <f>IF(Ruimtestaat[[#This Row],[Frequentie weekend]]&gt;0,VALUE(LEFT(X479,1))*Q479,0)</f>
        <v>0</v>
      </c>
      <c r="Z479" s="148">
        <f>IF($Y479&gt;0,VLOOKUP($J479,Ruimtegroepen[],3,FALSE)*VLOOKUP($L479,Vloersoorten[],3,FALSE)*VLOOKUP($X479,Frequenties[],3,FALSE)*VLOOKUP(Ruimtestaat[[#This Row],[Code]],Locaties[],3,FALSE),0)</f>
        <v>0</v>
      </c>
      <c r="AA479" s="148">
        <f>Ruimtestaat[[#This Row],[Uitvoeringen weekend]]*Ruimtestaat[[#This Row],[Oppervlak (netto)]]</f>
        <v>0</v>
      </c>
      <c r="AB479" s="148">
        <f>IF(Z479&gt;0,Ruimtestaat[[#This Row],[Prest. (m2 /jaar) weekend]]/Ruimtestaat[[#This Row],[Norm (m2/uur) weekend]],0)</f>
        <v>0</v>
      </c>
      <c r="AC479" s="180">
        <f>Ruimtestaat[[#This Row],[uren / jaar weekend]]*Tariefsopbouw!$D$40</f>
        <v>0</v>
      </c>
      <c r="AD479" s="179">
        <f>Ruimtestaat[[#This Row],[Prest. (m2 /jaar) weekend]]+Ruimtestaat[[#This Row],[Prest. (m2 /jaar) werkdagen]]</f>
        <v>800</v>
      </c>
      <c r="AE479" s="179">
        <f>Ruimtestaat[[#This Row],[uren / jaar weekend]]+Ruimtestaat[[#This Row],[uren / jaar werkdagen]]</f>
        <v>0</v>
      </c>
      <c r="AF479" s="174">
        <f>Ruimtestaat[[#This Row],[kosten / jaar weekend]]+Ruimtestaat[[#This Row],[kosten / jaar werkdagen]]</f>
        <v>0</v>
      </c>
      <c r="AG479" s="174"/>
      <c r="AH479" s="181" t="str">
        <f>IF(Ruimtestaat[[#This Row],[Frequentie werkdagen]]="","",_xlfn.CONCAT(Ruimtestaat[[#This Row],[Ruimte code]],"-",Ruimtestaat[[#This Row],[Frequentie werkdagen]]," ",Ruimtestaat[[#This Row],[Vloer code]]))</f>
        <v>7-5w T</v>
      </c>
      <c r="AI479" s="185" t="str">
        <f>_xlfn.IFNA(VLOOKUP($AH479,Programma!$F$3:$G$1101,2,0),"")</f>
        <v>_</v>
      </c>
      <c r="AJ479" s="185" t="str">
        <f>_xlfn.IFNA(VLOOKUP($AH479,Programma!$F$3:$H$1101,3,0),"")</f>
        <v>5w</v>
      </c>
      <c r="AK479" s="185" t="str">
        <f>_xlfn.IFNA(VLOOKUP($AH479,Programma!$F$3:$I$1101,4,0),"")</f>
        <v>_</v>
      </c>
      <c r="AL479" s="185" t="str">
        <f>_xlfn.IFNA(VLOOKUP($AH479,Programma!$F$3:$J$1101,5,0),"")</f>
        <v>_</v>
      </c>
      <c r="AM479" s="185" t="str">
        <f>_xlfn.IFNA(VLOOKUP($AH479,Programma!$F$3:$K$1101,6,0),"")</f>
        <v>_</v>
      </c>
      <c r="AN479" s="185" t="str">
        <f>_xlfn.IFNA(VLOOKUP($AH479,Programma!$F$3:$L$1101,7,0),"")</f>
        <v>_</v>
      </c>
      <c r="AO479" s="185" t="str">
        <f>_xlfn.IFNA(VLOOKUP($AH479,Programma!$F$3:$M$1101,8,0),"")</f>
        <v>_</v>
      </c>
      <c r="AP479" s="185" t="str">
        <f>_xlfn.IFNA(VLOOKUP($AH479,Programma!$F$3:$N$1101,9,0),"")</f>
        <v>_</v>
      </c>
      <c r="AQ479" s="185" t="str">
        <f>_xlfn.IFNA(VLOOKUP($AH479,Programma!$F$3:$O$1101,10,0),"")</f>
        <v>5w</v>
      </c>
      <c r="AR479" s="185" t="str">
        <f>_xlfn.IFNA(VLOOKUP($AH479,Programma!$F$3:$P$1101,11,0),"")</f>
        <v>5w</v>
      </c>
      <c r="AS479" s="185" t="str">
        <f>_xlfn.IFNA(VLOOKUP($AH479,Programma!$F$3:$Q$1101,12,0),"")</f>
        <v>1w</v>
      </c>
      <c r="AT479" s="185" t="str">
        <f>_xlfn.IFNA(VLOOKUP($AH479,Programma!$F$3:$R$1101,13,0),"")</f>
        <v>1w</v>
      </c>
      <c r="AU479" s="185" t="str">
        <f>_xlfn.IFNA(VLOOKUP($AH479,Programma!$F$3:$S$1101,14,0),"")</f>
        <v>1m</v>
      </c>
      <c r="AV479" s="185" t="str">
        <f>_xlfn.IFNA(VLOOKUP($AH479,Programma!$F$3:$T$1101,15,0),"")</f>
        <v>2j</v>
      </c>
      <c r="AW479" s="185" t="str">
        <f>_xlfn.IFNA(VLOOKUP($AH479,Programma!$F$3:$U$1101,16,0),"")</f>
        <v>1j</v>
      </c>
      <c r="AX479" s="185" t="str">
        <f>_xlfn.IFNA(VLOOKUP($AH479,Programma!$F$3:$V$1101,17,0),"")</f>
        <v>_</v>
      </c>
      <c r="AY479" s="185" t="str">
        <f>_xlfn.IFNA(VLOOKUP($AH479,Programma!$F$3:$W$1101,18,0),"")</f>
        <v>_</v>
      </c>
      <c r="AZ479" s="185" t="str">
        <f>_xlfn.IFNA(VLOOKUP($AH479,Programma!$F$3:$X$1101,19,0),"")</f>
        <v>_</v>
      </c>
      <c r="BA479" s="185" t="str">
        <f>_xlfn.IFNA(VLOOKUP($AH479,Programma!$F$3:$Y$1101,20,0),"")</f>
        <v>_</v>
      </c>
      <c r="BB479" s="182"/>
      <c r="BC479" s="181" t="str">
        <f>IF(Ruimtestaat[[#This Row],[Frequentie weekend]]="","",_xlfn.CONCAT(Ruimtestaat[[#This Row],[Ruimte code]],"-",Ruimtestaat[[#This Row],[Frequentie weekend]]," ",Ruimtestaat[[#This Row],[Vloer code]]))</f>
        <v/>
      </c>
      <c r="BD479" s="185" t="str">
        <f>_xlfn.IFNA(VLOOKUP($BC479,Programma!$F$3:$G$1101,2,0),"")</f>
        <v/>
      </c>
      <c r="BE479" s="185" t="str">
        <f>_xlfn.IFNA(VLOOKUP($BC479,Programma!$F$3:$H$1101,3,0),"")</f>
        <v/>
      </c>
      <c r="BF479" s="185" t="str">
        <f>_xlfn.IFNA(VLOOKUP($BC479,Programma!$F$3:$I$1101,4,0),"")</f>
        <v/>
      </c>
      <c r="BG479" s="185" t="str">
        <f>_xlfn.IFNA(VLOOKUP($BC479,Programma!$F$3:$J$1101,5,0),"")</f>
        <v/>
      </c>
      <c r="BH479" s="185" t="str">
        <f>_xlfn.IFNA(VLOOKUP($BC479,Programma!$F$3:$K$1101,6,0),"")</f>
        <v/>
      </c>
      <c r="BI479" s="185" t="str">
        <f>_xlfn.IFNA(VLOOKUP($BC479,Programma!$F$3:$L$1101,7,0),"")</f>
        <v/>
      </c>
      <c r="BJ479" s="185" t="str">
        <f>_xlfn.IFNA(VLOOKUP($BC479,Programma!$F$3:$M$1101,8,0),"")</f>
        <v/>
      </c>
      <c r="BK479" s="185" t="str">
        <f>_xlfn.IFNA(VLOOKUP($BC479,Programma!$F$3:$N$1101,9,0),"")</f>
        <v/>
      </c>
      <c r="BL479" s="185" t="str">
        <f>_xlfn.IFNA(VLOOKUP($BC479,Programma!$F$3:$O$1101,10,0),"")</f>
        <v/>
      </c>
      <c r="BM479" s="185" t="str">
        <f>_xlfn.IFNA(VLOOKUP($BC479,Programma!$F$3:$P$1101,11,0),"")</f>
        <v/>
      </c>
      <c r="BN479" s="185" t="str">
        <f>_xlfn.IFNA(VLOOKUP($BC479,Programma!$F$3:$Q$1101,12,0),"")</f>
        <v/>
      </c>
      <c r="BO479" s="185" t="str">
        <f>_xlfn.IFNA(VLOOKUP($BC479,Programma!$F$3:$R$1101,13,0),"")</f>
        <v/>
      </c>
      <c r="BP479" s="185" t="str">
        <f>_xlfn.IFNA(VLOOKUP($BC479,Programma!$F$3:$S$1101,14,0),"")</f>
        <v/>
      </c>
      <c r="BQ479" s="185" t="str">
        <f>_xlfn.IFNA(VLOOKUP($BC479,Programma!$F$3:$T$1101,15,0),"")</f>
        <v/>
      </c>
      <c r="BR479" s="185" t="str">
        <f>_xlfn.IFNA(VLOOKUP($BC479,Programma!$F$3:$U$1101,16,0),"")</f>
        <v/>
      </c>
      <c r="BS479" s="185" t="str">
        <f>_xlfn.IFNA(VLOOKUP($BC479,Programma!$F$3:$V$1101,17,0),"")</f>
        <v/>
      </c>
      <c r="BT479" s="185" t="str">
        <f>_xlfn.IFNA(VLOOKUP($BC479,Programma!$F$3:$W$1101,18,0),"")</f>
        <v/>
      </c>
      <c r="BU479" s="185" t="str">
        <f>_xlfn.IFNA(VLOOKUP($BC479,Programma!$F$3:$X$1101,19,0),"")</f>
        <v/>
      </c>
      <c r="BV479" s="185" t="str">
        <f>_xlfn.IFNA(VLOOKUP($BC479,Programma!$F$3:$Y$1101,20,0),"")</f>
        <v/>
      </c>
    </row>
    <row r="480" spans="1:74" s="78" customFormat="1" ht="15" customHeight="1">
      <c r="A480" s="99">
        <v>14</v>
      </c>
      <c r="B480" s="176" t="str">
        <f>VLOOKUP(Ruimtestaat[[#This Row],[Code]],Locaties[[Code]:[Locatie]],2,FALSE)</f>
        <v>Prinseschool Prinsestraat</v>
      </c>
      <c r="C480" s="176" t="str">
        <f>VLOOKUP(Ruimtestaat[[#This Row],[Code]],Locaties[[#All],[Code]:[Adres]],4,FALSE)</f>
        <v>Prinsestraat 10-10a </v>
      </c>
      <c r="D480" s="176" t="str">
        <f>VLOOKUP(Ruimtestaat[[#This Row],[Code]],Locaties[[#All],[Code]:[Postcode]],5,FALSE)</f>
        <v>7513 AL</v>
      </c>
      <c r="E480" s="176" t="str">
        <f>VLOOKUP(Ruimtestaat[[#This Row],[Code]],Locaties[#All],6,FALSE)</f>
        <v>Enschede</v>
      </c>
      <c r="F480" s="183"/>
      <c r="G480" s="99" t="s">
        <v>1646</v>
      </c>
      <c r="H480" s="99" t="s">
        <v>1671</v>
      </c>
      <c r="I480" s="183" t="s">
        <v>1655</v>
      </c>
      <c r="J480" s="99">
        <v>5</v>
      </c>
      <c r="K480" s="183" t="str">
        <f>VLOOKUP(Ruimtestaat[[#This Row],[Ruimte code]],Ruimtegroepen[[#All],[Code]:[Ruimte omschrijving]],2,FALSE)</f>
        <v>Sanitair</v>
      </c>
      <c r="L480" s="99" t="s">
        <v>101</v>
      </c>
      <c r="M480" s="99" t="s">
        <v>1682</v>
      </c>
      <c r="N480" s="177">
        <v>4.2</v>
      </c>
      <c r="O480" s="177"/>
      <c r="P480" s="178" t="str">
        <f>VLOOKUP(Ruimtestaat[[#This Row],[Ruimte code]],Ruimtegroepen[],4,FALSE)</f>
        <v>Sa</v>
      </c>
      <c r="Q480" s="149">
        <v>40</v>
      </c>
      <c r="R480" s="149" t="s">
        <v>2</v>
      </c>
      <c r="S480" s="149">
        <f>IF(Q480&gt;0,IF(RIGHT(Ruimtestaat[[#This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0" s="149">
        <f>IF(S480&gt;0,VLOOKUP($J480,Ruimtegroepen[],3,FALSE)*VLOOKUP($L480,Vloersoorten[],3,FALSE)*VLOOKUP($R480,Frequenties[],3,FALSE)*VLOOKUP($A480,Locaties[],3,FALSE),0)</f>
        <v>0</v>
      </c>
      <c r="U480" s="149">
        <f>Ruimtestaat[[#This Row],[Uitvoeringen werkdagen]]*Ruimtestaat[[#This Row],[Oppervlak (netto)]]</f>
        <v>840</v>
      </c>
      <c r="V480" s="179">
        <f>IF(T480&gt;0,Ruimtestaat[[#This Row],[Prest. (m2 /jaar) werkdagen]]/Ruimtestaat[[#This Row],[Norm (m2/uur) werkdagen]],0)</f>
        <v>0</v>
      </c>
      <c r="W480" s="180">
        <f>Ruimtestaat[[#This Row],[uren / jaar werkdagen]]*Tariefsopbouw!$E$35</f>
        <v>0</v>
      </c>
      <c r="X480" s="149"/>
      <c r="Y480" s="149">
        <f>IF(Ruimtestaat[[#This Row],[Frequentie weekend]]&gt;0,VALUE(LEFT(X480,1))*Q480,0)</f>
        <v>0</v>
      </c>
      <c r="Z480" s="148">
        <f>IF($Y480&gt;0,VLOOKUP($J480,Ruimtegroepen[],3,FALSE)*VLOOKUP($L480,Vloersoorten[],3,FALSE)*VLOOKUP($X480,Frequenties[],3,FALSE)*VLOOKUP(Ruimtestaat[[#This Row],[Code]],Locaties[],3,FALSE),0)</f>
        <v>0</v>
      </c>
      <c r="AA480" s="148">
        <f>Ruimtestaat[[#This Row],[Uitvoeringen weekend]]*Ruimtestaat[[#This Row],[Oppervlak (netto)]]</f>
        <v>0</v>
      </c>
      <c r="AB480" s="148">
        <f>IF(Z480&gt;0,Ruimtestaat[[#This Row],[Prest. (m2 /jaar) weekend]]/Ruimtestaat[[#This Row],[Norm (m2/uur) weekend]],0)</f>
        <v>0</v>
      </c>
      <c r="AC480" s="180">
        <f>Ruimtestaat[[#This Row],[uren / jaar weekend]]*Tariefsopbouw!$D$40</f>
        <v>0</v>
      </c>
      <c r="AD480" s="179">
        <f>Ruimtestaat[[#This Row],[Prest. (m2 /jaar) weekend]]+Ruimtestaat[[#This Row],[Prest. (m2 /jaar) werkdagen]]</f>
        <v>840</v>
      </c>
      <c r="AE480" s="179">
        <f>Ruimtestaat[[#This Row],[uren / jaar weekend]]+Ruimtestaat[[#This Row],[uren / jaar werkdagen]]</f>
        <v>0</v>
      </c>
      <c r="AF480" s="174">
        <f>Ruimtestaat[[#This Row],[kosten / jaar weekend]]+Ruimtestaat[[#This Row],[kosten / jaar werkdagen]]</f>
        <v>0</v>
      </c>
      <c r="AG480" s="174"/>
      <c r="AH480" s="181" t="str">
        <f>IF(Ruimtestaat[[#This Row],[Frequentie werkdagen]]="","",_xlfn.CONCAT(Ruimtestaat[[#This Row],[Ruimte code]],"-",Ruimtestaat[[#This Row],[Frequentie werkdagen]]," ",Ruimtestaat[[#This Row],[Vloer code]]))</f>
        <v>5-5w S</v>
      </c>
      <c r="AI480" s="185" t="str">
        <f>_xlfn.IFNA(VLOOKUP($AH480,Programma!$F$3:$G$1101,2,0),"")</f>
        <v>_</v>
      </c>
      <c r="AJ480" s="185" t="str">
        <f>_xlfn.IFNA(VLOOKUP($AH480,Programma!$F$3:$H$1101,3,0),"")</f>
        <v>_</v>
      </c>
      <c r="AK480" s="185" t="str">
        <f>_xlfn.IFNA(VLOOKUP($AH480,Programma!$F$3:$I$1101,4,0),"")</f>
        <v>_</v>
      </c>
      <c r="AL480" s="185" t="str">
        <f>_xlfn.IFNA(VLOOKUP($AH480,Programma!$F$3:$J$1101,5,0),"")</f>
        <v>4w</v>
      </c>
      <c r="AM480" s="185" t="str">
        <f>_xlfn.IFNA(VLOOKUP($AH480,Programma!$F$3:$K$1101,6,0),"")</f>
        <v>1w</v>
      </c>
      <c r="AN480" s="185" t="str">
        <f>_xlfn.IFNA(VLOOKUP($AH480,Programma!$F$3:$L$1101,7,0),"")</f>
        <v>_</v>
      </c>
      <c r="AO480" s="185" t="str">
        <f>_xlfn.IFNA(VLOOKUP($AH480,Programma!$F$3:$M$1101,8,0),"")</f>
        <v>_</v>
      </c>
      <c r="AP480" s="185" t="str">
        <f>_xlfn.IFNA(VLOOKUP($AH480,Programma!$F$3:$N$1101,9,0),"")</f>
        <v>_</v>
      </c>
      <c r="AQ480" s="185" t="str">
        <f>_xlfn.IFNA(VLOOKUP($AH480,Programma!$F$3:$O$1101,10,0),"")</f>
        <v>_</v>
      </c>
      <c r="AR480" s="185" t="str">
        <f>_xlfn.IFNA(VLOOKUP($AH480,Programma!$F$3:$P$1101,11,0),"")</f>
        <v>_</v>
      </c>
      <c r="AS480" s="185" t="str">
        <f>_xlfn.IFNA(VLOOKUP($AH480,Programma!$F$3:$Q$1101,12,0),"")</f>
        <v>_</v>
      </c>
      <c r="AT480" s="185" t="str">
        <f>_xlfn.IFNA(VLOOKUP($AH480,Programma!$F$3:$R$1101,13,0),"")</f>
        <v>_</v>
      </c>
      <c r="AU480" s="185" t="str">
        <f>_xlfn.IFNA(VLOOKUP($AH480,Programma!$F$3:$S$1101,14,0),"")</f>
        <v>_</v>
      </c>
      <c r="AV480" s="185" t="str">
        <f>_xlfn.IFNA(VLOOKUP($AH480,Programma!$F$3:$T$1101,15,0),"")</f>
        <v>_</v>
      </c>
      <c r="AW480" s="185" t="str">
        <f>_xlfn.IFNA(VLOOKUP($AH480,Programma!$F$3:$U$1101,16,0),"")</f>
        <v>_</v>
      </c>
      <c r="AX480" s="185" t="str">
        <f>_xlfn.IFNA(VLOOKUP($AH480,Programma!$F$3:$V$1101,17,0),"")</f>
        <v>_</v>
      </c>
      <c r="AY480" s="185" t="str">
        <f>_xlfn.IFNA(VLOOKUP($AH480,Programma!$F$3:$W$1101,18,0),"")</f>
        <v>4w</v>
      </c>
      <c r="AZ480" s="185" t="str">
        <f>_xlfn.IFNA(VLOOKUP($AH480,Programma!$F$3:$X$1101,19,0),"")</f>
        <v>1w</v>
      </c>
      <c r="BA480" s="185" t="str">
        <f>_xlfn.IFNA(VLOOKUP($AH480,Programma!$F$3:$Y$1101,20,0),"")</f>
        <v>_</v>
      </c>
      <c r="BB480" s="182"/>
      <c r="BC480" s="181" t="str">
        <f>IF(Ruimtestaat[[#This Row],[Frequentie weekend]]="","",_xlfn.CONCAT(Ruimtestaat[[#This Row],[Ruimte code]],"-",Ruimtestaat[[#This Row],[Frequentie weekend]]," ",Ruimtestaat[[#This Row],[Vloer code]]))</f>
        <v/>
      </c>
      <c r="BD480" s="185" t="str">
        <f>_xlfn.IFNA(VLOOKUP($BC480,Programma!$F$3:$G$1101,2,0),"")</f>
        <v/>
      </c>
      <c r="BE480" s="185" t="str">
        <f>_xlfn.IFNA(VLOOKUP($BC480,Programma!$F$3:$H$1101,3,0),"")</f>
        <v/>
      </c>
      <c r="BF480" s="185" t="str">
        <f>_xlfn.IFNA(VLOOKUP($BC480,Programma!$F$3:$I$1101,4,0),"")</f>
        <v/>
      </c>
      <c r="BG480" s="185" t="str">
        <f>_xlfn.IFNA(VLOOKUP($BC480,Programma!$F$3:$J$1101,5,0),"")</f>
        <v/>
      </c>
      <c r="BH480" s="185" t="str">
        <f>_xlfn.IFNA(VLOOKUP($BC480,Programma!$F$3:$K$1101,6,0),"")</f>
        <v/>
      </c>
      <c r="BI480" s="185" t="str">
        <f>_xlfn.IFNA(VLOOKUP($BC480,Programma!$F$3:$L$1101,7,0),"")</f>
        <v/>
      </c>
      <c r="BJ480" s="185" t="str">
        <f>_xlfn.IFNA(VLOOKUP($BC480,Programma!$F$3:$M$1101,8,0),"")</f>
        <v/>
      </c>
      <c r="BK480" s="185" t="str">
        <f>_xlfn.IFNA(VLOOKUP($BC480,Programma!$F$3:$N$1101,9,0),"")</f>
        <v/>
      </c>
      <c r="BL480" s="185" t="str">
        <f>_xlfn.IFNA(VLOOKUP($BC480,Programma!$F$3:$O$1101,10,0),"")</f>
        <v/>
      </c>
      <c r="BM480" s="185" t="str">
        <f>_xlfn.IFNA(VLOOKUP($BC480,Programma!$F$3:$P$1101,11,0),"")</f>
        <v/>
      </c>
      <c r="BN480" s="185" t="str">
        <f>_xlfn.IFNA(VLOOKUP($BC480,Programma!$F$3:$Q$1101,12,0),"")</f>
        <v/>
      </c>
      <c r="BO480" s="185" t="str">
        <f>_xlfn.IFNA(VLOOKUP($BC480,Programma!$F$3:$R$1101,13,0),"")</f>
        <v/>
      </c>
      <c r="BP480" s="185" t="str">
        <f>_xlfn.IFNA(VLOOKUP($BC480,Programma!$F$3:$S$1101,14,0),"")</f>
        <v/>
      </c>
      <c r="BQ480" s="185" t="str">
        <f>_xlfn.IFNA(VLOOKUP($BC480,Programma!$F$3:$T$1101,15,0),"")</f>
        <v/>
      </c>
      <c r="BR480" s="185" t="str">
        <f>_xlfn.IFNA(VLOOKUP($BC480,Programma!$F$3:$U$1101,16,0),"")</f>
        <v/>
      </c>
      <c r="BS480" s="185" t="str">
        <f>_xlfn.IFNA(VLOOKUP($BC480,Programma!$F$3:$V$1101,17,0),"")</f>
        <v/>
      </c>
      <c r="BT480" s="185" t="str">
        <f>_xlfn.IFNA(VLOOKUP($BC480,Programma!$F$3:$W$1101,18,0),"")</f>
        <v/>
      </c>
      <c r="BU480" s="185" t="str">
        <f>_xlfn.IFNA(VLOOKUP($BC480,Programma!$F$3:$X$1101,19,0),"")</f>
        <v/>
      </c>
      <c r="BV480" s="185" t="str">
        <f>_xlfn.IFNA(VLOOKUP($BC480,Programma!$F$3:$Y$1101,20,0),"")</f>
        <v/>
      </c>
    </row>
    <row r="481" spans="1:74" s="78" customFormat="1" ht="15" customHeight="1">
      <c r="A481" s="99">
        <v>14</v>
      </c>
      <c r="B481" s="176" t="str">
        <f>VLOOKUP(Ruimtestaat[[#This Row],[Code]],Locaties[[Code]:[Locatie]],2,FALSE)</f>
        <v>Prinseschool Prinsestraat</v>
      </c>
      <c r="C481" s="176" t="str">
        <f>VLOOKUP(Ruimtestaat[[#This Row],[Code]],Locaties[[#All],[Code]:[Adres]],4,FALSE)</f>
        <v>Prinsestraat 10-10a </v>
      </c>
      <c r="D481" s="176" t="str">
        <f>VLOOKUP(Ruimtestaat[[#This Row],[Code]],Locaties[[#All],[Code]:[Postcode]],5,FALSE)</f>
        <v>7513 AL</v>
      </c>
      <c r="E481" s="176" t="str">
        <f>VLOOKUP(Ruimtestaat[[#This Row],[Code]],Locaties[#All],6,FALSE)</f>
        <v>Enschede</v>
      </c>
      <c r="F481" s="183"/>
      <c r="G481" s="99" t="s">
        <v>1646</v>
      </c>
      <c r="H481" s="99" t="s">
        <v>1672</v>
      </c>
      <c r="I481" s="183" t="s">
        <v>1690</v>
      </c>
      <c r="J481" s="99">
        <v>18</v>
      </c>
      <c r="K481" s="183" t="str">
        <f>VLOOKUP(Ruimtestaat[[#This Row],[Ruimte code]],Ruimtegroepen[[#All],[Code]:[Ruimte omschrijving]],2,FALSE)</f>
        <v>Gymzaal</v>
      </c>
      <c r="L481" s="99" t="s">
        <v>100</v>
      </c>
      <c r="M481" s="99" t="s">
        <v>1697</v>
      </c>
      <c r="N481" s="177">
        <v>96</v>
      </c>
      <c r="O481" s="177"/>
      <c r="P481" s="178" t="str">
        <f>VLOOKUP(Ruimtestaat[[#This Row],[Ruimte code]],Ruimtegroepen[],4,FALSE)</f>
        <v>Sp</v>
      </c>
      <c r="Q481" s="149">
        <v>40</v>
      </c>
      <c r="R481" s="149" t="s">
        <v>2</v>
      </c>
      <c r="S481" s="149">
        <f>IF(Q481&gt;0,IF(RIGHT(Ruimtestaat[[#This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1" s="149">
        <f>IF(S481&gt;0,VLOOKUP($J481,Ruimtegroepen[],3,FALSE)*VLOOKUP($L481,Vloersoorten[],3,FALSE)*VLOOKUP($R481,Frequenties[],3,FALSE)*VLOOKUP($A481,Locaties[],3,FALSE),0)</f>
        <v>0</v>
      </c>
      <c r="U481" s="149">
        <f>Ruimtestaat[[#This Row],[Uitvoeringen werkdagen]]*Ruimtestaat[[#This Row],[Oppervlak (netto)]]</f>
        <v>19200</v>
      </c>
      <c r="V481" s="179">
        <f>IF(T481&gt;0,Ruimtestaat[[#This Row],[Prest. (m2 /jaar) werkdagen]]/Ruimtestaat[[#This Row],[Norm (m2/uur) werkdagen]],0)</f>
        <v>0</v>
      </c>
      <c r="W481" s="180">
        <f>Ruimtestaat[[#This Row],[uren / jaar werkdagen]]*Tariefsopbouw!$E$35</f>
        <v>0</v>
      </c>
      <c r="X481" s="149"/>
      <c r="Y481" s="149">
        <f>IF(Ruimtestaat[[#This Row],[Frequentie weekend]]&gt;0,VALUE(LEFT(X481,1))*Q481,0)</f>
        <v>0</v>
      </c>
      <c r="Z481" s="148">
        <f>IF($Y481&gt;0,VLOOKUP($J481,Ruimtegroepen[],3,FALSE)*VLOOKUP($L481,Vloersoorten[],3,FALSE)*VLOOKUP($X481,Frequenties[],3,FALSE)*VLOOKUP(Ruimtestaat[[#This Row],[Code]],Locaties[],3,FALSE),0)</f>
        <v>0</v>
      </c>
      <c r="AA481" s="148">
        <f>Ruimtestaat[[#This Row],[Uitvoeringen weekend]]*Ruimtestaat[[#This Row],[Oppervlak (netto)]]</f>
        <v>0</v>
      </c>
      <c r="AB481" s="148">
        <f>IF(Z481&gt;0,Ruimtestaat[[#This Row],[Prest. (m2 /jaar) weekend]]/Ruimtestaat[[#This Row],[Norm (m2/uur) weekend]],0)</f>
        <v>0</v>
      </c>
      <c r="AC481" s="180">
        <f>Ruimtestaat[[#This Row],[uren / jaar weekend]]*Tariefsopbouw!$D$40</f>
        <v>0</v>
      </c>
      <c r="AD481" s="179">
        <f>Ruimtestaat[[#This Row],[Prest. (m2 /jaar) weekend]]+Ruimtestaat[[#This Row],[Prest. (m2 /jaar) werkdagen]]</f>
        <v>19200</v>
      </c>
      <c r="AE481" s="179">
        <f>Ruimtestaat[[#This Row],[uren / jaar weekend]]+Ruimtestaat[[#This Row],[uren / jaar werkdagen]]</f>
        <v>0</v>
      </c>
      <c r="AF481" s="174">
        <f>Ruimtestaat[[#This Row],[kosten / jaar weekend]]+Ruimtestaat[[#This Row],[kosten / jaar werkdagen]]</f>
        <v>0</v>
      </c>
      <c r="AG481" s="174"/>
      <c r="AH481" s="181" t="str">
        <f>IF(Ruimtestaat[[#This Row],[Frequentie werkdagen]]="","",_xlfn.CONCAT(Ruimtestaat[[#This Row],[Ruimte code]],"-",Ruimtestaat[[#This Row],[Frequentie werkdagen]]," ",Ruimtestaat[[#This Row],[Vloer code]]))</f>
        <v>18-5w L</v>
      </c>
      <c r="AI481" s="185" t="str">
        <f>_xlfn.IFNA(VLOOKUP($AH481,Programma!$F$3:$G$1101,2,0),"")</f>
        <v>_</v>
      </c>
      <c r="AJ481" s="185" t="str">
        <f>_xlfn.IFNA(VLOOKUP($AH481,Programma!$F$3:$H$1101,3,0),"")</f>
        <v>_</v>
      </c>
      <c r="AK481" s="185" t="str">
        <f>_xlfn.IFNA(VLOOKUP($AH481,Programma!$F$3:$I$1101,4,0),"")</f>
        <v>4w</v>
      </c>
      <c r="AL481" s="185" t="str">
        <f>_xlfn.IFNA(VLOOKUP($AH481,Programma!$F$3:$J$1101,5,0),"")</f>
        <v>1w</v>
      </c>
      <c r="AM481" s="185" t="str">
        <f>_xlfn.IFNA(VLOOKUP($AH481,Programma!$F$3:$K$1101,6,0),"")</f>
        <v>_</v>
      </c>
      <c r="AN481" s="185" t="str">
        <f>_xlfn.IFNA(VLOOKUP($AH481,Programma!$F$3:$L$1101,7,0),"")</f>
        <v>_</v>
      </c>
      <c r="AO481" s="185" t="str">
        <f>_xlfn.IFNA(VLOOKUP($AH481,Programma!$F$3:$M$1101,8,0),"")</f>
        <v>_</v>
      </c>
      <c r="AP481" s="185" t="str">
        <f>_xlfn.IFNA(VLOOKUP($AH481,Programma!$F$3:$N$1101,9,0),"")</f>
        <v>_</v>
      </c>
      <c r="AQ481" s="185" t="str">
        <f>_xlfn.IFNA(VLOOKUP($AH481,Programma!$F$3:$O$1101,10,0),"")</f>
        <v>5w</v>
      </c>
      <c r="AR481" s="185" t="str">
        <f>_xlfn.IFNA(VLOOKUP($AH481,Programma!$F$3:$P$1101,11,0),"")</f>
        <v>5w</v>
      </c>
      <c r="AS481" s="185" t="str">
        <f>_xlfn.IFNA(VLOOKUP($AH481,Programma!$F$3:$Q$1101,12,0),"")</f>
        <v>5w</v>
      </c>
      <c r="AT481" s="185" t="str">
        <f>_xlfn.IFNA(VLOOKUP($AH481,Programma!$F$3:$R$1101,13,0),"")</f>
        <v>5w</v>
      </c>
      <c r="AU481" s="185" t="str">
        <f>_xlfn.IFNA(VLOOKUP($AH481,Programma!$F$3:$S$1101,14,0),"")</f>
        <v>1m</v>
      </c>
      <c r="AV481" s="185" t="str">
        <f>_xlfn.IFNA(VLOOKUP($AH481,Programma!$F$3:$T$1101,15,0),"")</f>
        <v>2j</v>
      </c>
      <c r="AW481" s="185" t="str">
        <f>_xlfn.IFNA(VLOOKUP($AH481,Programma!$F$3:$U$1101,16,0),"")</f>
        <v>1j</v>
      </c>
      <c r="AX481" s="185" t="str">
        <f>_xlfn.IFNA(VLOOKUP($AH481,Programma!$F$3:$V$1101,17,0),"")</f>
        <v>_</v>
      </c>
      <c r="AY481" s="185" t="str">
        <f>_xlfn.IFNA(VLOOKUP($AH481,Programma!$F$3:$W$1101,18,0),"")</f>
        <v>_</v>
      </c>
      <c r="AZ481" s="185" t="str">
        <f>_xlfn.IFNA(VLOOKUP($AH481,Programma!$F$3:$X$1101,19,0),"")</f>
        <v>_</v>
      </c>
      <c r="BA481" s="185" t="str">
        <f>_xlfn.IFNA(VLOOKUP($AH481,Programma!$F$3:$Y$1101,20,0),"")</f>
        <v>_</v>
      </c>
      <c r="BB481" s="182"/>
      <c r="BC481" s="181" t="str">
        <f>IF(Ruimtestaat[[#This Row],[Frequentie weekend]]="","",_xlfn.CONCAT(Ruimtestaat[[#This Row],[Ruimte code]],"-",Ruimtestaat[[#This Row],[Frequentie weekend]]," ",Ruimtestaat[[#This Row],[Vloer code]]))</f>
        <v/>
      </c>
      <c r="BD481" s="185" t="str">
        <f>_xlfn.IFNA(VLOOKUP($BC481,Programma!$F$3:$G$1101,2,0),"")</f>
        <v/>
      </c>
      <c r="BE481" s="185" t="str">
        <f>_xlfn.IFNA(VLOOKUP($BC481,Programma!$F$3:$H$1101,3,0),"")</f>
        <v/>
      </c>
      <c r="BF481" s="185" t="str">
        <f>_xlfn.IFNA(VLOOKUP($BC481,Programma!$F$3:$I$1101,4,0),"")</f>
        <v/>
      </c>
      <c r="BG481" s="185" t="str">
        <f>_xlfn.IFNA(VLOOKUP($BC481,Programma!$F$3:$J$1101,5,0),"")</f>
        <v/>
      </c>
      <c r="BH481" s="185" t="str">
        <f>_xlfn.IFNA(VLOOKUP($BC481,Programma!$F$3:$K$1101,6,0),"")</f>
        <v/>
      </c>
      <c r="BI481" s="185" t="str">
        <f>_xlfn.IFNA(VLOOKUP($BC481,Programma!$F$3:$L$1101,7,0),"")</f>
        <v/>
      </c>
      <c r="BJ481" s="185" t="str">
        <f>_xlfn.IFNA(VLOOKUP($BC481,Programma!$F$3:$M$1101,8,0),"")</f>
        <v/>
      </c>
      <c r="BK481" s="185" t="str">
        <f>_xlfn.IFNA(VLOOKUP($BC481,Programma!$F$3:$N$1101,9,0),"")</f>
        <v/>
      </c>
      <c r="BL481" s="185" t="str">
        <f>_xlfn.IFNA(VLOOKUP($BC481,Programma!$F$3:$O$1101,10,0),"")</f>
        <v/>
      </c>
      <c r="BM481" s="185" t="str">
        <f>_xlfn.IFNA(VLOOKUP($BC481,Programma!$F$3:$P$1101,11,0),"")</f>
        <v/>
      </c>
      <c r="BN481" s="185" t="str">
        <f>_xlfn.IFNA(VLOOKUP($BC481,Programma!$F$3:$Q$1101,12,0),"")</f>
        <v/>
      </c>
      <c r="BO481" s="185" t="str">
        <f>_xlfn.IFNA(VLOOKUP($BC481,Programma!$F$3:$R$1101,13,0),"")</f>
        <v/>
      </c>
      <c r="BP481" s="185" t="str">
        <f>_xlfn.IFNA(VLOOKUP($BC481,Programma!$F$3:$S$1101,14,0),"")</f>
        <v/>
      </c>
      <c r="BQ481" s="185" t="str">
        <f>_xlfn.IFNA(VLOOKUP($BC481,Programma!$F$3:$T$1101,15,0),"")</f>
        <v/>
      </c>
      <c r="BR481" s="185" t="str">
        <f>_xlfn.IFNA(VLOOKUP($BC481,Programma!$F$3:$U$1101,16,0),"")</f>
        <v/>
      </c>
      <c r="BS481" s="185" t="str">
        <f>_xlfn.IFNA(VLOOKUP($BC481,Programma!$F$3:$V$1101,17,0),"")</f>
        <v/>
      </c>
      <c r="BT481" s="185" t="str">
        <f>_xlfn.IFNA(VLOOKUP($BC481,Programma!$F$3:$W$1101,18,0),"")</f>
        <v/>
      </c>
      <c r="BU481" s="185" t="str">
        <f>_xlfn.IFNA(VLOOKUP($BC481,Programma!$F$3:$X$1101,19,0),"")</f>
        <v/>
      </c>
      <c r="BV481" s="185" t="str">
        <f>_xlfn.IFNA(VLOOKUP($BC481,Programma!$F$3:$Y$1101,20,0),"")</f>
        <v/>
      </c>
    </row>
    <row r="482" spans="1:74" s="78" customFormat="1" ht="15" customHeight="1">
      <c r="A482" s="99">
        <v>14</v>
      </c>
      <c r="B482" s="176" t="str">
        <f>VLOOKUP(Ruimtestaat[[#This Row],[Code]],Locaties[[Code]:[Locatie]],2,FALSE)</f>
        <v>Prinseschool Prinsestraat</v>
      </c>
      <c r="C482" s="176" t="str">
        <f>VLOOKUP(Ruimtestaat[[#This Row],[Code]],Locaties[[#All],[Code]:[Adres]],4,FALSE)</f>
        <v>Prinsestraat 10-10a </v>
      </c>
      <c r="D482" s="176" t="str">
        <f>VLOOKUP(Ruimtestaat[[#This Row],[Code]],Locaties[[#All],[Code]:[Postcode]],5,FALSE)</f>
        <v>7513 AL</v>
      </c>
      <c r="E482" s="176" t="str">
        <f>VLOOKUP(Ruimtestaat[[#This Row],[Code]],Locaties[#All],6,FALSE)</f>
        <v>Enschede</v>
      </c>
      <c r="F482" s="183"/>
      <c r="G482" s="99" t="s">
        <v>1646</v>
      </c>
      <c r="H482" s="99" t="s">
        <v>1673</v>
      </c>
      <c r="I482" s="183" t="s">
        <v>1655</v>
      </c>
      <c r="J482" s="99">
        <v>5</v>
      </c>
      <c r="K482" s="183" t="str">
        <f>VLOOKUP(Ruimtestaat[[#This Row],[Ruimte code]],Ruimtegroepen[[#All],[Code]:[Ruimte omschrijving]],2,FALSE)</f>
        <v>Sanitair</v>
      </c>
      <c r="L482" s="99" t="s">
        <v>101</v>
      </c>
      <c r="M482" s="99" t="s">
        <v>1682</v>
      </c>
      <c r="N482" s="177">
        <v>5</v>
      </c>
      <c r="O482" s="177"/>
      <c r="P482" s="178" t="str">
        <f>VLOOKUP(Ruimtestaat[[#This Row],[Ruimte code]],Ruimtegroepen[],4,FALSE)</f>
        <v>Sa</v>
      </c>
      <c r="Q482" s="149">
        <v>40</v>
      </c>
      <c r="R482" s="149" t="s">
        <v>2</v>
      </c>
      <c r="S482" s="149">
        <f>IF(Q482&gt;0,IF(RIGHT(Ruimtestaat[[#This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2" s="149">
        <f>IF(S482&gt;0,VLOOKUP($J482,Ruimtegroepen[],3,FALSE)*VLOOKUP($L482,Vloersoorten[],3,FALSE)*VLOOKUP($R482,Frequenties[],3,FALSE)*VLOOKUP($A482,Locaties[],3,FALSE),0)</f>
        <v>0</v>
      </c>
      <c r="U482" s="149">
        <f>Ruimtestaat[[#This Row],[Uitvoeringen werkdagen]]*Ruimtestaat[[#This Row],[Oppervlak (netto)]]</f>
        <v>1000</v>
      </c>
      <c r="V482" s="179">
        <f>IF(T482&gt;0,Ruimtestaat[[#This Row],[Prest. (m2 /jaar) werkdagen]]/Ruimtestaat[[#This Row],[Norm (m2/uur) werkdagen]],0)</f>
        <v>0</v>
      </c>
      <c r="W482" s="180">
        <f>Ruimtestaat[[#This Row],[uren / jaar werkdagen]]*Tariefsopbouw!$E$35</f>
        <v>0</v>
      </c>
      <c r="X482" s="149"/>
      <c r="Y482" s="149">
        <f>IF(Ruimtestaat[[#This Row],[Frequentie weekend]]&gt;0,VALUE(LEFT(X482,1))*Q482,0)</f>
        <v>0</v>
      </c>
      <c r="Z482" s="148">
        <f>IF($Y482&gt;0,VLOOKUP($J482,Ruimtegroepen[],3,FALSE)*VLOOKUP($L482,Vloersoorten[],3,FALSE)*VLOOKUP($X482,Frequenties[],3,FALSE)*VLOOKUP(Ruimtestaat[[#This Row],[Code]],Locaties[],3,FALSE),0)</f>
        <v>0</v>
      </c>
      <c r="AA482" s="148">
        <f>Ruimtestaat[[#This Row],[Uitvoeringen weekend]]*Ruimtestaat[[#This Row],[Oppervlak (netto)]]</f>
        <v>0</v>
      </c>
      <c r="AB482" s="148">
        <f>IF(Z482&gt;0,Ruimtestaat[[#This Row],[Prest. (m2 /jaar) weekend]]/Ruimtestaat[[#This Row],[Norm (m2/uur) weekend]],0)</f>
        <v>0</v>
      </c>
      <c r="AC482" s="180">
        <f>Ruimtestaat[[#This Row],[uren / jaar weekend]]*Tariefsopbouw!$D$40</f>
        <v>0</v>
      </c>
      <c r="AD482" s="179">
        <f>Ruimtestaat[[#This Row],[Prest. (m2 /jaar) weekend]]+Ruimtestaat[[#This Row],[Prest. (m2 /jaar) werkdagen]]</f>
        <v>1000</v>
      </c>
      <c r="AE482" s="179">
        <f>Ruimtestaat[[#This Row],[uren / jaar weekend]]+Ruimtestaat[[#This Row],[uren / jaar werkdagen]]</f>
        <v>0</v>
      </c>
      <c r="AF482" s="174">
        <f>Ruimtestaat[[#This Row],[kosten / jaar weekend]]+Ruimtestaat[[#This Row],[kosten / jaar werkdagen]]</f>
        <v>0</v>
      </c>
      <c r="AG482" s="174"/>
      <c r="AH482" s="181" t="str">
        <f>IF(Ruimtestaat[[#This Row],[Frequentie werkdagen]]="","",_xlfn.CONCAT(Ruimtestaat[[#This Row],[Ruimte code]],"-",Ruimtestaat[[#This Row],[Frequentie werkdagen]]," ",Ruimtestaat[[#This Row],[Vloer code]]))</f>
        <v>5-5w S</v>
      </c>
      <c r="AI482" s="185" t="str">
        <f>_xlfn.IFNA(VLOOKUP($AH482,Programma!$F$3:$G$1101,2,0),"")</f>
        <v>_</v>
      </c>
      <c r="AJ482" s="185" t="str">
        <f>_xlfn.IFNA(VLOOKUP($AH482,Programma!$F$3:$H$1101,3,0),"")</f>
        <v>_</v>
      </c>
      <c r="AK482" s="185" t="str">
        <f>_xlfn.IFNA(VLOOKUP($AH482,Programma!$F$3:$I$1101,4,0),"")</f>
        <v>_</v>
      </c>
      <c r="AL482" s="185" t="str">
        <f>_xlfn.IFNA(VLOOKUP($AH482,Programma!$F$3:$J$1101,5,0),"")</f>
        <v>4w</v>
      </c>
      <c r="AM482" s="185" t="str">
        <f>_xlfn.IFNA(VLOOKUP($AH482,Programma!$F$3:$K$1101,6,0),"")</f>
        <v>1w</v>
      </c>
      <c r="AN482" s="185" t="str">
        <f>_xlfn.IFNA(VLOOKUP($AH482,Programma!$F$3:$L$1101,7,0),"")</f>
        <v>_</v>
      </c>
      <c r="AO482" s="185" t="str">
        <f>_xlfn.IFNA(VLOOKUP($AH482,Programma!$F$3:$M$1101,8,0),"")</f>
        <v>_</v>
      </c>
      <c r="AP482" s="185" t="str">
        <f>_xlfn.IFNA(VLOOKUP($AH482,Programma!$F$3:$N$1101,9,0),"")</f>
        <v>_</v>
      </c>
      <c r="AQ482" s="185" t="str">
        <f>_xlfn.IFNA(VLOOKUP($AH482,Programma!$F$3:$O$1101,10,0),"")</f>
        <v>_</v>
      </c>
      <c r="AR482" s="185" t="str">
        <f>_xlfn.IFNA(VLOOKUP($AH482,Programma!$F$3:$P$1101,11,0),"")</f>
        <v>_</v>
      </c>
      <c r="AS482" s="185" t="str">
        <f>_xlfn.IFNA(VLOOKUP($AH482,Programma!$F$3:$Q$1101,12,0),"")</f>
        <v>_</v>
      </c>
      <c r="AT482" s="185" t="str">
        <f>_xlfn.IFNA(VLOOKUP($AH482,Programma!$F$3:$R$1101,13,0),"")</f>
        <v>_</v>
      </c>
      <c r="AU482" s="185" t="str">
        <f>_xlfn.IFNA(VLOOKUP($AH482,Programma!$F$3:$S$1101,14,0),"")</f>
        <v>_</v>
      </c>
      <c r="AV482" s="185" t="str">
        <f>_xlfn.IFNA(VLOOKUP($AH482,Programma!$F$3:$T$1101,15,0),"")</f>
        <v>_</v>
      </c>
      <c r="AW482" s="185" t="str">
        <f>_xlfn.IFNA(VLOOKUP($AH482,Programma!$F$3:$U$1101,16,0),"")</f>
        <v>_</v>
      </c>
      <c r="AX482" s="185" t="str">
        <f>_xlfn.IFNA(VLOOKUP($AH482,Programma!$F$3:$V$1101,17,0),"")</f>
        <v>_</v>
      </c>
      <c r="AY482" s="185" t="str">
        <f>_xlfn.IFNA(VLOOKUP($AH482,Programma!$F$3:$W$1101,18,0),"")</f>
        <v>4w</v>
      </c>
      <c r="AZ482" s="185" t="str">
        <f>_xlfn.IFNA(VLOOKUP($AH482,Programma!$F$3:$X$1101,19,0),"")</f>
        <v>1w</v>
      </c>
      <c r="BA482" s="185" t="str">
        <f>_xlfn.IFNA(VLOOKUP($AH482,Programma!$F$3:$Y$1101,20,0),"")</f>
        <v>_</v>
      </c>
      <c r="BB482" s="182"/>
      <c r="BC482" s="181" t="str">
        <f>IF(Ruimtestaat[[#This Row],[Frequentie weekend]]="","",_xlfn.CONCAT(Ruimtestaat[[#This Row],[Ruimte code]],"-",Ruimtestaat[[#This Row],[Frequentie weekend]]," ",Ruimtestaat[[#This Row],[Vloer code]]))</f>
        <v/>
      </c>
      <c r="BD482" s="185" t="str">
        <f>_xlfn.IFNA(VLOOKUP($BC482,Programma!$F$3:$G$1101,2,0),"")</f>
        <v/>
      </c>
      <c r="BE482" s="185" t="str">
        <f>_xlfn.IFNA(VLOOKUP($BC482,Programma!$F$3:$H$1101,3,0),"")</f>
        <v/>
      </c>
      <c r="BF482" s="185" t="str">
        <f>_xlfn.IFNA(VLOOKUP($BC482,Programma!$F$3:$I$1101,4,0),"")</f>
        <v/>
      </c>
      <c r="BG482" s="185" t="str">
        <f>_xlfn.IFNA(VLOOKUP($BC482,Programma!$F$3:$J$1101,5,0),"")</f>
        <v/>
      </c>
      <c r="BH482" s="185" t="str">
        <f>_xlfn.IFNA(VLOOKUP($BC482,Programma!$F$3:$K$1101,6,0),"")</f>
        <v/>
      </c>
      <c r="BI482" s="185" t="str">
        <f>_xlfn.IFNA(VLOOKUP($BC482,Programma!$F$3:$L$1101,7,0),"")</f>
        <v/>
      </c>
      <c r="BJ482" s="185" t="str">
        <f>_xlfn.IFNA(VLOOKUP($BC482,Programma!$F$3:$M$1101,8,0),"")</f>
        <v/>
      </c>
      <c r="BK482" s="185" t="str">
        <f>_xlfn.IFNA(VLOOKUP($BC482,Programma!$F$3:$N$1101,9,0),"")</f>
        <v/>
      </c>
      <c r="BL482" s="185" t="str">
        <f>_xlfn.IFNA(VLOOKUP($BC482,Programma!$F$3:$O$1101,10,0),"")</f>
        <v/>
      </c>
      <c r="BM482" s="185" t="str">
        <f>_xlfn.IFNA(VLOOKUP($BC482,Programma!$F$3:$P$1101,11,0),"")</f>
        <v/>
      </c>
      <c r="BN482" s="185" t="str">
        <f>_xlfn.IFNA(VLOOKUP($BC482,Programma!$F$3:$Q$1101,12,0),"")</f>
        <v/>
      </c>
      <c r="BO482" s="185" t="str">
        <f>_xlfn.IFNA(VLOOKUP($BC482,Programma!$F$3:$R$1101,13,0),"")</f>
        <v/>
      </c>
      <c r="BP482" s="185" t="str">
        <f>_xlfn.IFNA(VLOOKUP($BC482,Programma!$F$3:$S$1101,14,0),"")</f>
        <v/>
      </c>
      <c r="BQ482" s="185" t="str">
        <f>_xlfn.IFNA(VLOOKUP($BC482,Programma!$F$3:$T$1101,15,0),"")</f>
        <v/>
      </c>
      <c r="BR482" s="185" t="str">
        <f>_xlfn.IFNA(VLOOKUP($BC482,Programma!$F$3:$U$1101,16,0),"")</f>
        <v/>
      </c>
      <c r="BS482" s="185" t="str">
        <f>_xlfn.IFNA(VLOOKUP($BC482,Programma!$F$3:$V$1101,17,0),"")</f>
        <v/>
      </c>
      <c r="BT482" s="185" t="str">
        <f>_xlfn.IFNA(VLOOKUP($BC482,Programma!$F$3:$W$1101,18,0),"")</f>
        <v/>
      </c>
      <c r="BU482" s="185" t="str">
        <f>_xlfn.IFNA(VLOOKUP($BC482,Programma!$F$3:$X$1101,19,0),"")</f>
        <v/>
      </c>
      <c r="BV482" s="185" t="str">
        <f>_xlfn.IFNA(VLOOKUP($BC482,Programma!$F$3:$Y$1101,20,0),"")</f>
        <v/>
      </c>
    </row>
    <row r="483" spans="1:74" s="78" customFormat="1" ht="15" customHeight="1">
      <c r="A483" s="99">
        <v>14</v>
      </c>
      <c r="B483" s="176" t="str">
        <f>VLOOKUP(Ruimtestaat[[#This Row],[Code]],Locaties[[Code]:[Locatie]],2,FALSE)</f>
        <v>Prinseschool Prinsestraat</v>
      </c>
      <c r="C483" s="176" t="str">
        <f>VLOOKUP(Ruimtestaat[[#This Row],[Code]],Locaties[[#All],[Code]:[Adres]],4,FALSE)</f>
        <v>Prinsestraat 10-10a </v>
      </c>
      <c r="D483" s="176" t="str">
        <f>VLOOKUP(Ruimtestaat[[#This Row],[Code]],Locaties[[#All],[Code]:[Postcode]],5,FALSE)</f>
        <v>7513 AL</v>
      </c>
      <c r="E483" s="176" t="str">
        <f>VLOOKUP(Ruimtestaat[[#This Row],[Code]],Locaties[#All],6,FALSE)</f>
        <v>Enschede</v>
      </c>
      <c r="F483" s="183"/>
      <c r="G483" s="99" t="s">
        <v>1646</v>
      </c>
      <c r="H483" s="99" t="s">
        <v>1674</v>
      </c>
      <c r="I483" s="183" t="s">
        <v>1651</v>
      </c>
      <c r="J483" s="99">
        <v>16</v>
      </c>
      <c r="K483" s="183" t="str">
        <f>VLOOKUP(Ruimtestaat[[#This Row],[Ruimte code]],Ruimtegroepen[[#All],[Code]:[Ruimte omschrijving]],2,FALSE)</f>
        <v>Leslokalen</v>
      </c>
      <c r="L483" s="99" t="s">
        <v>100</v>
      </c>
      <c r="M483" s="99" t="s">
        <v>1697</v>
      </c>
      <c r="N483" s="177">
        <v>49</v>
      </c>
      <c r="O483" s="177"/>
      <c r="P483" s="178" t="str">
        <f>VLOOKUP(Ruimtestaat[[#This Row],[Ruimte code]],Ruimtegroepen[],4,FALSE)</f>
        <v>Le</v>
      </c>
      <c r="Q483" s="149">
        <v>40</v>
      </c>
      <c r="R483" s="149" t="s">
        <v>2</v>
      </c>
      <c r="S483" s="149">
        <f>IF(Q483&gt;0,IF(RIGHT(Ruimtestaat[[#This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3" s="149">
        <f>IF(S483&gt;0,VLOOKUP($J483,Ruimtegroepen[],3,FALSE)*VLOOKUP($L483,Vloersoorten[],3,FALSE)*VLOOKUP($R483,Frequenties[],3,FALSE)*VLOOKUP($A483,Locaties[],3,FALSE),0)</f>
        <v>0</v>
      </c>
      <c r="U483" s="149">
        <f>Ruimtestaat[[#This Row],[Uitvoeringen werkdagen]]*Ruimtestaat[[#This Row],[Oppervlak (netto)]]</f>
        <v>9800</v>
      </c>
      <c r="V483" s="179">
        <f>IF(T483&gt;0,Ruimtestaat[[#This Row],[Prest. (m2 /jaar) werkdagen]]/Ruimtestaat[[#This Row],[Norm (m2/uur) werkdagen]],0)</f>
        <v>0</v>
      </c>
      <c r="W483" s="180">
        <f>Ruimtestaat[[#This Row],[uren / jaar werkdagen]]*Tariefsopbouw!$E$35</f>
        <v>0</v>
      </c>
      <c r="X483" s="149"/>
      <c r="Y483" s="149">
        <f>IF(Ruimtestaat[[#This Row],[Frequentie weekend]]&gt;0,VALUE(LEFT(X483,1))*Q483,0)</f>
        <v>0</v>
      </c>
      <c r="Z483" s="148">
        <f>IF($Y483&gt;0,VLOOKUP($J483,Ruimtegroepen[],3,FALSE)*VLOOKUP($L483,Vloersoorten[],3,FALSE)*VLOOKUP($X483,Frequenties[],3,FALSE)*VLOOKUP(Ruimtestaat[[#This Row],[Code]],Locaties[],3,FALSE),0)</f>
        <v>0</v>
      </c>
      <c r="AA483" s="148">
        <f>Ruimtestaat[[#This Row],[Uitvoeringen weekend]]*Ruimtestaat[[#This Row],[Oppervlak (netto)]]</f>
        <v>0</v>
      </c>
      <c r="AB483" s="148">
        <f>IF(Z483&gt;0,Ruimtestaat[[#This Row],[Prest. (m2 /jaar) weekend]]/Ruimtestaat[[#This Row],[Norm (m2/uur) weekend]],0)</f>
        <v>0</v>
      </c>
      <c r="AC483" s="180">
        <f>Ruimtestaat[[#This Row],[uren / jaar weekend]]*Tariefsopbouw!$D$40</f>
        <v>0</v>
      </c>
      <c r="AD483" s="179">
        <f>Ruimtestaat[[#This Row],[Prest. (m2 /jaar) weekend]]+Ruimtestaat[[#This Row],[Prest. (m2 /jaar) werkdagen]]</f>
        <v>9800</v>
      </c>
      <c r="AE483" s="179">
        <f>Ruimtestaat[[#This Row],[uren / jaar weekend]]+Ruimtestaat[[#This Row],[uren / jaar werkdagen]]</f>
        <v>0</v>
      </c>
      <c r="AF483" s="174">
        <f>Ruimtestaat[[#This Row],[kosten / jaar weekend]]+Ruimtestaat[[#This Row],[kosten / jaar werkdagen]]</f>
        <v>0</v>
      </c>
      <c r="AG483" s="174"/>
      <c r="AH483" s="181" t="str">
        <f>IF(Ruimtestaat[[#This Row],[Frequentie werkdagen]]="","",_xlfn.CONCAT(Ruimtestaat[[#This Row],[Ruimte code]],"-",Ruimtestaat[[#This Row],[Frequentie werkdagen]]," ",Ruimtestaat[[#This Row],[Vloer code]]))</f>
        <v>16-5w L</v>
      </c>
      <c r="AI483" s="185" t="str">
        <f>_xlfn.IFNA(VLOOKUP($AH483,Programma!$F$3:$G$1101,2,0),"")</f>
        <v>_</v>
      </c>
      <c r="AJ483" s="185" t="str">
        <f>_xlfn.IFNA(VLOOKUP($AH483,Programma!$F$3:$H$1101,3,0),"")</f>
        <v>_</v>
      </c>
      <c r="AK483" s="185" t="str">
        <f>_xlfn.IFNA(VLOOKUP($AH483,Programma!$F$3:$I$1101,4,0),"")</f>
        <v>4w</v>
      </c>
      <c r="AL483" s="185" t="str">
        <f>_xlfn.IFNA(VLOOKUP($AH483,Programma!$F$3:$J$1101,5,0),"")</f>
        <v>1w</v>
      </c>
      <c r="AM483" s="185" t="str">
        <f>_xlfn.IFNA(VLOOKUP($AH483,Programma!$F$3:$K$1101,6,0),"")</f>
        <v>_</v>
      </c>
      <c r="AN483" s="185" t="str">
        <f>_xlfn.IFNA(VLOOKUP($AH483,Programma!$F$3:$L$1101,7,0),"")</f>
        <v>_</v>
      </c>
      <c r="AO483" s="185" t="str">
        <f>_xlfn.IFNA(VLOOKUP($AH483,Programma!$F$3:$M$1101,8,0),"")</f>
        <v>_</v>
      </c>
      <c r="AP483" s="185" t="str">
        <f>_xlfn.IFNA(VLOOKUP($AH483,Programma!$F$3:$N$1101,9,0),"")</f>
        <v>_</v>
      </c>
      <c r="AQ483" s="185" t="str">
        <f>_xlfn.IFNA(VLOOKUP($AH483,Programma!$F$3:$O$1101,10,0),"")</f>
        <v>5w</v>
      </c>
      <c r="AR483" s="185" t="str">
        <f>_xlfn.IFNA(VLOOKUP($AH483,Programma!$F$3:$P$1101,11,0),"")</f>
        <v>5w</v>
      </c>
      <c r="AS483" s="185" t="str">
        <f>_xlfn.IFNA(VLOOKUP($AH483,Programma!$F$3:$Q$1101,12,0),"")</f>
        <v>1w</v>
      </c>
      <c r="AT483" s="185" t="str">
        <f>_xlfn.IFNA(VLOOKUP($AH483,Programma!$F$3:$R$1101,13,0),"")</f>
        <v>1w</v>
      </c>
      <c r="AU483" s="185" t="str">
        <f>_xlfn.IFNA(VLOOKUP($AH483,Programma!$F$3:$S$1101,14,0),"")</f>
        <v>1m</v>
      </c>
      <c r="AV483" s="185" t="str">
        <f>_xlfn.IFNA(VLOOKUP($AH483,Programma!$F$3:$T$1101,15,0),"")</f>
        <v>2j</v>
      </c>
      <c r="AW483" s="185" t="str">
        <f>_xlfn.IFNA(VLOOKUP($AH483,Programma!$F$3:$U$1101,16,0),"")</f>
        <v>1j</v>
      </c>
      <c r="AX483" s="185" t="str">
        <f>_xlfn.IFNA(VLOOKUP($AH483,Programma!$F$3:$V$1101,17,0),"")</f>
        <v>_</v>
      </c>
      <c r="AY483" s="185" t="str">
        <f>_xlfn.IFNA(VLOOKUP($AH483,Programma!$F$3:$W$1101,18,0),"")</f>
        <v>_</v>
      </c>
      <c r="AZ483" s="185" t="str">
        <f>_xlfn.IFNA(VLOOKUP($AH483,Programma!$F$3:$X$1101,19,0),"")</f>
        <v>_</v>
      </c>
      <c r="BA483" s="185" t="str">
        <f>_xlfn.IFNA(VLOOKUP($AH483,Programma!$F$3:$Y$1101,20,0),"")</f>
        <v>_</v>
      </c>
      <c r="BB483" s="182"/>
      <c r="BC483" s="181" t="str">
        <f>IF(Ruimtestaat[[#This Row],[Frequentie weekend]]="","",_xlfn.CONCAT(Ruimtestaat[[#This Row],[Ruimte code]],"-",Ruimtestaat[[#This Row],[Frequentie weekend]]," ",Ruimtestaat[[#This Row],[Vloer code]]))</f>
        <v/>
      </c>
      <c r="BD483" s="185" t="str">
        <f>_xlfn.IFNA(VLOOKUP($BC483,Programma!$F$3:$G$1101,2,0),"")</f>
        <v/>
      </c>
      <c r="BE483" s="185" t="str">
        <f>_xlfn.IFNA(VLOOKUP($BC483,Programma!$F$3:$H$1101,3,0),"")</f>
        <v/>
      </c>
      <c r="BF483" s="185" t="str">
        <f>_xlfn.IFNA(VLOOKUP($BC483,Programma!$F$3:$I$1101,4,0),"")</f>
        <v/>
      </c>
      <c r="BG483" s="185" t="str">
        <f>_xlfn.IFNA(VLOOKUP($BC483,Programma!$F$3:$J$1101,5,0),"")</f>
        <v/>
      </c>
      <c r="BH483" s="185" t="str">
        <f>_xlfn.IFNA(VLOOKUP($BC483,Programma!$F$3:$K$1101,6,0),"")</f>
        <v/>
      </c>
      <c r="BI483" s="185" t="str">
        <f>_xlfn.IFNA(VLOOKUP($BC483,Programma!$F$3:$L$1101,7,0),"")</f>
        <v/>
      </c>
      <c r="BJ483" s="185" t="str">
        <f>_xlfn.IFNA(VLOOKUP($BC483,Programma!$F$3:$M$1101,8,0),"")</f>
        <v/>
      </c>
      <c r="BK483" s="185" t="str">
        <f>_xlfn.IFNA(VLOOKUP($BC483,Programma!$F$3:$N$1101,9,0),"")</f>
        <v/>
      </c>
      <c r="BL483" s="185" t="str">
        <f>_xlfn.IFNA(VLOOKUP($BC483,Programma!$F$3:$O$1101,10,0),"")</f>
        <v/>
      </c>
      <c r="BM483" s="185" t="str">
        <f>_xlfn.IFNA(VLOOKUP($BC483,Programma!$F$3:$P$1101,11,0),"")</f>
        <v/>
      </c>
      <c r="BN483" s="185" t="str">
        <f>_xlfn.IFNA(VLOOKUP($BC483,Programma!$F$3:$Q$1101,12,0),"")</f>
        <v/>
      </c>
      <c r="BO483" s="185" t="str">
        <f>_xlfn.IFNA(VLOOKUP($BC483,Programma!$F$3:$R$1101,13,0),"")</f>
        <v/>
      </c>
      <c r="BP483" s="185" t="str">
        <f>_xlfn.IFNA(VLOOKUP($BC483,Programma!$F$3:$S$1101,14,0),"")</f>
        <v/>
      </c>
      <c r="BQ483" s="185" t="str">
        <f>_xlfn.IFNA(VLOOKUP($BC483,Programma!$F$3:$T$1101,15,0),"")</f>
        <v/>
      </c>
      <c r="BR483" s="185" t="str">
        <f>_xlfn.IFNA(VLOOKUP($BC483,Programma!$F$3:$U$1101,16,0),"")</f>
        <v/>
      </c>
      <c r="BS483" s="185" t="str">
        <f>_xlfn.IFNA(VLOOKUP($BC483,Programma!$F$3:$V$1101,17,0),"")</f>
        <v/>
      </c>
      <c r="BT483" s="185" t="str">
        <f>_xlfn.IFNA(VLOOKUP($BC483,Programma!$F$3:$W$1101,18,0),"")</f>
        <v/>
      </c>
      <c r="BU483" s="185" t="str">
        <f>_xlfn.IFNA(VLOOKUP($BC483,Programma!$F$3:$X$1101,19,0),"")</f>
        <v/>
      </c>
      <c r="BV483" s="185" t="str">
        <f>_xlfn.IFNA(VLOOKUP($BC483,Programma!$F$3:$Y$1101,20,0),"")</f>
        <v/>
      </c>
    </row>
    <row r="484" spans="1:74" s="78" customFormat="1" ht="15" customHeight="1">
      <c r="A484" s="99">
        <v>14</v>
      </c>
      <c r="B484" s="176" t="str">
        <f>VLOOKUP(Ruimtestaat[[#This Row],[Code]],Locaties[[Code]:[Locatie]],2,FALSE)</f>
        <v>Prinseschool Prinsestraat</v>
      </c>
      <c r="C484" s="176" t="str">
        <f>VLOOKUP(Ruimtestaat[[#This Row],[Code]],Locaties[[#All],[Code]:[Adres]],4,FALSE)</f>
        <v>Prinsestraat 10-10a </v>
      </c>
      <c r="D484" s="176" t="str">
        <f>VLOOKUP(Ruimtestaat[[#This Row],[Code]],Locaties[[#All],[Code]:[Postcode]],5,FALSE)</f>
        <v>7513 AL</v>
      </c>
      <c r="E484" s="176" t="str">
        <f>VLOOKUP(Ruimtestaat[[#This Row],[Code]],Locaties[#All],6,FALSE)</f>
        <v>Enschede</v>
      </c>
      <c r="F484" s="183"/>
      <c r="G484" s="99" t="s">
        <v>1646</v>
      </c>
      <c r="H484" s="99" t="s">
        <v>1675</v>
      </c>
      <c r="I484" s="183" t="s">
        <v>1651</v>
      </c>
      <c r="J484" s="99">
        <v>16</v>
      </c>
      <c r="K484" s="183" t="str">
        <f>VLOOKUP(Ruimtestaat[[#This Row],[Ruimte code]],Ruimtegroepen[[#All],[Code]:[Ruimte omschrijving]],2,FALSE)</f>
        <v>Leslokalen</v>
      </c>
      <c r="L484" s="99" t="s">
        <v>100</v>
      </c>
      <c r="M484" s="99" t="s">
        <v>1697</v>
      </c>
      <c r="N484" s="177">
        <v>49</v>
      </c>
      <c r="O484" s="177"/>
      <c r="P484" s="178" t="str">
        <f>VLOOKUP(Ruimtestaat[[#This Row],[Ruimte code]],Ruimtegroepen[],4,FALSE)</f>
        <v>Le</v>
      </c>
      <c r="Q484" s="149">
        <v>40</v>
      </c>
      <c r="R484" s="149" t="s">
        <v>2</v>
      </c>
      <c r="S484" s="149">
        <f>IF(Q484&gt;0,IF(RIGHT(Ruimtestaat[[#This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4" s="149">
        <f>IF(S484&gt;0,VLOOKUP($J484,Ruimtegroepen[],3,FALSE)*VLOOKUP($L484,Vloersoorten[],3,FALSE)*VLOOKUP($R484,Frequenties[],3,FALSE)*VLOOKUP($A484,Locaties[],3,FALSE),0)</f>
        <v>0</v>
      </c>
      <c r="U484" s="149">
        <f>Ruimtestaat[[#This Row],[Uitvoeringen werkdagen]]*Ruimtestaat[[#This Row],[Oppervlak (netto)]]</f>
        <v>9800</v>
      </c>
      <c r="V484" s="179">
        <f>IF(T484&gt;0,Ruimtestaat[[#This Row],[Prest. (m2 /jaar) werkdagen]]/Ruimtestaat[[#This Row],[Norm (m2/uur) werkdagen]],0)</f>
        <v>0</v>
      </c>
      <c r="W484" s="180">
        <f>Ruimtestaat[[#This Row],[uren / jaar werkdagen]]*Tariefsopbouw!$E$35</f>
        <v>0</v>
      </c>
      <c r="X484" s="149"/>
      <c r="Y484" s="149">
        <f>IF(Ruimtestaat[[#This Row],[Frequentie weekend]]&gt;0,VALUE(LEFT(X484,1))*Q484,0)</f>
        <v>0</v>
      </c>
      <c r="Z484" s="148">
        <f>IF($Y484&gt;0,VLOOKUP($J484,Ruimtegroepen[],3,FALSE)*VLOOKUP($L484,Vloersoorten[],3,FALSE)*VLOOKUP($X484,Frequenties[],3,FALSE)*VLOOKUP(Ruimtestaat[[#This Row],[Code]],Locaties[],3,FALSE),0)</f>
        <v>0</v>
      </c>
      <c r="AA484" s="148">
        <f>Ruimtestaat[[#This Row],[Uitvoeringen weekend]]*Ruimtestaat[[#This Row],[Oppervlak (netto)]]</f>
        <v>0</v>
      </c>
      <c r="AB484" s="148">
        <f>IF(Z484&gt;0,Ruimtestaat[[#This Row],[Prest. (m2 /jaar) weekend]]/Ruimtestaat[[#This Row],[Norm (m2/uur) weekend]],0)</f>
        <v>0</v>
      </c>
      <c r="AC484" s="180">
        <f>Ruimtestaat[[#This Row],[uren / jaar weekend]]*Tariefsopbouw!$D$40</f>
        <v>0</v>
      </c>
      <c r="AD484" s="179">
        <f>Ruimtestaat[[#This Row],[Prest. (m2 /jaar) weekend]]+Ruimtestaat[[#This Row],[Prest. (m2 /jaar) werkdagen]]</f>
        <v>9800</v>
      </c>
      <c r="AE484" s="179">
        <f>Ruimtestaat[[#This Row],[uren / jaar weekend]]+Ruimtestaat[[#This Row],[uren / jaar werkdagen]]</f>
        <v>0</v>
      </c>
      <c r="AF484" s="174">
        <f>Ruimtestaat[[#This Row],[kosten / jaar weekend]]+Ruimtestaat[[#This Row],[kosten / jaar werkdagen]]</f>
        <v>0</v>
      </c>
      <c r="AG484" s="174"/>
      <c r="AH484" s="181" t="str">
        <f>IF(Ruimtestaat[[#This Row],[Frequentie werkdagen]]="","",_xlfn.CONCAT(Ruimtestaat[[#This Row],[Ruimte code]],"-",Ruimtestaat[[#This Row],[Frequentie werkdagen]]," ",Ruimtestaat[[#This Row],[Vloer code]]))</f>
        <v>16-5w L</v>
      </c>
      <c r="AI484" s="185" t="str">
        <f>_xlfn.IFNA(VLOOKUP($AH484,Programma!$F$3:$G$1101,2,0),"")</f>
        <v>_</v>
      </c>
      <c r="AJ484" s="185" t="str">
        <f>_xlfn.IFNA(VLOOKUP($AH484,Programma!$F$3:$H$1101,3,0),"")</f>
        <v>_</v>
      </c>
      <c r="AK484" s="185" t="str">
        <f>_xlfn.IFNA(VLOOKUP($AH484,Programma!$F$3:$I$1101,4,0),"")</f>
        <v>4w</v>
      </c>
      <c r="AL484" s="185" t="str">
        <f>_xlfn.IFNA(VLOOKUP($AH484,Programma!$F$3:$J$1101,5,0),"")</f>
        <v>1w</v>
      </c>
      <c r="AM484" s="185" t="str">
        <f>_xlfn.IFNA(VLOOKUP($AH484,Programma!$F$3:$K$1101,6,0),"")</f>
        <v>_</v>
      </c>
      <c r="AN484" s="185" t="str">
        <f>_xlfn.IFNA(VLOOKUP($AH484,Programma!$F$3:$L$1101,7,0),"")</f>
        <v>_</v>
      </c>
      <c r="AO484" s="185" t="str">
        <f>_xlfn.IFNA(VLOOKUP($AH484,Programma!$F$3:$M$1101,8,0),"")</f>
        <v>_</v>
      </c>
      <c r="AP484" s="185" t="str">
        <f>_xlfn.IFNA(VLOOKUP($AH484,Programma!$F$3:$N$1101,9,0),"")</f>
        <v>_</v>
      </c>
      <c r="AQ484" s="185" t="str">
        <f>_xlfn.IFNA(VLOOKUP($AH484,Programma!$F$3:$O$1101,10,0),"")</f>
        <v>5w</v>
      </c>
      <c r="AR484" s="185" t="str">
        <f>_xlfn.IFNA(VLOOKUP($AH484,Programma!$F$3:$P$1101,11,0),"")</f>
        <v>5w</v>
      </c>
      <c r="AS484" s="185" t="str">
        <f>_xlfn.IFNA(VLOOKUP($AH484,Programma!$F$3:$Q$1101,12,0),"")</f>
        <v>1w</v>
      </c>
      <c r="AT484" s="185" t="str">
        <f>_xlfn.IFNA(VLOOKUP($AH484,Programma!$F$3:$R$1101,13,0),"")</f>
        <v>1w</v>
      </c>
      <c r="AU484" s="185" t="str">
        <f>_xlfn.IFNA(VLOOKUP($AH484,Programma!$F$3:$S$1101,14,0),"")</f>
        <v>1m</v>
      </c>
      <c r="AV484" s="185" t="str">
        <f>_xlfn.IFNA(VLOOKUP($AH484,Programma!$F$3:$T$1101,15,0),"")</f>
        <v>2j</v>
      </c>
      <c r="AW484" s="185" t="str">
        <f>_xlfn.IFNA(VLOOKUP($AH484,Programma!$F$3:$U$1101,16,0),"")</f>
        <v>1j</v>
      </c>
      <c r="AX484" s="185" t="str">
        <f>_xlfn.IFNA(VLOOKUP($AH484,Programma!$F$3:$V$1101,17,0),"")</f>
        <v>_</v>
      </c>
      <c r="AY484" s="185" t="str">
        <f>_xlfn.IFNA(VLOOKUP($AH484,Programma!$F$3:$W$1101,18,0),"")</f>
        <v>_</v>
      </c>
      <c r="AZ484" s="185" t="str">
        <f>_xlfn.IFNA(VLOOKUP($AH484,Programma!$F$3:$X$1101,19,0),"")</f>
        <v>_</v>
      </c>
      <c r="BA484" s="185" t="str">
        <f>_xlfn.IFNA(VLOOKUP($AH484,Programma!$F$3:$Y$1101,20,0),"")</f>
        <v>_</v>
      </c>
      <c r="BB484" s="182"/>
      <c r="BC484" s="181" t="str">
        <f>IF(Ruimtestaat[[#This Row],[Frequentie weekend]]="","",_xlfn.CONCAT(Ruimtestaat[[#This Row],[Ruimte code]],"-",Ruimtestaat[[#This Row],[Frequentie weekend]]," ",Ruimtestaat[[#This Row],[Vloer code]]))</f>
        <v/>
      </c>
      <c r="BD484" s="185" t="str">
        <f>_xlfn.IFNA(VLOOKUP($BC484,Programma!$F$3:$G$1101,2,0),"")</f>
        <v/>
      </c>
      <c r="BE484" s="185" t="str">
        <f>_xlfn.IFNA(VLOOKUP($BC484,Programma!$F$3:$H$1101,3,0),"")</f>
        <v/>
      </c>
      <c r="BF484" s="185" t="str">
        <f>_xlfn.IFNA(VLOOKUP($BC484,Programma!$F$3:$I$1101,4,0),"")</f>
        <v/>
      </c>
      <c r="BG484" s="185" t="str">
        <f>_xlfn.IFNA(VLOOKUP($BC484,Programma!$F$3:$J$1101,5,0),"")</f>
        <v/>
      </c>
      <c r="BH484" s="185" t="str">
        <f>_xlfn.IFNA(VLOOKUP($BC484,Programma!$F$3:$K$1101,6,0),"")</f>
        <v/>
      </c>
      <c r="BI484" s="185" t="str">
        <f>_xlfn.IFNA(VLOOKUP($BC484,Programma!$F$3:$L$1101,7,0),"")</f>
        <v/>
      </c>
      <c r="BJ484" s="185" t="str">
        <f>_xlfn.IFNA(VLOOKUP($BC484,Programma!$F$3:$M$1101,8,0),"")</f>
        <v/>
      </c>
      <c r="BK484" s="185" t="str">
        <f>_xlfn.IFNA(VLOOKUP($BC484,Programma!$F$3:$N$1101,9,0),"")</f>
        <v/>
      </c>
      <c r="BL484" s="185" t="str">
        <f>_xlfn.IFNA(VLOOKUP($BC484,Programma!$F$3:$O$1101,10,0),"")</f>
        <v/>
      </c>
      <c r="BM484" s="185" t="str">
        <f>_xlfn.IFNA(VLOOKUP($BC484,Programma!$F$3:$P$1101,11,0),"")</f>
        <v/>
      </c>
      <c r="BN484" s="185" t="str">
        <f>_xlfn.IFNA(VLOOKUP($BC484,Programma!$F$3:$Q$1101,12,0),"")</f>
        <v/>
      </c>
      <c r="BO484" s="185" t="str">
        <f>_xlfn.IFNA(VLOOKUP($BC484,Programma!$F$3:$R$1101,13,0),"")</f>
        <v/>
      </c>
      <c r="BP484" s="185" t="str">
        <f>_xlfn.IFNA(VLOOKUP($BC484,Programma!$F$3:$S$1101,14,0),"")</f>
        <v/>
      </c>
      <c r="BQ484" s="185" t="str">
        <f>_xlfn.IFNA(VLOOKUP($BC484,Programma!$F$3:$T$1101,15,0),"")</f>
        <v/>
      </c>
      <c r="BR484" s="185" t="str">
        <f>_xlfn.IFNA(VLOOKUP($BC484,Programma!$F$3:$U$1101,16,0),"")</f>
        <v/>
      </c>
      <c r="BS484" s="185" t="str">
        <f>_xlfn.IFNA(VLOOKUP($BC484,Programma!$F$3:$V$1101,17,0),"")</f>
        <v/>
      </c>
      <c r="BT484" s="185" t="str">
        <f>_xlfn.IFNA(VLOOKUP($BC484,Programma!$F$3:$W$1101,18,0),"")</f>
        <v/>
      </c>
      <c r="BU484" s="185" t="str">
        <f>_xlfn.IFNA(VLOOKUP($BC484,Programma!$F$3:$X$1101,19,0),"")</f>
        <v/>
      </c>
      <c r="BV484" s="185" t="str">
        <f>_xlfn.IFNA(VLOOKUP($BC484,Programma!$F$3:$Y$1101,20,0),"")</f>
        <v/>
      </c>
    </row>
    <row r="485" spans="1:74" s="78" customFormat="1" ht="15" customHeight="1">
      <c r="A485" s="99">
        <v>14</v>
      </c>
      <c r="B485" s="176" t="str">
        <f>VLOOKUP(Ruimtestaat[[#This Row],[Code]],Locaties[[Code]:[Locatie]],2,FALSE)</f>
        <v>Prinseschool Prinsestraat</v>
      </c>
      <c r="C485" s="176" t="str">
        <f>VLOOKUP(Ruimtestaat[[#This Row],[Code]],Locaties[[#All],[Code]:[Adres]],4,FALSE)</f>
        <v>Prinsestraat 10-10a </v>
      </c>
      <c r="D485" s="176" t="str">
        <f>VLOOKUP(Ruimtestaat[[#This Row],[Code]],Locaties[[#All],[Code]:[Postcode]],5,FALSE)</f>
        <v>7513 AL</v>
      </c>
      <c r="E485" s="176" t="str">
        <f>VLOOKUP(Ruimtestaat[[#This Row],[Code]],Locaties[#All],6,FALSE)</f>
        <v>Enschede</v>
      </c>
      <c r="F485" s="183"/>
      <c r="G485" s="99" t="s">
        <v>1646</v>
      </c>
      <c r="H485" s="99" t="s">
        <v>1676</v>
      </c>
      <c r="I485" s="183" t="s">
        <v>1651</v>
      </c>
      <c r="J485" s="99">
        <v>16</v>
      </c>
      <c r="K485" s="183" t="str">
        <f>VLOOKUP(Ruimtestaat[[#This Row],[Ruimte code]],Ruimtegroepen[[#All],[Code]:[Ruimte omschrijving]],2,FALSE)</f>
        <v>Leslokalen</v>
      </c>
      <c r="L485" s="99" t="s">
        <v>100</v>
      </c>
      <c r="M485" s="99" t="s">
        <v>1697</v>
      </c>
      <c r="N485" s="177">
        <v>49.2</v>
      </c>
      <c r="O485" s="177"/>
      <c r="P485" s="178" t="str">
        <f>VLOOKUP(Ruimtestaat[[#This Row],[Ruimte code]],Ruimtegroepen[],4,FALSE)</f>
        <v>Le</v>
      </c>
      <c r="Q485" s="149">
        <v>40</v>
      </c>
      <c r="R485" s="149" t="s">
        <v>2</v>
      </c>
      <c r="S485" s="149">
        <f>IF(Q485&gt;0,IF(RIGHT(Ruimtestaat[[#This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5" s="149">
        <f>IF(S485&gt;0,VLOOKUP($J485,Ruimtegroepen[],3,FALSE)*VLOOKUP($L485,Vloersoorten[],3,FALSE)*VLOOKUP($R485,Frequenties[],3,FALSE)*VLOOKUP($A485,Locaties[],3,FALSE),0)</f>
        <v>0</v>
      </c>
      <c r="U485" s="149">
        <f>Ruimtestaat[[#This Row],[Uitvoeringen werkdagen]]*Ruimtestaat[[#This Row],[Oppervlak (netto)]]</f>
        <v>9840</v>
      </c>
      <c r="V485" s="179">
        <f>IF(T485&gt;0,Ruimtestaat[[#This Row],[Prest. (m2 /jaar) werkdagen]]/Ruimtestaat[[#This Row],[Norm (m2/uur) werkdagen]],0)</f>
        <v>0</v>
      </c>
      <c r="W485" s="180">
        <f>Ruimtestaat[[#This Row],[uren / jaar werkdagen]]*Tariefsopbouw!$E$35</f>
        <v>0</v>
      </c>
      <c r="X485" s="149"/>
      <c r="Y485" s="149">
        <f>IF(Ruimtestaat[[#This Row],[Frequentie weekend]]&gt;0,VALUE(LEFT(X485,1))*Q485,0)</f>
        <v>0</v>
      </c>
      <c r="Z485" s="148">
        <f>IF($Y485&gt;0,VLOOKUP($J485,Ruimtegroepen[],3,FALSE)*VLOOKUP($L485,Vloersoorten[],3,FALSE)*VLOOKUP($X485,Frequenties[],3,FALSE)*VLOOKUP(Ruimtestaat[[#This Row],[Code]],Locaties[],3,FALSE),0)</f>
        <v>0</v>
      </c>
      <c r="AA485" s="148">
        <f>Ruimtestaat[[#This Row],[Uitvoeringen weekend]]*Ruimtestaat[[#This Row],[Oppervlak (netto)]]</f>
        <v>0</v>
      </c>
      <c r="AB485" s="148">
        <f>IF(Z485&gt;0,Ruimtestaat[[#This Row],[Prest. (m2 /jaar) weekend]]/Ruimtestaat[[#This Row],[Norm (m2/uur) weekend]],0)</f>
        <v>0</v>
      </c>
      <c r="AC485" s="180">
        <f>Ruimtestaat[[#This Row],[uren / jaar weekend]]*Tariefsopbouw!$D$40</f>
        <v>0</v>
      </c>
      <c r="AD485" s="179">
        <f>Ruimtestaat[[#This Row],[Prest. (m2 /jaar) weekend]]+Ruimtestaat[[#This Row],[Prest. (m2 /jaar) werkdagen]]</f>
        <v>9840</v>
      </c>
      <c r="AE485" s="179">
        <f>Ruimtestaat[[#This Row],[uren / jaar weekend]]+Ruimtestaat[[#This Row],[uren / jaar werkdagen]]</f>
        <v>0</v>
      </c>
      <c r="AF485" s="174">
        <f>Ruimtestaat[[#This Row],[kosten / jaar weekend]]+Ruimtestaat[[#This Row],[kosten / jaar werkdagen]]</f>
        <v>0</v>
      </c>
      <c r="AG485" s="174"/>
      <c r="AH485" s="181" t="str">
        <f>IF(Ruimtestaat[[#This Row],[Frequentie werkdagen]]="","",_xlfn.CONCAT(Ruimtestaat[[#This Row],[Ruimte code]],"-",Ruimtestaat[[#This Row],[Frequentie werkdagen]]," ",Ruimtestaat[[#This Row],[Vloer code]]))</f>
        <v>16-5w L</v>
      </c>
      <c r="AI485" s="185" t="str">
        <f>_xlfn.IFNA(VLOOKUP($AH485,Programma!$F$3:$G$1101,2,0),"")</f>
        <v>_</v>
      </c>
      <c r="AJ485" s="185" t="str">
        <f>_xlfn.IFNA(VLOOKUP($AH485,Programma!$F$3:$H$1101,3,0),"")</f>
        <v>_</v>
      </c>
      <c r="AK485" s="185" t="str">
        <f>_xlfn.IFNA(VLOOKUP($AH485,Programma!$F$3:$I$1101,4,0),"")</f>
        <v>4w</v>
      </c>
      <c r="AL485" s="185" t="str">
        <f>_xlfn.IFNA(VLOOKUP($AH485,Programma!$F$3:$J$1101,5,0),"")</f>
        <v>1w</v>
      </c>
      <c r="AM485" s="185" t="str">
        <f>_xlfn.IFNA(VLOOKUP($AH485,Programma!$F$3:$K$1101,6,0),"")</f>
        <v>_</v>
      </c>
      <c r="AN485" s="185" t="str">
        <f>_xlfn.IFNA(VLOOKUP($AH485,Programma!$F$3:$L$1101,7,0),"")</f>
        <v>_</v>
      </c>
      <c r="AO485" s="185" t="str">
        <f>_xlfn.IFNA(VLOOKUP($AH485,Programma!$F$3:$M$1101,8,0),"")</f>
        <v>_</v>
      </c>
      <c r="AP485" s="185" t="str">
        <f>_xlfn.IFNA(VLOOKUP($AH485,Programma!$F$3:$N$1101,9,0),"")</f>
        <v>_</v>
      </c>
      <c r="AQ485" s="185" t="str">
        <f>_xlfn.IFNA(VLOOKUP($AH485,Programma!$F$3:$O$1101,10,0),"")</f>
        <v>5w</v>
      </c>
      <c r="AR485" s="185" t="str">
        <f>_xlfn.IFNA(VLOOKUP($AH485,Programma!$F$3:$P$1101,11,0),"")</f>
        <v>5w</v>
      </c>
      <c r="AS485" s="185" t="str">
        <f>_xlfn.IFNA(VLOOKUP($AH485,Programma!$F$3:$Q$1101,12,0),"")</f>
        <v>1w</v>
      </c>
      <c r="AT485" s="185" t="str">
        <f>_xlfn.IFNA(VLOOKUP($AH485,Programma!$F$3:$R$1101,13,0),"")</f>
        <v>1w</v>
      </c>
      <c r="AU485" s="185" t="str">
        <f>_xlfn.IFNA(VLOOKUP($AH485,Programma!$F$3:$S$1101,14,0),"")</f>
        <v>1m</v>
      </c>
      <c r="AV485" s="185" t="str">
        <f>_xlfn.IFNA(VLOOKUP($AH485,Programma!$F$3:$T$1101,15,0),"")</f>
        <v>2j</v>
      </c>
      <c r="AW485" s="185" t="str">
        <f>_xlfn.IFNA(VLOOKUP($AH485,Programma!$F$3:$U$1101,16,0),"")</f>
        <v>1j</v>
      </c>
      <c r="AX485" s="185" t="str">
        <f>_xlfn.IFNA(VLOOKUP($AH485,Programma!$F$3:$V$1101,17,0),"")</f>
        <v>_</v>
      </c>
      <c r="AY485" s="185" t="str">
        <f>_xlfn.IFNA(VLOOKUP($AH485,Programma!$F$3:$W$1101,18,0),"")</f>
        <v>_</v>
      </c>
      <c r="AZ485" s="185" t="str">
        <f>_xlfn.IFNA(VLOOKUP($AH485,Programma!$F$3:$X$1101,19,0),"")</f>
        <v>_</v>
      </c>
      <c r="BA485" s="185" t="str">
        <f>_xlfn.IFNA(VLOOKUP($AH485,Programma!$F$3:$Y$1101,20,0),"")</f>
        <v>_</v>
      </c>
      <c r="BB485" s="182"/>
      <c r="BC485" s="181" t="str">
        <f>IF(Ruimtestaat[[#This Row],[Frequentie weekend]]="","",_xlfn.CONCAT(Ruimtestaat[[#This Row],[Ruimte code]],"-",Ruimtestaat[[#This Row],[Frequentie weekend]]," ",Ruimtestaat[[#This Row],[Vloer code]]))</f>
        <v/>
      </c>
      <c r="BD485" s="185" t="str">
        <f>_xlfn.IFNA(VLOOKUP($BC485,Programma!$F$3:$G$1101,2,0),"")</f>
        <v/>
      </c>
      <c r="BE485" s="185" t="str">
        <f>_xlfn.IFNA(VLOOKUP($BC485,Programma!$F$3:$H$1101,3,0),"")</f>
        <v/>
      </c>
      <c r="BF485" s="185" t="str">
        <f>_xlfn.IFNA(VLOOKUP($BC485,Programma!$F$3:$I$1101,4,0),"")</f>
        <v/>
      </c>
      <c r="BG485" s="185" t="str">
        <f>_xlfn.IFNA(VLOOKUP($BC485,Programma!$F$3:$J$1101,5,0),"")</f>
        <v/>
      </c>
      <c r="BH485" s="185" t="str">
        <f>_xlfn.IFNA(VLOOKUP($BC485,Programma!$F$3:$K$1101,6,0),"")</f>
        <v/>
      </c>
      <c r="BI485" s="185" t="str">
        <f>_xlfn.IFNA(VLOOKUP($BC485,Programma!$F$3:$L$1101,7,0),"")</f>
        <v/>
      </c>
      <c r="BJ485" s="185" t="str">
        <f>_xlfn.IFNA(VLOOKUP($BC485,Programma!$F$3:$M$1101,8,0),"")</f>
        <v/>
      </c>
      <c r="BK485" s="185" t="str">
        <f>_xlfn.IFNA(VLOOKUP($BC485,Programma!$F$3:$N$1101,9,0),"")</f>
        <v/>
      </c>
      <c r="BL485" s="185" t="str">
        <f>_xlfn.IFNA(VLOOKUP($BC485,Programma!$F$3:$O$1101,10,0),"")</f>
        <v/>
      </c>
      <c r="BM485" s="185" t="str">
        <f>_xlfn.IFNA(VLOOKUP($BC485,Programma!$F$3:$P$1101,11,0),"")</f>
        <v/>
      </c>
      <c r="BN485" s="185" t="str">
        <f>_xlfn.IFNA(VLOOKUP($BC485,Programma!$F$3:$Q$1101,12,0),"")</f>
        <v/>
      </c>
      <c r="BO485" s="185" t="str">
        <f>_xlfn.IFNA(VLOOKUP($BC485,Programma!$F$3:$R$1101,13,0),"")</f>
        <v/>
      </c>
      <c r="BP485" s="185" t="str">
        <f>_xlfn.IFNA(VLOOKUP($BC485,Programma!$F$3:$S$1101,14,0),"")</f>
        <v/>
      </c>
      <c r="BQ485" s="185" t="str">
        <f>_xlfn.IFNA(VLOOKUP($BC485,Programma!$F$3:$T$1101,15,0),"")</f>
        <v/>
      </c>
      <c r="BR485" s="185" t="str">
        <f>_xlfn.IFNA(VLOOKUP($BC485,Programma!$F$3:$U$1101,16,0),"")</f>
        <v/>
      </c>
      <c r="BS485" s="185" t="str">
        <f>_xlfn.IFNA(VLOOKUP($BC485,Programma!$F$3:$V$1101,17,0),"")</f>
        <v/>
      </c>
      <c r="BT485" s="185" t="str">
        <f>_xlfn.IFNA(VLOOKUP($BC485,Programma!$F$3:$W$1101,18,0),"")</f>
        <v/>
      </c>
      <c r="BU485" s="185" t="str">
        <f>_xlfn.IFNA(VLOOKUP($BC485,Programma!$F$3:$X$1101,19,0),"")</f>
        <v/>
      </c>
      <c r="BV485" s="185" t="str">
        <f>_xlfn.IFNA(VLOOKUP($BC485,Programma!$F$3:$Y$1101,20,0),"")</f>
        <v/>
      </c>
    </row>
    <row r="486" spans="1:74" s="78" customFormat="1" ht="15" customHeight="1">
      <c r="A486" s="99">
        <v>14</v>
      </c>
      <c r="B486" s="176" t="str">
        <f>VLOOKUP(Ruimtestaat[[#This Row],[Code]],Locaties[[Code]:[Locatie]],2,FALSE)</f>
        <v>Prinseschool Prinsestraat</v>
      </c>
      <c r="C486" s="176" t="str">
        <f>VLOOKUP(Ruimtestaat[[#This Row],[Code]],Locaties[[#All],[Code]:[Adres]],4,FALSE)</f>
        <v>Prinsestraat 10-10a </v>
      </c>
      <c r="D486" s="176" t="str">
        <f>VLOOKUP(Ruimtestaat[[#This Row],[Code]],Locaties[[#All],[Code]:[Postcode]],5,FALSE)</f>
        <v>7513 AL</v>
      </c>
      <c r="E486" s="176" t="str">
        <f>VLOOKUP(Ruimtestaat[[#This Row],[Code]],Locaties[#All],6,FALSE)</f>
        <v>Enschede</v>
      </c>
      <c r="F486" s="183"/>
      <c r="G486" s="99" t="s">
        <v>1646</v>
      </c>
      <c r="H486" s="99" t="s">
        <v>1678</v>
      </c>
      <c r="I486" s="183" t="s">
        <v>1649</v>
      </c>
      <c r="J486" s="99">
        <v>2</v>
      </c>
      <c r="K486" s="183" t="str">
        <f>VLOOKUP(Ruimtestaat[[#This Row],[Ruimte code]],Ruimtegroepen[[#All],[Code]:[Ruimte omschrijving]],2,FALSE)</f>
        <v>Kantoren</v>
      </c>
      <c r="L486" s="99" t="s">
        <v>99</v>
      </c>
      <c r="M486" s="99" t="s">
        <v>36</v>
      </c>
      <c r="N486" s="177">
        <v>14</v>
      </c>
      <c r="O486" s="177"/>
      <c r="P486" s="178" t="str">
        <f>VLOOKUP(Ruimtestaat[[#This Row],[Ruimte code]],Ruimtegroepen[],4,FALSE)</f>
        <v>Bu</v>
      </c>
      <c r="Q486" s="149">
        <v>40</v>
      </c>
      <c r="R486" s="149" t="s">
        <v>18</v>
      </c>
      <c r="S486" s="149">
        <f>IF(Q486&gt;0,IF(RIGHT(Ruimtestaat[[#This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86" s="149">
        <f>IF(S486&gt;0,VLOOKUP($J486,Ruimtegroepen[],3,FALSE)*VLOOKUP($L486,Vloersoorten[],3,FALSE)*VLOOKUP($R486,Frequenties[],3,FALSE)*VLOOKUP($A486,Locaties[],3,FALSE),0)</f>
        <v>0</v>
      </c>
      <c r="U486" s="149">
        <f>Ruimtestaat[[#This Row],[Uitvoeringen werkdagen]]*Ruimtestaat[[#This Row],[Oppervlak (netto)]]</f>
        <v>1680</v>
      </c>
      <c r="V486" s="179">
        <f>IF(T486&gt;0,Ruimtestaat[[#This Row],[Prest. (m2 /jaar) werkdagen]]/Ruimtestaat[[#This Row],[Norm (m2/uur) werkdagen]],0)</f>
        <v>0</v>
      </c>
      <c r="W486" s="180">
        <f>Ruimtestaat[[#This Row],[uren / jaar werkdagen]]*Tariefsopbouw!$E$35</f>
        <v>0</v>
      </c>
      <c r="X486" s="149"/>
      <c r="Y486" s="149">
        <f>IF(Ruimtestaat[[#This Row],[Frequentie weekend]]&gt;0,VALUE(LEFT(X486,1))*Q486,0)</f>
        <v>0</v>
      </c>
      <c r="Z486" s="148">
        <f>IF($Y486&gt;0,VLOOKUP($J486,Ruimtegroepen[],3,FALSE)*VLOOKUP($L486,Vloersoorten[],3,FALSE)*VLOOKUP($X486,Frequenties[],3,FALSE)*VLOOKUP(Ruimtestaat[[#This Row],[Code]],Locaties[],3,FALSE),0)</f>
        <v>0</v>
      </c>
      <c r="AA486" s="148">
        <f>Ruimtestaat[[#This Row],[Uitvoeringen weekend]]*Ruimtestaat[[#This Row],[Oppervlak (netto)]]</f>
        <v>0</v>
      </c>
      <c r="AB486" s="148">
        <f>IF(Z486&gt;0,Ruimtestaat[[#This Row],[Prest. (m2 /jaar) weekend]]/Ruimtestaat[[#This Row],[Norm (m2/uur) weekend]],0)</f>
        <v>0</v>
      </c>
      <c r="AC486" s="180">
        <f>Ruimtestaat[[#This Row],[uren / jaar weekend]]*Tariefsopbouw!$D$40</f>
        <v>0</v>
      </c>
      <c r="AD486" s="179">
        <f>Ruimtestaat[[#This Row],[Prest. (m2 /jaar) weekend]]+Ruimtestaat[[#This Row],[Prest. (m2 /jaar) werkdagen]]</f>
        <v>1680</v>
      </c>
      <c r="AE486" s="179">
        <f>Ruimtestaat[[#This Row],[uren / jaar weekend]]+Ruimtestaat[[#This Row],[uren / jaar werkdagen]]</f>
        <v>0</v>
      </c>
      <c r="AF486" s="174">
        <f>Ruimtestaat[[#This Row],[kosten / jaar weekend]]+Ruimtestaat[[#This Row],[kosten / jaar werkdagen]]</f>
        <v>0</v>
      </c>
      <c r="AG486" s="174"/>
      <c r="AH486" s="181" t="str">
        <f>IF(Ruimtestaat[[#This Row],[Frequentie werkdagen]]="","",_xlfn.CONCAT(Ruimtestaat[[#This Row],[Ruimte code]],"-",Ruimtestaat[[#This Row],[Frequentie werkdagen]]," ",Ruimtestaat[[#This Row],[Vloer code]]))</f>
        <v>2-3w T</v>
      </c>
      <c r="AI486" s="185" t="str">
        <f>_xlfn.IFNA(VLOOKUP($AH486,Programma!$F$3:$G$1101,2,0),"")</f>
        <v>2w</v>
      </c>
      <c r="AJ486" s="185" t="str">
        <f>_xlfn.IFNA(VLOOKUP($AH486,Programma!$F$3:$H$1101,3,0),"")</f>
        <v>1w</v>
      </c>
      <c r="AK486" s="185" t="str">
        <f>_xlfn.IFNA(VLOOKUP($AH486,Programma!$F$3:$I$1101,4,0),"")</f>
        <v>_</v>
      </c>
      <c r="AL486" s="185" t="str">
        <f>_xlfn.IFNA(VLOOKUP($AH486,Programma!$F$3:$J$1101,5,0),"")</f>
        <v>_</v>
      </c>
      <c r="AM486" s="185" t="str">
        <f>_xlfn.IFNA(VLOOKUP($AH486,Programma!$F$3:$K$1101,6,0),"")</f>
        <v>_</v>
      </c>
      <c r="AN486" s="185" t="str">
        <f>_xlfn.IFNA(VLOOKUP($AH486,Programma!$F$3:$L$1101,7,0),"")</f>
        <v>_</v>
      </c>
      <c r="AO486" s="185" t="str">
        <f>_xlfn.IFNA(VLOOKUP($AH486,Programma!$F$3:$M$1101,8,0),"")</f>
        <v>_</v>
      </c>
      <c r="AP486" s="185" t="str">
        <f>_xlfn.IFNA(VLOOKUP($AH486,Programma!$F$3:$N$1101,9,0),"")</f>
        <v>_</v>
      </c>
      <c r="AQ486" s="185" t="str">
        <f>_xlfn.IFNA(VLOOKUP($AH486,Programma!$F$3:$O$1101,10,0),"")</f>
        <v>3w</v>
      </c>
      <c r="AR486" s="185" t="str">
        <f>_xlfn.IFNA(VLOOKUP($AH486,Programma!$F$3:$P$1101,11,0),"")</f>
        <v>3w</v>
      </c>
      <c r="AS486" s="185" t="str">
        <f>_xlfn.IFNA(VLOOKUP($AH486,Programma!$F$3:$Q$1101,12,0),"")</f>
        <v>1w</v>
      </c>
      <c r="AT486" s="185" t="str">
        <f>_xlfn.IFNA(VLOOKUP($AH486,Programma!$F$3:$R$1101,13,0),"")</f>
        <v>1w</v>
      </c>
      <c r="AU486" s="185" t="str">
        <f>_xlfn.IFNA(VLOOKUP($AH486,Programma!$F$3:$S$1101,14,0),"")</f>
        <v>1m</v>
      </c>
      <c r="AV486" s="185" t="str">
        <f>_xlfn.IFNA(VLOOKUP($AH486,Programma!$F$3:$T$1101,15,0),"")</f>
        <v>2j</v>
      </c>
      <c r="AW486" s="185" t="str">
        <f>_xlfn.IFNA(VLOOKUP($AH486,Programma!$F$3:$U$1101,16,0),"")</f>
        <v>1j</v>
      </c>
      <c r="AX486" s="185" t="str">
        <f>_xlfn.IFNA(VLOOKUP($AH486,Programma!$F$3:$V$1101,17,0),"")</f>
        <v>_</v>
      </c>
      <c r="AY486" s="185" t="str">
        <f>_xlfn.IFNA(VLOOKUP($AH486,Programma!$F$3:$W$1101,18,0),"")</f>
        <v>_</v>
      </c>
      <c r="AZ486" s="185" t="str">
        <f>_xlfn.IFNA(VLOOKUP($AH486,Programma!$F$3:$X$1101,19,0),"")</f>
        <v>_</v>
      </c>
      <c r="BA486" s="185" t="str">
        <f>_xlfn.IFNA(VLOOKUP($AH486,Programma!$F$3:$Y$1101,20,0),"")</f>
        <v>_</v>
      </c>
      <c r="BB486" s="182"/>
      <c r="BC486" s="181" t="str">
        <f>IF(Ruimtestaat[[#This Row],[Frequentie weekend]]="","",_xlfn.CONCAT(Ruimtestaat[[#This Row],[Ruimte code]],"-",Ruimtestaat[[#This Row],[Frequentie weekend]]," ",Ruimtestaat[[#This Row],[Vloer code]]))</f>
        <v/>
      </c>
      <c r="BD486" s="185" t="str">
        <f>_xlfn.IFNA(VLOOKUP($BC486,Programma!$F$3:$G$1101,2,0),"")</f>
        <v/>
      </c>
      <c r="BE486" s="185" t="str">
        <f>_xlfn.IFNA(VLOOKUP($BC486,Programma!$F$3:$H$1101,3,0),"")</f>
        <v/>
      </c>
      <c r="BF486" s="185" t="str">
        <f>_xlfn.IFNA(VLOOKUP($BC486,Programma!$F$3:$I$1101,4,0),"")</f>
        <v/>
      </c>
      <c r="BG486" s="185" t="str">
        <f>_xlfn.IFNA(VLOOKUP($BC486,Programma!$F$3:$J$1101,5,0),"")</f>
        <v/>
      </c>
      <c r="BH486" s="185" t="str">
        <f>_xlfn.IFNA(VLOOKUP($BC486,Programma!$F$3:$K$1101,6,0),"")</f>
        <v/>
      </c>
      <c r="BI486" s="185" t="str">
        <f>_xlfn.IFNA(VLOOKUP($BC486,Programma!$F$3:$L$1101,7,0),"")</f>
        <v/>
      </c>
      <c r="BJ486" s="185" t="str">
        <f>_xlfn.IFNA(VLOOKUP($BC486,Programma!$F$3:$M$1101,8,0),"")</f>
        <v/>
      </c>
      <c r="BK486" s="185" t="str">
        <f>_xlfn.IFNA(VLOOKUP($BC486,Programma!$F$3:$N$1101,9,0),"")</f>
        <v/>
      </c>
      <c r="BL486" s="185" t="str">
        <f>_xlfn.IFNA(VLOOKUP($BC486,Programma!$F$3:$O$1101,10,0),"")</f>
        <v/>
      </c>
      <c r="BM486" s="185" t="str">
        <f>_xlfn.IFNA(VLOOKUP($BC486,Programma!$F$3:$P$1101,11,0),"")</f>
        <v/>
      </c>
      <c r="BN486" s="185" t="str">
        <f>_xlfn.IFNA(VLOOKUP($BC486,Programma!$F$3:$Q$1101,12,0),"")</f>
        <v/>
      </c>
      <c r="BO486" s="185" t="str">
        <f>_xlfn.IFNA(VLOOKUP($BC486,Programma!$F$3:$R$1101,13,0),"")</f>
        <v/>
      </c>
      <c r="BP486" s="185" t="str">
        <f>_xlfn.IFNA(VLOOKUP($BC486,Programma!$F$3:$S$1101,14,0),"")</f>
        <v/>
      </c>
      <c r="BQ486" s="185" t="str">
        <f>_xlfn.IFNA(VLOOKUP($BC486,Programma!$F$3:$T$1101,15,0),"")</f>
        <v/>
      </c>
      <c r="BR486" s="185" t="str">
        <f>_xlfn.IFNA(VLOOKUP($BC486,Programma!$F$3:$U$1101,16,0),"")</f>
        <v/>
      </c>
      <c r="BS486" s="185" t="str">
        <f>_xlfn.IFNA(VLOOKUP($BC486,Programma!$F$3:$V$1101,17,0),"")</f>
        <v/>
      </c>
      <c r="BT486" s="185" t="str">
        <f>_xlfn.IFNA(VLOOKUP($BC486,Programma!$F$3:$W$1101,18,0),"")</f>
        <v/>
      </c>
      <c r="BU486" s="185" t="str">
        <f>_xlfn.IFNA(VLOOKUP($BC486,Programma!$F$3:$X$1101,19,0),"")</f>
        <v/>
      </c>
      <c r="BV486" s="185" t="str">
        <f>_xlfn.IFNA(VLOOKUP($BC486,Programma!$F$3:$Y$1101,20,0),"")</f>
        <v/>
      </c>
    </row>
    <row r="487" spans="1:74" s="78" customFormat="1" ht="15" customHeight="1">
      <c r="A487" s="99">
        <v>14</v>
      </c>
      <c r="B487" s="176" t="str">
        <f>VLOOKUP(Ruimtestaat[[#This Row],[Code]],Locaties[[Code]:[Locatie]],2,FALSE)</f>
        <v>Prinseschool Prinsestraat</v>
      </c>
      <c r="C487" s="176" t="str">
        <f>VLOOKUP(Ruimtestaat[[#This Row],[Code]],Locaties[[#All],[Code]:[Adres]],4,FALSE)</f>
        <v>Prinsestraat 10-10a </v>
      </c>
      <c r="D487" s="176" t="str">
        <f>VLOOKUP(Ruimtestaat[[#This Row],[Code]],Locaties[[#All],[Code]:[Postcode]],5,FALSE)</f>
        <v>7513 AL</v>
      </c>
      <c r="E487" s="176" t="str">
        <f>VLOOKUP(Ruimtestaat[[#This Row],[Code]],Locaties[#All],6,FALSE)</f>
        <v>Enschede</v>
      </c>
      <c r="F487" s="183"/>
      <c r="G487" s="99" t="s">
        <v>1646</v>
      </c>
      <c r="H487" s="99" t="s">
        <v>1680</v>
      </c>
      <c r="I487" s="183" t="s">
        <v>1658</v>
      </c>
      <c r="J487" s="99">
        <v>6</v>
      </c>
      <c r="K487" s="183" t="str">
        <f>VLOOKUP(Ruimtestaat[[#This Row],[Ruimte code]],Ruimtegroepen[[#All],[Code]:[Ruimte omschrijving]],2,FALSE)</f>
        <v>Gangen/hallen</v>
      </c>
      <c r="L487" s="99" t="s">
        <v>100</v>
      </c>
      <c r="M487" s="99" t="s">
        <v>1697</v>
      </c>
      <c r="N487" s="177">
        <v>72.099999999999994</v>
      </c>
      <c r="O487" s="177"/>
      <c r="P487" s="178" t="str">
        <f>VLOOKUP(Ruimtestaat[[#This Row],[Ruimte code]],Ruimtegroepen[],4,FALSE)</f>
        <v>Ve</v>
      </c>
      <c r="Q487" s="149">
        <v>40</v>
      </c>
      <c r="R487" s="149" t="s">
        <v>2</v>
      </c>
      <c r="S487" s="149">
        <f>IF(Q487&gt;0,IF(RIGHT(Ruimtestaat[[#This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7" s="149">
        <f>IF(S487&gt;0,VLOOKUP($J487,Ruimtegroepen[],3,FALSE)*VLOOKUP($L487,Vloersoorten[],3,FALSE)*VLOOKUP($R487,Frequenties[],3,FALSE)*VLOOKUP($A487,Locaties[],3,FALSE),0)</f>
        <v>0</v>
      </c>
      <c r="U487" s="149">
        <f>Ruimtestaat[[#This Row],[Uitvoeringen werkdagen]]*Ruimtestaat[[#This Row],[Oppervlak (netto)]]</f>
        <v>14419.999999999998</v>
      </c>
      <c r="V487" s="179">
        <f>IF(T487&gt;0,Ruimtestaat[[#This Row],[Prest. (m2 /jaar) werkdagen]]/Ruimtestaat[[#This Row],[Norm (m2/uur) werkdagen]],0)</f>
        <v>0</v>
      </c>
      <c r="W487" s="180">
        <f>Ruimtestaat[[#This Row],[uren / jaar werkdagen]]*Tariefsopbouw!$E$35</f>
        <v>0</v>
      </c>
      <c r="X487" s="149"/>
      <c r="Y487" s="149">
        <f>IF(Ruimtestaat[[#This Row],[Frequentie weekend]]&gt;0,VALUE(LEFT(X487,1))*Q487,0)</f>
        <v>0</v>
      </c>
      <c r="Z487" s="148">
        <f>IF($Y487&gt;0,VLOOKUP($J487,Ruimtegroepen[],3,FALSE)*VLOOKUP($L487,Vloersoorten[],3,FALSE)*VLOOKUP($X487,Frequenties[],3,FALSE)*VLOOKUP(Ruimtestaat[[#This Row],[Code]],Locaties[],3,FALSE),0)</f>
        <v>0</v>
      </c>
      <c r="AA487" s="148">
        <f>Ruimtestaat[[#This Row],[Uitvoeringen weekend]]*Ruimtestaat[[#This Row],[Oppervlak (netto)]]</f>
        <v>0</v>
      </c>
      <c r="AB487" s="148">
        <f>IF(Z487&gt;0,Ruimtestaat[[#This Row],[Prest. (m2 /jaar) weekend]]/Ruimtestaat[[#This Row],[Norm (m2/uur) weekend]],0)</f>
        <v>0</v>
      </c>
      <c r="AC487" s="180">
        <f>Ruimtestaat[[#This Row],[uren / jaar weekend]]*Tariefsopbouw!$D$40</f>
        <v>0</v>
      </c>
      <c r="AD487" s="179">
        <f>Ruimtestaat[[#This Row],[Prest. (m2 /jaar) weekend]]+Ruimtestaat[[#This Row],[Prest. (m2 /jaar) werkdagen]]</f>
        <v>14419.999999999998</v>
      </c>
      <c r="AE487" s="179">
        <f>Ruimtestaat[[#This Row],[uren / jaar weekend]]+Ruimtestaat[[#This Row],[uren / jaar werkdagen]]</f>
        <v>0</v>
      </c>
      <c r="AF487" s="174">
        <f>Ruimtestaat[[#This Row],[kosten / jaar weekend]]+Ruimtestaat[[#This Row],[kosten / jaar werkdagen]]</f>
        <v>0</v>
      </c>
      <c r="AG487" s="174"/>
      <c r="AH487" s="181" t="str">
        <f>IF(Ruimtestaat[[#This Row],[Frequentie werkdagen]]="","",_xlfn.CONCAT(Ruimtestaat[[#This Row],[Ruimte code]],"-",Ruimtestaat[[#This Row],[Frequentie werkdagen]]," ",Ruimtestaat[[#This Row],[Vloer code]]))</f>
        <v>6-5w L</v>
      </c>
      <c r="AI487" s="185" t="str">
        <f>_xlfn.IFNA(VLOOKUP($AH487,Programma!$F$3:$G$1101,2,0),"")</f>
        <v>_</v>
      </c>
      <c r="AJ487" s="185" t="str">
        <f>_xlfn.IFNA(VLOOKUP($AH487,Programma!$F$3:$H$1101,3,0),"")</f>
        <v>_</v>
      </c>
      <c r="AK487" s="185" t="str">
        <f>_xlfn.IFNA(VLOOKUP($AH487,Programma!$F$3:$I$1101,4,0),"")</f>
        <v>_</v>
      </c>
      <c r="AL487" s="185" t="str">
        <f>_xlfn.IFNA(VLOOKUP($AH487,Programma!$F$3:$J$1101,5,0),"")</f>
        <v>5w</v>
      </c>
      <c r="AM487" s="185" t="str">
        <f>_xlfn.IFNA(VLOOKUP($AH487,Programma!$F$3:$K$1101,6,0),"")</f>
        <v>_</v>
      </c>
      <c r="AN487" s="185" t="str">
        <f>_xlfn.IFNA(VLOOKUP($AH487,Programma!$F$3:$L$1101,7,0),"")</f>
        <v>_</v>
      </c>
      <c r="AO487" s="185" t="str">
        <f>_xlfn.IFNA(VLOOKUP($AH487,Programma!$F$3:$M$1101,8,0),"")</f>
        <v>_</v>
      </c>
      <c r="AP487" s="185" t="str">
        <f>_xlfn.IFNA(VLOOKUP($AH487,Programma!$F$3:$N$1101,9,0),"")</f>
        <v>_</v>
      </c>
      <c r="AQ487" s="185" t="str">
        <f>_xlfn.IFNA(VLOOKUP($AH487,Programma!$F$3:$O$1101,10,0),"")</f>
        <v>5w</v>
      </c>
      <c r="AR487" s="185" t="str">
        <f>_xlfn.IFNA(VLOOKUP($AH487,Programma!$F$3:$P$1101,11,0),"")</f>
        <v>5w</v>
      </c>
      <c r="AS487" s="185" t="str">
        <f>_xlfn.IFNA(VLOOKUP($AH487,Programma!$F$3:$Q$1101,12,0),"")</f>
        <v>1w</v>
      </c>
      <c r="AT487" s="185" t="str">
        <f>_xlfn.IFNA(VLOOKUP($AH487,Programma!$F$3:$R$1101,13,0),"")</f>
        <v>1w</v>
      </c>
      <c r="AU487" s="185" t="str">
        <f>_xlfn.IFNA(VLOOKUP($AH487,Programma!$F$3:$S$1101,14,0),"")</f>
        <v>1m</v>
      </c>
      <c r="AV487" s="185" t="str">
        <f>_xlfn.IFNA(VLOOKUP($AH487,Programma!$F$3:$T$1101,15,0),"")</f>
        <v>2j</v>
      </c>
      <c r="AW487" s="185" t="str">
        <f>_xlfn.IFNA(VLOOKUP($AH487,Programma!$F$3:$U$1101,16,0),"")</f>
        <v>1j</v>
      </c>
      <c r="AX487" s="185" t="str">
        <f>_xlfn.IFNA(VLOOKUP($AH487,Programma!$F$3:$V$1101,17,0),"")</f>
        <v>_</v>
      </c>
      <c r="AY487" s="185" t="str">
        <f>_xlfn.IFNA(VLOOKUP($AH487,Programma!$F$3:$W$1101,18,0),"")</f>
        <v>_</v>
      </c>
      <c r="AZ487" s="185" t="str">
        <f>_xlfn.IFNA(VLOOKUP($AH487,Programma!$F$3:$X$1101,19,0),"")</f>
        <v>_</v>
      </c>
      <c r="BA487" s="185" t="str">
        <f>_xlfn.IFNA(VLOOKUP($AH487,Programma!$F$3:$Y$1101,20,0),"")</f>
        <v>_</v>
      </c>
      <c r="BB487" s="182"/>
      <c r="BC487" s="181" t="str">
        <f>IF(Ruimtestaat[[#This Row],[Frequentie weekend]]="","",_xlfn.CONCAT(Ruimtestaat[[#This Row],[Ruimte code]],"-",Ruimtestaat[[#This Row],[Frequentie weekend]]," ",Ruimtestaat[[#This Row],[Vloer code]]))</f>
        <v/>
      </c>
      <c r="BD487" s="185" t="str">
        <f>_xlfn.IFNA(VLOOKUP($BC487,Programma!$F$3:$G$1101,2,0),"")</f>
        <v/>
      </c>
      <c r="BE487" s="185" t="str">
        <f>_xlfn.IFNA(VLOOKUP($BC487,Programma!$F$3:$H$1101,3,0),"")</f>
        <v/>
      </c>
      <c r="BF487" s="185" t="str">
        <f>_xlfn.IFNA(VLOOKUP($BC487,Programma!$F$3:$I$1101,4,0),"")</f>
        <v/>
      </c>
      <c r="BG487" s="185" t="str">
        <f>_xlfn.IFNA(VLOOKUP($BC487,Programma!$F$3:$J$1101,5,0),"")</f>
        <v/>
      </c>
      <c r="BH487" s="185" t="str">
        <f>_xlfn.IFNA(VLOOKUP($BC487,Programma!$F$3:$K$1101,6,0),"")</f>
        <v/>
      </c>
      <c r="BI487" s="185" t="str">
        <f>_xlfn.IFNA(VLOOKUP($BC487,Programma!$F$3:$L$1101,7,0),"")</f>
        <v/>
      </c>
      <c r="BJ487" s="185" t="str">
        <f>_xlfn.IFNA(VLOOKUP($BC487,Programma!$F$3:$M$1101,8,0),"")</f>
        <v/>
      </c>
      <c r="BK487" s="185" t="str">
        <f>_xlfn.IFNA(VLOOKUP($BC487,Programma!$F$3:$N$1101,9,0),"")</f>
        <v/>
      </c>
      <c r="BL487" s="185" t="str">
        <f>_xlfn.IFNA(VLOOKUP($BC487,Programma!$F$3:$O$1101,10,0),"")</f>
        <v/>
      </c>
      <c r="BM487" s="185" t="str">
        <f>_xlfn.IFNA(VLOOKUP($BC487,Programma!$F$3:$P$1101,11,0),"")</f>
        <v/>
      </c>
      <c r="BN487" s="185" t="str">
        <f>_xlfn.IFNA(VLOOKUP($BC487,Programma!$F$3:$Q$1101,12,0),"")</f>
        <v/>
      </c>
      <c r="BO487" s="185" t="str">
        <f>_xlfn.IFNA(VLOOKUP($BC487,Programma!$F$3:$R$1101,13,0),"")</f>
        <v/>
      </c>
      <c r="BP487" s="185" t="str">
        <f>_xlfn.IFNA(VLOOKUP($BC487,Programma!$F$3:$S$1101,14,0),"")</f>
        <v/>
      </c>
      <c r="BQ487" s="185" t="str">
        <f>_xlfn.IFNA(VLOOKUP($BC487,Programma!$F$3:$T$1101,15,0),"")</f>
        <v/>
      </c>
      <c r="BR487" s="185" t="str">
        <f>_xlfn.IFNA(VLOOKUP($BC487,Programma!$F$3:$U$1101,16,0),"")</f>
        <v/>
      </c>
      <c r="BS487" s="185" t="str">
        <f>_xlfn.IFNA(VLOOKUP($BC487,Programma!$F$3:$V$1101,17,0),"")</f>
        <v/>
      </c>
      <c r="BT487" s="185" t="str">
        <f>_xlfn.IFNA(VLOOKUP($BC487,Programma!$F$3:$W$1101,18,0),"")</f>
        <v/>
      </c>
      <c r="BU487" s="185" t="str">
        <f>_xlfn.IFNA(VLOOKUP($BC487,Programma!$F$3:$X$1101,19,0),"")</f>
        <v/>
      </c>
      <c r="BV487" s="185" t="str">
        <f>_xlfn.IFNA(VLOOKUP($BC487,Programma!$F$3:$Y$1101,20,0),"")</f>
        <v/>
      </c>
    </row>
    <row r="488" spans="1:74" s="78" customFormat="1" ht="15" customHeight="1">
      <c r="A488" s="99">
        <v>14</v>
      </c>
      <c r="B488" s="176" t="str">
        <f>VLOOKUP(Ruimtestaat[[#This Row],[Code]],Locaties[[Code]:[Locatie]],2,FALSE)</f>
        <v>Prinseschool Prinsestraat</v>
      </c>
      <c r="C488" s="176" t="str">
        <f>VLOOKUP(Ruimtestaat[[#This Row],[Code]],Locaties[[#All],[Code]:[Adres]],4,FALSE)</f>
        <v>Prinsestraat 10-10a </v>
      </c>
      <c r="D488" s="176" t="str">
        <f>VLOOKUP(Ruimtestaat[[#This Row],[Code]],Locaties[[#All],[Code]:[Postcode]],5,FALSE)</f>
        <v>7513 AL</v>
      </c>
      <c r="E488" s="176" t="str">
        <f>VLOOKUP(Ruimtestaat[[#This Row],[Code]],Locaties[#All],6,FALSE)</f>
        <v>Enschede</v>
      </c>
      <c r="F488" s="183"/>
      <c r="G488" s="99" t="s">
        <v>1714</v>
      </c>
      <c r="H488" s="99" t="s">
        <v>1715</v>
      </c>
      <c r="I488" s="183" t="s">
        <v>1702</v>
      </c>
      <c r="J488" s="99">
        <v>10</v>
      </c>
      <c r="K488" s="183" t="str">
        <f>VLOOKUP(Ruimtestaat[[#This Row],[Ruimte code]],Ruimtegroepen[[#All],[Code]:[Ruimte omschrijving]],2,FALSE)</f>
        <v>Trappenhuizen/lift</v>
      </c>
      <c r="L488" s="99" t="s">
        <v>101</v>
      </c>
      <c r="M488" s="99" t="s">
        <v>119</v>
      </c>
      <c r="N488" s="177">
        <v>29.3</v>
      </c>
      <c r="O488" s="177"/>
      <c r="P488" s="178" t="str">
        <f>VLOOKUP(Ruimtestaat[[#This Row],[Ruimte code]],Ruimtegroepen[],4,FALSE)</f>
        <v>Ve</v>
      </c>
      <c r="Q488" s="149">
        <v>40</v>
      </c>
      <c r="R488" s="149" t="s">
        <v>2</v>
      </c>
      <c r="S488" s="149">
        <f>IF(Q488&gt;0,IF(RIGHT(Ruimtestaat[[#This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8" s="149">
        <f>IF(S488&gt;0,VLOOKUP($J488,Ruimtegroepen[],3,FALSE)*VLOOKUP($L488,Vloersoorten[],3,FALSE)*VLOOKUP($R488,Frequenties[],3,FALSE)*VLOOKUP($A488,Locaties[],3,FALSE),0)</f>
        <v>0</v>
      </c>
      <c r="U488" s="149">
        <f>Ruimtestaat[[#This Row],[Uitvoeringen werkdagen]]*Ruimtestaat[[#This Row],[Oppervlak (netto)]]</f>
        <v>5860</v>
      </c>
      <c r="V488" s="179">
        <f>IF(T488&gt;0,Ruimtestaat[[#This Row],[Prest. (m2 /jaar) werkdagen]]/Ruimtestaat[[#This Row],[Norm (m2/uur) werkdagen]],0)</f>
        <v>0</v>
      </c>
      <c r="W488" s="180">
        <f>Ruimtestaat[[#This Row],[uren / jaar werkdagen]]*Tariefsopbouw!$E$35</f>
        <v>0</v>
      </c>
      <c r="X488" s="149"/>
      <c r="Y488" s="149">
        <f>IF(Ruimtestaat[[#This Row],[Frequentie weekend]]&gt;0,VALUE(LEFT(X488,1))*Q488,0)</f>
        <v>0</v>
      </c>
      <c r="Z488" s="148">
        <f>IF($Y488&gt;0,VLOOKUP($J488,Ruimtegroepen[],3,FALSE)*VLOOKUP($L488,Vloersoorten[],3,FALSE)*VLOOKUP($X488,Frequenties[],3,FALSE)*VLOOKUP(Ruimtestaat[[#This Row],[Code]],Locaties[],3,FALSE),0)</f>
        <v>0</v>
      </c>
      <c r="AA488" s="148">
        <f>Ruimtestaat[[#This Row],[Uitvoeringen weekend]]*Ruimtestaat[[#This Row],[Oppervlak (netto)]]</f>
        <v>0</v>
      </c>
      <c r="AB488" s="148">
        <f>IF(Z488&gt;0,Ruimtestaat[[#This Row],[Prest. (m2 /jaar) weekend]]/Ruimtestaat[[#This Row],[Norm (m2/uur) weekend]],0)</f>
        <v>0</v>
      </c>
      <c r="AC488" s="180">
        <f>Ruimtestaat[[#This Row],[uren / jaar weekend]]*Tariefsopbouw!$D$40</f>
        <v>0</v>
      </c>
      <c r="AD488" s="179">
        <f>Ruimtestaat[[#This Row],[Prest. (m2 /jaar) weekend]]+Ruimtestaat[[#This Row],[Prest. (m2 /jaar) werkdagen]]</f>
        <v>5860</v>
      </c>
      <c r="AE488" s="179">
        <f>Ruimtestaat[[#This Row],[uren / jaar weekend]]+Ruimtestaat[[#This Row],[uren / jaar werkdagen]]</f>
        <v>0</v>
      </c>
      <c r="AF488" s="174">
        <f>Ruimtestaat[[#This Row],[kosten / jaar weekend]]+Ruimtestaat[[#This Row],[kosten / jaar werkdagen]]</f>
        <v>0</v>
      </c>
      <c r="AG488" s="174"/>
      <c r="AH488" s="181" t="str">
        <f>IF(Ruimtestaat[[#This Row],[Frequentie werkdagen]]="","",_xlfn.CONCAT(Ruimtestaat[[#This Row],[Ruimte code]],"-",Ruimtestaat[[#This Row],[Frequentie werkdagen]]," ",Ruimtestaat[[#This Row],[Vloer code]]))</f>
        <v>10-5w S</v>
      </c>
      <c r="AI488" s="185" t="str">
        <f>_xlfn.IFNA(VLOOKUP($AH488,Programma!$F$3:$G$1101,2,0),"")</f>
        <v>_</v>
      </c>
      <c r="AJ488" s="185" t="str">
        <f>_xlfn.IFNA(VLOOKUP($AH488,Programma!$F$3:$H$1101,3,0),"")</f>
        <v>_</v>
      </c>
      <c r="AK488" s="185" t="str">
        <f>_xlfn.IFNA(VLOOKUP($AH488,Programma!$F$3:$I$1101,4,0),"")</f>
        <v>4w</v>
      </c>
      <c r="AL488" s="185" t="str">
        <f>_xlfn.IFNA(VLOOKUP($AH488,Programma!$F$3:$J$1101,5,0),"")</f>
        <v>1w</v>
      </c>
      <c r="AM488" s="185" t="str">
        <f>_xlfn.IFNA(VLOOKUP($AH488,Programma!$F$3:$K$1101,6,0),"")</f>
        <v>4j</v>
      </c>
      <c r="AN488" s="185" t="str">
        <f>_xlfn.IFNA(VLOOKUP($AH488,Programma!$F$3:$L$1101,7,0),"")</f>
        <v>_</v>
      </c>
      <c r="AO488" s="185" t="str">
        <f>_xlfn.IFNA(VLOOKUP($AH488,Programma!$F$3:$M$1101,8,0),"")</f>
        <v>_</v>
      </c>
      <c r="AP488" s="185" t="str">
        <f>_xlfn.IFNA(VLOOKUP($AH488,Programma!$F$3:$N$1101,9,0),"")</f>
        <v>_</v>
      </c>
      <c r="AQ488" s="185" t="str">
        <f>_xlfn.IFNA(VLOOKUP($AH488,Programma!$F$3:$O$1101,10,0),"")</f>
        <v>5w</v>
      </c>
      <c r="AR488" s="185" t="str">
        <f>_xlfn.IFNA(VLOOKUP($AH488,Programma!$F$3:$P$1101,11,0),"")</f>
        <v>5w</v>
      </c>
      <c r="AS488" s="185" t="str">
        <f>_xlfn.IFNA(VLOOKUP($AH488,Programma!$F$3:$Q$1101,12,0),"")</f>
        <v>1w</v>
      </c>
      <c r="AT488" s="185" t="str">
        <f>_xlfn.IFNA(VLOOKUP($AH488,Programma!$F$3:$R$1101,13,0),"")</f>
        <v>1w</v>
      </c>
      <c r="AU488" s="185" t="str">
        <f>_xlfn.IFNA(VLOOKUP($AH488,Programma!$F$3:$S$1101,14,0),"")</f>
        <v>1m</v>
      </c>
      <c r="AV488" s="185" t="str">
        <f>_xlfn.IFNA(VLOOKUP($AH488,Programma!$F$3:$T$1101,15,0),"")</f>
        <v>2j</v>
      </c>
      <c r="AW488" s="185" t="str">
        <f>_xlfn.IFNA(VLOOKUP($AH488,Programma!$F$3:$U$1101,16,0),"")</f>
        <v>1j</v>
      </c>
      <c r="AX488" s="185" t="str">
        <f>_xlfn.IFNA(VLOOKUP($AH488,Programma!$F$3:$V$1101,17,0),"")</f>
        <v>_</v>
      </c>
      <c r="AY488" s="185" t="str">
        <f>_xlfn.IFNA(VLOOKUP($AH488,Programma!$F$3:$W$1101,18,0),"")</f>
        <v>_</v>
      </c>
      <c r="AZ488" s="185" t="str">
        <f>_xlfn.IFNA(VLOOKUP($AH488,Programma!$F$3:$X$1101,19,0),"")</f>
        <v>_</v>
      </c>
      <c r="BA488" s="185" t="str">
        <f>_xlfn.IFNA(VLOOKUP($AH488,Programma!$F$3:$Y$1101,20,0),"")</f>
        <v>_</v>
      </c>
      <c r="BB488" s="182"/>
      <c r="BC488" s="181" t="str">
        <f>IF(Ruimtestaat[[#This Row],[Frequentie weekend]]="","",_xlfn.CONCAT(Ruimtestaat[[#This Row],[Ruimte code]],"-",Ruimtestaat[[#This Row],[Frequentie weekend]]," ",Ruimtestaat[[#This Row],[Vloer code]]))</f>
        <v/>
      </c>
      <c r="BD488" s="185" t="str">
        <f>_xlfn.IFNA(VLOOKUP($BC488,Programma!$F$3:$G$1101,2,0),"")</f>
        <v/>
      </c>
      <c r="BE488" s="185" t="str">
        <f>_xlfn.IFNA(VLOOKUP($BC488,Programma!$F$3:$H$1101,3,0),"")</f>
        <v/>
      </c>
      <c r="BF488" s="185" t="str">
        <f>_xlfn.IFNA(VLOOKUP($BC488,Programma!$F$3:$I$1101,4,0),"")</f>
        <v/>
      </c>
      <c r="BG488" s="185" t="str">
        <f>_xlfn.IFNA(VLOOKUP($BC488,Programma!$F$3:$J$1101,5,0),"")</f>
        <v/>
      </c>
      <c r="BH488" s="185" t="str">
        <f>_xlfn.IFNA(VLOOKUP($BC488,Programma!$F$3:$K$1101,6,0),"")</f>
        <v/>
      </c>
      <c r="BI488" s="185" t="str">
        <f>_xlfn.IFNA(VLOOKUP($BC488,Programma!$F$3:$L$1101,7,0),"")</f>
        <v/>
      </c>
      <c r="BJ488" s="185" t="str">
        <f>_xlfn.IFNA(VLOOKUP($BC488,Programma!$F$3:$M$1101,8,0),"")</f>
        <v/>
      </c>
      <c r="BK488" s="185" t="str">
        <f>_xlfn.IFNA(VLOOKUP($BC488,Programma!$F$3:$N$1101,9,0),"")</f>
        <v/>
      </c>
      <c r="BL488" s="185" t="str">
        <f>_xlfn.IFNA(VLOOKUP($BC488,Programma!$F$3:$O$1101,10,0),"")</f>
        <v/>
      </c>
      <c r="BM488" s="185" t="str">
        <f>_xlfn.IFNA(VLOOKUP($BC488,Programma!$F$3:$P$1101,11,0),"")</f>
        <v/>
      </c>
      <c r="BN488" s="185" t="str">
        <f>_xlfn.IFNA(VLOOKUP($BC488,Programma!$F$3:$Q$1101,12,0),"")</f>
        <v/>
      </c>
      <c r="BO488" s="185" t="str">
        <f>_xlfn.IFNA(VLOOKUP($BC488,Programma!$F$3:$R$1101,13,0),"")</f>
        <v/>
      </c>
      <c r="BP488" s="185" t="str">
        <f>_xlfn.IFNA(VLOOKUP($BC488,Programma!$F$3:$S$1101,14,0),"")</f>
        <v/>
      </c>
      <c r="BQ488" s="185" t="str">
        <f>_xlfn.IFNA(VLOOKUP($BC488,Programma!$F$3:$T$1101,15,0),"")</f>
        <v/>
      </c>
      <c r="BR488" s="185" t="str">
        <f>_xlfn.IFNA(VLOOKUP($BC488,Programma!$F$3:$U$1101,16,0),"")</f>
        <v/>
      </c>
      <c r="BS488" s="185" t="str">
        <f>_xlfn.IFNA(VLOOKUP($BC488,Programma!$F$3:$V$1101,17,0),"")</f>
        <v/>
      </c>
      <c r="BT488" s="185" t="str">
        <f>_xlfn.IFNA(VLOOKUP($BC488,Programma!$F$3:$W$1101,18,0),"")</f>
        <v/>
      </c>
      <c r="BU488" s="185" t="str">
        <f>_xlfn.IFNA(VLOOKUP($BC488,Programma!$F$3:$X$1101,19,0),"")</f>
        <v/>
      </c>
      <c r="BV488" s="185" t="str">
        <f>_xlfn.IFNA(VLOOKUP($BC488,Programma!$F$3:$Y$1101,20,0),"")</f>
        <v/>
      </c>
    </row>
    <row r="489" spans="1:74" s="78" customFormat="1" ht="15" customHeight="1">
      <c r="A489" s="99">
        <v>14</v>
      </c>
      <c r="B489" s="176" t="str">
        <f>VLOOKUP(Ruimtestaat[[#This Row],[Code]],Locaties[[Code]:[Locatie]],2,FALSE)</f>
        <v>Prinseschool Prinsestraat</v>
      </c>
      <c r="C489" s="176" t="str">
        <f>VLOOKUP(Ruimtestaat[[#This Row],[Code]],Locaties[[#All],[Code]:[Adres]],4,FALSE)</f>
        <v>Prinsestraat 10-10a </v>
      </c>
      <c r="D489" s="176" t="str">
        <f>VLOOKUP(Ruimtestaat[[#This Row],[Code]],Locaties[[#All],[Code]:[Postcode]],5,FALSE)</f>
        <v>7513 AL</v>
      </c>
      <c r="E489" s="176" t="str">
        <f>VLOOKUP(Ruimtestaat[[#This Row],[Code]],Locaties[#All],6,FALSE)</f>
        <v>Enschede</v>
      </c>
      <c r="F489" s="183"/>
      <c r="G489" s="99" t="s">
        <v>1714</v>
      </c>
      <c r="H489" s="99" t="s">
        <v>1716</v>
      </c>
      <c r="I489" s="183" t="s">
        <v>1651</v>
      </c>
      <c r="J489" s="99">
        <v>16</v>
      </c>
      <c r="K489" s="183" t="str">
        <f>VLOOKUP(Ruimtestaat[[#This Row],[Ruimte code]],Ruimtegroepen[[#All],[Code]:[Ruimte omschrijving]],2,FALSE)</f>
        <v>Leslokalen</v>
      </c>
      <c r="L489" s="99" t="s">
        <v>100</v>
      </c>
      <c r="M489" s="99" t="s">
        <v>1697</v>
      </c>
      <c r="N489" s="177">
        <v>117</v>
      </c>
      <c r="O489" s="177"/>
      <c r="P489" s="178" t="str">
        <f>VLOOKUP(Ruimtestaat[[#This Row],[Ruimte code]],Ruimtegroepen[],4,FALSE)</f>
        <v>Le</v>
      </c>
      <c r="Q489" s="149">
        <v>40</v>
      </c>
      <c r="R489" s="149" t="s">
        <v>2</v>
      </c>
      <c r="S489" s="149">
        <f>IF(Q489&gt;0,IF(RIGHT(Ruimtestaat[[#This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9" s="149">
        <f>IF(S489&gt;0,VLOOKUP($J489,Ruimtegroepen[],3,FALSE)*VLOOKUP($L489,Vloersoorten[],3,FALSE)*VLOOKUP($R489,Frequenties[],3,FALSE)*VLOOKUP($A489,Locaties[],3,FALSE),0)</f>
        <v>0</v>
      </c>
      <c r="U489" s="149">
        <f>Ruimtestaat[[#This Row],[Uitvoeringen werkdagen]]*Ruimtestaat[[#This Row],[Oppervlak (netto)]]</f>
        <v>23400</v>
      </c>
      <c r="V489" s="179">
        <f>IF(T489&gt;0,Ruimtestaat[[#This Row],[Prest. (m2 /jaar) werkdagen]]/Ruimtestaat[[#This Row],[Norm (m2/uur) werkdagen]],0)</f>
        <v>0</v>
      </c>
      <c r="W489" s="180">
        <f>Ruimtestaat[[#This Row],[uren / jaar werkdagen]]*Tariefsopbouw!$E$35</f>
        <v>0</v>
      </c>
      <c r="X489" s="149"/>
      <c r="Y489" s="149">
        <f>IF(Ruimtestaat[[#This Row],[Frequentie weekend]]&gt;0,VALUE(LEFT(X489,1))*Q489,0)</f>
        <v>0</v>
      </c>
      <c r="Z489" s="148">
        <f>IF($Y489&gt;0,VLOOKUP($J489,Ruimtegroepen[],3,FALSE)*VLOOKUP($L489,Vloersoorten[],3,FALSE)*VLOOKUP($X489,Frequenties[],3,FALSE)*VLOOKUP(Ruimtestaat[[#This Row],[Code]],Locaties[],3,FALSE),0)</f>
        <v>0</v>
      </c>
      <c r="AA489" s="148">
        <f>Ruimtestaat[[#This Row],[Uitvoeringen weekend]]*Ruimtestaat[[#This Row],[Oppervlak (netto)]]</f>
        <v>0</v>
      </c>
      <c r="AB489" s="148">
        <f>IF(Z489&gt;0,Ruimtestaat[[#This Row],[Prest. (m2 /jaar) weekend]]/Ruimtestaat[[#This Row],[Norm (m2/uur) weekend]],0)</f>
        <v>0</v>
      </c>
      <c r="AC489" s="180">
        <f>Ruimtestaat[[#This Row],[uren / jaar weekend]]*Tariefsopbouw!$D$40</f>
        <v>0</v>
      </c>
      <c r="AD489" s="179">
        <f>Ruimtestaat[[#This Row],[Prest. (m2 /jaar) weekend]]+Ruimtestaat[[#This Row],[Prest. (m2 /jaar) werkdagen]]</f>
        <v>23400</v>
      </c>
      <c r="AE489" s="179">
        <f>Ruimtestaat[[#This Row],[uren / jaar weekend]]+Ruimtestaat[[#This Row],[uren / jaar werkdagen]]</f>
        <v>0</v>
      </c>
      <c r="AF489" s="174">
        <f>Ruimtestaat[[#This Row],[kosten / jaar weekend]]+Ruimtestaat[[#This Row],[kosten / jaar werkdagen]]</f>
        <v>0</v>
      </c>
      <c r="AG489" s="174"/>
      <c r="AH489" s="181" t="str">
        <f>IF(Ruimtestaat[[#This Row],[Frequentie werkdagen]]="","",_xlfn.CONCAT(Ruimtestaat[[#This Row],[Ruimte code]],"-",Ruimtestaat[[#This Row],[Frequentie werkdagen]]," ",Ruimtestaat[[#This Row],[Vloer code]]))</f>
        <v>16-5w L</v>
      </c>
      <c r="AI489" s="185" t="str">
        <f>_xlfn.IFNA(VLOOKUP($AH489,Programma!$F$3:$G$1101,2,0),"")</f>
        <v>_</v>
      </c>
      <c r="AJ489" s="185" t="str">
        <f>_xlfn.IFNA(VLOOKUP($AH489,Programma!$F$3:$H$1101,3,0),"")</f>
        <v>_</v>
      </c>
      <c r="AK489" s="185" t="str">
        <f>_xlfn.IFNA(VLOOKUP($AH489,Programma!$F$3:$I$1101,4,0),"")</f>
        <v>4w</v>
      </c>
      <c r="AL489" s="185" t="str">
        <f>_xlfn.IFNA(VLOOKUP($AH489,Programma!$F$3:$J$1101,5,0),"")</f>
        <v>1w</v>
      </c>
      <c r="AM489" s="185" t="str">
        <f>_xlfn.IFNA(VLOOKUP($AH489,Programma!$F$3:$K$1101,6,0),"")</f>
        <v>_</v>
      </c>
      <c r="AN489" s="185" t="str">
        <f>_xlfn.IFNA(VLOOKUP($AH489,Programma!$F$3:$L$1101,7,0),"")</f>
        <v>_</v>
      </c>
      <c r="AO489" s="185" t="str">
        <f>_xlfn.IFNA(VLOOKUP($AH489,Programma!$F$3:$M$1101,8,0),"")</f>
        <v>_</v>
      </c>
      <c r="AP489" s="185" t="str">
        <f>_xlfn.IFNA(VLOOKUP($AH489,Programma!$F$3:$N$1101,9,0),"")</f>
        <v>_</v>
      </c>
      <c r="AQ489" s="185" t="str">
        <f>_xlfn.IFNA(VLOOKUP($AH489,Programma!$F$3:$O$1101,10,0),"")</f>
        <v>5w</v>
      </c>
      <c r="AR489" s="185" t="str">
        <f>_xlfn.IFNA(VLOOKUP($AH489,Programma!$F$3:$P$1101,11,0),"")</f>
        <v>5w</v>
      </c>
      <c r="AS489" s="185" t="str">
        <f>_xlfn.IFNA(VLOOKUP($AH489,Programma!$F$3:$Q$1101,12,0),"")</f>
        <v>1w</v>
      </c>
      <c r="AT489" s="185" t="str">
        <f>_xlfn.IFNA(VLOOKUP($AH489,Programma!$F$3:$R$1101,13,0),"")</f>
        <v>1w</v>
      </c>
      <c r="AU489" s="185" t="str">
        <f>_xlfn.IFNA(VLOOKUP($AH489,Programma!$F$3:$S$1101,14,0),"")</f>
        <v>1m</v>
      </c>
      <c r="AV489" s="185" t="str">
        <f>_xlfn.IFNA(VLOOKUP($AH489,Programma!$F$3:$T$1101,15,0),"")</f>
        <v>2j</v>
      </c>
      <c r="AW489" s="185" t="str">
        <f>_xlfn.IFNA(VLOOKUP($AH489,Programma!$F$3:$U$1101,16,0),"")</f>
        <v>1j</v>
      </c>
      <c r="AX489" s="185" t="str">
        <f>_xlfn.IFNA(VLOOKUP($AH489,Programma!$F$3:$V$1101,17,0),"")</f>
        <v>_</v>
      </c>
      <c r="AY489" s="185" t="str">
        <f>_xlfn.IFNA(VLOOKUP($AH489,Programma!$F$3:$W$1101,18,0),"")</f>
        <v>_</v>
      </c>
      <c r="AZ489" s="185" t="str">
        <f>_xlfn.IFNA(VLOOKUP($AH489,Programma!$F$3:$X$1101,19,0),"")</f>
        <v>_</v>
      </c>
      <c r="BA489" s="185" t="str">
        <f>_xlfn.IFNA(VLOOKUP($AH489,Programma!$F$3:$Y$1101,20,0),"")</f>
        <v>_</v>
      </c>
      <c r="BB489" s="182"/>
      <c r="BC489" s="181" t="str">
        <f>IF(Ruimtestaat[[#This Row],[Frequentie weekend]]="","",_xlfn.CONCAT(Ruimtestaat[[#This Row],[Ruimte code]],"-",Ruimtestaat[[#This Row],[Frequentie weekend]]," ",Ruimtestaat[[#This Row],[Vloer code]]))</f>
        <v/>
      </c>
      <c r="BD489" s="185" t="str">
        <f>_xlfn.IFNA(VLOOKUP($BC489,Programma!$F$3:$G$1101,2,0),"")</f>
        <v/>
      </c>
      <c r="BE489" s="185" t="str">
        <f>_xlfn.IFNA(VLOOKUP($BC489,Programma!$F$3:$H$1101,3,0),"")</f>
        <v/>
      </c>
      <c r="BF489" s="185" t="str">
        <f>_xlfn.IFNA(VLOOKUP($BC489,Programma!$F$3:$I$1101,4,0),"")</f>
        <v/>
      </c>
      <c r="BG489" s="185" t="str">
        <f>_xlfn.IFNA(VLOOKUP($BC489,Programma!$F$3:$J$1101,5,0),"")</f>
        <v/>
      </c>
      <c r="BH489" s="185" t="str">
        <f>_xlfn.IFNA(VLOOKUP($BC489,Programma!$F$3:$K$1101,6,0),"")</f>
        <v/>
      </c>
      <c r="BI489" s="185" t="str">
        <f>_xlfn.IFNA(VLOOKUP($BC489,Programma!$F$3:$L$1101,7,0),"")</f>
        <v/>
      </c>
      <c r="BJ489" s="185" t="str">
        <f>_xlfn.IFNA(VLOOKUP($BC489,Programma!$F$3:$M$1101,8,0),"")</f>
        <v/>
      </c>
      <c r="BK489" s="185" t="str">
        <f>_xlfn.IFNA(VLOOKUP($BC489,Programma!$F$3:$N$1101,9,0),"")</f>
        <v/>
      </c>
      <c r="BL489" s="185" t="str">
        <f>_xlfn.IFNA(VLOOKUP($BC489,Programma!$F$3:$O$1101,10,0),"")</f>
        <v/>
      </c>
      <c r="BM489" s="185" t="str">
        <f>_xlfn.IFNA(VLOOKUP($BC489,Programma!$F$3:$P$1101,11,0),"")</f>
        <v/>
      </c>
      <c r="BN489" s="185" t="str">
        <f>_xlfn.IFNA(VLOOKUP($BC489,Programma!$F$3:$Q$1101,12,0),"")</f>
        <v/>
      </c>
      <c r="BO489" s="185" t="str">
        <f>_xlfn.IFNA(VLOOKUP($BC489,Programma!$F$3:$R$1101,13,0),"")</f>
        <v/>
      </c>
      <c r="BP489" s="185" t="str">
        <f>_xlfn.IFNA(VLOOKUP($BC489,Programma!$F$3:$S$1101,14,0),"")</f>
        <v/>
      </c>
      <c r="BQ489" s="185" t="str">
        <f>_xlfn.IFNA(VLOOKUP($BC489,Programma!$F$3:$T$1101,15,0),"")</f>
        <v/>
      </c>
      <c r="BR489" s="185" t="str">
        <f>_xlfn.IFNA(VLOOKUP($BC489,Programma!$F$3:$U$1101,16,0),"")</f>
        <v/>
      </c>
      <c r="BS489" s="185" t="str">
        <f>_xlfn.IFNA(VLOOKUP($BC489,Programma!$F$3:$V$1101,17,0),"")</f>
        <v/>
      </c>
      <c r="BT489" s="185" t="str">
        <f>_xlfn.IFNA(VLOOKUP($BC489,Programma!$F$3:$W$1101,18,0),"")</f>
        <v/>
      </c>
      <c r="BU489" s="185" t="str">
        <f>_xlfn.IFNA(VLOOKUP($BC489,Programma!$F$3:$X$1101,19,0),"")</f>
        <v/>
      </c>
      <c r="BV489" s="185" t="str">
        <f>_xlfn.IFNA(VLOOKUP($BC489,Programma!$F$3:$Y$1101,20,0),"")</f>
        <v/>
      </c>
    </row>
    <row r="490" spans="1:74" s="78" customFormat="1" ht="15" customHeight="1">
      <c r="A490" s="99">
        <v>14</v>
      </c>
      <c r="B490" s="176" t="str">
        <f>VLOOKUP(Ruimtestaat[[#This Row],[Code]],Locaties[[Code]:[Locatie]],2,FALSE)</f>
        <v>Prinseschool Prinsestraat</v>
      </c>
      <c r="C490" s="176" t="str">
        <f>VLOOKUP(Ruimtestaat[[#This Row],[Code]],Locaties[[#All],[Code]:[Adres]],4,FALSE)</f>
        <v>Prinsestraat 10-10a </v>
      </c>
      <c r="D490" s="176" t="str">
        <f>VLOOKUP(Ruimtestaat[[#This Row],[Code]],Locaties[[#All],[Code]:[Postcode]],5,FALSE)</f>
        <v>7513 AL</v>
      </c>
      <c r="E490" s="176" t="str">
        <f>VLOOKUP(Ruimtestaat[[#This Row],[Code]],Locaties[#All],6,FALSE)</f>
        <v>Enschede</v>
      </c>
      <c r="F490" s="183"/>
      <c r="G490" s="99" t="s">
        <v>1714</v>
      </c>
      <c r="H490" s="99" t="s">
        <v>1717</v>
      </c>
      <c r="I490" s="183" t="s">
        <v>1651</v>
      </c>
      <c r="J490" s="99">
        <v>16</v>
      </c>
      <c r="K490" s="183" t="str">
        <f>VLOOKUP(Ruimtestaat[[#This Row],[Ruimte code]],Ruimtegroepen[[#All],[Code]:[Ruimte omschrijving]],2,FALSE)</f>
        <v>Leslokalen</v>
      </c>
      <c r="L490" s="99" t="s">
        <v>101</v>
      </c>
      <c r="M490" s="99" t="s">
        <v>1682</v>
      </c>
      <c r="N490" s="177">
        <v>55</v>
      </c>
      <c r="O490" s="177"/>
      <c r="P490" s="178" t="str">
        <f>VLOOKUP(Ruimtestaat[[#This Row],[Ruimte code]],Ruimtegroepen[],4,FALSE)</f>
        <v>Le</v>
      </c>
      <c r="Q490" s="149">
        <v>40</v>
      </c>
      <c r="R490" s="149" t="s">
        <v>2</v>
      </c>
      <c r="S490" s="149">
        <f>IF(Q490&gt;0,IF(RIGHT(Ruimtestaat[[#This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0" s="149">
        <f>IF(S490&gt;0,VLOOKUP($J490,Ruimtegroepen[],3,FALSE)*VLOOKUP($L490,Vloersoorten[],3,FALSE)*VLOOKUP($R490,Frequenties[],3,FALSE)*VLOOKUP($A490,Locaties[],3,FALSE),0)</f>
        <v>0</v>
      </c>
      <c r="U490" s="149">
        <f>Ruimtestaat[[#This Row],[Uitvoeringen werkdagen]]*Ruimtestaat[[#This Row],[Oppervlak (netto)]]</f>
        <v>11000</v>
      </c>
      <c r="V490" s="179">
        <f>IF(T490&gt;0,Ruimtestaat[[#This Row],[Prest. (m2 /jaar) werkdagen]]/Ruimtestaat[[#This Row],[Norm (m2/uur) werkdagen]],0)</f>
        <v>0</v>
      </c>
      <c r="W490" s="180">
        <f>Ruimtestaat[[#This Row],[uren / jaar werkdagen]]*Tariefsopbouw!$E$35</f>
        <v>0</v>
      </c>
      <c r="X490" s="149"/>
      <c r="Y490" s="149">
        <f>IF(Ruimtestaat[[#This Row],[Frequentie weekend]]&gt;0,VALUE(LEFT(X490,1))*Q490,0)</f>
        <v>0</v>
      </c>
      <c r="Z490" s="148">
        <f>IF($Y490&gt;0,VLOOKUP($J490,Ruimtegroepen[],3,FALSE)*VLOOKUP($L490,Vloersoorten[],3,FALSE)*VLOOKUP($X490,Frequenties[],3,FALSE)*VLOOKUP(Ruimtestaat[[#This Row],[Code]],Locaties[],3,FALSE),0)</f>
        <v>0</v>
      </c>
      <c r="AA490" s="148">
        <f>Ruimtestaat[[#This Row],[Uitvoeringen weekend]]*Ruimtestaat[[#This Row],[Oppervlak (netto)]]</f>
        <v>0</v>
      </c>
      <c r="AB490" s="148">
        <f>IF(Z490&gt;0,Ruimtestaat[[#This Row],[Prest. (m2 /jaar) weekend]]/Ruimtestaat[[#This Row],[Norm (m2/uur) weekend]],0)</f>
        <v>0</v>
      </c>
      <c r="AC490" s="180">
        <f>Ruimtestaat[[#This Row],[uren / jaar weekend]]*Tariefsopbouw!$D$40</f>
        <v>0</v>
      </c>
      <c r="AD490" s="179">
        <f>Ruimtestaat[[#This Row],[Prest. (m2 /jaar) weekend]]+Ruimtestaat[[#This Row],[Prest. (m2 /jaar) werkdagen]]</f>
        <v>11000</v>
      </c>
      <c r="AE490" s="179">
        <f>Ruimtestaat[[#This Row],[uren / jaar weekend]]+Ruimtestaat[[#This Row],[uren / jaar werkdagen]]</f>
        <v>0</v>
      </c>
      <c r="AF490" s="174">
        <f>Ruimtestaat[[#This Row],[kosten / jaar weekend]]+Ruimtestaat[[#This Row],[kosten / jaar werkdagen]]</f>
        <v>0</v>
      </c>
      <c r="AG490" s="174"/>
      <c r="AH490" s="181" t="str">
        <f>IF(Ruimtestaat[[#This Row],[Frequentie werkdagen]]="","",_xlfn.CONCAT(Ruimtestaat[[#This Row],[Ruimte code]],"-",Ruimtestaat[[#This Row],[Frequentie werkdagen]]," ",Ruimtestaat[[#This Row],[Vloer code]]))</f>
        <v>16-5w S</v>
      </c>
      <c r="AI490" s="185" t="str">
        <f>_xlfn.IFNA(VLOOKUP($AH490,Programma!$F$3:$G$1101,2,0),"")</f>
        <v>_</v>
      </c>
      <c r="AJ490" s="185" t="str">
        <f>_xlfn.IFNA(VLOOKUP($AH490,Programma!$F$3:$H$1101,3,0),"")</f>
        <v>_</v>
      </c>
      <c r="AK490" s="185" t="str">
        <f>_xlfn.IFNA(VLOOKUP($AH490,Programma!$F$3:$I$1101,4,0),"")</f>
        <v>4w</v>
      </c>
      <c r="AL490" s="185" t="str">
        <f>_xlfn.IFNA(VLOOKUP($AH490,Programma!$F$3:$J$1101,5,0),"")</f>
        <v>1w</v>
      </c>
      <c r="AM490" s="185" t="str">
        <f>_xlfn.IFNA(VLOOKUP($AH490,Programma!$F$3:$K$1101,6,0),"")</f>
        <v>1m</v>
      </c>
      <c r="AN490" s="185" t="str">
        <f>_xlfn.IFNA(VLOOKUP($AH490,Programma!$F$3:$L$1101,7,0),"")</f>
        <v>_</v>
      </c>
      <c r="AO490" s="185" t="str">
        <f>_xlfn.IFNA(VLOOKUP($AH490,Programma!$F$3:$M$1101,8,0),"")</f>
        <v>_</v>
      </c>
      <c r="AP490" s="185" t="str">
        <f>_xlfn.IFNA(VLOOKUP($AH490,Programma!$F$3:$N$1101,9,0),"")</f>
        <v>_</v>
      </c>
      <c r="AQ490" s="185" t="str">
        <f>_xlfn.IFNA(VLOOKUP($AH490,Programma!$F$3:$O$1101,10,0),"")</f>
        <v>5w</v>
      </c>
      <c r="AR490" s="185" t="str">
        <f>_xlfn.IFNA(VLOOKUP($AH490,Programma!$F$3:$P$1101,11,0),"")</f>
        <v>5w</v>
      </c>
      <c r="AS490" s="185" t="str">
        <f>_xlfn.IFNA(VLOOKUP($AH490,Programma!$F$3:$Q$1101,12,0),"")</f>
        <v>1w</v>
      </c>
      <c r="AT490" s="185" t="str">
        <f>_xlfn.IFNA(VLOOKUP($AH490,Programma!$F$3:$R$1101,13,0),"")</f>
        <v>1w</v>
      </c>
      <c r="AU490" s="185" t="str">
        <f>_xlfn.IFNA(VLOOKUP($AH490,Programma!$F$3:$S$1101,14,0),"")</f>
        <v>1m</v>
      </c>
      <c r="AV490" s="185" t="str">
        <f>_xlfn.IFNA(VLOOKUP($AH490,Programma!$F$3:$T$1101,15,0),"")</f>
        <v>2j</v>
      </c>
      <c r="AW490" s="185" t="str">
        <f>_xlfn.IFNA(VLOOKUP($AH490,Programma!$F$3:$U$1101,16,0),"")</f>
        <v>1j</v>
      </c>
      <c r="AX490" s="185" t="str">
        <f>_xlfn.IFNA(VLOOKUP($AH490,Programma!$F$3:$V$1101,17,0),"")</f>
        <v>_</v>
      </c>
      <c r="AY490" s="185" t="str">
        <f>_xlfn.IFNA(VLOOKUP($AH490,Programma!$F$3:$W$1101,18,0),"")</f>
        <v>_</v>
      </c>
      <c r="AZ490" s="185" t="str">
        <f>_xlfn.IFNA(VLOOKUP($AH490,Programma!$F$3:$X$1101,19,0),"")</f>
        <v>_</v>
      </c>
      <c r="BA490" s="185" t="str">
        <f>_xlfn.IFNA(VLOOKUP($AH490,Programma!$F$3:$Y$1101,20,0),"")</f>
        <v>_</v>
      </c>
      <c r="BB490" s="182"/>
      <c r="BC490" s="181" t="str">
        <f>IF(Ruimtestaat[[#This Row],[Frequentie weekend]]="","",_xlfn.CONCAT(Ruimtestaat[[#This Row],[Ruimte code]],"-",Ruimtestaat[[#This Row],[Frequentie weekend]]," ",Ruimtestaat[[#This Row],[Vloer code]]))</f>
        <v/>
      </c>
      <c r="BD490" s="185" t="str">
        <f>_xlfn.IFNA(VLOOKUP($BC490,Programma!$F$3:$G$1101,2,0),"")</f>
        <v/>
      </c>
      <c r="BE490" s="185" t="str">
        <f>_xlfn.IFNA(VLOOKUP($BC490,Programma!$F$3:$H$1101,3,0),"")</f>
        <v/>
      </c>
      <c r="BF490" s="185" t="str">
        <f>_xlfn.IFNA(VLOOKUP($BC490,Programma!$F$3:$I$1101,4,0),"")</f>
        <v/>
      </c>
      <c r="BG490" s="185" t="str">
        <f>_xlfn.IFNA(VLOOKUP($BC490,Programma!$F$3:$J$1101,5,0),"")</f>
        <v/>
      </c>
      <c r="BH490" s="185" t="str">
        <f>_xlfn.IFNA(VLOOKUP($BC490,Programma!$F$3:$K$1101,6,0),"")</f>
        <v/>
      </c>
      <c r="BI490" s="185" t="str">
        <f>_xlfn.IFNA(VLOOKUP($BC490,Programma!$F$3:$L$1101,7,0),"")</f>
        <v/>
      </c>
      <c r="BJ490" s="185" t="str">
        <f>_xlfn.IFNA(VLOOKUP($BC490,Programma!$F$3:$M$1101,8,0),"")</f>
        <v/>
      </c>
      <c r="BK490" s="185" t="str">
        <f>_xlfn.IFNA(VLOOKUP($BC490,Programma!$F$3:$N$1101,9,0),"")</f>
        <v/>
      </c>
      <c r="BL490" s="185" t="str">
        <f>_xlfn.IFNA(VLOOKUP($BC490,Programma!$F$3:$O$1101,10,0),"")</f>
        <v/>
      </c>
      <c r="BM490" s="185" t="str">
        <f>_xlfn.IFNA(VLOOKUP($BC490,Programma!$F$3:$P$1101,11,0),"")</f>
        <v/>
      </c>
      <c r="BN490" s="185" t="str">
        <f>_xlfn.IFNA(VLOOKUP($BC490,Programma!$F$3:$Q$1101,12,0),"")</f>
        <v/>
      </c>
      <c r="BO490" s="185" t="str">
        <f>_xlfn.IFNA(VLOOKUP($BC490,Programma!$F$3:$R$1101,13,0),"")</f>
        <v/>
      </c>
      <c r="BP490" s="185" t="str">
        <f>_xlfn.IFNA(VLOOKUP($BC490,Programma!$F$3:$S$1101,14,0),"")</f>
        <v/>
      </c>
      <c r="BQ490" s="185" t="str">
        <f>_xlfn.IFNA(VLOOKUP($BC490,Programma!$F$3:$T$1101,15,0),"")</f>
        <v/>
      </c>
      <c r="BR490" s="185" t="str">
        <f>_xlfn.IFNA(VLOOKUP($BC490,Programma!$F$3:$U$1101,16,0),"")</f>
        <v/>
      </c>
      <c r="BS490" s="185" t="str">
        <f>_xlfn.IFNA(VLOOKUP($BC490,Programma!$F$3:$V$1101,17,0),"")</f>
        <v/>
      </c>
      <c r="BT490" s="185" t="str">
        <f>_xlfn.IFNA(VLOOKUP($BC490,Programma!$F$3:$W$1101,18,0),"")</f>
        <v/>
      </c>
      <c r="BU490" s="185" t="str">
        <f>_xlfn.IFNA(VLOOKUP($BC490,Programma!$F$3:$X$1101,19,0),"")</f>
        <v/>
      </c>
      <c r="BV490" s="185" t="str">
        <f>_xlfn.IFNA(VLOOKUP($BC490,Programma!$F$3:$Y$1101,20,0),"")</f>
        <v/>
      </c>
    </row>
    <row r="491" spans="1:74" s="78" customFormat="1" ht="15" customHeight="1">
      <c r="A491" s="99">
        <v>14</v>
      </c>
      <c r="B491" s="176" t="str">
        <f>VLOOKUP(Ruimtestaat[[#This Row],[Code]],Locaties[[Code]:[Locatie]],2,FALSE)</f>
        <v>Prinseschool Prinsestraat</v>
      </c>
      <c r="C491" s="176" t="str">
        <f>VLOOKUP(Ruimtestaat[[#This Row],[Code]],Locaties[[#All],[Code]:[Adres]],4,FALSE)</f>
        <v>Prinsestraat 10-10a </v>
      </c>
      <c r="D491" s="176" t="str">
        <f>VLOOKUP(Ruimtestaat[[#This Row],[Code]],Locaties[[#All],[Code]:[Postcode]],5,FALSE)</f>
        <v>7513 AL</v>
      </c>
      <c r="E491" s="176" t="str">
        <f>VLOOKUP(Ruimtestaat[[#This Row],[Code]],Locaties[#All],6,FALSE)</f>
        <v>Enschede</v>
      </c>
      <c r="F491" s="183"/>
      <c r="G491" s="99" t="s">
        <v>1714</v>
      </c>
      <c r="H491" s="99" t="s">
        <v>1718</v>
      </c>
      <c r="I491" s="183" t="s">
        <v>1651</v>
      </c>
      <c r="J491" s="99">
        <v>16</v>
      </c>
      <c r="K491" s="183" t="str">
        <f>VLOOKUP(Ruimtestaat[[#This Row],[Ruimte code]],Ruimtegroepen[[#All],[Code]:[Ruimte omschrijving]],2,FALSE)</f>
        <v>Leslokalen</v>
      </c>
      <c r="L491" s="99" t="s">
        <v>100</v>
      </c>
      <c r="M491" s="99" t="s">
        <v>1697</v>
      </c>
      <c r="N491" s="177">
        <v>51</v>
      </c>
      <c r="O491" s="177"/>
      <c r="P491" s="178" t="str">
        <f>VLOOKUP(Ruimtestaat[[#This Row],[Ruimte code]],Ruimtegroepen[],4,FALSE)</f>
        <v>Le</v>
      </c>
      <c r="Q491" s="149">
        <v>40</v>
      </c>
      <c r="R491" s="149" t="s">
        <v>2</v>
      </c>
      <c r="S491" s="149">
        <f>IF(Q491&gt;0,IF(RIGHT(Ruimtestaat[[#This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1" s="149">
        <f>IF(S491&gt;0,VLOOKUP($J491,Ruimtegroepen[],3,FALSE)*VLOOKUP($L491,Vloersoorten[],3,FALSE)*VLOOKUP($R491,Frequenties[],3,FALSE)*VLOOKUP($A491,Locaties[],3,FALSE),0)</f>
        <v>0</v>
      </c>
      <c r="U491" s="149">
        <f>Ruimtestaat[[#This Row],[Uitvoeringen werkdagen]]*Ruimtestaat[[#This Row],[Oppervlak (netto)]]</f>
        <v>10200</v>
      </c>
      <c r="V491" s="179">
        <f>IF(T491&gt;0,Ruimtestaat[[#This Row],[Prest. (m2 /jaar) werkdagen]]/Ruimtestaat[[#This Row],[Norm (m2/uur) werkdagen]],0)</f>
        <v>0</v>
      </c>
      <c r="W491" s="180">
        <f>Ruimtestaat[[#This Row],[uren / jaar werkdagen]]*Tariefsopbouw!$E$35</f>
        <v>0</v>
      </c>
      <c r="X491" s="149"/>
      <c r="Y491" s="149">
        <f>IF(Ruimtestaat[[#This Row],[Frequentie weekend]]&gt;0,VALUE(LEFT(X491,1))*Q491,0)</f>
        <v>0</v>
      </c>
      <c r="Z491" s="148">
        <f>IF($Y491&gt;0,VLOOKUP($J491,Ruimtegroepen[],3,FALSE)*VLOOKUP($L491,Vloersoorten[],3,FALSE)*VLOOKUP($X491,Frequenties[],3,FALSE)*VLOOKUP(Ruimtestaat[[#This Row],[Code]],Locaties[],3,FALSE),0)</f>
        <v>0</v>
      </c>
      <c r="AA491" s="148">
        <f>Ruimtestaat[[#This Row],[Uitvoeringen weekend]]*Ruimtestaat[[#This Row],[Oppervlak (netto)]]</f>
        <v>0</v>
      </c>
      <c r="AB491" s="148">
        <f>IF(Z491&gt;0,Ruimtestaat[[#This Row],[Prest. (m2 /jaar) weekend]]/Ruimtestaat[[#This Row],[Norm (m2/uur) weekend]],0)</f>
        <v>0</v>
      </c>
      <c r="AC491" s="180">
        <f>Ruimtestaat[[#This Row],[uren / jaar weekend]]*Tariefsopbouw!$D$40</f>
        <v>0</v>
      </c>
      <c r="AD491" s="179">
        <f>Ruimtestaat[[#This Row],[Prest. (m2 /jaar) weekend]]+Ruimtestaat[[#This Row],[Prest. (m2 /jaar) werkdagen]]</f>
        <v>10200</v>
      </c>
      <c r="AE491" s="179">
        <f>Ruimtestaat[[#This Row],[uren / jaar weekend]]+Ruimtestaat[[#This Row],[uren / jaar werkdagen]]</f>
        <v>0</v>
      </c>
      <c r="AF491" s="174">
        <f>Ruimtestaat[[#This Row],[kosten / jaar weekend]]+Ruimtestaat[[#This Row],[kosten / jaar werkdagen]]</f>
        <v>0</v>
      </c>
      <c r="AG491" s="174"/>
      <c r="AH491" s="181" t="str">
        <f>IF(Ruimtestaat[[#This Row],[Frequentie werkdagen]]="","",_xlfn.CONCAT(Ruimtestaat[[#This Row],[Ruimte code]],"-",Ruimtestaat[[#This Row],[Frequentie werkdagen]]," ",Ruimtestaat[[#This Row],[Vloer code]]))</f>
        <v>16-5w L</v>
      </c>
      <c r="AI491" s="185" t="str">
        <f>_xlfn.IFNA(VLOOKUP($AH491,Programma!$F$3:$G$1101,2,0),"")</f>
        <v>_</v>
      </c>
      <c r="AJ491" s="185" t="str">
        <f>_xlfn.IFNA(VLOOKUP($AH491,Programma!$F$3:$H$1101,3,0),"")</f>
        <v>_</v>
      </c>
      <c r="AK491" s="185" t="str">
        <f>_xlfn.IFNA(VLOOKUP($AH491,Programma!$F$3:$I$1101,4,0),"")</f>
        <v>4w</v>
      </c>
      <c r="AL491" s="185" t="str">
        <f>_xlfn.IFNA(VLOOKUP($AH491,Programma!$F$3:$J$1101,5,0),"")</f>
        <v>1w</v>
      </c>
      <c r="AM491" s="185" t="str">
        <f>_xlfn.IFNA(VLOOKUP($AH491,Programma!$F$3:$K$1101,6,0),"")</f>
        <v>_</v>
      </c>
      <c r="AN491" s="185" t="str">
        <f>_xlfn.IFNA(VLOOKUP($AH491,Programma!$F$3:$L$1101,7,0),"")</f>
        <v>_</v>
      </c>
      <c r="AO491" s="185" t="str">
        <f>_xlfn.IFNA(VLOOKUP($AH491,Programma!$F$3:$M$1101,8,0),"")</f>
        <v>_</v>
      </c>
      <c r="AP491" s="185" t="str">
        <f>_xlfn.IFNA(VLOOKUP($AH491,Programma!$F$3:$N$1101,9,0),"")</f>
        <v>_</v>
      </c>
      <c r="AQ491" s="185" t="str">
        <f>_xlfn.IFNA(VLOOKUP($AH491,Programma!$F$3:$O$1101,10,0),"")</f>
        <v>5w</v>
      </c>
      <c r="AR491" s="185" t="str">
        <f>_xlfn.IFNA(VLOOKUP($AH491,Programma!$F$3:$P$1101,11,0),"")</f>
        <v>5w</v>
      </c>
      <c r="AS491" s="185" t="str">
        <f>_xlfn.IFNA(VLOOKUP($AH491,Programma!$F$3:$Q$1101,12,0),"")</f>
        <v>1w</v>
      </c>
      <c r="AT491" s="185" t="str">
        <f>_xlfn.IFNA(VLOOKUP($AH491,Programma!$F$3:$R$1101,13,0),"")</f>
        <v>1w</v>
      </c>
      <c r="AU491" s="185" t="str">
        <f>_xlfn.IFNA(VLOOKUP($AH491,Programma!$F$3:$S$1101,14,0),"")</f>
        <v>1m</v>
      </c>
      <c r="AV491" s="185" t="str">
        <f>_xlfn.IFNA(VLOOKUP($AH491,Programma!$F$3:$T$1101,15,0),"")</f>
        <v>2j</v>
      </c>
      <c r="AW491" s="185" t="str">
        <f>_xlfn.IFNA(VLOOKUP($AH491,Programma!$F$3:$U$1101,16,0),"")</f>
        <v>1j</v>
      </c>
      <c r="AX491" s="185" t="str">
        <f>_xlfn.IFNA(VLOOKUP($AH491,Programma!$F$3:$V$1101,17,0),"")</f>
        <v>_</v>
      </c>
      <c r="AY491" s="185" t="str">
        <f>_xlfn.IFNA(VLOOKUP($AH491,Programma!$F$3:$W$1101,18,0),"")</f>
        <v>_</v>
      </c>
      <c r="AZ491" s="185" t="str">
        <f>_xlfn.IFNA(VLOOKUP($AH491,Programma!$F$3:$X$1101,19,0),"")</f>
        <v>_</v>
      </c>
      <c r="BA491" s="185" t="str">
        <f>_xlfn.IFNA(VLOOKUP($AH491,Programma!$F$3:$Y$1101,20,0),"")</f>
        <v>_</v>
      </c>
      <c r="BB491" s="182"/>
      <c r="BC491" s="181" t="str">
        <f>IF(Ruimtestaat[[#This Row],[Frequentie weekend]]="","",_xlfn.CONCAT(Ruimtestaat[[#This Row],[Ruimte code]],"-",Ruimtestaat[[#This Row],[Frequentie weekend]]," ",Ruimtestaat[[#This Row],[Vloer code]]))</f>
        <v/>
      </c>
      <c r="BD491" s="185" t="str">
        <f>_xlfn.IFNA(VLOOKUP($BC491,Programma!$F$3:$G$1101,2,0),"")</f>
        <v/>
      </c>
      <c r="BE491" s="185" t="str">
        <f>_xlfn.IFNA(VLOOKUP($BC491,Programma!$F$3:$H$1101,3,0),"")</f>
        <v/>
      </c>
      <c r="BF491" s="185" t="str">
        <f>_xlfn.IFNA(VLOOKUP($BC491,Programma!$F$3:$I$1101,4,0),"")</f>
        <v/>
      </c>
      <c r="BG491" s="185" t="str">
        <f>_xlfn.IFNA(VLOOKUP($BC491,Programma!$F$3:$J$1101,5,0),"")</f>
        <v/>
      </c>
      <c r="BH491" s="185" t="str">
        <f>_xlfn.IFNA(VLOOKUP($BC491,Programma!$F$3:$K$1101,6,0),"")</f>
        <v/>
      </c>
      <c r="BI491" s="185" t="str">
        <f>_xlfn.IFNA(VLOOKUP($BC491,Programma!$F$3:$L$1101,7,0),"")</f>
        <v/>
      </c>
      <c r="BJ491" s="185" t="str">
        <f>_xlfn.IFNA(VLOOKUP($BC491,Programma!$F$3:$M$1101,8,0),"")</f>
        <v/>
      </c>
      <c r="BK491" s="185" t="str">
        <f>_xlfn.IFNA(VLOOKUP($BC491,Programma!$F$3:$N$1101,9,0),"")</f>
        <v/>
      </c>
      <c r="BL491" s="185" t="str">
        <f>_xlfn.IFNA(VLOOKUP($BC491,Programma!$F$3:$O$1101,10,0),"")</f>
        <v/>
      </c>
      <c r="BM491" s="185" t="str">
        <f>_xlfn.IFNA(VLOOKUP($BC491,Programma!$F$3:$P$1101,11,0),"")</f>
        <v/>
      </c>
      <c r="BN491" s="185" t="str">
        <f>_xlfn.IFNA(VLOOKUP($BC491,Programma!$F$3:$Q$1101,12,0),"")</f>
        <v/>
      </c>
      <c r="BO491" s="185" t="str">
        <f>_xlfn.IFNA(VLOOKUP($BC491,Programma!$F$3:$R$1101,13,0),"")</f>
        <v/>
      </c>
      <c r="BP491" s="185" t="str">
        <f>_xlfn.IFNA(VLOOKUP($BC491,Programma!$F$3:$S$1101,14,0),"")</f>
        <v/>
      </c>
      <c r="BQ491" s="185" t="str">
        <f>_xlfn.IFNA(VLOOKUP($BC491,Programma!$F$3:$T$1101,15,0),"")</f>
        <v/>
      </c>
      <c r="BR491" s="185" t="str">
        <f>_xlfn.IFNA(VLOOKUP($BC491,Programma!$F$3:$U$1101,16,0),"")</f>
        <v/>
      </c>
      <c r="BS491" s="185" t="str">
        <f>_xlfn.IFNA(VLOOKUP($BC491,Programma!$F$3:$V$1101,17,0),"")</f>
        <v/>
      </c>
      <c r="BT491" s="185" t="str">
        <f>_xlfn.IFNA(VLOOKUP($BC491,Programma!$F$3:$W$1101,18,0),"")</f>
        <v/>
      </c>
      <c r="BU491" s="185" t="str">
        <f>_xlfn.IFNA(VLOOKUP($BC491,Programma!$F$3:$X$1101,19,0),"")</f>
        <v/>
      </c>
      <c r="BV491" s="185" t="str">
        <f>_xlfn.IFNA(VLOOKUP($BC491,Programma!$F$3:$Y$1101,20,0),"")</f>
        <v/>
      </c>
    </row>
    <row r="492" spans="1:74" s="78" customFormat="1" ht="15" customHeight="1">
      <c r="A492" s="99">
        <v>14</v>
      </c>
      <c r="B492" s="176" t="str">
        <f>VLOOKUP(Ruimtestaat[[#This Row],[Code]],Locaties[[Code]:[Locatie]],2,FALSE)</f>
        <v>Prinseschool Prinsestraat</v>
      </c>
      <c r="C492" s="176" t="str">
        <f>VLOOKUP(Ruimtestaat[[#This Row],[Code]],Locaties[[#All],[Code]:[Adres]],4,FALSE)</f>
        <v>Prinsestraat 10-10a </v>
      </c>
      <c r="D492" s="176" t="str">
        <f>VLOOKUP(Ruimtestaat[[#This Row],[Code]],Locaties[[#All],[Code]:[Postcode]],5,FALSE)</f>
        <v>7513 AL</v>
      </c>
      <c r="E492" s="176" t="str">
        <f>VLOOKUP(Ruimtestaat[[#This Row],[Code]],Locaties[#All],6,FALSE)</f>
        <v>Enschede</v>
      </c>
      <c r="F492" s="183"/>
      <c r="G492" s="99" t="s">
        <v>1714</v>
      </c>
      <c r="H492" s="99" t="s">
        <v>1733</v>
      </c>
      <c r="I492" s="183" t="s">
        <v>1651</v>
      </c>
      <c r="J492" s="99">
        <v>16</v>
      </c>
      <c r="K492" s="183" t="str">
        <f>VLOOKUP(Ruimtestaat[[#This Row],[Ruimte code]],Ruimtegroepen[[#All],[Code]:[Ruimte omschrijving]],2,FALSE)</f>
        <v>Leslokalen</v>
      </c>
      <c r="L492" s="99" t="s">
        <v>99</v>
      </c>
      <c r="M492" s="99" t="s">
        <v>1700</v>
      </c>
      <c r="N492" s="177">
        <v>59</v>
      </c>
      <c r="O492" s="177"/>
      <c r="P492" s="178" t="str">
        <f>VLOOKUP(Ruimtestaat[[#This Row],[Ruimte code]],Ruimtegroepen[],4,FALSE)</f>
        <v>Le</v>
      </c>
      <c r="Q492" s="149">
        <v>40</v>
      </c>
      <c r="R492" s="149" t="s">
        <v>2</v>
      </c>
      <c r="S492" s="149">
        <f>IF(Q492&gt;0,IF(RIGHT(Ruimtestaat[[#This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2" s="149">
        <f>IF(S492&gt;0,VLOOKUP($J492,Ruimtegroepen[],3,FALSE)*VLOOKUP($L492,Vloersoorten[],3,FALSE)*VLOOKUP($R492,Frequenties[],3,FALSE)*VLOOKUP($A492,Locaties[],3,FALSE),0)</f>
        <v>0</v>
      </c>
      <c r="U492" s="149">
        <f>Ruimtestaat[[#This Row],[Uitvoeringen werkdagen]]*Ruimtestaat[[#This Row],[Oppervlak (netto)]]</f>
        <v>11800</v>
      </c>
      <c r="V492" s="179">
        <f>IF(T492&gt;0,Ruimtestaat[[#This Row],[Prest. (m2 /jaar) werkdagen]]/Ruimtestaat[[#This Row],[Norm (m2/uur) werkdagen]],0)</f>
        <v>0</v>
      </c>
      <c r="W492" s="180">
        <f>Ruimtestaat[[#This Row],[uren / jaar werkdagen]]*Tariefsopbouw!$E$35</f>
        <v>0</v>
      </c>
      <c r="X492" s="149"/>
      <c r="Y492" s="149">
        <f>IF(Ruimtestaat[[#This Row],[Frequentie weekend]]&gt;0,VALUE(LEFT(X492,1))*Q492,0)</f>
        <v>0</v>
      </c>
      <c r="Z492" s="148">
        <f>IF($Y492&gt;0,VLOOKUP($J492,Ruimtegroepen[],3,FALSE)*VLOOKUP($L492,Vloersoorten[],3,FALSE)*VLOOKUP($X492,Frequenties[],3,FALSE)*VLOOKUP(Ruimtestaat[[#This Row],[Code]],Locaties[],3,FALSE),0)</f>
        <v>0</v>
      </c>
      <c r="AA492" s="148">
        <f>Ruimtestaat[[#This Row],[Uitvoeringen weekend]]*Ruimtestaat[[#This Row],[Oppervlak (netto)]]</f>
        <v>0</v>
      </c>
      <c r="AB492" s="148">
        <f>IF(Z492&gt;0,Ruimtestaat[[#This Row],[Prest. (m2 /jaar) weekend]]/Ruimtestaat[[#This Row],[Norm (m2/uur) weekend]],0)</f>
        <v>0</v>
      </c>
      <c r="AC492" s="180">
        <f>Ruimtestaat[[#This Row],[uren / jaar weekend]]*Tariefsopbouw!$D$40</f>
        <v>0</v>
      </c>
      <c r="AD492" s="179">
        <f>Ruimtestaat[[#This Row],[Prest. (m2 /jaar) weekend]]+Ruimtestaat[[#This Row],[Prest. (m2 /jaar) werkdagen]]</f>
        <v>11800</v>
      </c>
      <c r="AE492" s="179">
        <f>Ruimtestaat[[#This Row],[uren / jaar weekend]]+Ruimtestaat[[#This Row],[uren / jaar werkdagen]]</f>
        <v>0</v>
      </c>
      <c r="AF492" s="174">
        <f>Ruimtestaat[[#This Row],[kosten / jaar weekend]]+Ruimtestaat[[#This Row],[kosten / jaar werkdagen]]</f>
        <v>0</v>
      </c>
      <c r="AG492" s="174"/>
      <c r="AH492" s="181" t="str">
        <f>IF(Ruimtestaat[[#This Row],[Frequentie werkdagen]]="","",_xlfn.CONCAT(Ruimtestaat[[#This Row],[Ruimte code]],"-",Ruimtestaat[[#This Row],[Frequentie werkdagen]]," ",Ruimtestaat[[#This Row],[Vloer code]]))</f>
        <v>16-5w T</v>
      </c>
      <c r="AI492" s="185" t="str">
        <f>_xlfn.IFNA(VLOOKUP($AH492,Programma!$F$3:$G$1101,2,0),"")</f>
        <v>3w</v>
      </c>
      <c r="AJ492" s="185" t="str">
        <f>_xlfn.IFNA(VLOOKUP($AH492,Programma!$F$3:$H$1101,3,0),"")</f>
        <v>2w</v>
      </c>
      <c r="AK492" s="185" t="str">
        <f>_xlfn.IFNA(VLOOKUP($AH492,Programma!$F$3:$I$1101,4,0),"")</f>
        <v>_</v>
      </c>
      <c r="AL492" s="185" t="str">
        <f>_xlfn.IFNA(VLOOKUP($AH492,Programma!$F$3:$J$1101,5,0),"")</f>
        <v>_</v>
      </c>
      <c r="AM492" s="185" t="str">
        <f>_xlfn.IFNA(VLOOKUP($AH492,Programma!$F$3:$K$1101,6,0),"")</f>
        <v>_</v>
      </c>
      <c r="AN492" s="185" t="str">
        <f>_xlfn.IFNA(VLOOKUP($AH492,Programma!$F$3:$L$1101,7,0),"")</f>
        <v>_</v>
      </c>
      <c r="AO492" s="185" t="str">
        <f>_xlfn.IFNA(VLOOKUP($AH492,Programma!$F$3:$M$1101,8,0),"")</f>
        <v>_</v>
      </c>
      <c r="AP492" s="185" t="str">
        <f>_xlfn.IFNA(VLOOKUP($AH492,Programma!$F$3:$N$1101,9,0),"")</f>
        <v>_</v>
      </c>
      <c r="AQ492" s="185" t="str">
        <f>_xlfn.IFNA(VLOOKUP($AH492,Programma!$F$3:$O$1101,10,0),"")</f>
        <v>5w</v>
      </c>
      <c r="AR492" s="185" t="str">
        <f>_xlfn.IFNA(VLOOKUP($AH492,Programma!$F$3:$P$1101,11,0),"")</f>
        <v>5w</v>
      </c>
      <c r="AS492" s="185" t="str">
        <f>_xlfn.IFNA(VLOOKUP($AH492,Programma!$F$3:$Q$1101,12,0),"")</f>
        <v>1w</v>
      </c>
      <c r="AT492" s="185" t="str">
        <f>_xlfn.IFNA(VLOOKUP($AH492,Programma!$F$3:$R$1101,13,0),"")</f>
        <v>1w</v>
      </c>
      <c r="AU492" s="185" t="str">
        <f>_xlfn.IFNA(VLOOKUP($AH492,Programma!$F$3:$S$1101,14,0),"")</f>
        <v>1m</v>
      </c>
      <c r="AV492" s="185" t="str">
        <f>_xlfn.IFNA(VLOOKUP($AH492,Programma!$F$3:$T$1101,15,0),"")</f>
        <v>2j</v>
      </c>
      <c r="AW492" s="185" t="str">
        <f>_xlfn.IFNA(VLOOKUP($AH492,Programma!$F$3:$U$1101,16,0),"")</f>
        <v>1j</v>
      </c>
      <c r="AX492" s="185" t="str">
        <f>_xlfn.IFNA(VLOOKUP($AH492,Programma!$F$3:$V$1101,17,0),"")</f>
        <v>_</v>
      </c>
      <c r="AY492" s="185" t="str">
        <f>_xlfn.IFNA(VLOOKUP($AH492,Programma!$F$3:$W$1101,18,0),"")</f>
        <v>_</v>
      </c>
      <c r="AZ492" s="185" t="str">
        <f>_xlfn.IFNA(VLOOKUP($AH492,Programma!$F$3:$X$1101,19,0),"")</f>
        <v>_</v>
      </c>
      <c r="BA492" s="185" t="str">
        <f>_xlfn.IFNA(VLOOKUP($AH492,Programma!$F$3:$Y$1101,20,0),"")</f>
        <v>_</v>
      </c>
      <c r="BB492" s="182"/>
      <c r="BC492" s="181" t="str">
        <f>IF(Ruimtestaat[[#This Row],[Frequentie weekend]]="","",_xlfn.CONCAT(Ruimtestaat[[#This Row],[Ruimte code]],"-",Ruimtestaat[[#This Row],[Frequentie weekend]]," ",Ruimtestaat[[#This Row],[Vloer code]]))</f>
        <v/>
      </c>
      <c r="BD492" s="185" t="str">
        <f>_xlfn.IFNA(VLOOKUP($BC492,Programma!$F$3:$G$1101,2,0),"")</f>
        <v/>
      </c>
      <c r="BE492" s="185" t="str">
        <f>_xlfn.IFNA(VLOOKUP($BC492,Programma!$F$3:$H$1101,3,0),"")</f>
        <v/>
      </c>
      <c r="BF492" s="185" t="str">
        <f>_xlfn.IFNA(VLOOKUP($BC492,Programma!$F$3:$I$1101,4,0),"")</f>
        <v/>
      </c>
      <c r="BG492" s="185" t="str">
        <f>_xlfn.IFNA(VLOOKUP($BC492,Programma!$F$3:$J$1101,5,0),"")</f>
        <v/>
      </c>
      <c r="BH492" s="185" t="str">
        <f>_xlfn.IFNA(VLOOKUP($BC492,Programma!$F$3:$K$1101,6,0),"")</f>
        <v/>
      </c>
      <c r="BI492" s="185" t="str">
        <f>_xlfn.IFNA(VLOOKUP($BC492,Programma!$F$3:$L$1101,7,0),"")</f>
        <v/>
      </c>
      <c r="BJ492" s="185" t="str">
        <f>_xlfn.IFNA(VLOOKUP($BC492,Programma!$F$3:$M$1101,8,0),"")</f>
        <v/>
      </c>
      <c r="BK492" s="185" t="str">
        <f>_xlfn.IFNA(VLOOKUP($BC492,Programma!$F$3:$N$1101,9,0),"")</f>
        <v/>
      </c>
      <c r="BL492" s="185" t="str">
        <f>_xlfn.IFNA(VLOOKUP($BC492,Programma!$F$3:$O$1101,10,0),"")</f>
        <v/>
      </c>
      <c r="BM492" s="185" t="str">
        <f>_xlfn.IFNA(VLOOKUP($BC492,Programma!$F$3:$P$1101,11,0),"")</f>
        <v/>
      </c>
      <c r="BN492" s="185" t="str">
        <f>_xlfn.IFNA(VLOOKUP($BC492,Programma!$F$3:$Q$1101,12,0),"")</f>
        <v/>
      </c>
      <c r="BO492" s="185" t="str">
        <f>_xlfn.IFNA(VLOOKUP($BC492,Programma!$F$3:$R$1101,13,0),"")</f>
        <v/>
      </c>
      <c r="BP492" s="185" t="str">
        <f>_xlfn.IFNA(VLOOKUP($BC492,Programma!$F$3:$S$1101,14,0),"")</f>
        <v/>
      </c>
      <c r="BQ492" s="185" t="str">
        <f>_xlfn.IFNA(VLOOKUP($BC492,Programma!$F$3:$T$1101,15,0),"")</f>
        <v/>
      </c>
      <c r="BR492" s="185" t="str">
        <f>_xlfn.IFNA(VLOOKUP($BC492,Programma!$F$3:$U$1101,16,0),"")</f>
        <v/>
      </c>
      <c r="BS492" s="185" t="str">
        <f>_xlfn.IFNA(VLOOKUP($BC492,Programma!$F$3:$V$1101,17,0),"")</f>
        <v/>
      </c>
      <c r="BT492" s="185" t="str">
        <f>_xlfn.IFNA(VLOOKUP($BC492,Programma!$F$3:$W$1101,18,0),"")</f>
        <v/>
      </c>
      <c r="BU492" s="185" t="str">
        <f>_xlfn.IFNA(VLOOKUP($BC492,Programma!$F$3:$X$1101,19,0),"")</f>
        <v/>
      </c>
      <c r="BV492" s="185" t="str">
        <f>_xlfn.IFNA(VLOOKUP($BC492,Programma!$F$3:$Y$1101,20,0),"")</f>
        <v/>
      </c>
    </row>
    <row r="493" spans="1:74" s="78" customFormat="1" ht="15" customHeight="1">
      <c r="A493" s="99">
        <v>14</v>
      </c>
      <c r="B493" s="176" t="str">
        <f>VLOOKUP(Ruimtestaat[[#This Row],[Code]],Locaties[[Code]:[Locatie]],2,FALSE)</f>
        <v>Prinseschool Prinsestraat</v>
      </c>
      <c r="C493" s="176" t="str">
        <f>VLOOKUP(Ruimtestaat[[#This Row],[Code]],Locaties[[#All],[Code]:[Adres]],4,FALSE)</f>
        <v>Prinsestraat 10-10a </v>
      </c>
      <c r="D493" s="176" t="str">
        <f>VLOOKUP(Ruimtestaat[[#This Row],[Code]],Locaties[[#All],[Code]:[Postcode]],5,FALSE)</f>
        <v>7513 AL</v>
      </c>
      <c r="E493" s="176" t="str">
        <f>VLOOKUP(Ruimtestaat[[#This Row],[Code]],Locaties[#All],6,FALSE)</f>
        <v>Enschede</v>
      </c>
      <c r="F493" s="183"/>
      <c r="G493" s="99" t="s">
        <v>1714</v>
      </c>
      <c r="H493" s="99" t="s">
        <v>1734</v>
      </c>
      <c r="I493" s="183" t="s">
        <v>1655</v>
      </c>
      <c r="J493" s="99">
        <v>5</v>
      </c>
      <c r="K493" s="183" t="str">
        <f>VLOOKUP(Ruimtestaat[[#This Row],[Ruimte code]],Ruimtegroepen[[#All],[Code]:[Ruimte omschrijving]],2,FALSE)</f>
        <v>Sanitair</v>
      </c>
      <c r="L493" s="99" t="s">
        <v>101</v>
      </c>
      <c r="M493" s="99" t="s">
        <v>1682</v>
      </c>
      <c r="N493" s="177">
        <v>2</v>
      </c>
      <c r="O493" s="177"/>
      <c r="P493" s="178" t="str">
        <f>VLOOKUP(Ruimtestaat[[#This Row],[Ruimte code]],Ruimtegroepen[],4,FALSE)</f>
        <v>Sa</v>
      </c>
      <c r="Q493" s="149">
        <v>40</v>
      </c>
      <c r="R493" s="149" t="s">
        <v>2</v>
      </c>
      <c r="S493" s="149">
        <f>IF(Q493&gt;0,IF(RIGHT(Ruimtestaat[[#This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3" s="149">
        <f>IF(S493&gt;0,VLOOKUP($J493,Ruimtegroepen[],3,FALSE)*VLOOKUP($L493,Vloersoorten[],3,FALSE)*VLOOKUP($R493,Frequenties[],3,FALSE)*VLOOKUP($A493,Locaties[],3,FALSE),0)</f>
        <v>0</v>
      </c>
      <c r="U493" s="149">
        <f>Ruimtestaat[[#This Row],[Uitvoeringen werkdagen]]*Ruimtestaat[[#This Row],[Oppervlak (netto)]]</f>
        <v>400</v>
      </c>
      <c r="V493" s="179">
        <f>IF(T493&gt;0,Ruimtestaat[[#This Row],[Prest. (m2 /jaar) werkdagen]]/Ruimtestaat[[#This Row],[Norm (m2/uur) werkdagen]],0)</f>
        <v>0</v>
      </c>
      <c r="W493" s="180">
        <f>Ruimtestaat[[#This Row],[uren / jaar werkdagen]]*Tariefsopbouw!$E$35</f>
        <v>0</v>
      </c>
      <c r="X493" s="149"/>
      <c r="Y493" s="149">
        <f>IF(Ruimtestaat[[#This Row],[Frequentie weekend]]&gt;0,VALUE(LEFT(X493,1))*Q493,0)</f>
        <v>0</v>
      </c>
      <c r="Z493" s="148">
        <f>IF($Y493&gt;0,VLOOKUP($J493,Ruimtegroepen[],3,FALSE)*VLOOKUP($L493,Vloersoorten[],3,FALSE)*VLOOKUP($X493,Frequenties[],3,FALSE)*VLOOKUP(Ruimtestaat[[#This Row],[Code]],Locaties[],3,FALSE),0)</f>
        <v>0</v>
      </c>
      <c r="AA493" s="148">
        <f>Ruimtestaat[[#This Row],[Uitvoeringen weekend]]*Ruimtestaat[[#This Row],[Oppervlak (netto)]]</f>
        <v>0</v>
      </c>
      <c r="AB493" s="148">
        <f>IF(Z493&gt;0,Ruimtestaat[[#This Row],[Prest. (m2 /jaar) weekend]]/Ruimtestaat[[#This Row],[Norm (m2/uur) weekend]],0)</f>
        <v>0</v>
      </c>
      <c r="AC493" s="180">
        <f>Ruimtestaat[[#This Row],[uren / jaar weekend]]*Tariefsopbouw!$D$40</f>
        <v>0</v>
      </c>
      <c r="AD493" s="179">
        <f>Ruimtestaat[[#This Row],[Prest. (m2 /jaar) weekend]]+Ruimtestaat[[#This Row],[Prest. (m2 /jaar) werkdagen]]</f>
        <v>400</v>
      </c>
      <c r="AE493" s="179">
        <f>Ruimtestaat[[#This Row],[uren / jaar weekend]]+Ruimtestaat[[#This Row],[uren / jaar werkdagen]]</f>
        <v>0</v>
      </c>
      <c r="AF493" s="174">
        <f>Ruimtestaat[[#This Row],[kosten / jaar weekend]]+Ruimtestaat[[#This Row],[kosten / jaar werkdagen]]</f>
        <v>0</v>
      </c>
      <c r="AG493" s="174"/>
      <c r="AH493" s="181" t="str">
        <f>IF(Ruimtestaat[[#This Row],[Frequentie werkdagen]]="","",_xlfn.CONCAT(Ruimtestaat[[#This Row],[Ruimte code]],"-",Ruimtestaat[[#This Row],[Frequentie werkdagen]]," ",Ruimtestaat[[#This Row],[Vloer code]]))</f>
        <v>5-5w S</v>
      </c>
      <c r="AI493" s="185" t="str">
        <f>_xlfn.IFNA(VLOOKUP($AH493,Programma!$F$3:$G$1101,2,0),"")</f>
        <v>_</v>
      </c>
      <c r="AJ493" s="185" t="str">
        <f>_xlfn.IFNA(VLOOKUP($AH493,Programma!$F$3:$H$1101,3,0),"")</f>
        <v>_</v>
      </c>
      <c r="AK493" s="185" t="str">
        <f>_xlfn.IFNA(VLOOKUP($AH493,Programma!$F$3:$I$1101,4,0),"")</f>
        <v>_</v>
      </c>
      <c r="AL493" s="185" t="str">
        <f>_xlfn.IFNA(VLOOKUP($AH493,Programma!$F$3:$J$1101,5,0),"")</f>
        <v>4w</v>
      </c>
      <c r="AM493" s="185" t="str">
        <f>_xlfn.IFNA(VLOOKUP($AH493,Programma!$F$3:$K$1101,6,0),"")</f>
        <v>1w</v>
      </c>
      <c r="AN493" s="185" t="str">
        <f>_xlfn.IFNA(VLOOKUP($AH493,Programma!$F$3:$L$1101,7,0),"")</f>
        <v>_</v>
      </c>
      <c r="AO493" s="185" t="str">
        <f>_xlfn.IFNA(VLOOKUP($AH493,Programma!$F$3:$M$1101,8,0),"")</f>
        <v>_</v>
      </c>
      <c r="AP493" s="185" t="str">
        <f>_xlfn.IFNA(VLOOKUP($AH493,Programma!$F$3:$N$1101,9,0),"")</f>
        <v>_</v>
      </c>
      <c r="AQ493" s="185" t="str">
        <f>_xlfn.IFNA(VLOOKUP($AH493,Programma!$F$3:$O$1101,10,0),"")</f>
        <v>_</v>
      </c>
      <c r="AR493" s="185" t="str">
        <f>_xlfn.IFNA(VLOOKUP($AH493,Programma!$F$3:$P$1101,11,0),"")</f>
        <v>_</v>
      </c>
      <c r="AS493" s="185" t="str">
        <f>_xlfn.IFNA(VLOOKUP($AH493,Programma!$F$3:$Q$1101,12,0),"")</f>
        <v>_</v>
      </c>
      <c r="AT493" s="185" t="str">
        <f>_xlfn.IFNA(VLOOKUP($AH493,Programma!$F$3:$R$1101,13,0),"")</f>
        <v>_</v>
      </c>
      <c r="AU493" s="185" t="str">
        <f>_xlfn.IFNA(VLOOKUP($AH493,Programma!$F$3:$S$1101,14,0),"")</f>
        <v>_</v>
      </c>
      <c r="AV493" s="185" t="str">
        <f>_xlfn.IFNA(VLOOKUP($AH493,Programma!$F$3:$T$1101,15,0),"")</f>
        <v>_</v>
      </c>
      <c r="AW493" s="185" t="str">
        <f>_xlfn.IFNA(VLOOKUP($AH493,Programma!$F$3:$U$1101,16,0),"")</f>
        <v>_</v>
      </c>
      <c r="AX493" s="185" t="str">
        <f>_xlfn.IFNA(VLOOKUP($AH493,Programma!$F$3:$V$1101,17,0),"")</f>
        <v>_</v>
      </c>
      <c r="AY493" s="185" t="str">
        <f>_xlfn.IFNA(VLOOKUP($AH493,Programma!$F$3:$W$1101,18,0),"")</f>
        <v>4w</v>
      </c>
      <c r="AZ493" s="185" t="str">
        <f>_xlfn.IFNA(VLOOKUP($AH493,Programma!$F$3:$X$1101,19,0),"")</f>
        <v>1w</v>
      </c>
      <c r="BA493" s="185" t="str">
        <f>_xlfn.IFNA(VLOOKUP($AH493,Programma!$F$3:$Y$1101,20,0),"")</f>
        <v>_</v>
      </c>
      <c r="BB493" s="182"/>
      <c r="BC493" s="181" t="str">
        <f>IF(Ruimtestaat[[#This Row],[Frequentie weekend]]="","",_xlfn.CONCAT(Ruimtestaat[[#This Row],[Ruimte code]],"-",Ruimtestaat[[#This Row],[Frequentie weekend]]," ",Ruimtestaat[[#This Row],[Vloer code]]))</f>
        <v/>
      </c>
      <c r="BD493" s="185" t="str">
        <f>_xlfn.IFNA(VLOOKUP($BC493,Programma!$F$3:$G$1101,2,0),"")</f>
        <v/>
      </c>
      <c r="BE493" s="185" t="str">
        <f>_xlfn.IFNA(VLOOKUP($BC493,Programma!$F$3:$H$1101,3,0),"")</f>
        <v/>
      </c>
      <c r="BF493" s="185" t="str">
        <f>_xlfn.IFNA(VLOOKUP($BC493,Programma!$F$3:$I$1101,4,0),"")</f>
        <v/>
      </c>
      <c r="BG493" s="185" t="str">
        <f>_xlfn.IFNA(VLOOKUP($BC493,Programma!$F$3:$J$1101,5,0),"")</f>
        <v/>
      </c>
      <c r="BH493" s="185" t="str">
        <f>_xlfn.IFNA(VLOOKUP($BC493,Programma!$F$3:$K$1101,6,0),"")</f>
        <v/>
      </c>
      <c r="BI493" s="185" t="str">
        <f>_xlfn.IFNA(VLOOKUP($BC493,Programma!$F$3:$L$1101,7,0),"")</f>
        <v/>
      </c>
      <c r="BJ493" s="185" t="str">
        <f>_xlfn.IFNA(VLOOKUP($BC493,Programma!$F$3:$M$1101,8,0),"")</f>
        <v/>
      </c>
      <c r="BK493" s="185" t="str">
        <f>_xlfn.IFNA(VLOOKUP($BC493,Programma!$F$3:$N$1101,9,0),"")</f>
        <v/>
      </c>
      <c r="BL493" s="185" t="str">
        <f>_xlfn.IFNA(VLOOKUP($BC493,Programma!$F$3:$O$1101,10,0),"")</f>
        <v/>
      </c>
      <c r="BM493" s="185" t="str">
        <f>_xlfn.IFNA(VLOOKUP($BC493,Programma!$F$3:$P$1101,11,0),"")</f>
        <v/>
      </c>
      <c r="BN493" s="185" t="str">
        <f>_xlfn.IFNA(VLOOKUP($BC493,Programma!$F$3:$Q$1101,12,0),"")</f>
        <v/>
      </c>
      <c r="BO493" s="185" t="str">
        <f>_xlfn.IFNA(VLOOKUP($BC493,Programma!$F$3:$R$1101,13,0),"")</f>
        <v/>
      </c>
      <c r="BP493" s="185" t="str">
        <f>_xlfn.IFNA(VLOOKUP($BC493,Programma!$F$3:$S$1101,14,0),"")</f>
        <v/>
      </c>
      <c r="BQ493" s="185" t="str">
        <f>_xlfn.IFNA(VLOOKUP($BC493,Programma!$F$3:$T$1101,15,0),"")</f>
        <v/>
      </c>
      <c r="BR493" s="185" t="str">
        <f>_xlfn.IFNA(VLOOKUP($BC493,Programma!$F$3:$U$1101,16,0),"")</f>
        <v/>
      </c>
      <c r="BS493" s="185" t="str">
        <f>_xlfn.IFNA(VLOOKUP($BC493,Programma!$F$3:$V$1101,17,0),"")</f>
        <v/>
      </c>
      <c r="BT493" s="185" t="str">
        <f>_xlfn.IFNA(VLOOKUP($BC493,Programma!$F$3:$W$1101,18,0),"")</f>
        <v/>
      </c>
      <c r="BU493" s="185" t="str">
        <f>_xlfn.IFNA(VLOOKUP($BC493,Programma!$F$3:$X$1101,19,0),"")</f>
        <v/>
      </c>
      <c r="BV493" s="185" t="str">
        <f>_xlfn.IFNA(VLOOKUP($BC493,Programma!$F$3:$Y$1101,20,0),"")</f>
        <v/>
      </c>
    </row>
    <row r="494" spans="1:74" s="78" customFormat="1" ht="15" customHeight="1">
      <c r="A494" s="99">
        <v>14</v>
      </c>
      <c r="B494" s="176" t="str">
        <f>VLOOKUP(Ruimtestaat[[#This Row],[Code]],Locaties[[Code]:[Locatie]],2,FALSE)</f>
        <v>Prinseschool Prinsestraat</v>
      </c>
      <c r="C494" s="176" t="str">
        <f>VLOOKUP(Ruimtestaat[[#This Row],[Code]],Locaties[[#All],[Code]:[Adres]],4,FALSE)</f>
        <v>Prinsestraat 10-10a </v>
      </c>
      <c r="D494" s="176" t="str">
        <f>VLOOKUP(Ruimtestaat[[#This Row],[Code]],Locaties[[#All],[Code]:[Postcode]],5,FALSE)</f>
        <v>7513 AL</v>
      </c>
      <c r="E494" s="176" t="str">
        <f>VLOOKUP(Ruimtestaat[[#This Row],[Code]],Locaties[#All],6,FALSE)</f>
        <v>Enschede</v>
      </c>
      <c r="F494" s="183"/>
      <c r="G494" s="99" t="s">
        <v>1714</v>
      </c>
      <c r="H494" s="99" t="s">
        <v>1735</v>
      </c>
      <c r="I494" s="183" t="s">
        <v>1655</v>
      </c>
      <c r="J494" s="99">
        <v>5</v>
      </c>
      <c r="K494" s="183" t="str">
        <f>VLOOKUP(Ruimtestaat[[#This Row],[Ruimte code]],Ruimtegroepen[[#All],[Code]:[Ruimte omschrijving]],2,FALSE)</f>
        <v>Sanitair</v>
      </c>
      <c r="L494" s="99" t="s">
        <v>101</v>
      </c>
      <c r="M494" s="99" t="s">
        <v>1682</v>
      </c>
      <c r="N494" s="177">
        <v>2</v>
      </c>
      <c r="O494" s="177"/>
      <c r="P494" s="178" t="str">
        <f>VLOOKUP(Ruimtestaat[[#This Row],[Ruimte code]],Ruimtegroepen[],4,FALSE)</f>
        <v>Sa</v>
      </c>
      <c r="Q494" s="149">
        <v>40</v>
      </c>
      <c r="R494" s="149" t="s">
        <v>2</v>
      </c>
      <c r="S494" s="149">
        <f>IF(Q494&gt;0,IF(RIGHT(Ruimtestaat[[#This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4" s="149">
        <f>IF(S494&gt;0,VLOOKUP($J494,Ruimtegroepen[],3,FALSE)*VLOOKUP($L494,Vloersoorten[],3,FALSE)*VLOOKUP($R494,Frequenties[],3,FALSE)*VLOOKUP($A494,Locaties[],3,FALSE),0)</f>
        <v>0</v>
      </c>
      <c r="U494" s="149">
        <f>Ruimtestaat[[#This Row],[Uitvoeringen werkdagen]]*Ruimtestaat[[#This Row],[Oppervlak (netto)]]</f>
        <v>400</v>
      </c>
      <c r="V494" s="179">
        <f>IF(T494&gt;0,Ruimtestaat[[#This Row],[Prest. (m2 /jaar) werkdagen]]/Ruimtestaat[[#This Row],[Norm (m2/uur) werkdagen]],0)</f>
        <v>0</v>
      </c>
      <c r="W494" s="180">
        <f>Ruimtestaat[[#This Row],[uren / jaar werkdagen]]*Tariefsopbouw!$E$35</f>
        <v>0</v>
      </c>
      <c r="X494" s="149"/>
      <c r="Y494" s="149">
        <f>IF(Ruimtestaat[[#This Row],[Frequentie weekend]]&gt;0,VALUE(LEFT(X494,1))*Q494,0)</f>
        <v>0</v>
      </c>
      <c r="Z494" s="148">
        <f>IF($Y494&gt;0,VLOOKUP($J494,Ruimtegroepen[],3,FALSE)*VLOOKUP($L494,Vloersoorten[],3,FALSE)*VLOOKUP($X494,Frequenties[],3,FALSE)*VLOOKUP(Ruimtestaat[[#This Row],[Code]],Locaties[],3,FALSE),0)</f>
        <v>0</v>
      </c>
      <c r="AA494" s="148">
        <f>Ruimtestaat[[#This Row],[Uitvoeringen weekend]]*Ruimtestaat[[#This Row],[Oppervlak (netto)]]</f>
        <v>0</v>
      </c>
      <c r="AB494" s="148">
        <f>IF(Z494&gt;0,Ruimtestaat[[#This Row],[Prest. (m2 /jaar) weekend]]/Ruimtestaat[[#This Row],[Norm (m2/uur) weekend]],0)</f>
        <v>0</v>
      </c>
      <c r="AC494" s="180">
        <f>Ruimtestaat[[#This Row],[uren / jaar weekend]]*Tariefsopbouw!$D$40</f>
        <v>0</v>
      </c>
      <c r="AD494" s="179">
        <f>Ruimtestaat[[#This Row],[Prest. (m2 /jaar) weekend]]+Ruimtestaat[[#This Row],[Prest. (m2 /jaar) werkdagen]]</f>
        <v>400</v>
      </c>
      <c r="AE494" s="179">
        <f>Ruimtestaat[[#This Row],[uren / jaar weekend]]+Ruimtestaat[[#This Row],[uren / jaar werkdagen]]</f>
        <v>0</v>
      </c>
      <c r="AF494" s="174">
        <f>Ruimtestaat[[#This Row],[kosten / jaar weekend]]+Ruimtestaat[[#This Row],[kosten / jaar werkdagen]]</f>
        <v>0</v>
      </c>
      <c r="AG494" s="174"/>
      <c r="AH494" s="181" t="str">
        <f>IF(Ruimtestaat[[#This Row],[Frequentie werkdagen]]="","",_xlfn.CONCAT(Ruimtestaat[[#This Row],[Ruimte code]],"-",Ruimtestaat[[#This Row],[Frequentie werkdagen]]," ",Ruimtestaat[[#This Row],[Vloer code]]))</f>
        <v>5-5w S</v>
      </c>
      <c r="AI494" s="185" t="str">
        <f>_xlfn.IFNA(VLOOKUP($AH494,Programma!$F$3:$G$1101,2,0),"")</f>
        <v>_</v>
      </c>
      <c r="AJ494" s="185" t="str">
        <f>_xlfn.IFNA(VLOOKUP($AH494,Programma!$F$3:$H$1101,3,0),"")</f>
        <v>_</v>
      </c>
      <c r="AK494" s="185" t="str">
        <f>_xlfn.IFNA(VLOOKUP($AH494,Programma!$F$3:$I$1101,4,0),"")</f>
        <v>_</v>
      </c>
      <c r="AL494" s="185" t="str">
        <f>_xlfn.IFNA(VLOOKUP($AH494,Programma!$F$3:$J$1101,5,0),"")</f>
        <v>4w</v>
      </c>
      <c r="AM494" s="185" t="str">
        <f>_xlfn.IFNA(VLOOKUP($AH494,Programma!$F$3:$K$1101,6,0),"")</f>
        <v>1w</v>
      </c>
      <c r="AN494" s="185" t="str">
        <f>_xlfn.IFNA(VLOOKUP($AH494,Programma!$F$3:$L$1101,7,0),"")</f>
        <v>_</v>
      </c>
      <c r="AO494" s="185" t="str">
        <f>_xlfn.IFNA(VLOOKUP($AH494,Programma!$F$3:$M$1101,8,0),"")</f>
        <v>_</v>
      </c>
      <c r="AP494" s="185" t="str">
        <f>_xlfn.IFNA(VLOOKUP($AH494,Programma!$F$3:$N$1101,9,0),"")</f>
        <v>_</v>
      </c>
      <c r="AQ494" s="185" t="str">
        <f>_xlfn.IFNA(VLOOKUP($AH494,Programma!$F$3:$O$1101,10,0),"")</f>
        <v>_</v>
      </c>
      <c r="AR494" s="185" t="str">
        <f>_xlfn.IFNA(VLOOKUP($AH494,Programma!$F$3:$P$1101,11,0),"")</f>
        <v>_</v>
      </c>
      <c r="AS494" s="185" t="str">
        <f>_xlfn.IFNA(VLOOKUP($AH494,Programma!$F$3:$Q$1101,12,0),"")</f>
        <v>_</v>
      </c>
      <c r="AT494" s="185" t="str">
        <f>_xlfn.IFNA(VLOOKUP($AH494,Programma!$F$3:$R$1101,13,0),"")</f>
        <v>_</v>
      </c>
      <c r="AU494" s="185" t="str">
        <f>_xlfn.IFNA(VLOOKUP($AH494,Programma!$F$3:$S$1101,14,0),"")</f>
        <v>_</v>
      </c>
      <c r="AV494" s="185" t="str">
        <f>_xlfn.IFNA(VLOOKUP($AH494,Programma!$F$3:$T$1101,15,0),"")</f>
        <v>_</v>
      </c>
      <c r="AW494" s="185" t="str">
        <f>_xlfn.IFNA(VLOOKUP($AH494,Programma!$F$3:$U$1101,16,0),"")</f>
        <v>_</v>
      </c>
      <c r="AX494" s="185" t="str">
        <f>_xlfn.IFNA(VLOOKUP($AH494,Programma!$F$3:$V$1101,17,0),"")</f>
        <v>_</v>
      </c>
      <c r="AY494" s="185" t="str">
        <f>_xlfn.IFNA(VLOOKUP($AH494,Programma!$F$3:$W$1101,18,0),"")</f>
        <v>4w</v>
      </c>
      <c r="AZ494" s="185" t="str">
        <f>_xlfn.IFNA(VLOOKUP($AH494,Programma!$F$3:$X$1101,19,0),"")</f>
        <v>1w</v>
      </c>
      <c r="BA494" s="185" t="str">
        <f>_xlfn.IFNA(VLOOKUP($AH494,Programma!$F$3:$Y$1101,20,0),"")</f>
        <v>_</v>
      </c>
      <c r="BB494" s="182"/>
      <c r="BC494" s="181" t="str">
        <f>IF(Ruimtestaat[[#This Row],[Frequentie weekend]]="","",_xlfn.CONCAT(Ruimtestaat[[#This Row],[Ruimte code]],"-",Ruimtestaat[[#This Row],[Frequentie weekend]]," ",Ruimtestaat[[#This Row],[Vloer code]]))</f>
        <v/>
      </c>
      <c r="BD494" s="185" t="str">
        <f>_xlfn.IFNA(VLOOKUP($BC494,Programma!$F$3:$G$1101,2,0),"")</f>
        <v/>
      </c>
      <c r="BE494" s="185" t="str">
        <f>_xlfn.IFNA(VLOOKUP($BC494,Programma!$F$3:$H$1101,3,0),"")</f>
        <v/>
      </c>
      <c r="BF494" s="185" t="str">
        <f>_xlfn.IFNA(VLOOKUP($BC494,Programma!$F$3:$I$1101,4,0),"")</f>
        <v/>
      </c>
      <c r="BG494" s="185" t="str">
        <f>_xlfn.IFNA(VLOOKUP($BC494,Programma!$F$3:$J$1101,5,0),"")</f>
        <v/>
      </c>
      <c r="BH494" s="185" t="str">
        <f>_xlfn.IFNA(VLOOKUP($BC494,Programma!$F$3:$K$1101,6,0),"")</f>
        <v/>
      </c>
      <c r="BI494" s="185" t="str">
        <f>_xlfn.IFNA(VLOOKUP($BC494,Programma!$F$3:$L$1101,7,0),"")</f>
        <v/>
      </c>
      <c r="BJ494" s="185" t="str">
        <f>_xlfn.IFNA(VLOOKUP($BC494,Programma!$F$3:$M$1101,8,0),"")</f>
        <v/>
      </c>
      <c r="BK494" s="185" t="str">
        <f>_xlfn.IFNA(VLOOKUP($BC494,Programma!$F$3:$N$1101,9,0),"")</f>
        <v/>
      </c>
      <c r="BL494" s="185" t="str">
        <f>_xlfn.IFNA(VLOOKUP($BC494,Programma!$F$3:$O$1101,10,0),"")</f>
        <v/>
      </c>
      <c r="BM494" s="185" t="str">
        <f>_xlfn.IFNA(VLOOKUP($BC494,Programma!$F$3:$P$1101,11,0),"")</f>
        <v/>
      </c>
      <c r="BN494" s="185" t="str">
        <f>_xlfn.IFNA(VLOOKUP($BC494,Programma!$F$3:$Q$1101,12,0),"")</f>
        <v/>
      </c>
      <c r="BO494" s="185" t="str">
        <f>_xlfn.IFNA(VLOOKUP($BC494,Programma!$F$3:$R$1101,13,0),"")</f>
        <v/>
      </c>
      <c r="BP494" s="185" t="str">
        <f>_xlfn.IFNA(VLOOKUP($BC494,Programma!$F$3:$S$1101,14,0),"")</f>
        <v/>
      </c>
      <c r="BQ494" s="185" t="str">
        <f>_xlfn.IFNA(VLOOKUP($BC494,Programma!$F$3:$T$1101,15,0),"")</f>
        <v/>
      </c>
      <c r="BR494" s="185" t="str">
        <f>_xlfn.IFNA(VLOOKUP($BC494,Programma!$F$3:$U$1101,16,0),"")</f>
        <v/>
      </c>
      <c r="BS494" s="185" t="str">
        <f>_xlfn.IFNA(VLOOKUP($BC494,Programma!$F$3:$V$1101,17,0),"")</f>
        <v/>
      </c>
      <c r="BT494" s="185" t="str">
        <f>_xlfn.IFNA(VLOOKUP($BC494,Programma!$F$3:$W$1101,18,0),"")</f>
        <v/>
      </c>
      <c r="BU494" s="185" t="str">
        <f>_xlfn.IFNA(VLOOKUP($BC494,Programma!$F$3:$X$1101,19,0),"")</f>
        <v/>
      </c>
      <c r="BV494" s="185" t="str">
        <f>_xlfn.IFNA(VLOOKUP($BC494,Programma!$F$3:$Y$1101,20,0),"")</f>
        <v/>
      </c>
    </row>
    <row r="495" spans="1:74" s="78" customFormat="1" ht="15" customHeight="1">
      <c r="A495" s="99">
        <v>14</v>
      </c>
      <c r="B495" s="176" t="str">
        <f>VLOOKUP(Ruimtestaat[[#This Row],[Code]],Locaties[[Code]:[Locatie]],2,FALSE)</f>
        <v>Prinseschool Prinsestraat</v>
      </c>
      <c r="C495" s="176" t="str">
        <f>VLOOKUP(Ruimtestaat[[#This Row],[Code]],Locaties[[#All],[Code]:[Adres]],4,FALSE)</f>
        <v>Prinsestraat 10-10a </v>
      </c>
      <c r="D495" s="176" t="str">
        <f>VLOOKUP(Ruimtestaat[[#This Row],[Code]],Locaties[[#All],[Code]:[Postcode]],5,FALSE)</f>
        <v>7513 AL</v>
      </c>
      <c r="E495" s="176" t="str">
        <f>VLOOKUP(Ruimtestaat[[#This Row],[Code]],Locaties[#All],6,FALSE)</f>
        <v>Enschede</v>
      </c>
      <c r="F495" s="183"/>
      <c r="G495" s="99" t="s">
        <v>1714</v>
      </c>
      <c r="H495" s="99" t="s">
        <v>1736</v>
      </c>
      <c r="I495" s="183" t="s">
        <v>1658</v>
      </c>
      <c r="J495" s="99">
        <v>6</v>
      </c>
      <c r="K495" s="183" t="str">
        <f>VLOOKUP(Ruimtestaat[[#This Row],[Ruimte code]],Ruimtegroepen[[#All],[Code]:[Ruimte omschrijving]],2,FALSE)</f>
        <v>Gangen/hallen</v>
      </c>
      <c r="L495" s="99" t="s">
        <v>100</v>
      </c>
      <c r="M495" s="99" t="s">
        <v>1697</v>
      </c>
      <c r="N495" s="177">
        <v>34.4</v>
      </c>
      <c r="O495" s="177"/>
      <c r="P495" s="178" t="str">
        <f>VLOOKUP(Ruimtestaat[[#This Row],[Ruimte code]],Ruimtegroepen[],4,FALSE)</f>
        <v>Ve</v>
      </c>
      <c r="Q495" s="149">
        <v>40</v>
      </c>
      <c r="R495" s="149" t="s">
        <v>2</v>
      </c>
      <c r="S495" s="149">
        <f>IF(Q495&gt;0,IF(RIGHT(Ruimtestaat[[#This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5" s="149">
        <f>IF(S495&gt;0,VLOOKUP($J495,Ruimtegroepen[],3,FALSE)*VLOOKUP($L495,Vloersoorten[],3,FALSE)*VLOOKUP($R495,Frequenties[],3,FALSE)*VLOOKUP($A495,Locaties[],3,FALSE),0)</f>
        <v>0</v>
      </c>
      <c r="U495" s="149">
        <f>Ruimtestaat[[#This Row],[Uitvoeringen werkdagen]]*Ruimtestaat[[#This Row],[Oppervlak (netto)]]</f>
        <v>6880</v>
      </c>
      <c r="V495" s="179">
        <f>IF(T495&gt;0,Ruimtestaat[[#This Row],[Prest. (m2 /jaar) werkdagen]]/Ruimtestaat[[#This Row],[Norm (m2/uur) werkdagen]],0)</f>
        <v>0</v>
      </c>
      <c r="W495" s="180">
        <f>Ruimtestaat[[#This Row],[uren / jaar werkdagen]]*Tariefsopbouw!$E$35</f>
        <v>0</v>
      </c>
      <c r="X495" s="149"/>
      <c r="Y495" s="149">
        <f>IF(Ruimtestaat[[#This Row],[Frequentie weekend]]&gt;0,VALUE(LEFT(X495,1))*Q495,0)</f>
        <v>0</v>
      </c>
      <c r="Z495" s="148">
        <f>IF($Y495&gt;0,VLOOKUP($J495,Ruimtegroepen[],3,FALSE)*VLOOKUP($L495,Vloersoorten[],3,FALSE)*VLOOKUP($X495,Frequenties[],3,FALSE)*VLOOKUP(Ruimtestaat[[#This Row],[Code]],Locaties[],3,FALSE),0)</f>
        <v>0</v>
      </c>
      <c r="AA495" s="148">
        <f>Ruimtestaat[[#This Row],[Uitvoeringen weekend]]*Ruimtestaat[[#This Row],[Oppervlak (netto)]]</f>
        <v>0</v>
      </c>
      <c r="AB495" s="148">
        <f>IF(Z495&gt;0,Ruimtestaat[[#This Row],[Prest. (m2 /jaar) weekend]]/Ruimtestaat[[#This Row],[Norm (m2/uur) weekend]],0)</f>
        <v>0</v>
      </c>
      <c r="AC495" s="180">
        <f>Ruimtestaat[[#This Row],[uren / jaar weekend]]*Tariefsopbouw!$D$40</f>
        <v>0</v>
      </c>
      <c r="AD495" s="179">
        <f>Ruimtestaat[[#This Row],[Prest. (m2 /jaar) weekend]]+Ruimtestaat[[#This Row],[Prest. (m2 /jaar) werkdagen]]</f>
        <v>6880</v>
      </c>
      <c r="AE495" s="179">
        <f>Ruimtestaat[[#This Row],[uren / jaar weekend]]+Ruimtestaat[[#This Row],[uren / jaar werkdagen]]</f>
        <v>0</v>
      </c>
      <c r="AF495" s="174">
        <f>Ruimtestaat[[#This Row],[kosten / jaar weekend]]+Ruimtestaat[[#This Row],[kosten / jaar werkdagen]]</f>
        <v>0</v>
      </c>
      <c r="AG495" s="174"/>
      <c r="AH495" s="181" t="str">
        <f>IF(Ruimtestaat[[#This Row],[Frequentie werkdagen]]="","",_xlfn.CONCAT(Ruimtestaat[[#This Row],[Ruimte code]],"-",Ruimtestaat[[#This Row],[Frequentie werkdagen]]," ",Ruimtestaat[[#This Row],[Vloer code]]))</f>
        <v>6-5w L</v>
      </c>
      <c r="AI495" s="185" t="str">
        <f>_xlfn.IFNA(VLOOKUP($AH495,Programma!$F$3:$G$1101,2,0),"")</f>
        <v>_</v>
      </c>
      <c r="AJ495" s="185" t="str">
        <f>_xlfn.IFNA(VLOOKUP($AH495,Programma!$F$3:$H$1101,3,0),"")</f>
        <v>_</v>
      </c>
      <c r="AK495" s="185" t="str">
        <f>_xlfn.IFNA(VLOOKUP($AH495,Programma!$F$3:$I$1101,4,0),"")</f>
        <v>_</v>
      </c>
      <c r="AL495" s="185" t="str">
        <f>_xlfn.IFNA(VLOOKUP($AH495,Programma!$F$3:$J$1101,5,0),"")</f>
        <v>5w</v>
      </c>
      <c r="AM495" s="185" t="str">
        <f>_xlfn.IFNA(VLOOKUP($AH495,Programma!$F$3:$K$1101,6,0),"")</f>
        <v>_</v>
      </c>
      <c r="AN495" s="185" t="str">
        <f>_xlfn.IFNA(VLOOKUP($AH495,Programma!$F$3:$L$1101,7,0),"")</f>
        <v>_</v>
      </c>
      <c r="AO495" s="185" t="str">
        <f>_xlfn.IFNA(VLOOKUP($AH495,Programma!$F$3:$M$1101,8,0),"")</f>
        <v>_</v>
      </c>
      <c r="AP495" s="185" t="str">
        <f>_xlfn.IFNA(VLOOKUP($AH495,Programma!$F$3:$N$1101,9,0),"")</f>
        <v>_</v>
      </c>
      <c r="AQ495" s="185" t="str">
        <f>_xlfn.IFNA(VLOOKUP($AH495,Programma!$F$3:$O$1101,10,0),"")</f>
        <v>5w</v>
      </c>
      <c r="AR495" s="185" t="str">
        <f>_xlfn.IFNA(VLOOKUP($AH495,Programma!$F$3:$P$1101,11,0),"")</f>
        <v>5w</v>
      </c>
      <c r="AS495" s="185" t="str">
        <f>_xlfn.IFNA(VLOOKUP($AH495,Programma!$F$3:$Q$1101,12,0),"")</f>
        <v>1w</v>
      </c>
      <c r="AT495" s="185" t="str">
        <f>_xlfn.IFNA(VLOOKUP($AH495,Programma!$F$3:$R$1101,13,0),"")</f>
        <v>1w</v>
      </c>
      <c r="AU495" s="185" t="str">
        <f>_xlfn.IFNA(VLOOKUP($AH495,Programma!$F$3:$S$1101,14,0),"")</f>
        <v>1m</v>
      </c>
      <c r="AV495" s="185" t="str">
        <f>_xlfn.IFNA(VLOOKUP($AH495,Programma!$F$3:$T$1101,15,0),"")</f>
        <v>2j</v>
      </c>
      <c r="AW495" s="185" t="str">
        <f>_xlfn.IFNA(VLOOKUP($AH495,Programma!$F$3:$U$1101,16,0),"")</f>
        <v>1j</v>
      </c>
      <c r="AX495" s="185" t="str">
        <f>_xlfn.IFNA(VLOOKUP($AH495,Programma!$F$3:$V$1101,17,0),"")</f>
        <v>_</v>
      </c>
      <c r="AY495" s="185" t="str">
        <f>_xlfn.IFNA(VLOOKUP($AH495,Programma!$F$3:$W$1101,18,0),"")</f>
        <v>_</v>
      </c>
      <c r="AZ495" s="185" t="str">
        <f>_xlfn.IFNA(VLOOKUP($AH495,Programma!$F$3:$X$1101,19,0),"")</f>
        <v>_</v>
      </c>
      <c r="BA495" s="185" t="str">
        <f>_xlfn.IFNA(VLOOKUP($AH495,Programma!$F$3:$Y$1101,20,0),"")</f>
        <v>_</v>
      </c>
      <c r="BB495" s="182"/>
      <c r="BC495" s="181" t="str">
        <f>IF(Ruimtestaat[[#This Row],[Frequentie weekend]]="","",_xlfn.CONCAT(Ruimtestaat[[#This Row],[Ruimte code]],"-",Ruimtestaat[[#This Row],[Frequentie weekend]]," ",Ruimtestaat[[#This Row],[Vloer code]]))</f>
        <v/>
      </c>
      <c r="BD495" s="185" t="str">
        <f>_xlfn.IFNA(VLOOKUP($BC495,Programma!$F$3:$G$1101,2,0),"")</f>
        <v/>
      </c>
      <c r="BE495" s="185" t="str">
        <f>_xlfn.IFNA(VLOOKUP($BC495,Programma!$F$3:$H$1101,3,0),"")</f>
        <v/>
      </c>
      <c r="BF495" s="185" t="str">
        <f>_xlfn.IFNA(VLOOKUP($BC495,Programma!$F$3:$I$1101,4,0),"")</f>
        <v/>
      </c>
      <c r="BG495" s="185" t="str">
        <f>_xlfn.IFNA(VLOOKUP($BC495,Programma!$F$3:$J$1101,5,0),"")</f>
        <v/>
      </c>
      <c r="BH495" s="185" t="str">
        <f>_xlfn.IFNA(VLOOKUP($BC495,Programma!$F$3:$K$1101,6,0),"")</f>
        <v/>
      </c>
      <c r="BI495" s="185" t="str">
        <f>_xlfn.IFNA(VLOOKUP($BC495,Programma!$F$3:$L$1101,7,0),"")</f>
        <v/>
      </c>
      <c r="BJ495" s="185" t="str">
        <f>_xlfn.IFNA(VLOOKUP($BC495,Programma!$F$3:$M$1101,8,0),"")</f>
        <v/>
      </c>
      <c r="BK495" s="185" t="str">
        <f>_xlfn.IFNA(VLOOKUP($BC495,Programma!$F$3:$N$1101,9,0),"")</f>
        <v/>
      </c>
      <c r="BL495" s="185" t="str">
        <f>_xlfn.IFNA(VLOOKUP($BC495,Programma!$F$3:$O$1101,10,0),"")</f>
        <v/>
      </c>
      <c r="BM495" s="185" t="str">
        <f>_xlfn.IFNA(VLOOKUP($BC495,Programma!$F$3:$P$1101,11,0),"")</f>
        <v/>
      </c>
      <c r="BN495" s="185" t="str">
        <f>_xlfn.IFNA(VLOOKUP($BC495,Programma!$F$3:$Q$1101,12,0),"")</f>
        <v/>
      </c>
      <c r="BO495" s="185" t="str">
        <f>_xlfn.IFNA(VLOOKUP($BC495,Programma!$F$3:$R$1101,13,0),"")</f>
        <v/>
      </c>
      <c r="BP495" s="185" t="str">
        <f>_xlfn.IFNA(VLOOKUP($BC495,Programma!$F$3:$S$1101,14,0),"")</f>
        <v/>
      </c>
      <c r="BQ495" s="185" t="str">
        <f>_xlfn.IFNA(VLOOKUP($BC495,Programma!$F$3:$T$1101,15,0),"")</f>
        <v/>
      </c>
      <c r="BR495" s="185" t="str">
        <f>_xlfn.IFNA(VLOOKUP($BC495,Programma!$F$3:$U$1101,16,0),"")</f>
        <v/>
      </c>
      <c r="BS495" s="185" t="str">
        <f>_xlfn.IFNA(VLOOKUP($BC495,Programma!$F$3:$V$1101,17,0),"")</f>
        <v/>
      </c>
      <c r="BT495" s="185" t="str">
        <f>_xlfn.IFNA(VLOOKUP($BC495,Programma!$F$3:$W$1101,18,0),"")</f>
        <v/>
      </c>
      <c r="BU495" s="185" t="str">
        <f>_xlfn.IFNA(VLOOKUP($BC495,Programma!$F$3:$X$1101,19,0),"")</f>
        <v/>
      </c>
      <c r="BV495" s="185" t="str">
        <f>_xlfn.IFNA(VLOOKUP($BC495,Programma!$F$3:$Y$1101,20,0),"")</f>
        <v/>
      </c>
    </row>
    <row r="496" spans="1:74" s="78" customFormat="1" ht="15" customHeight="1">
      <c r="A496" s="99">
        <v>14</v>
      </c>
      <c r="B496" s="176" t="str">
        <f>VLOOKUP(Ruimtestaat[[#This Row],[Code]],Locaties[[Code]:[Locatie]],2,FALSE)</f>
        <v>Prinseschool Prinsestraat</v>
      </c>
      <c r="C496" s="176" t="str">
        <f>VLOOKUP(Ruimtestaat[[#This Row],[Code]],Locaties[[#All],[Code]:[Adres]],4,FALSE)</f>
        <v>Prinsestraat 10-10a </v>
      </c>
      <c r="D496" s="176" t="str">
        <f>VLOOKUP(Ruimtestaat[[#This Row],[Code]],Locaties[[#All],[Code]:[Postcode]],5,FALSE)</f>
        <v>7513 AL</v>
      </c>
      <c r="E496" s="176" t="str">
        <f>VLOOKUP(Ruimtestaat[[#This Row],[Code]],Locaties[#All],6,FALSE)</f>
        <v>Enschede</v>
      </c>
      <c r="F496" s="183"/>
      <c r="G496" s="99" t="s">
        <v>1760</v>
      </c>
      <c r="H496" s="99" t="s">
        <v>1761</v>
      </c>
      <c r="I496" s="183" t="s">
        <v>38</v>
      </c>
      <c r="J496" s="99">
        <v>7</v>
      </c>
      <c r="K496" s="183" t="str">
        <f>VLOOKUP(Ruimtestaat[[#This Row],[Ruimte code]],Ruimtegroepen[[#All],[Code]:[Ruimte omschrijving]],2,FALSE)</f>
        <v>Entree</v>
      </c>
      <c r="L496" s="99" t="s">
        <v>99</v>
      </c>
      <c r="M496" s="99" t="s">
        <v>1700</v>
      </c>
      <c r="N496" s="177">
        <v>6</v>
      </c>
      <c r="O496" s="177"/>
      <c r="P496" s="178" t="str">
        <f>VLOOKUP(Ruimtestaat[[#This Row],[Ruimte code]],Ruimtegroepen[],4,FALSE)</f>
        <v>Ve</v>
      </c>
      <c r="Q496" s="149">
        <v>40</v>
      </c>
      <c r="R496" s="149" t="s">
        <v>2</v>
      </c>
      <c r="S496" s="149">
        <f>IF(Q496&gt;0,IF(RIGHT(Ruimtestaat[[#This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6" s="149">
        <f>IF(S496&gt;0,VLOOKUP($J496,Ruimtegroepen[],3,FALSE)*VLOOKUP($L496,Vloersoorten[],3,FALSE)*VLOOKUP($R496,Frequenties[],3,FALSE)*VLOOKUP($A496,Locaties[],3,FALSE),0)</f>
        <v>0</v>
      </c>
      <c r="U496" s="149">
        <f>Ruimtestaat[[#This Row],[Uitvoeringen werkdagen]]*Ruimtestaat[[#This Row],[Oppervlak (netto)]]</f>
        <v>1200</v>
      </c>
      <c r="V496" s="179">
        <f>IF(T496&gt;0,Ruimtestaat[[#This Row],[Prest. (m2 /jaar) werkdagen]]/Ruimtestaat[[#This Row],[Norm (m2/uur) werkdagen]],0)</f>
        <v>0</v>
      </c>
      <c r="W496" s="180">
        <f>Ruimtestaat[[#This Row],[uren / jaar werkdagen]]*Tariefsopbouw!$E$35</f>
        <v>0</v>
      </c>
      <c r="X496" s="149"/>
      <c r="Y496" s="149">
        <f>IF(Ruimtestaat[[#This Row],[Frequentie weekend]]&gt;0,VALUE(LEFT(X496,1))*Q496,0)</f>
        <v>0</v>
      </c>
      <c r="Z496" s="148">
        <f>IF($Y496&gt;0,VLOOKUP($J496,Ruimtegroepen[],3,FALSE)*VLOOKUP($L496,Vloersoorten[],3,FALSE)*VLOOKUP($X496,Frequenties[],3,FALSE)*VLOOKUP(Ruimtestaat[[#This Row],[Code]],Locaties[],3,FALSE),0)</f>
        <v>0</v>
      </c>
      <c r="AA496" s="148">
        <f>Ruimtestaat[[#This Row],[Uitvoeringen weekend]]*Ruimtestaat[[#This Row],[Oppervlak (netto)]]</f>
        <v>0</v>
      </c>
      <c r="AB496" s="148">
        <f>IF(Z496&gt;0,Ruimtestaat[[#This Row],[Prest. (m2 /jaar) weekend]]/Ruimtestaat[[#This Row],[Norm (m2/uur) weekend]],0)</f>
        <v>0</v>
      </c>
      <c r="AC496" s="180">
        <f>Ruimtestaat[[#This Row],[uren / jaar weekend]]*Tariefsopbouw!$D$40</f>
        <v>0</v>
      </c>
      <c r="AD496" s="179">
        <f>Ruimtestaat[[#This Row],[Prest. (m2 /jaar) weekend]]+Ruimtestaat[[#This Row],[Prest. (m2 /jaar) werkdagen]]</f>
        <v>1200</v>
      </c>
      <c r="AE496" s="179">
        <f>Ruimtestaat[[#This Row],[uren / jaar weekend]]+Ruimtestaat[[#This Row],[uren / jaar werkdagen]]</f>
        <v>0</v>
      </c>
      <c r="AF496" s="174">
        <f>Ruimtestaat[[#This Row],[kosten / jaar weekend]]+Ruimtestaat[[#This Row],[kosten / jaar werkdagen]]</f>
        <v>0</v>
      </c>
      <c r="AG496" s="174"/>
      <c r="AH496" s="181" t="str">
        <f>IF(Ruimtestaat[[#This Row],[Frequentie werkdagen]]="","",_xlfn.CONCAT(Ruimtestaat[[#This Row],[Ruimte code]],"-",Ruimtestaat[[#This Row],[Frequentie werkdagen]]," ",Ruimtestaat[[#This Row],[Vloer code]]))</f>
        <v>7-5w T</v>
      </c>
      <c r="AI496" s="185" t="str">
        <f>_xlfn.IFNA(VLOOKUP($AH496,Programma!$F$3:$G$1101,2,0),"")</f>
        <v>_</v>
      </c>
      <c r="AJ496" s="185" t="str">
        <f>_xlfn.IFNA(VLOOKUP($AH496,Programma!$F$3:$H$1101,3,0),"")</f>
        <v>5w</v>
      </c>
      <c r="AK496" s="185" t="str">
        <f>_xlfn.IFNA(VLOOKUP($AH496,Programma!$F$3:$I$1101,4,0),"")</f>
        <v>_</v>
      </c>
      <c r="AL496" s="185" t="str">
        <f>_xlfn.IFNA(VLOOKUP($AH496,Programma!$F$3:$J$1101,5,0),"")</f>
        <v>_</v>
      </c>
      <c r="AM496" s="185" t="str">
        <f>_xlfn.IFNA(VLOOKUP($AH496,Programma!$F$3:$K$1101,6,0),"")</f>
        <v>_</v>
      </c>
      <c r="AN496" s="185" t="str">
        <f>_xlfn.IFNA(VLOOKUP($AH496,Programma!$F$3:$L$1101,7,0),"")</f>
        <v>_</v>
      </c>
      <c r="AO496" s="185" t="str">
        <f>_xlfn.IFNA(VLOOKUP($AH496,Programma!$F$3:$M$1101,8,0),"")</f>
        <v>_</v>
      </c>
      <c r="AP496" s="185" t="str">
        <f>_xlfn.IFNA(VLOOKUP($AH496,Programma!$F$3:$N$1101,9,0),"")</f>
        <v>_</v>
      </c>
      <c r="AQ496" s="185" t="str">
        <f>_xlfn.IFNA(VLOOKUP($AH496,Programma!$F$3:$O$1101,10,0),"")</f>
        <v>5w</v>
      </c>
      <c r="AR496" s="185" t="str">
        <f>_xlfn.IFNA(VLOOKUP($AH496,Programma!$F$3:$P$1101,11,0),"")</f>
        <v>5w</v>
      </c>
      <c r="AS496" s="185" t="str">
        <f>_xlfn.IFNA(VLOOKUP($AH496,Programma!$F$3:$Q$1101,12,0),"")</f>
        <v>1w</v>
      </c>
      <c r="AT496" s="185" t="str">
        <f>_xlfn.IFNA(VLOOKUP($AH496,Programma!$F$3:$R$1101,13,0),"")</f>
        <v>1w</v>
      </c>
      <c r="AU496" s="185" t="str">
        <f>_xlfn.IFNA(VLOOKUP($AH496,Programma!$F$3:$S$1101,14,0),"")</f>
        <v>1m</v>
      </c>
      <c r="AV496" s="185" t="str">
        <f>_xlfn.IFNA(VLOOKUP($AH496,Programma!$F$3:$T$1101,15,0),"")</f>
        <v>2j</v>
      </c>
      <c r="AW496" s="185" t="str">
        <f>_xlfn.IFNA(VLOOKUP($AH496,Programma!$F$3:$U$1101,16,0),"")</f>
        <v>1j</v>
      </c>
      <c r="AX496" s="185" t="str">
        <f>_xlfn.IFNA(VLOOKUP($AH496,Programma!$F$3:$V$1101,17,0),"")</f>
        <v>_</v>
      </c>
      <c r="AY496" s="185" t="str">
        <f>_xlfn.IFNA(VLOOKUP($AH496,Programma!$F$3:$W$1101,18,0),"")</f>
        <v>_</v>
      </c>
      <c r="AZ496" s="185" t="str">
        <f>_xlfn.IFNA(VLOOKUP($AH496,Programma!$F$3:$X$1101,19,0),"")</f>
        <v>_</v>
      </c>
      <c r="BA496" s="185" t="str">
        <f>_xlfn.IFNA(VLOOKUP($AH496,Programma!$F$3:$Y$1101,20,0),"")</f>
        <v>_</v>
      </c>
      <c r="BB496" s="182"/>
      <c r="BC496" s="181" t="str">
        <f>IF(Ruimtestaat[[#This Row],[Frequentie weekend]]="","",_xlfn.CONCAT(Ruimtestaat[[#This Row],[Ruimte code]],"-",Ruimtestaat[[#This Row],[Frequentie weekend]]," ",Ruimtestaat[[#This Row],[Vloer code]]))</f>
        <v/>
      </c>
      <c r="BD496" s="185" t="str">
        <f>_xlfn.IFNA(VLOOKUP($BC496,Programma!$F$3:$G$1101,2,0),"")</f>
        <v/>
      </c>
      <c r="BE496" s="185" t="str">
        <f>_xlfn.IFNA(VLOOKUP($BC496,Programma!$F$3:$H$1101,3,0),"")</f>
        <v/>
      </c>
      <c r="BF496" s="185" t="str">
        <f>_xlfn.IFNA(VLOOKUP($BC496,Programma!$F$3:$I$1101,4,0),"")</f>
        <v/>
      </c>
      <c r="BG496" s="185" t="str">
        <f>_xlfn.IFNA(VLOOKUP($BC496,Programma!$F$3:$J$1101,5,0),"")</f>
        <v/>
      </c>
      <c r="BH496" s="185" t="str">
        <f>_xlfn.IFNA(VLOOKUP($BC496,Programma!$F$3:$K$1101,6,0),"")</f>
        <v/>
      </c>
      <c r="BI496" s="185" t="str">
        <f>_xlfn.IFNA(VLOOKUP($BC496,Programma!$F$3:$L$1101,7,0),"")</f>
        <v/>
      </c>
      <c r="BJ496" s="185" t="str">
        <f>_xlfn.IFNA(VLOOKUP($BC496,Programma!$F$3:$M$1101,8,0),"")</f>
        <v/>
      </c>
      <c r="BK496" s="185" t="str">
        <f>_xlfn.IFNA(VLOOKUP($BC496,Programma!$F$3:$N$1101,9,0),"")</f>
        <v/>
      </c>
      <c r="BL496" s="185" t="str">
        <f>_xlfn.IFNA(VLOOKUP($BC496,Programma!$F$3:$O$1101,10,0),"")</f>
        <v/>
      </c>
      <c r="BM496" s="185" t="str">
        <f>_xlfn.IFNA(VLOOKUP($BC496,Programma!$F$3:$P$1101,11,0),"")</f>
        <v/>
      </c>
      <c r="BN496" s="185" t="str">
        <f>_xlfn.IFNA(VLOOKUP($BC496,Programma!$F$3:$Q$1101,12,0),"")</f>
        <v/>
      </c>
      <c r="BO496" s="185" t="str">
        <f>_xlfn.IFNA(VLOOKUP($BC496,Programma!$F$3:$R$1101,13,0),"")</f>
        <v/>
      </c>
      <c r="BP496" s="185" t="str">
        <f>_xlfn.IFNA(VLOOKUP($BC496,Programma!$F$3:$S$1101,14,0),"")</f>
        <v/>
      </c>
      <c r="BQ496" s="185" t="str">
        <f>_xlfn.IFNA(VLOOKUP($BC496,Programma!$F$3:$T$1101,15,0),"")</f>
        <v/>
      </c>
      <c r="BR496" s="185" t="str">
        <f>_xlfn.IFNA(VLOOKUP($BC496,Programma!$F$3:$U$1101,16,0),"")</f>
        <v/>
      </c>
      <c r="BS496" s="185" t="str">
        <f>_xlfn.IFNA(VLOOKUP($BC496,Programma!$F$3:$V$1101,17,0),"")</f>
        <v/>
      </c>
      <c r="BT496" s="185" t="str">
        <f>_xlfn.IFNA(VLOOKUP($BC496,Programma!$F$3:$W$1101,18,0),"")</f>
        <v/>
      </c>
      <c r="BU496" s="185" t="str">
        <f>_xlfn.IFNA(VLOOKUP($BC496,Programma!$F$3:$X$1101,19,0),"")</f>
        <v/>
      </c>
      <c r="BV496" s="185" t="str">
        <f>_xlfn.IFNA(VLOOKUP($BC496,Programma!$F$3:$Y$1101,20,0),"")</f>
        <v/>
      </c>
    </row>
    <row r="497" spans="1:74" s="78" customFormat="1" ht="15" customHeight="1">
      <c r="A497" s="99">
        <v>14</v>
      </c>
      <c r="B497" s="176" t="str">
        <f>VLOOKUP(Ruimtestaat[[#This Row],[Code]],Locaties[[Code]:[Locatie]],2,FALSE)</f>
        <v>Prinseschool Prinsestraat</v>
      </c>
      <c r="C497" s="176" t="str">
        <f>VLOOKUP(Ruimtestaat[[#This Row],[Code]],Locaties[[#All],[Code]:[Adres]],4,FALSE)</f>
        <v>Prinsestraat 10-10a </v>
      </c>
      <c r="D497" s="176" t="str">
        <f>VLOOKUP(Ruimtestaat[[#This Row],[Code]],Locaties[[#All],[Code]:[Postcode]],5,FALSE)</f>
        <v>7513 AL</v>
      </c>
      <c r="E497" s="176" t="str">
        <f>VLOOKUP(Ruimtestaat[[#This Row],[Code]],Locaties[#All],6,FALSE)</f>
        <v>Enschede</v>
      </c>
      <c r="F497" s="183"/>
      <c r="G497" s="99" t="s">
        <v>1760</v>
      </c>
      <c r="H497" s="99" t="s">
        <v>1762</v>
      </c>
      <c r="I497" s="183" t="s">
        <v>1585</v>
      </c>
      <c r="J497" s="99">
        <v>13</v>
      </c>
      <c r="K497" s="183" t="str">
        <f>VLOOKUP(Ruimtestaat[[#This Row],[Ruimte code]],Ruimtegroepen[[#All],[Code]:[Ruimte omschrijving]],2,FALSE)</f>
        <v>Personeelskamer</v>
      </c>
      <c r="L497" s="99" t="s">
        <v>99</v>
      </c>
      <c r="M497" s="99" t="s">
        <v>36</v>
      </c>
      <c r="N497" s="177">
        <v>57</v>
      </c>
      <c r="O497" s="177"/>
      <c r="P497" s="178" t="str">
        <f>VLOOKUP(Ruimtestaat[[#This Row],[Ruimte code]],Ruimtegroepen[],4,FALSE)</f>
        <v>Ve</v>
      </c>
      <c r="Q497" s="149">
        <v>40</v>
      </c>
      <c r="R497" s="149" t="s">
        <v>18</v>
      </c>
      <c r="S497" s="149">
        <f>IF(Q497&gt;0,IF(RIGHT(Ruimtestaat[[#This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497" s="149">
        <f>IF(S497&gt;0,VLOOKUP($J497,Ruimtegroepen[],3,FALSE)*VLOOKUP($L497,Vloersoorten[],3,FALSE)*VLOOKUP($R497,Frequenties[],3,FALSE)*VLOOKUP($A497,Locaties[],3,FALSE),0)</f>
        <v>0</v>
      </c>
      <c r="U497" s="149">
        <f>Ruimtestaat[[#This Row],[Uitvoeringen werkdagen]]*Ruimtestaat[[#This Row],[Oppervlak (netto)]]</f>
        <v>6840</v>
      </c>
      <c r="V497" s="179">
        <f>IF(T497&gt;0,Ruimtestaat[[#This Row],[Prest. (m2 /jaar) werkdagen]]/Ruimtestaat[[#This Row],[Norm (m2/uur) werkdagen]],0)</f>
        <v>0</v>
      </c>
      <c r="W497" s="180">
        <f>Ruimtestaat[[#This Row],[uren / jaar werkdagen]]*Tariefsopbouw!$E$35</f>
        <v>0</v>
      </c>
      <c r="X497" s="149"/>
      <c r="Y497" s="149">
        <f>IF(Ruimtestaat[[#This Row],[Frequentie weekend]]&gt;0,VALUE(LEFT(X497,1))*Q497,0)</f>
        <v>0</v>
      </c>
      <c r="Z497" s="148">
        <f>IF($Y497&gt;0,VLOOKUP($J497,Ruimtegroepen[],3,FALSE)*VLOOKUP($L497,Vloersoorten[],3,FALSE)*VLOOKUP($X497,Frequenties[],3,FALSE)*VLOOKUP(Ruimtestaat[[#This Row],[Code]],Locaties[],3,FALSE),0)</f>
        <v>0</v>
      </c>
      <c r="AA497" s="148">
        <f>Ruimtestaat[[#This Row],[Uitvoeringen weekend]]*Ruimtestaat[[#This Row],[Oppervlak (netto)]]</f>
        <v>0</v>
      </c>
      <c r="AB497" s="148">
        <f>IF(Z497&gt;0,Ruimtestaat[[#This Row],[Prest. (m2 /jaar) weekend]]/Ruimtestaat[[#This Row],[Norm (m2/uur) weekend]],0)</f>
        <v>0</v>
      </c>
      <c r="AC497" s="180">
        <f>Ruimtestaat[[#This Row],[uren / jaar weekend]]*Tariefsopbouw!$D$40</f>
        <v>0</v>
      </c>
      <c r="AD497" s="179">
        <f>Ruimtestaat[[#This Row],[Prest. (m2 /jaar) weekend]]+Ruimtestaat[[#This Row],[Prest. (m2 /jaar) werkdagen]]</f>
        <v>6840</v>
      </c>
      <c r="AE497" s="179">
        <f>Ruimtestaat[[#This Row],[uren / jaar weekend]]+Ruimtestaat[[#This Row],[uren / jaar werkdagen]]</f>
        <v>0</v>
      </c>
      <c r="AF497" s="174">
        <f>Ruimtestaat[[#This Row],[kosten / jaar weekend]]+Ruimtestaat[[#This Row],[kosten / jaar werkdagen]]</f>
        <v>0</v>
      </c>
      <c r="AG497" s="174"/>
      <c r="AH497" s="181" t="str">
        <f>IF(Ruimtestaat[[#This Row],[Frequentie werkdagen]]="","",_xlfn.CONCAT(Ruimtestaat[[#This Row],[Ruimte code]],"-",Ruimtestaat[[#This Row],[Frequentie werkdagen]]," ",Ruimtestaat[[#This Row],[Vloer code]]))</f>
        <v>13-3w T</v>
      </c>
      <c r="AI497" s="185" t="str">
        <f>_xlfn.IFNA(VLOOKUP($AH497,Programma!$F$3:$G$1101,2,0),"")</f>
        <v>2w</v>
      </c>
      <c r="AJ497" s="185" t="str">
        <f>_xlfn.IFNA(VLOOKUP($AH497,Programma!$F$3:$H$1101,3,0),"")</f>
        <v>1w</v>
      </c>
      <c r="AK497" s="185" t="str">
        <f>_xlfn.IFNA(VLOOKUP($AH497,Programma!$F$3:$I$1101,4,0),"")</f>
        <v>_</v>
      </c>
      <c r="AL497" s="185" t="str">
        <f>_xlfn.IFNA(VLOOKUP($AH497,Programma!$F$3:$J$1101,5,0),"")</f>
        <v>_</v>
      </c>
      <c r="AM497" s="185" t="str">
        <f>_xlfn.IFNA(VLOOKUP($AH497,Programma!$F$3:$K$1101,6,0),"")</f>
        <v>_</v>
      </c>
      <c r="AN497" s="185" t="str">
        <f>_xlfn.IFNA(VLOOKUP($AH497,Programma!$F$3:$L$1101,7,0),"")</f>
        <v>_</v>
      </c>
      <c r="AO497" s="185" t="str">
        <f>_xlfn.IFNA(VLOOKUP($AH497,Programma!$F$3:$M$1101,8,0),"")</f>
        <v>_</v>
      </c>
      <c r="AP497" s="185" t="str">
        <f>_xlfn.IFNA(VLOOKUP($AH497,Programma!$F$3:$N$1101,9,0),"")</f>
        <v>_</v>
      </c>
      <c r="AQ497" s="185" t="str">
        <f>_xlfn.IFNA(VLOOKUP($AH497,Programma!$F$3:$O$1101,10,0),"")</f>
        <v>3w</v>
      </c>
      <c r="AR497" s="185" t="str">
        <f>_xlfn.IFNA(VLOOKUP($AH497,Programma!$F$3:$P$1101,11,0),"")</f>
        <v>3w</v>
      </c>
      <c r="AS497" s="185" t="str">
        <f>_xlfn.IFNA(VLOOKUP($AH497,Programma!$F$3:$Q$1101,12,0),"")</f>
        <v>1w</v>
      </c>
      <c r="AT497" s="185" t="str">
        <f>_xlfn.IFNA(VLOOKUP($AH497,Programma!$F$3:$R$1101,13,0),"")</f>
        <v>1w</v>
      </c>
      <c r="AU497" s="185" t="str">
        <f>_xlfn.IFNA(VLOOKUP($AH497,Programma!$F$3:$S$1101,14,0),"")</f>
        <v>1m</v>
      </c>
      <c r="AV497" s="185" t="str">
        <f>_xlfn.IFNA(VLOOKUP($AH497,Programma!$F$3:$T$1101,15,0),"")</f>
        <v>2j</v>
      </c>
      <c r="AW497" s="185" t="str">
        <f>_xlfn.IFNA(VLOOKUP($AH497,Programma!$F$3:$U$1101,16,0),"")</f>
        <v>1j</v>
      </c>
      <c r="AX497" s="185" t="str">
        <f>_xlfn.IFNA(VLOOKUP($AH497,Programma!$F$3:$V$1101,17,0),"")</f>
        <v>_</v>
      </c>
      <c r="AY497" s="185" t="str">
        <f>_xlfn.IFNA(VLOOKUP($AH497,Programma!$F$3:$W$1101,18,0),"")</f>
        <v>_</v>
      </c>
      <c r="AZ497" s="185" t="str">
        <f>_xlfn.IFNA(VLOOKUP($AH497,Programma!$F$3:$X$1101,19,0),"")</f>
        <v>_</v>
      </c>
      <c r="BA497" s="185" t="str">
        <f>_xlfn.IFNA(VLOOKUP($AH497,Programma!$F$3:$Y$1101,20,0),"")</f>
        <v>_</v>
      </c>
      <c r="BB497" s="182"/>
      <c r="BC497" s="181" t="str">
        <f>IF(Ruimtestaat[[#This Row],[Frequentie weekend]]="","",_xlfn.CONCAT(Ruimtestaat[[#This Row],[Ruimte code]],"-",Ruimtestaat[[#This Row],[Frequentie weekend]]," ",Ruimtestaat[[#This Row],[Vloer code]]))</f>
        <v/>
      </c>
      <c r="BD497" s="185" t="str">
        <f>_xlfn.IFNA(VLOOKUP($BC497,Programma!$F$3:$G$1101,2,0),"")</f>
        <v/>
      </c>
      <c r="BE497" s="185" t="str">
        <f>_xlfn.IFNA(VLOOKUP($BC497,Programma!$F$3:$H$1101,3,0),"")</f>
        <v/>
      </c>
      <c r="BF497" s="185" t="str">
        <f>_xlfn.IFNA(VLOOKUP($BC497,Programma!$F$3:$I$1101,4,0),"")</f>
        <v/>
      </c>
      <c r="BG497" s="185" t="str">
        <f>_xlfn.IFNA(VLOOKUP($BC497,Programma!$F$3:$J$1101,5,0),"")</f>
        <v/>
      </c>
      <c r="BH497" s="185" t="str">
        <f>_xlfn.IFNA(VLOOKUP($BC497,Programma!$F$3:$K$1101,6,0),"")</f>
        <v/>
      </c>
      <c r="BI497" s="185" t="str">
        <f>_xlfn.IFNA(VLOOKUP($BC497,Programma!$F$3:$L$1101,7,0),"")</f>
        <v/>
      </c>
      <c r="BJ497" s="185" t="str">
        <f>_xlfn.IFNA(VLOOKUP($BC497,Programma!$F$3:$M$1101,8,0),"")</f>
        <v/>
      </c>
      <c r="BK497" s="185" t="str">
        <f>_xlfn.IFNA(VLOOKUP($BC497,Programma!$F$3:$N$1101,9,0),"")</f>
        <v/>
      </c>
      <c r="BL497" s="185" t="str">
        <f>_xlfn.IFNA(VLOOKUP($BC497,Programma!$F$3:$O$1101,10,0),"")</f>
        <v/>
      </c>
      <c r="BM497" s="185" t="str">
        <f>_xlfn.IFNA(VLOOKUP($BC497,Programma!$F$3:$P$1101,11,0),"")</f>
        <v/>
      </c>
      <c r="BN497" s="185" t="str">
        <f>_xlfn.IFNA(VLOOKUP($BC497,Programma!$F$3:$Q$1101,12,0),"")</f>
        <v/>
      </c>
      <c r="BO497" s="185" t="str">
        <f>_xlfn.IFNA(VLOOKUP($BC497,Programma!$F$3:$R$1101,13,0),"")</f>
        <v/>
      </c>
      <c r="BP497" s="185" t="str">
        <f>_xlfn.IFNA(VLOOKUP($BC497,Programma!$F$3:$S$1101,14,0),"")</f>
        <v/>
      </c>
      <c r="BQ497" s="185" t="str">
        <f>_xlfn.IFNA(VLOOKUP($BC497,Programma!$F$3:$T$1101,15,0),"")</f>
        <v/>
      </c>
      <c r="BR497" s="185" t="str">
        <f>_xlfn.IFNA(VLOOKUP($BC497,Programma!$F$3:$U$1101,16,0),"")</f>
        <v/>
      </c>
      <c r="BS497" s="185" t="str">
        <f>_xlfn.IFNA(VLOOKUP($BC497,Programma!$F$3:$V$1101,17,0),"")</f>
        <v/>
      </c>
      <c r="BT497" s="185" t="str">
        <f>_xlfn.IFNA(VLOOKUP($BC497,Programma!$F$3:$W$1101,18,0),"")</f>
        <v/>
      </c>
      <c r="BU497" s="185" t="str">
        <f>_xlfn.IFNA(VLOOKUP($BC497,Programma!$F$3:$X$1101,19,0),"")</f>
        <v/>
      </c>
      <c r="BV497" s="185" t="str">
        <f>_xlfn.IFNA(VLOOKUP($BC497,Programma!$F$3:$Y$1101,20,0),"")</f>
        <v/>
      </c>
    </row>
    <row r="498" spans="1:74" s="78" customFormat="1" ht="15" customHeight="1">
      <c r="A498" s="99">
        <v>14</v>
      </c>
      <c r="B498" s="176" t="str">
        <f>VLOOKUP(Ruimtestaat[[#This Row],[Code]],Locaties[[Code]:[Locatie]],2,FALSE)</f>
        <v>Prinseschool Prinsestraat</v>
      </c>
      <c r="C498" s="176" t="str">
        <f>VLOOKUP(Ruimtestaat[[#This Row],[Code]],Locaties[[#All],[Code]:[Adres]],4,FALSE)</f>
        <v>Prinsestraat 10-10a </v>
      </c>
      <c r="D498" s="176" t="str">
        <f>VLOOKUP(Ruimtestaat[[#This Row],[Code]],Locaties[[#All],[Code]:[Postcode]],5,FALSE)</f>
        <v>7513 AL</v>
      </c>
      <c r="E498" s="176" t="str">
        <f>VLOOKUP(Ruimtestaat[[#This Row],[Code]],Locaties[#All],6,FALSE)</f>
        <v>Enschede</v>
      </c>
      <c r="F498" s="183"/>
      <c r="G498" s="99" t="s">
        <v>1760</v>
      </c>
      <c r="H498" s="99" t="s">
        <v>1763</v>
      </c>
      <c r="I498" s="183" t="s">
        <v>1651</v>
      </c>
      <c r="J498" s="99">
        <v>16</v>
      </c>
      <c r="K498" s="183" t="str">
        <f>VLOOKUP(Ruimtestaat[[#This Row],[Ruimte code]],Ruimtegroepen[[#All],[Code]:[Ruimte omschrijving]],2,FALSE)</f>
        <v>Leslokalen</v>
      </c>
      <c r="L498" s="99" t="s">
        <v>100</v>
      </c>
      <c r="M498" s="99" t="s">
        <v>1697</v>
      </c>
      <c r="N498" s="177">
        <v>49</v>
      </c>
      <c r="O498" s="177"/>
      <c r="P498" s="178" t="str">
        <f>VLOOKUP(Ruimtestaat[[#This Row],[Ruimte code]],Ruimtegroepen[],4,FALSE)</f>
        <v>Le</v>
      </c>
      <c r="Q498" s="149">
        <v>40</v>
      </c>
      <c r="R498" s="149" t="s">
        <v>2</v>
      </c>
      <c r="S498" s="149">
        <f>IF(Q498&gt;0,IF(RIGHT(Ruimtestaat[[#This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8" s="149">
        <f>IF(S498&gt;0,VLOOKUP($J498,Ruimtegroepen[],3,FALSE)*VLOOKUP($L498,Vloersoorten[],3,FALSE)*VLOOKUP($R498,Frequenties[],3,FALSE)*VLOOKUP($A498,Locaties[],3,FALSE),0)</f>
        <v>0</v>
      </c>
      <c r="U498" s="149">
        <f>Ruimtestaat[[#This Row],[Uitvoeringen werkdagen]]*Ruimtestaat[[#This Row],[Oppervlak (netto)]]</f>
        <v>9800</v>
      </c>
      <c r="V498" s="179">
        <f>IF(T498&gt;0,Ruimtestaat[[#This Row],[Prest. (m2 /jaar) werkdagen]]/Ruimtestaat[[#This Row],[Norm (m2/uur) werkdagen]],0)</f>
        <v>0</v>
      </c>
      <c r="W498" s="180">
        <f>Ruimtestaat[[#This Row],[uren / jaar werkdagen]]*Tariefsopbouw!$E$35</f>
        <v>0</v>
      </c>
      <c r="X498" s="149"/>
      <c r="Y498" s="149">
        <f>IF(Ruimtestaat[[#This Row],[Frequentie weekend]]&gt;0,VALUE(LEFT(X498,1))*Q498,0)</f>
        <v>0</v>
      </c>
      <c r="Z498" s="148">
        <f>IF($Y498&gt;0,VLOOKUP($J498,Ruimtegroepen[],3,FALSE)*VLOOKUP($L498,Vloersoorten[],3,FALSE)*VLOOKUP($X498,Frequenties[],3,FALSE)*VLOOKUP(Ruimtestaat[[#This Row],[Code]],Locaties[],3,FALSE),0)</f>
        <v>0</v>
      </c>
      <c r="AA498" s="148">
        <f>Ruimtestaat[[#This Row],[Uitvoeringen weekend]]*Ruimtestaat[[#This Row],[Oppervlak (netto)]]</f>
        <v>0</v>
      </c>
      <c r="AB498" s="148">
        <f>IF(Z498&gt;0,Ruimtestaat[[#This Row],[Prest. (m2 /jaar) weekend]]/Ruimtestaat[[#This Row],[Norm (m2/uur) weekend]],0)</f>
        <v>0</v>
      </c>
      <c r="AC498" s="180">
        <f>Ruimtestaat[[#This Row],[uren / jaar weekend]]*Tariefsopbouw!$D$40</f>
        <v>0</v>
      </c>
      <c r="AD498" s="179">
        <f>Ruimtestaat[[#This Row],[Prest. (m2 /jaar) weekend]]+Ruimtestaat[[#This Row],[Prest. (m2 /jaar) werkdagen]]</f>
        <v>9800</v>
      </c>
      <c r="AE498" s="179">
        <f>Ruimtestaat[[#This Row],[uren / jaar weekend]]+Ruimtestaat[[#This Row],[uren / jaar werkdagen]]</f>
        <v>0</v>
      </c>
      <c r="AF498" s="174">
        <f>Ruimtestaat[[#This Row],[kosten / jaar weekend]]+Ruimtestaat[[#This Row],[kosten / jaar werkdagen]]</f>
        <v>0</v>
      </c>
      <c r="AG498" s="174"/>
      <c r="AH498" s="181" t="str">
        <f>IF(Ruimtestaat[[#This Row],[Frequentie werkdagen]]="","",_xlfn.CONCAT(Ruimtestaat[[#This Row],[Ruimte code]],"-",Ruimtestaat[[#This Row],[Frequentie werkdagen]]," ",Ruimtestaat[[#This Row],[Vloer code]]))</f>
        <v>16-5w L</v>
      </c>
      <c r="AI498" s="185" t="str">
        <f>_xlfn.IFNA(VLOOKUP($AH498,Programma!$F$3:$G$1101,2,0),"")</f>
        <v>_</v>
      </c>
      <c r="AJ498" s="185" t="str">
        <f>_xlfn.IFNA(VLOOKUP($AH498,Programma!$F$3:$H$1101,3,0),"")</f>
        <v>_</v>
      </c>
      <c r="AK498" s="185" t="str">
        <f>_xlfn.IFNA(VLOOKUP($AH498,Programma!$F$3:$I$1101,4,0),"")</f>
        <v>4w</v>
      </c>
      <c r="AL498" s="185" t="str">
        <f>_xlfn.IFNA(VLOOKUP($AH498,Programma!$F$3:$J$1101,5,0),"")</f>
        <v>1w</v>
      </c>
      <c r="AM498" s="185" t="str">
        <f>_xlfn.IFNA(VLOOKUP($AH498,Programma!$F$3:$K$1101,6,0),"")</f>
        <v>_</v>
      </c>
      <c r="AN498" s="185" t="str">
        <f>_xlfn.IFNA(VLOOKUP($AH498,Programma!$F$3:$L$1101,7,0),"")</f>
        <v>_</v>
      </c>
      <c r="AO498" s="185" t="str">
        <f>_xlfn.IFNA(VLOOKUP($AH498,Programma!$F$3:$M$1101,8,0),"")</f>
        <v>_</v>
      </c>
      <c r="AP498" s="185" t="str">
        <f>_xlfn.IFNA(VLOOKUP($AH498,Programma!$F$3:$N$1101,9,0),"")</f>
        <v>_</v>
      </c>
      <c r="AQ498" s="185" t="str">
        <f>_xlfn.IFNA(VLOOKUP($AH498,Programma!$F$3:$O$1101,10,0),"")</f>
        <v>5w</v>
      </c>
      <c r="AR498" s="185" t="str">
        <f>_xlfn.IFNA(VLOOKUP($AH498,Programma!$F$3:$P$1101,11,0),"")</f>
        <v>5w</v>
      </c>
      <c r="AS498" s="185" t="str">
        <f>_xlfn.IFNA(VLOOKUP($AH498,Programma!$F$3:$Q$1101,12,0),"")</f>
        <v>1w</v>
      </c>
      <c r="AT498" s="185" t="str">
        <f>_xlfn.IFNA(VLOOKUP($AH498,Programma!$F$3:$R$1101,13,0),"")</f>
        <v>1w</v>
      </c>
      <c r="AU498" s="185" t="str">
        <f>_xlfn.IFNA(VLOOKUP($AH498,Programma!$F$3:$S$1101,14,0),"")</f>
        <v>1m</v>
      </c>
      <c r="AV498" s="185" t="str">
        <f>_xlfn.IFNA(VLOOKUP($AH498,Programma!$F$3:$T$1101,15,0),"")</f>
        <v>2j</v>
      </c>
      <c r="AW498" s="185" t="str">
        <f>_xlfn.IFNA(VLOOKUP($AH498,Programma!$F$3:$U$1101,16,0),"")</f>
        <v>1j</v>
      </c>
      <c r="AX498" s="185" t="str">
        <f>_xlfn.IFNA(VLOOKUP($AH498,Programma!$F$3:$V$1101,17,0),"")</f>
        <v>_</v>
      </c>
      <c r="AY498" s="185" t="str">
        <f>_xlfn.IFNA(VLOOKUP($AH498,Programma!$F$3:$W$1101,18,0),"")</f>
        <v>_</v>
      </c>
      <c r="AZ498" s="185" t="str">
        <f>_xlfn.IFNA(VLOOKUP($AH498,Programma!$F$3:$X$1101,19,0),"")</f>
        <v>_</v>
      </c>
      <c r="BA498" s="185" t="str">
        <f>_xlfn.IFNA(VLOOKUP($AH498,Programma!$F$3:$Y$1101,20,0),"")</f>
        <v>_</v>
      </c>
      <c r="BB498" s="182"/>
      <c r="BC498" s="181" t="str">
        <f>IF(Ruimtestaat[[#This Row],[Frequentie weekend]]="","",_xlfn.CONCAT(Ruimtestaat[[#This Row],[Ruimte code]],"-",Ruimtestaat[[#This Row],[Frequentie weekend]]," ",Ruimtestaat[[#This Row],[Vloer code]]))</f>
        <v/>
      </c>
      <c r="BD498" s="185" t="str">
        <f>_xlfn.IFNA(VLOOKUP($BC498,Programma!$F$3:$G$1101,2,0),"")</f>
        <v/>
      </c>
      <c r="BE498" s="185" t="str">
        <f>_xlfn.IFNA(VLOOKUP($BC498,Programma!$F$3:$H$1101,3,0),"")</f>
        <v/>
      </c>
      <c r="BF498" s="185" t="str">
        <f>_xlfn.IFNA(VLOOKUP($BC498,Programma!$F$3:$I$1101,4,0),"")</f>
        <v/>
      </c>
      <c r="BG498" s="185" t="str">
        <f>_xlfn.IFNA(VLOOKUP($BC498,Programma!$F$3:$J$1101,5,0),"")</f>
        <v/>
      </c>
      <c r="BH498" s="185" t="str">
        <f>_xlfn.IFNA(VLOOKUP($BC498,Programma!$F$3:$K$1101,6,0),"")</f>
        <v/>
      </c>
      <c r="BI498" s="185" t="str">
        <f>_xlfn.IFNA(VLOOKUP($BC498,Programma!$F$3:$L$1101,7,0),"")</f>
        <v/>
      </c>
      <c r="BJ498" s="185" t="str">
        <f>_xlfn.IFNA(VLOOKUP($BC498,Programma!$F$3:$M$1101,8,0),"")</f>
        <v/>
      </c>
      <c r="BK498" s="185" t="str">
        <f>_xlfn.IFNA(VLOOKUP($BC498,Programma!$F$3:$N$1101,9,0),"")</f>
        <v/>
      </c>
      <c r="BL498" s="185" t="str">
        <f>_xlfn.IFNA(VLOOKUP($BC498,Programma!$F$3:$O$1101,10,0),"")</f>
        <v/>
      </c>
      <c r="BM498" s="185" t="str">
        <f>_xlfn.IFNA(VLOOKUP($BC498,Programma!$F$3:$P$1101,11,0),"")</f>
        <v/>
      </c>
      <c r="BN498" s="185" t="str">
        <f>_xlfn.IFNA(VLOOKUP($BC498,Programma!$F$3:$Q$1101,12,0),"")</f>
        <v/>
      </c>
      <c r="BO498" s="185" t="str">
        <f>_xlfn.IFNA(VLOOKUP($BC498,Programma!$F$3:$R$1101,13,0),"")</f>
        <v/>
      </c>
      <c r="BP498" s="185" t="str">
        <f>_xlfn.IFNA(VLOOKUP($BC498,Programma!$F$3:$S$1101,14,0),"")</f>
        <v/>
      </c>
      <c r="BQ498" s="185" t="str">
        <f>_xlfn.IFNA(VLOOKUP($BC498,Programma!$F$3:$T$1101,15,0),"")</f>
        <v/>
      </c>
      <c r="BR498" s="185" t="str">
        <f>_xlfn.IFNA(VLOOKUP($BC498,Programma!$F$3:$U$1101,16,0),"")</f>
        <v/>
      </c>
      <c r="BS498" s="185" t="str">
        <f>_xlfn.IFNA(VLOOKUP($BC498,Programma!$F$3:$V$1101,17,0),"")</f>
        <v/>
      </c>
      <c r="BT498" s="185" t="str">
        <f>_xlfn.IFNA(VLOOKUP($BC498,Programma!$F$3:$W$1101,18,0),"")</f>
        <v/>
      </c>
      <c r="BU498" s="185" t="str">
        <f>_xlfn.IFNA(VLOOKUP($BC498,Programma!$F$3:$X$1101,19,0),"")</f>
        <v/>
      </c>
      <c r="BV498" s="185" t="str">
        <f>_xlfn.IFNA(VLOOKUP($BC498,Programma!$F$3:$Y$1101,20,0),"")</f>
        <v/>
      </c>
    </row>
    <row r="499" spans="1:74" s="78" customFormat="1" ht="15" customHeight="1">
      <c r="A499" s="99">
        <v>14</v>
      </c>
      <c r="B499" s="176" t="str">
        <f>VLOOKUP(Ruimtestaat[[#This Row],[Code]],Locaties[[Code]:[Locatie]],2,FALSE)</f>
        <v>Prinseschool Prinsestraat</v>
      </c>
      <c r="C499" s="176" t="str">
        <f>VLOOKUP(Ruimtestaat[[#This Row],[Code]],Locaties[[#All],[Code]:[Adres]],4,FALSE)</f>
        <v>Prinsestraat 10-10a </v>
      </c>
      <c r="D499" s="176" t="str">
        <f>VLOOKUP(Ruimtestaat[[#This Row],[Code]],Locaties[[#All],[Code]:[Postcode]],5,FALSE)</f>
        <v>7513 AL</v>
      </c>
      <c r="E499" s="176" t="str">
        <f>VLOOKUP(Ruimtestaat[[#This Row],[Code]],Locaties[#All],6,FALSE)</f>
        <v>Enschede</v>
      </c>
      <c r="F499" s="183"/>
      <c r="G499" s="99" t="s">
        <v>1760</v>
      </c>
      <c r="H499" s="99" t="s">
        <v>1764</v>
      </c>
      <c r="I499" s="183" t="s">
        <v>1651</v>
      </c>
      <c r="J499" s="99">
        <v>16</v>
      </c>
      <c r="K499" s="183" t="str">
        <f>VLOOKUP(Ruimtestaat[[#This Row],[Ruimte code]],Ruimtegroepen[[#All],[Code]:[Ruimte omschrijving]],2,FALSE)</f>
        <v>Leslokalen</v>
      </c>
      <c r="L499" s="99" t="s">
        <v>100</v>
      </c>
      <c r="M499" s="99" t="s">
        <v>1697</v>
      </c>
      <c r="N499" s="177">
        <v>51</v>
      </c>
      <c r="O499" s="177"/>
      <c r="P499" s="178" t="str">
        <f>VLOOKUP(Ruimtestaat[[#This Row],[Ruimte code]],Ruimtegroepen[],4,FALSE)</f>
        <v>Le</v>
      </c>
      <c r="Q499" s="149">
        <v>40</v>
      </c>
      <c r="R499" s="149" t="s">
        <v>2</v>
      </c>
      <c r="S499" s="149">
        <f>IF(Q499&gt;0,IF(RIGHT(Ruimtestaat[[#This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9" s="149">
        <f>IF(S499&gt;0,VLOOKUP($J499,Ruimtegroepen[],3,FALSE)*VLOOKUP($L499,Vloersoorten[],3,FALSE)*VLOOKUP($R499,Frequenties[],3,FALSE)*VLOOKUP($A499,Locaties[],3,FALSE),0)</f>
        <v>0</v>
      </c>
      <c r="U499" s="149">
        <f>Ruimtestaat[[#This Row],[Uitvoeringen werkdagen]]*Ruimtestaat[[#This Row],[Oppervlak (netto)]]</f>
        <v>10200</v>
      </c>
      <c r="V499" s="179">
        <f>IF(T499&gt;0,Ruimtestaat[[#This Row],[Prest. (m2 /jaar) werkdagen]]/Ruimtestaat[[#This Row],[Norm (m2/uur) werkdagen]],0)</f>
        <v>0</v>
      </c>
      <c r="W499" s="180">
        <f>Ruimtestaat[[#This Row],[uren / jaar werkdagen]]*Tariefsopbouw!$E$35</f>
        <v>0</v>
      </c>
      <c r="X499" s="149"/>
      <c r="Y499" s="149">
        <f>IF(Ruimtestaat[[#This Row],[Frequentie weekend]]&gt;0,VALUE(LEFT(X499,1))*Q499,0)</f>
        <v>0</v>
      </c>
      <c r="Z499" s="148">
        <f>IF($Y499&gt;0,VLOOKUP($J499,Ruimtegroepen[],3,FALSE)*VLOOKUP($L499,Vloersoorten[],3,FALSE)*VLOOKUP($X499,Frequenties[],3,FALSE)*VLOOKUP(Ruimtestaat[[#This Row],[Code]],Locaties[],3,FALSE),0)</f>
        <v>0</v>
      </c>
      <c r="AA499" s="148">
        <f>Ruimtestaat[[#This Row],[Uitvoeringen weekend]]*Ruimtestaat[[#This Row],[Oppervlak (netto)]]</f>
        <v>0</v>
      </c>
      <c r="AB499" s="148">
        <f>IF(Z499&gt;0,Ruimtestaat[[#This Row],[Prest. (m2 /jaar) weekend]]/Ruimtestaat[[#This Row],[Norm (m2/uur) weekend]],0)</f>
        <v>0</v>
      </c>
      <c r="AC499" s="180">
        <f>Ruimtestaat[[#This Row],[uren / jaar weekend]]*Tariefsopbouw!$D$40</f>
        <v>0</v>
      </c>
      <c r="AD499" s="179">
        <f>Ruimtestaat[[#This Row],[Prest. (m2 /jaar) weekend]]+Ruimtestaat[[#This Row],[Prest. (m2 /jaar) werkdagen]]</f>
        <v>10200</v>
      </c>
      <c r="AE499" s="179">
        <f>Ruimtestaat[[#This Row],[uren / jaar weekend]]+Ruimtestaat[[#This Row],[uren / jaar werkdagen]]</f>
        <v>0</v>
      </c>
      <c r="AF499" s="174">
        <f>Ruimtestaat[[#This Row],[kosten / jaar weekend]]+Ruimtestaat[[#This Row],[kosten / jaar werkdagen]]</f>
        <v>0</v>
      </c>
      <c r="AG499" s="174"/>
      <c r="AH499" s="181" t="str">
        <f>IF(Ruimtestaat[[#This Row],[Frequentie werkdagen]]="","",_xlfn.CONCAT(Ruimtestaat[[#This Row],[Ruimte code]],"-",Ruimtestaat[[#This Row],[Frequentie werkdagen]]," ",Ruimtestaat[[#This Row],[Vloer code]]))</f>
        <v>16-5w L</v>
      </c>
      <c r="AI499" s="185" t="str">
        <f>_xlfn.IFNA(VLOOKUP($AH499,Programma!$F$3:$G$1101,2,0),"")</f>
        <v>_</v>
      </c>
      <c r="AJ499" s="185" t="str">
        <f>_xlfn.IFNA(VLOOKUP($AH499,Programma!$F$3:$H$1101,3,0),"")</f>
        <v>_</v>
      </c>
      <c r="AK499" s="185" t="str">
        <f>_xlfn.IFNA(VLOOKUP($AH499,Programma!$F$3:$I$1101,4,0),"")</f>
        <v>4w</v>
      </c>
      <c r="AL499" s="185" t="str">
        <f>_xlfn.IFNA(VLOOKUP($AH499,Programma!$F$3:$J$1101,5,0),"")</f>
        <v>1w</v>
      </c>
      <c r="AM499" s="185" t="str">
        <f>_xlfn.IFNA(VLOOKUP($AH499,Programma!$F$3:$K$1101,6,0),"")</f>
        <v>_</v>
      </c>
      <c r="AN499" s="185" t="str">
        <f>_xlfn.IFNA(VLOOKUP($AH499,Programma!$F$3:$L$1101,7,0),"")</f>
        <v>_</v>
      </c>
      <c r="AO499" s="185" t="str">
        <f>_xlfn.IFNA(VLOOKUP($AH499,Programma!$F$3:$M$1101,8,0),"")</f>
        <v>_</v>
      </c>
      <c r="AP499" s="185" t="str">
        <f>_xlfn.IFNA(VLOOKUP($AH499,Programma!$F$3:$N$1101,9,0),"")</f>
        <v>_</v>
      </c>
      <c r="AQ499" s="185" t="str">
        <f>_xlfn.IFNA(VLOOKUP($AH499,Programma!$F$3:$O$1101,10,0),"")</f>
        <v>5w</v>
      </c>
      <c r="AR499" s="185" t="str">
        <f>_xlfn.IFNA(VLOOKUP($AH499,Programma!$F$3:$P$1101,11,0),"")</f>
        <v>5w</v>
      </c>
      <c r="AS499" s="185" t="str">
        <f>_xlfn.IFNA(VLOOKUP($AH499,Programma!$F$3:$Q$1101,12,0),"")</f>
        <v>1w</v>
      </c>
      <c r="AT499" s="185" t="str">
        <f>_xlfn.IFNA(VLOOKUP($AH499,Programma!$F$3:$R$1101,13,0),"")</f>
        <v>1w</v>
      </c>
      <c r="AU499" s="185" t="str">
        <f>_xlfn.IFNA(VLOOKUP($AH499,Programma!$F$3:$S$1101,14,0),"")</f>
        <v>1m</v>
      </c>
      <c r="AV499" s="185" t="str">
        <f>_xlfn.IFNA(VLOOKUP($AH499,Programma!$F$3:$T$1101,15,0),"")</f>
        <v>2j</v>
      </c>
      <c r="AW499" s="185" t="str">
        <f>_xlfn.IFNA(VLOOKUP($AH499,Programma!$F$3:$U$1101,16,0),"")</f>
        <v>1j</v>
      </c>
      <c r="AX499" s="185" t="str">
        <f>_xlfn.IFNA(VLOOKUP($AH499,Programma!$F$3:$V$1101,17,0),"")</f>
        <v>_</v>
      </c>
      <c r="AY499" s="185" t="str">
        <f>_xlfn.IFNA(VLOOKUP($AH499,Programma!$F$3:$W$1101,18,0),"")</f>
        <v>_</v>
      </c>
      <c r="AZ499" s="185" t="str">
        <f>_xlfn.IFNA(VLOOKUP($AH499,Programma!$F$3:$X$1101,19,0),"")</f>
        <v>_</v>
      </c>
      <c r="BA499" s="185" t="str">
        <f>_xlfn.IFNA(VLOOKUP($AH499,Programma!$F$3:$Y$1101,20,0),"")</f>
        <v>_</v>
      </c>
      <c r="BB499" s="182"/>
      <c r="BC499" s="181" t="str">
        <f>IF(Ruimtestaat[[#This Row],[Frequentie weekend]]="","",_xlfn.CONCAT(Ruimtestaat[[#This Row],[Ruimte code]],"-",Ruimtestaat[[#This Row],[Frequentie weekend]]," ",Ruimtestaat[[#This Row],[Vloer code]]))</f>
        <v/>
      </c>
      <c r="BD499" s="185" t="str">
        <f>_xlfn.IFNA(VLOOKUP($BC499,Programma!$F$3:$G$1101,2,0),"")</f>
        <v/>
      </c>
      <c r="BE499" s="185" t="str">
        <f>_xlfn.IFNA(VLOOKUP($BC499,Programma!$F$3:$H$1101,3,0),"")</f>
        <v/>
      </c>
      <c r="BF499" s="185" t="str">
        <f>_xlfn.IFNA(VLOOKUP($BC499,Programma!$F$3:$I$1101,4,0),"")</f>
        <v/>
      </c>
      <c r="BG499" s="185" t="str">
        <f>_xlfn.IFNA(VLOOKUP($BC499,Programma!$F$3:$J$1101,5,0),"")</f>
        <v/>
      </c>
      <c r="BH499" s="185" t="str">
        <f>_xlfn.IFNA(VLOOKUP($BC499,Programma!$F$3:$K$1101,6,0),"")</f>
        <v/>
      </c>
      <c r="BI499" s="185" t="str">
        <f>_xlfn.IFNA(VLOOKUP($BC499,Programma!$F$3:$L$1101,7,0),"")</f>
        <v/>
      </c>
      <c r="BJ499" s="185" t="str">
        <f>_xlfn.IFNA(VLOOKUP($BC499,Programma!$F$3:$M$1101,8,0),"")</f>
        <v/>
      </c>
      <c r="BK499" s="185" t="str">
        <f>_xlfn.IFNA(VLOOKUP($BC499,Programma!$F$3:$N$1101,9,0),"")</f>
        <v/>
      </c>
      <c r="BL499" s="185" t="str">
        <f>_xlfn.IFNA(VLOOKUP($BC499,Programma!$F$3:$O$1101,10,0),"")</f>
        <v/>
      </c>
      <c r="BM499" s="185" t="str">
        <f>_xlfn.IFNA(VLOOKUP($BC499,Programma!$F$3:$P$1101,11,0),"")</f>
        <v/>
      </c>
      <c r="BN499" s="185" t="str">
        <f>_xlfn.IFNA(VLOOKUP($BC499,Programma!$F$3:$Q$1101,12,0),"")</f>
        <v/>
      </c>
      <c r="BO499" s="185" t="str">
        <f>_xlfn.IFNA(VLOOKUP($BC499,Programma!$F$3:$R$1101,13,0),"")</f>
        <v/>
      </c>
      <c r="BP499" s="185" t="str">
        <f>_xlfn.IFNA(VLOOKUP($BC499,Programma!$F$3:$S$1101,14,0),"")</f>
        <v/>
      </c>
      <c r="BQ499" s="185" t="str">
        <f>_xlfn.IFNA(VLOOKUP($BC499,Programma!$F$3:$T$1101,15,0),"")</f>
        <v/>
      </c>
      <c r="BR499" s="185" t="str">
        <f>_xlfn.IFNA(VLOOKUP($BC499,Programma!$F$3:$U$1101,16,0),"")</f>
        <v/>
      </c>
      <c r="BS499" s="185" t="str">
        <f>_xlfn.IFNA(VLOOKUP($BC499,Programma!$F$3:$V$1101,17,0),"")</f>
        <v/>
      </c>
      <c r="BT499" s="185" t="str">
        <f>_xlfn.IFNA(VLOOKUP($BC499,Programma!$F$3:$W$1101,18,0),"")</f>
        <v/>
      </c>
      <c r="BU499" s="185" t="str">
        <f>_xlfn.IFNA(VLOOKUP($BC499,Programma!$F$3:$X$1101,19,0),"")</f>
        <v/>
      </c>
      <c r="BV499" s="185" t="str">
        <f>_xlfn.IFNA(VLOOKUP($BC499,Programma!$F$3:$Y$1101,20,0),"")</f>
        <v/>
      </c>
    </row>
    <row r="500" spans="1:74" s="78" customFormat="1" ht="15" customHeight="1">
      <c r="A500" s="99">
        <v>14</v>
      </c>
      <c r="B500" s="176" t="str">
        <f>VLOOKUP(Ruimtestaat[[#This Row],[Code]],Locaties[[Code]:[Locatie]],2,FALSE)</f>
        <v>Prinseschool Prinsestraat</v>
      </c>
      <c r="C500" s="176" t="str">
        <f>VLOOKUP(Ruimtestaat[[#This Row],[Code]],Locaties[[#All],[Code]:[Adres]],4,FALSE)</f>
        <v>Prinsestraat 10-10a </v>
      </c>
      <c r="D500" s="176" t="str">
        <f>VLOOKUP(Ruimtestaat[[#This Row],[Code]],Locaties[[#All],[Code]:[Postcode]],5,FALSE)</f>
        <v>7513 AL</v>
      </c>
      <c r="E500" s="176" t="str">
        <f>VLOOKUP(Ruimtestaat[[#This Row],[Code]],Locaties[#All],6,FALSE)</f>
        <v>Enschede</v>
      </c>
      <c r="F500" s="183"/>
      <c r="G500" s="99" t="s">
        <v>1760</v>
      </c>
      <c r="H500" s="99" t="s">
        <v>1765</v>
      </c>
      <c r="I500" s="183" t="s">
        <v>1651</v>
      </c>
      <c r="J500" s="99">
        <v>16</v>
      </c>
      <c r="K500" s="183" t="str">
        <f>VLOOKUP(Ruimtestaat[[#This Row],[Ruimte code]],Ruimtegroepen[[#All],[Code]:[Ruimte omschrijving]],2,FALSE)</f>
        <v>Leslokalen</v>
      </c>
      <c r="L500" s="99" t="s">
        <v>100</v>
      </c>
      <c r="M500" s="99" t="s">
        <v>1697</v>
      </c>
      <c r="N500" s="177">
        <v>51</v>
      </c>
      <c r="O500" s="177"/>
      <c r="P500" s="178" t="str">
        <f>VLOOKUP(Ruimtestaat[[#This Row],[Ruimte code]],Ruimtegroepen[],4,FALSE)</f>
        <v>Le</v>
      </c>
      <c r="Q500" s="149">
        <v>40</v>
      </c>
      <c r="R500" s="149" t="s">
        <v>2</v>
      </c>
      <c r="S500" s="149">
        <f>IF(Q500&gt;0,IF(RIGHT(Ruimtestaat[[#This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0" s="149">
        <f>IF(S500&gt;0,VLOOKUP($J500,Ruimtegroepen[],3,FALSE)*VLOOKUP($L500,Vloersoorten[],3,FALSE)*VLOOKUP($R500,Frequenties[],3,FALSE)*VLOOKUP($A500,Locaties[],3,FALSE),0)</f>
        <v>0</v>
      </c>
      <c r="U500" s="149">
        <f>Ruimtestaat[[#This Row],[Uitvoeringen werkdagen]]*Ruimtestaat[[#This Row],[Oppervlak (netto)]]</f>
        <v>10200</v>
      </c>
      <c r="V500" s="179">
        <f>IF(T500&gt;0,Ruimtestaat[[#This Row],[Prest. (m2 /jaar) werkdagen]]/Ruimtestaat[[#This Row],[Norm (m2/uur) werkdagen]],0)</f>
        <v>0</v>
      </c>
      <c r="W500" s="180">
        <f>Ruimtestaat[[#This Row],[uren / jaar werkdagen]]*Tariefsopbouw!$E$35</f>
        <v>0</v>
      </c>
      <c r="X500" s="149"/>
      <c r="Y500" s="149">
        <f>IF(Ruimtestaat[[#This Row],[Frequentie weekend]]&gt;0,VALUE(LEFT(X500,1))*Q500,0)</f>
        <v>0</v>
      </c>
      <c r="Z500" s="148">
        <f>IF($Y500&gt;0,VLOOKUP($J500,Ruimtegroepen[],3,FALSE)*VLOOKUP($L500,Vloersoorten[],3,FALSE)*VLOOKUP($X500,Frequenties[],3,FALSE)*VLOOKUP(Ruimtestaat[[#This Row],[Code]],Locaties[],3,FALSE),0)</f>
        <v>0</v>
      </c>
      <c r="AA500" s="148">
        <f>Ruimtestaat[[#This Row],[Uitvoeringen weekend]]*Ruimtestaat[[#This Row],[Oppervlak (netto)]]</f>
        <v>0</v>
      </c>
      <c r="AB500" s="148">
        <f>IF(Z500&gt;0,Ruimtestaat[[#This Row],[Prest. (m2 /jaar) weekend]]/Ruimtestaat[[#This Row],[Norm (m2/uur) weekend]],0)</f>
        <v>0</v>
      </c>
      <c r="AC500" s="180">
        <f>Ruimtestaat[[#This Row],[uren / jaar weekend]]*Tariefsopbouw!$D$40</f>
        <v>0</v>
      </c>
      <c r="AD500" s="179">
        <f>Ruimtestaat[[#This Row],[Prest. (m2 /jaar) weekend]]+Ruimtestaat[[#This Row],[Prest. (m2 /jaar) werkdagen]]</f>
        <v>10200</v>
      </c>
      <c r="AE500" s="179">
        <f>Ruimtestaat[[#This Row],[uren / jaar weekend]]+Ruimtestaat[[#This Row],[uren / jaar werkdagen]]</f>
        <v>0</v>
      </c>
      <c r="AF500" s="174">
        <f>Ruimtestaat[[#This Row],[kosten / jaar weekend]]+Ruimtestaat[[#This Row],[kosten / jaar werkdagen]]</f>
        <v>0</v>
      </c>
      <c r="AG500" s="174"/>
      <c r="AH500" s="181" t="str">
        <f>IF(Ruimtestaat[[#This Row],[Frequentie werkdagen]]="","",_xlfn.CONCAT(Ruimtestaat[[#This Row],[Ruimte code]],"-",Ruimtestaat[[#This Row],[Frequentie werkdagen]]," ",Ruimtestaat[[#This Row],[Vloer code]]))</f>
        <v>16-5w L</v>
      </c>
      <c r="AI500" s="185" t="str">
        <f>_xlfn.IFNA(VLOOKUP($AH500,Programma!$F$3:$G$1101,2,0),"")</f>
        <v>_</v>
      </c>
      <c r="AJ500" s="185" t="str">
        <f>_xlfn.IFNA(VLOOKUP($AH500,Programma!$F$3:$H$1101,3,0),"")</f>
        <v>_</v>
      </c>
      <c r="AK500" s="185" t="str">
        <f>_xlfn.IFNA(VLOOKUP($AH500,Programma!$F$3:$I$1101,4,0),"")</f>
        <v>4w</v>
      </c>
      <c r="AL500" s="185" t="str">
        <f>_xlfn.IFNA(VLOOKUP($AH500,Programma!$F$3:$J$1101,5,0),"")</f>
        <v>1w</v>
      </c>
      <c r="AM500" s="185" t="str">
        <f>_xlfn.IFNA(VLOOKUP($AH500,Programma!$F$3:$K$1101,6,0),"")</f>
        <v>_</v>
      </c>
      <c r="AN500" s="185" t="str">
        <f>_xlfn.IFNA(VLOOKUP($AH500,Programma!$F$3:$L$1101,7,0),"")</f>
        <v>_</v>
      </c>
      <c r="AO500" s="185" t="str">
        <f>_xlfn.IFNA(VLOOKUP($AH500,Programma!$F$3:$M$1101,8,0),"")</f>
        <v>_</v>
      </c>
      <c r="AP500" s="185" t="str">
        <f>_xlfn.IFNA(VLOOKUP($AH500,Programma!$F$3:$N$1101,9,0),"")</f>
        <v>_</v>
      </c>
      <c r="AQ500" s="185" t="str">
        <f>_xlfn.IFNA(VLOOKUP($AH500,Programma!$F$3:$O$1101,10,0),"")</f>
        <v>5w</v>
      </c>
      <c r="AR500" s="185" t="str">
        <f>_xlfn.IFNA(VLOOKUP($AH500,Programma!$F$3:$P$1101,11,0),"")</f>
        <v>5w</v>
      </c>
      <c r="AS500" s="185" t="str">
        <f>_xlfn.IFNA(VLOOKUP($AH500,Programma!$F$3:$Q$1101,12,0),"")</f>
        <v>1w</v>
      </c>
      <c r="AT500" s="185" t="str">
        <f>_xlfn.IFNA(VLOOKUP($AH500,Programma!$F$3:$R$1101,13,0),"")</f>
        <v>1w</v>
      </c>
      <c r="AU500" s="185" t="str">
        <f>_xlfn.IFNA(VLOOKUP($AH500,Programma!$F$3:$S$1101,14,0),"")</f>
        <v>1m</v>
      </c>
      <c r="AV500" s="185" t="str">
        <f>_xlfn.IFNA(VLOOKUP($AH500,Programma!$F$3:$T$1101,15,0),"")</f>
        <v>2j</v>
      </c>
      <c r="AW500" s="185" t="str">
        <f>_xlfn.IFNA(VLOOKUP($AH500,Programma!$F$3:$U$1101,16,0),"")</f>
        <v>1j</v>
      </c>
      <c r="AX500" s="185" t="str">
        <f>_xlfn.IFNA(VLOOKUP($AH500,Programma!$F$3:$V$1101,17,0),"")</f>
        <v>_</v>
      </c>
      <c r="AY500" s="185" t="str">
        <f>_xlfn.IFNA(VLOOKUP($AH500,Programma!$F$3:$W$1101,18,0),"")</f>
        <v>_</v>
      </c>
      <c r="AZ500" s="185" t="str">
        <f>_xlfn.IFNA(VLOOKUP($AH500,Programma!$F$3:$X$1101,19,0),"")</f>
        <v>_</v>
      </c>
      <c r="BA500" s="185" t="str">
        <f>_xlfn.IFNA(VLOOKUP($AH500,Programma!$F$3:$Y$1101,20,0),"")</f>
        <v>_</v>
      </c>
      <c r="BB500" s="182"/>
      <c r="BC500" s="181" t="str">
        <f>IF(Ruimtestaat[[#This Row],[Frequentie weekend]]="","",_xlfn.CONCAT(Ruimtestaat[[#This Row],[Ruimte code]],"-",Ruimtestaat[[#This Row],[Frequentie weekend]]," ",Ruimtestaat[[#This Row],[Vloer code]]))</f>
        <v/>
      </c>
      <c r="BD500" s="185" t="str">
        <f>_xlfn.IFNA(VLOOKUP($BC500,Programma!$F$3:$G$1101,2,0),"")</f>
        <v/>
      </c>
      <c r="BE500" s="185" t="str">
        <f>_xlfn.IFNA(VLOOKUP($BC500,Programma!$F$3:$H$1101,3,0),"")</f>
        <v/>
      </c>
      <c r="BF500" s="185" t="str">
        <f>_xlfn.IFNA(VLOOKUP($BC500,Programma!$F$3:$I$1101,4,0),"")</f>
        <v/>
      </c>
      <c r="BG500" s="185" t="str">
        <f>_xlfn.IFNA(VLOOKUP($BC500,Programma!$F$3:$J$1101,5,0),"")</f>
        <v/>
      </c>
      <c r="BH500" s="185" t="str">
        <f>_xlfn.IFNA(VLOOKUP($BC500,Programma!$F$3:$K$1101,6,0),"")</f>
        <v/>
      </c>
      <c r="BI500" s="185" t="str">
        <f>_xlfn.IFNA(VLOOKUP($BC500,Programma!$F$3:$L$1101,7,0),"")</f>
        <v/>
      </c>
      <c r="BJ500" s="185" t="str">
        <f>_xlfn.IFNA(VLOOKUP($BC500,Programma!$F$3:$M$1101,8,0),"")</f>
        <v/>
      </c>
      <c r="BK500" s="185" t="str">
        <f>_xlfn.IFNA(VLOOKUP($BC500,Programma!$F$3:$N$1101,9,0),"")</f>
        <v/>
      </c>
      <c r="BL500" s="185" t="str">
        <f>_xlfn.IFNA(VLOOKUP($BC500,Programma!$F$3:$O$1101,10,0),"")</f>
        <v/>
      </c>
      <c r="BM500" s="185" t="str">
        <f>_xlfn.IFNA(VLOOKUP($BC500,Programma!$F$3:$P$1101,11,0),"")</f>
        <v/>
      </c>
      <c r="BN500" s="185" t="str">
        <f>_xlfn.IFNA(VLOOKUP($BC500,Programma!$F$3:$Q$1101,12,0),"")</f>
        <v/>
      </c>
      <c r="BO500" s="185" t="str">
        <f>_xlfn.IFNA(VLOOKUP($BC500,Programma!$F$3:$R$1101,13,0),"")</f>
        <v/>
      </c>
      <c r="BP500" s="185" t="str">
        <f>_xlfn.IFNA(VLOOKUP($BC500,Programma!$F$3:$S$1101,14,0),"")</f>
        <v/>
      </c>
      <c r="BQ500" s="185" t="str">
        <f>_xlfn.IFNA(VLOOKUP($BC500,Programma!$F$3:$T$1101,15,0),"")</f>
        <v/>
      </c>
      <c r="BR500" s="185" t="str">
        <f>_xlfn.IFNA(VLOOKUP($BC500,Programma!$F$3:$U$1101,16,0),"")</f>
        <v/>
      </c>
      <c r="BS500" s="185" t="str">
        <f>_xlfn.IFNA(VLOOKUP($BC500,Programma!$F$3:$V$1101,17,0),"")</f>
        <v/>
      </c>
      <c r="BT500" s="185" t="str">
        <f>_xlfn.IFNA(VLOOKUP($BC500,Programma!$F$3:$W$1101,18,0),"")</f>
        <v/>
      </c>
      <c r="BU500" s="185" t="str">
        <f>_xlfn.IFNA(VLOOKUP($BC500,Programma!$F$3:$X$1101,19,0),"")</f>
        <v/>
      </c>
      <c r="BV500" s="185" t="str">
        <f>_xlfn.IFNA(VLOOKUP($BC500,Programma!$F$3:$Y$1101,20,0),"")</f>
        <v/>
      </c>
    </row>
    <row r="501" spans="1:74" s="78" customFormat="1" ht="15" customHeight="1">
      <c r="A501" s="99">
        <v>14</v>
      </c>
      <c r="B501" s="176" t="str">
        <f>VLOOKUP(Ruimtestaat[[#This Row],[Code]],Locaties[[Code]:[Locatie]],2,FALSE)</f>
        <v>Prinseschool Prinsestraat</v>
      </c>
      <c r="C501" s="176" t="str">
        <f>VLOOKUP(Ruimtestaat[[#This Row],[Code]],Locaties[[#All],[Code]:[Adres]],4,FALSE)</f>
        <v>Prinsestraat 10-10a </v>
      </c>
      <c r="D501" s="176" t="str">
        <f>VLOOKUP(Ruimtestaat[[#This Row],[Code]],Locaties[[#All],[Code]:[Postcode]],5,FALSE)</f>
        <v>7513 AL</v>
      </c>
      <c r="E501" s="176" t="str">
        <f>VLOOKUP(Ruimtestaat[[#This Row],[Code]],Locaties[#All],6,FALSE)</f>
        <v>Enschede</v>
      </c>
      <c r="F501" s="183"/>
      <c r="G501" s="99" t="s">
        <v>1760</v>
      </c>
      <c r="H501" s="99" t="s">
        <v>1766</v>
      </c>
      <c r="I501" s="183" t="s">
        <v>1655</v>
      </c>
      <c r="J501" s="99">
        <v>5</v>
      </c>
      <c r="K501" s="183" t="str">
        <f>VLOOKUP(Ruimtestaat[[#This Row],[Ruimte code]],Ruimtegroepen[[#All],[Code]:[Ruimte omschrijving]],2,FALSE)</f>
        <v>Sanitair</v>
      </c>
      <c r="L501" s="99" t="s">
        <v>101</v>
      </c>
      <c r="M501" s="99" t="s">
        <v>1682</v>
      </c>
      <c r="N501" s="177">
        <v>8</v>
      </c>
      <c r="O501" s="177"/>
      <c r="P501" s="178" t="str">
        <f>VLOOKUP(Ruimtestaat[[#This Row],[Ruimte code]],Ruimtegroepen[],4,FALSE)</f>
        <v>Sa</v>
      </c>
      <c r="Q501" s="149">
        <v>40</v>
      </c>
      <c r="R501" s="149" t="s">
        <v>2</v>
      </c>
      <c r="S501" s="149">
        <f>IF(Q501&gt;0,IF(RIGHT(Ruimtestaat[[#This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1" s="149">
        <f>IF(S501&gt;0,VLOOKUP($J501,Ruimtegroepen[],3,FALSE)*VLOOKUP($L501,Vloersoorten[],3,FALSE)*VLOOKUP($R501,Frequenties[],3,FALSE)*VLOOKUP($A501,Locaties[],3,FALSE),0)</f>
        <v>0</v>
      </c>
      <c r="U501" s="149">
        <f>Ruimtestaat[[#This Row],[Uitvoeringen werkdagen]]*Ruimtestaat[[#This Row],[Oppervlak (netto)]]</f>
        <v>1600</v>
      </c>
      <c r="V501" s="179">
        <f>IF(T501&gt;0,Ruimtestaat[[#This Row],[Prest. (m2 /jaar) werkdagen]]/Ruimtestaat[[#This Row],[Norm (m2/uur) werkdagen]],0)</f>
        <v>0</v>
      </c>
      <c r="W501" s="180">
        <f>Ruimtestaat[[#This Row],[uren / jaar werkdagen]]*Tariefsopbouw!$E$35</f>
        <v>0</v>
      </c>
      <c r="X501" s="149"/>
      <c r="Y501" s="149">
        <f>IF(Ruimtestaat[[#This Row],[Frequentie weekend]]&gt;0,VALUE(LEFT(X501,1))*Q501,0)</f>
        <v>0</v>
      </c>
      <c r="Z501" s="148">
        <f>IF($Y501&gt;0,VLOOKUP($J501,Ruimtegroepen[],3,FALSE)*VLOOKUP($L501,Vloersoorten[],3,FALSE)*VLOOKUP($X501,Frequenties[],3,FALSE)*VLOOKUP(Ruimtestaat[[#This Row],[Code]],Locaties[],3,FALSE),0)</f>
        <v>0</v>
      </c>
      <c r="AA501" s="148">
        <f>Ruimtestaat[[#This Row],[Uitvoeringen weekend]]*Ruimtestaat[[#This Row],[Oppervlak (netto)]]</f>
        <v>0</v>
      </c>
      <c r="AB501" s="148">
        <f>IF(Z501&gt;0,Ruimtestaat[[#This Row],[Prest. (m2 /jaar) weekend]]/Ruimtestaat[[#This Row],[Norm (m2/uur) weekend]],0)</f>
        <v>0</v>
      </c>
      <c r="AC501" s="180">
        <f>Ruimtestaat[[#This Row],[uren / jaar weekend]]*Tariefsopbouw!$D$40</f>
        <v>0</v>
      </c>
      <c r="AD501" s="179">
        <f>Ruimtestaat[[#This Row],[Prest. (m2 /jaar) weekend]]+Ruimtestaat[[#This Row],[Prest. (m2 /jaar) werkdagen]]</f>
        <v>1600</v>
      </c>
      <c r="AE501" s="179">
        <f>Ruimtestaat[[#This Row],[uren / jaar weekend]]+Ruimtestaat[[#This Row],[uren / jaar werkdagen]]</f>
        <v>0</v>
      </c>
      <c r="AF501" s="174">
        <f>Ruimtestaat[[#This Row],[kosten / jaar weekend]]+Ruimtestaat[[#This Row],[kosten / jaar werkdagen]]</f>
        <v>0</v>
      </c>
      <c r="AG501" s="174"/>
      <c r="AH501" s="181" t="str">
        <f>IF(Ruimtestaat[[#This Row],[Frequentie werkdagen]]="","",_xlfn.CONCAT(Ruimtestaat[[#This Row],[Ruimte code]],"-",Ruimtestaat[[#This Row],[Frequentie werkdagen]]," ",Ruimtestaat[[#This Row],[Vloer code]]))</f>
        <v>5-5w S</v>
      </c>
      <c r="AI501" s="185" t="str">
        <f>_xlfn.IFNA(VLOOKUP($AH501,Programma!$F$3:$G$1101,2,0),"")</f>
        <v>_</v>
      </c>
      <c r="AJ501" s="185" t="str">
        <f>_xlfn.IFNA(VLOOKUP($AH501,Programma!$F$3:$H$1101,3,0),"")</f>
        <v>_</v>
      </c>
      <c r="AK501" s="185" t="str">
        <f>_xlfn.IFNA(VLOOKUP($AH501,Programma!$F$3:$I$1101,4,0),"")</f>
        <v>_</v>
      </c>
      <c r="AL501" s="185" t="str">
        <f>_xlfn.IFNA(VLOOKUP($AH501,Programma!$F$3:$J$1101,5,0),"")</f>
        <v>4w</v>
      </c>
      <c r="AM501" s="185" t="str">
        <f>_xlfn.IFNA(VLOOKUP($AH501,Programma!$F$3:$K$1101,6,0),"")</f>
        <v>1w</v>
      </c>
      <c r="AN501" s="185" t="str">
        <f>_xlfn.IFNA(VLOOKUP($AH501,Programma!$F$3:$L$1101,7,0),"")</f>
        <v>_</v>
      </c>
      <c r="AO501" s="185" t="str">
        <f>_xlfn.IFNA(VLOOKUP($AH501,Programma!$F$3:$M$1101,8,0),"")</f>
        <v>_</v>
      </c>
      <c r="AP501" s="185" t="str">
        <f>_xlfn.IFNA(VLOOKUP($AH501,Programma!$F$3:$N$1101,9,0),"")</f>
        <v>_</v>
      </c>
      <c r="AQ501" s="185" t="str">
        <f>_xlfn.IFNA(VLOOKUP($AH501,Programma!$F$3:$O$1101,10,0),"")</f>
        <v>_</v>
      </c>
      <c r="AR501" s="185" t="str">
        <f>_xlfn.IFNA(VLOOKUP($AH501,Programma!$F$3:$P$1101,11,0),"")</f>
        <v>_</v>
      </c>
      <c r="AS501" s="185" t="str">
        <f>_xlfn.IFNA(VLOOKUP($AH501,Programma!$F$3:$Q$1101,12,0),"")</f>
        <v>_</v>
      </c>
      <c r="AT501" s="185" t="str">
        <f>_xlfn.IFNA(VLOOKUP($AH501,Programma!$F$3:$R$1101,13,0),"")</f>
        <v>_</v>
      </c>
      <c r="AU501" s="185" t="str">
        <f>_xlfn.IFNA(VLOOKUP($AH501,Programma!$F$3:$S$1101,14,0),"")</f>
        <v>_</v>
      </c>
      <c r="AV501" s="185" t="str">
        <f>_xlfn.IFNA(VLOOKUP($AH501,Programma!$F$3:$T$1101,15,0),"")</f>
        <v>_</v>
      </c>
      <c r="AW501" s="185" t="str">
        <f>_xlfn.IFNA(VLOOKUP($AH501,Programma!$F$3:$U$1101,16,0),"")</f>
        <v>_</v>
      </c>
      <c r="AX501" s="185" t="str">
        <f>_xlfn.IFNA(VLOOKUP($AH501,Programma!$F$3:$V$1101,17,0),"")</f>
        <v>_</v>
      </c>
      <c r="AY501" s="185" t="str">
        <f>_xlfn.IFNA(VLOOKUP($AH501,Programma!$F$3:$W$1101,18,0),"")</f>
        <v>4w</v>
      </c>
      <c r="AZ501" s="185" t="str">
        <f>_xlfn.IFNA(VLOOKUP($AH501,Programma!$F$3:$X$1101,19,0),"")</f>
        <v>1w</v>
      </c>
      <c r="BA501" s="185" t="str">
        <f>_xlfn.IFNA(VLOOKUP($AH501,Programma!$F$3:$Y$1101,20,0),"")</f>
        <v>_</v>
      </c>
      <c r="BB501" s="182"/>
      <c r="BC501" s="181" t="str">
        <f>IF(Ruimtestaat[[#This Row],[Frequentie weekend]]="","",_xlfn.CONCAT(Ruimtestaat[[#This Row],[Ruimte code]],"-",Ruimtestaat[[#This Row],[Frequentie weekend]]," ",Ruimtestaat[[#This Row],[Vloer code]]))</f>
        <v/>
      </c>
      <c r="BD501" s="185" t="str">
        <f>_xlfn.IFNA(VLOOKUP($BC501,Programma!$F$3:$G$1101,2,0),"")</f>
        <v/>
      </c>
      <c r="BE501" s="185" t="str">
        <f>_xlfn.IFNA(VLOOKUP($BC501,Programma!$F$3:$H$1101,3,0),"")</f>
        <v/>
      </c>
      <c r="BF501" s="185" t="str">
        <f>_xlfn.IFNA(VLOOKUP($BC501,Programma!$F$3:$I$1101,4,0),"")</f>
        <v/>
      </c>
      <c r="BG501" s="185" t="str">
        <f>_xlfn.IFNA(VLOOKUP($BC501,Programma!$F$3:$J$1101,5,0),"")</f>
        <v/>
      </c>
      <c r="BH501" s="185" t="str">
        <f>_xlfn.IFNA(VLOOKUP($BC501,Programma!$F$3:$K$1101,6,0),"")</f>
        <v/>
      </c>
      <c r="BI501" s="185" t="str">
        <f>_xlfn.IFNA(VLOOKUP($BC501,Programma!$F$3:$L$1101,7,0),"")</f>
        <v/>
      </c>
      <c r="BJ501" s="185" t="str">
        <f>_xlfn.IFNA(VLOOKUP($BC501,Programma!$F$3:$M$1101,8,0),"")</f>
        <v/>
      </c>
      <c r="BK501" s="185" t="str">
        <f>_xlfn.IFNA(VLOOKUP($BC501,Programma!$F$3:$N$1101,9,0),"")</f>
        <v/>
      </c>
      <c r="BL501" s="185" t="str">
        <f>_xlfn.IFNA(VLOOKUP($BC501,Programma!$F$3:$O$1101,10,0),"")</f>
        <v/>
      </c>
      <c r="BM501" s="185" t="str">
        <f>_xlfn.IFNA(VLOOKUP($BC501,Programma!$F$3:$P$1101,11,0),"")</f>
        <v/>
      </c>
      <c r="BN501" s="185" t="str">
        <f>_xlfn.IFNA(VLOOKUP($BC501,Programma!$F$3:$Q$1101,12,0),"")</f>
        <v/>
      </c>
      <c r="BO501" s="185" t="str">
        <f>_xlfn.IFNA(VLOOKUP($BC501,Programma!$F$3:$R$1101,13,0),"")</f>
        <v/>
      </c>
      <c r="BP501" s="185" t="str">
        <f>_xlfn.IFNA(VLOOKUP($BC501,Programma!$F$3:$S$1101,14,0),"")</f>
        <v/>
      </c>
      <c r="BQ501" s="185" t="str">
        <f>_xlfn.IFNA(VLOOKUP($BC501,Programma!$F$3:$T$1101,15,0),"")</f>
        <v/>
      </c>
      <c r="BR501" s="185" t="str">
        <f>_xlfn.IFNA(VLOOKUP($BC501,Programma!$F$3:$U$1101,16,0),"")</f>
        <v/>
      </c>
      <c r="BS501" s="185" t="str">
        <f>_xlfn.IFNA(VLOOKUP($BC501,Programma!$F$3:$V$1101,17,0),"")</f>
        <v/>
      </c>
      <c r="BT501" s="185" t="str">
        <f>_xlfn.IFNA(VLOOKUP($BC501,Programma!$F$3:$W$1101,18,0),"")</f>
        <v/>
      </c>
      <c r="BU501" s="185" t="str">
        <f>_xlfn.IFNA(VLOOKUP($BC501,Programma!$F$3:$X$1101,19,0),"")</f>
        <v/>
      </c>
      <c r="BV501" s="185" t="str">
        <f>_xlfn.IFNA(VLOOKUP($BC501,Programma!$F$3:$Y$1101,20,0),"")</f>
        <v/>
      </c>
    </row>
    <row r="502" spans="1:74" s="78" customFormat="1" ht="15" customHeight="1">
      <c r="A502" s="99">
        <v>14</v>
      </c>
      <c r="B502" s="176" t="str">
        <f>VLOOKUP(Ruimtestaat[[#This Row],[Code]],Locaties[[Code]:[Locatie]],2,FALSE)</f>
        <v>Prinseschool Prinsestraat</v>
      </c>
      <c r="C502" s="176" t="str">
        <f>VLOOKUP(Ruimtestaat[[#This Row],[Code]],Locaties[[#All],[Code]:[Adres]],4,FALSE)</f>
        <v>Prinsestraat 10-10a </v>
      </c>
      <c r="D502" s="176" t="str">
        <f>VLOOKUP(Ruimtestaat[[#This Row],[Code]],Locaties[[#All],[Code]:[Postcode]],5,FALSE)</f>
        <v>7513 AL</v>
      </c>
      <c r="E502" s="176" t="str">
        <f>VLOOKUP(Ruimtestaat[[#This Row],[Code]],Locaties[#All],6,FALSE)</f>
        <v>Enschede</v>
      </c>
      <c r="F502" s="183"/>
      <c r="G502" s="99" t="s">
        <v>1760</v>
      </c>
      <c r="H502" s="99" t="s">
        <v>1803</v>
      </c>
      <c r="I502" s="183" t="s">
        <v>1649</v>
      </c>
      <c r="J502" s="99">
        <v>2</v>
      </c>
      <c r="K502" s="183" t="str">
        <f>VLOOKUP(Ruimtestaat[[#This Row],[Ruimte code]],Ruimtegroepen[[#All],[Code]:[Ruimte omschrijving]],2,FALSE)</f>
        <v>Kantoren</v>
      </c>
      <c r="L502" s="99" t="s">
        <v>99</v>
      </c>
      <c r="M502" s="99" t="s">
        <v>36</v>
      </c>
      <c r="N502" s="177">
        <v>18</v>
      </c>
      <c r="O502" s="177"/>
      <c r="P502" s="178" t="str">
        <f>VLOOKUP(Ruimtestaat[[#This Row],[Ruimte code]],Ruimtegroepen[],4,FALSE)</f>
        <v>Bu</v>
      </c>
      <c r="Q502" s="149">
        <v>40</v>
      </c>
      <c r="R502" s="149" t="s">
        <v>18</v>
      </c>
      <c r="S502" s="149">
        <f>IF(Q502&gt;0,IF(RIGHT(Ruimtestaat[[#This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02" s="149">
        <f>IF(S502&gt;0,VLOOKUP($J502,Ruimtegroepen[],3,FALSE)*VLOOKUP($L502,Vloersoorten[],3,FALSE)*VLOOKUP($R502,Frequenties[],3,FALSE)*VLOOKUP($A502,Locaties[],3,FALSE),0)</f>
        <v>0</v>
      </c>
      <c r="U502" s="149">
        <f>Ruimtestaat[[#This Row],[Uitvoeringen werkdagen]]*Ruimtestaat[[#This Row],[Oppervlak (netto)]]</f>
        <v>2160</v>
      </c>
      <c r="V502" s="179">
        <f>IF(T502&gt;0,Ruimtestaat[[#This Row],[Prest. (m2 /jaar) werkdagen]]/Ruimtestaat[[#This Row],[Norm (m2/uur) werkdagen]],0)</f>
        <v>0</v>
      </c>
      <c r="W502" s="180">
        <f>Ruimtestaat[[#This Row],[uren / jaar werkdagen]]*Tariefsopbouw!$E$35</f>
        <v>0</v>
      </c>
      <c r="X502" s="149"/>
      <c r="Y502" s="149">
        <f>IF(Ruimtestaat[[#This Row],[Frequentie weekend]]&gt;0,VALUE(LEFT(X502,1))*Q502,0)</f>
        <v>0</v>
      </c>
      <c r="Z502" s="148">
        <f>IF($Y502&gt;0,VLOOKUP($J502,Ruimtegroepen[],3,FALSE)*VLOOKUP($L502,Vloersoorten[],3,FALSE)*VLOOKUP($X502,Frequenties[],3,FALSE)*VLOOKUP(Ruimtestaat[[#This Row],[Code]],Locaties[],3,FALSE),0)</f>
        <v>0</v>
      </c>
      <c r="AA502" s="148">
        <f>Ruimtestaat[[#This Row],[Uitvoeringen weekend]]*Ruimtestaat[[#This Row],[Oppervlak (netto)]]</f>
        <v>0</v>
      </c>
      <c r="AB502" s="148">
        <f>IF(Z502&gt;0,Ruimtestaat[[#This Row],[Prest. (m2 /jaar) weekend]]/Ruimtestaat[[#This Row],[Norm (m2/uur) weekend]],0)</f>
        <v>0</v>
      </c>
      <c r="AC502" s="180">
        <f>Ruimtestaat[[#This Row],[uren / jaar weekend]]*Tariefsopbouw!$D$40</f>
        <v>0</v>
      </c>
      <c r="AD502" s="179">
        <f>Ruimtestaat[[#This Row],[Prest. (m2 /jaar) weekend]]+Ruimtestaat[[#This Row],[Prest. (m2 /jaar) werkdagen]]</f>
        <v>2160</v>
      </c>
      <c r="AE502" s="179">
        <f>Ruimtestaat[[#This Row],[uren / jaar weekend]]+Ruimtestaat[[#This Row],[uren / jaar werkdagen]]</f>
        <v>0</v>
      </c>
      <c r="AF502" s="174">
        <f>Ruimtestaat[[#This Row],[kosten / jaar weekend]]+Ruimtestaat[[#This Row],[kosten / jaar werkdagen]]</f>
        <v>0</v>
      </c>
      <c r="AG502" s="174"/>
      <c r="AH502" s="181" t="str">
        <f>IF(Ruimtestaat[[#This Row],[Frequentie werkdagen]]="","",_xlfn.CONCAT(Ruimtestaat[[#This Row],[Ruimte code]],"-",Ruimtestaat[[#This Row],[Frequentie werkdagen]]," ",Ruimtestaat[[#This Row],[Vloer code]]))</f>
        <v>2-3w T</v>
      </c>
      <c r="AI502" s="185" t="str">
        <f>_xlfn.IFNA(VLOOKUP($AH502,Programma!$F$3:$G$1101,2,0),"")</f>
        <v>2w</v>
      </c>
      <c r="AJ502" s="185" t="str">
        <f>_xlfn.IFNA(VLOOKUP($AH502,Programma!$F$3:$H$1101,3,0),"")</f>
        <v>1w</v>
      </c>
      <c r="AK502" s="185" t="str">
        <f>_xlfn.IFNA(VLOOKUP($AH502,Programma!$F$3:$I$1101,4,0),"")</f>
        <v>_</v>
      </c>
      <c r="AL502" s="185" t="str">
        <f>_xlfn.IFNA(VLOOKUP($AH502,Programma!$F$3:$J$1101,5,0),"")</f>
        <v>_</v>
      </c>
      <c r="AM502" s="185" t="str">
        <f>_xlfn.IFNA(VLOOKUP($AH502,Programma!$F$3:$K$1101,6,0),"")</f>
        <v>_</v>
      </c>
      <c r="AN502" s="185" t="str">
        <f>_xlfn.IFNA(VLOOKUP($AH502,Programma!$F$3:$L$1101,7,0),"")</f>
        <v>_</v>
      </c>
      <c r="AO502" s="185" t="str">
        <f>_xlfn.IFNA(VLOOKUP($AH502,Programma!$F$3:$M$1101,8,0),"")</f>
        <v>_</v>
      </c>
      <c r="AP502" s="185" t="str">
        <f>_xlfn.IFNA(VLOOKUP($AH502,Programma!$F$3:$N$1101,9,0),"")</f>
        <v>_</v>
      </c>
      <c r="AQ502" s="185" t="str">
        <f>_xlfn.IFNA(VLOOKUP($AH502,Programma!$F$3:$O$1101,10,0),"")</f>
        <v>3w</v>
      </c>
      <c r="AR502" s="185" t="str">
        <f>_xlfn.IFNA(VLOOKUP($AH502,Programma!$F$3:$P$1101,11,0),"")</f>
        <v>3w</v>
      </c>
      <c r="AS502" s="185" t="str">
        <f>_xlfn.IFNA(VLOOKUP($AH502,Programma!$F$3:$Q$1101,12,0),"")</f>
        <v>1w</v>
      </c>
      <c r="AT502" s="185" t="str">
        <f>_xlfn.IFNA(VLOOKUP($AH502,Programma!$F$3:$R$1101,13,0),"")</f>
        <v>1w</v>
      </c>
      <c r="AU502" s="185" t="str">
        <f>_xlfn.IFNA(VLOOKUP($AH502,Programma!$F$3:$S$1101,14,0),"")</f>
        <v>1m</v>
      </c>
      <c r="AV502" s="185" t="str">
        <f>_xlfn.IFNA(VLOOKUP($AH502,Programma!$F$3:$T$1101,15,0),"")</f>
        <v>2j</v>
      </c>
      <c r="AW502" s="185" t="str">
        <f>_xlfn.IFNA(VLOOKUP($AH502,Programma!$F$3:$U$1101,16,0),"")</f>
        <v>1j</v>
      </c>
      <c r="AX502" s="185" t="str">
        <f>_xlfn.IFNA(VLOOKUP($AH502,Programma!$F$3:$V$1101,17,0),"")</f>
        <v>_</v>
      </c>
      <c r="AY502" s="185" t="str">
        <f>_xlfn.IFNA(VLOOKUP($AH502,Programma!$F$3:$W$1101,18,0),"")</f>
        <v>_</v>
      </c>
      <c r="AZ502" s="185" t="str">
        <f>_xlfn.IFNA(VLOOKUP($AH502,Programma!$F$3:$X$1101,19,0),"")</f>
        <v>_</v>
      </c>
      <c r="BA502" s="185" t="str">
        <f>_xlfn.IFNA(VLOOKUP($AH502,Programma!$F$3:$Y$1101,20,0),"")</f>
        <v>_</v>
      </c>
      <c r="BB502" s="182"/>
      <c r="BC502" s="181" t="str">
        <f>IF(Ruimtestaat[[#This Row],[Frequentie weekend]]="","",_xlfn.CONCAT(Ruimtestaat[[#This Row],[Ruimte code]],"-",Ruimtestaat[[#This Row],[Frequentie weekend]]," ",Ruimtestaat[[#This Row],[Vloer code]]))</f>
        <v/>
      </c>
      <c r="BD502" s="185" t="str">
        <f>_xlfn.IFNA(VLOOKUP($BC502,Programma!$F$3:$G$1101,2,0),"")</f>
        <v/>
      </c>
      <c r="BE502" s="185" t="str">
        <f>_xlfn.IFNA(VLOOKUP($BC502,Programma!$F$3:$H$1101,3,0),"")</f>
        <v/>
      </c>
      <c r="BF502" s="185" t="str">
        <f>_xlfn.IFNA(VLOOKUP($BC502,Programma!$F$3:$I$1101,4,0),"")</f>
        <v/>
      </c>
      <c r="BG502" s="185" t="str">
        <f>_xlfn.IFNA(VLOOKUP($BC502,Programma!$F$3:$J$1101,5,0),"")</f>
        <v/>
      </c>
      <c r="BH502" s="185" t="str">
        <f>_xlfn.IFNA(VLOOKUP($BC502,Programma!$F$3:$K$1101,6,0),"")</f>
        <v/>
      </c>
      <c r="BI502" s="185" t="str">
        <f>_xlfn.IFNA(VLOOKUP($BC502,Programma!$F$3:$L$1101,7,0),"")</f>
        <v/>
      </c>
      <c r="BJ502" s="185" t="str">
        <f>_xlfn.IFNA(VLOOKUP($BC502,Programma!$F$3:$M$1101,8,0),"")</f>
        <v/>
      </c>
      <c r="BK502" s="185" t="str">
        <f>_xlfn.IFNA(VLOOKUP($BC502,Programma!$F$3:$N$1101,9,0),"")</f>
        <v/>
      </c>
      <c r="BL502" s="185" t="str">
        <f>_xlfn.IFNA(VLOOKUP($BC502,Programma!$F$3:$O$1101,10,0),"")</f>
        <v/>
      </c>
      <c r="BM502" s="185" t="str">
        <f>_xlfn.IFNA(VLOOKUP($BC502,Programma!$F$3:$P$1101,11,0),"")</f>
        <v/>
      </c>
      <c r="BN502" s="185" t="str">
        <f>_xlfn.IFNA(VLOOKUP($BC502,Programma!$F$3:$Q$1101,12,0),"")</f>
        <v/>
      </c>
      <c r="BO502" s="185" t="str">
        <f>_xlfn.IFNA(VLOOKUP($BC502,Programma!$F$3:$R$1101,13,0),"")</f>
        <v/>
      </c>
      <c r="BP502" s="185" t="str">
        <f>_xlfn.IFNA(VLOOKUP($BC502,Programma!$F$3:$S$1101,14,0),"")</f>
        <v/>
      </c>
      <c r="BQ502" s="185" t="str">
        <f>_xlfn.IFNA(VLOOKUP($BC502,Programma!$F$3:$T$1101,15,0),"")</f>
        <v/>
      </c>
      <c r="BR502" s="185" t="str">
        <f>_xlfn.IFNA(VLOOKUP($BC502,Programma!$F$3:$U$1101,16,0),"")</f>
        <v/>
      </c>
      <c r="BS502" s="185" t="str">
        <f>_xlfn.IFNA(VLOOKUP($BC502,Programma!$F$3:$V$1101,17,0),"")</f>
        <v/>
      </c>
      <c r="BT502" s="185" t="str">
        <f>_xlfn.IFNA(VLOOKUP($BC502,Programma!$F$3:$W$1101,18,0),"")</f>
        <v/>
      </c>
      <c r="BU502" s="185" t="str">
        <f>_xlfn.IFNA(VLOOKUP($BC502,Programma!$F$3:$X$1101,19,0),"")</f>
        <v/>
      </c>
      <c r="BV502" s="185" t="str">
        <f>_xlfn.IFNA(VLOOKUP($BC502,Programma!$F$3:$Y$1101,20,0),"")</f>
        <v/>
      </c>
    </row>
    <row r="503" spans="1:74" s="78" customFormat="1" ht="15" customHeight="1">
      <c r="A503" s="99">
        <v>14</v>
      </c>
      <c r="B503" s="176" t="str">
        <f>VLOOKUP(Ruimtestaat[[#This Row],[Code]],Locaties[[Code]:[Locatie]],2,FALSE)</f>
        <v>Prinseschool Prinsestraat</v>
      </c>
      <c r="C503" s="176" t="str">
        <f>VLOOKUP(Ruimtestaat[[#This Row],[Code]],Locaties[[#All],[Code]:[Adres]],4,FALSE)</f>
        <v>Prinsestraat 10-10a </v>
      </c>
      <c r="D503" s="176" t="str">
        <f>VLOOKUP(Ruimtestaat[[#This Row],[Code]],Locaties[[#All],[Code]:[Postcode]],5,FALSE)</f>
        <v>7513 AL</v>
      </c>
      <c r="E503" s="176" t="str">
        <f>VLOOKUP(Ruimtestaat[[#This Row],[Code]],Locaties[#All],6,FALSE)</f>
        <v>Enschede</v>
      </c>
      <c r="F503" s="183"/>
      <c r="G503" s="99" t="s">
        <v>1760</v>
      </c>
      <c r="H503" s="99" t="s">
        <v>1804</v>
      </c>
      <c r="I503" s="183" t="s">
        <v>1655</v>
      </c>
      <c r="J503" s="99">
        <v>5</v>
      </c>
      <c r="K503" s="183" t="str">
        <f>VLOOKUP(Ruimtestaat[[#This Row],[Ruimte code]],Ruimtegroepen[[#All],[Code]:[Ruimte omschrijving]],2,FALSE)</f>
        <v>Sanitair</v>
      </c>
      <c r="L503" s="99" t="s">
        <v>101</v>
      </c>
      <c r="M503" s="99" t="s">
        <v>1682</v>
      </c>
      <c r="N503" s="177">
        <v>8</v>
      </c>
      <c r="O503" s="177"/>
      <c r="P503" s="178" t="str">
        <f>VLOOKUP(Ruimtestaat[[#This Row],[Ruimte code]],Ruimtegroepen[],4,FALSE)</f>
        <v>Sa</v>
      </c>
      <c r="Q503" s="149">
        <v>40</v>
      </c>
      <c r="R503" s="149" t="s">
        <v>2</v>
      </c>
      <c r="S503" s="149">
        <f>IF(Q503&gt;0,IF(RIGHT(Ruimtestaat[[#This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3" s="149">
        <f>IF(S503&gt;0,VLOOKUP($J503,Ruimtegroepen[],3,FALSE)*VLOOKUP($L503,Vloersoorten[],3,FALSE)*VLOOKUP($R503,Frequenties[],3,FALSE)*VLOOKUP($A503,Locaties[],3,FALSE),0)</f>
        <v>0</v>
      </c>
      <c r="U503" s="149">
        <f>Ruimtestaat[[#This Row],[Uitvoeringen werkdagen]]*Ruimtestaat[[#This Row],[Oppervlak (netto)]]</f>
        <v>1600</v>
      </c>
      <c r="V503" s="179">
        <f>IF(T503&gt;0,Ruimtestaat[[#This Row],[Prest. (m2 /jaar) werkdagen]]/Ruimtestaat[[#This Row],[Norm (m2/uur) werkdagen]],0)</f>
        <v>0</v>
      </c>
      <c r="W503" s="180">
        <f>Ruimtestaat[[#This Row],[uren / jaar werkdagen]]*Tariefsopbouw!$E$35</f>
        <v>0</v>
      </c>
      <c r="X503" s="149"/>
      <c r="Y503" s="149">
        <f>IF(Ruimtestaat[[#This Row],[Frequentie weekend]]&gt;0,VALUE(LEFT(X503,1))*Q503,0)</f>
        <v>0</v>
      </c>
      <c r="Z503" s="148">
        <f>IF($Y503&gt;0,VLOOKUP($J503,Ruimtegroepen[],3,FALSE)*VLOOKUP($L503,Vloersoorten[],3,FALSE)*VLOOKUP($X503,Frequenties[],3,FALSE)*VLOOKUP(Ruimtestaat[[#This Row],[Code]],Locaties[],3,FALSE),0)</f>
        <v>0</v>
      </c>
      <c r="AA503" s="148">
        <f>Ruimtestaat[[#This Row],[Uitvoeringen weekend]]*Ruimtestaat[[#This Row],[Oppervlak (netto)]]</f>
        <v>0</v>
      </c>
      <c r="AB503" s="148">
        <f>IF(Z503&gt;0,Ruimtestaat[[#This Row],[Prest. (m2 /jaar) weekend]]/Ruimtestaat[[#This Row],[Norm (m2/uur) weekend]],0)</f>
        <v>0</v>
      </c>
      <c r="AC503" s="180">
        <f>Ruimtestaat[[#This Row],[uren / jaar weekend]]*Tariefsopbouw!$D$40</f>
        <v>0</v>
      </c>
      <c r="AD503" s="179">
        <f>Ruimtestaat[[#This Row],[Prest. (m2 /jaar) weekend]]+Ruimtestaat[[#This Row],[Prest. (m2 /jaar) werkdagen]]</f>
        <v>1600</v>
      </c>
      <c r="AE503" s="179">
        <f>Ruimtestaat[[#This Row],[uren / jaar weekend]]+Ruimtestaat[[#This Row],[uren / jaar werkdagen]]</f>
        <v>0</v>
      </c>
      <c r="AF503" s="174">
        <f>Ruimtestaat[[#This Row],[kosten / jaar weekend]]+Ruimtestaat[[#This Row],[kosten / jaar werkdagen]]</f>
        <v>0</v>
      </c>
      <c r="AG503" s="174"/>
      <c r="AH503" s="181" t="str">
        <f>IF(Ruimtestaat[[#This Row],[Frequentie werkdagen]]="","",_xlfn.CONCAT(Ruimtestaat[[#This Row],[Ruimte code]],"-",Ruimtestaat[[#This Row],[Frequentie werkdagen]]," ",Ruimtestaat[[#This Row],[Vloer code]]))</f>
        <v>5-5w S</v>
      </c>
      <c r="AI503" s="185" t="str">
        <f>_xlfn.IFNA(VLOOKUP($AH503,Programma!$F$3:$G$1101,2,0),"")</f>
        <v>_</v>
      </c>
      <c r="AJ503" s="185" t="str">
        <f>_xlfn.IFNA(VLOOKUP($AH503,Programma!$F$3:$H$1101,3,0),"")</f>
        <v>_</v>
      </c>
      <c r="AK503" s="185" t="str">
        <f>_xlfn.IFNA(VLOOKUP($AH503,Programma!$F$3:$I$1101,4,0),"")</f>
        <v>_</v>
      </c>
      <c r="AL503" s="185" t="str">
        <f>_xlfn.IFNA(VLOOKUP($AH503,Programma!$F$3:$J$1101,5,0),"")</f>
        <v>4w</v>
      </c>
      <c r="AM503" s="185" t="str">
        <f>_xlfn.IFNA(VLOOKUP($AH503,Programma!$F$3:$K$1101,6,0),"")</f>
        <v>1w</v>
      </c>
      <c r="AN503" s="185" t="str">
        <f>_xlfn.IFNA(VLOOKUP($AH503,Programma!$F$3:$L$1101,7,0),"")</f>
        <v>_</v>
      </c>
      <c r="AO503" s="185" t="str">
        <f>_xlfn.IFNA(VLOOKUP($AH503,Programma!$F$3:$M$1101,8,0),"")</f>
        <v>_</v>
      </c>
      <c r="AP503" s="185" t="str">
        <f>_xlfn.IFNA(VLOOKUP($AH503,Programma!$F$3:$N$1101,9,0),"")</f>
        <v>_</v>
      </c>
      <c r="AQ503" s="185" t="str">
        <f>_xlfn.IFNA(VLOOKUP($AH503,Programma!$F$3:$O$1101,10,0),"")</f>
        <v>_</v>
      </c>
      <c r="AR503" s="185" t="str">
        <f>_xlfn.IFNA(VLOOKUP($AH503,Programma!$F$3:$P$1101,11,0),"")</f>
        <v>_</v>
      </c>
      <c r="AS503" s="185" t="str">
        <f>_xlfn.IFNA(VLOOKUP($AH503,Programma!$F$3:$Q$1101,12,0),"")</f>
        <v>_</v>
      </c>
      <c r="AT503" s="185" t="str">
        <f>_xlfn.IFNA(VLOOKUP($AH503,Programma!$F$3:$R$1101,13,0),"")</f>
        <v>_</v>
      </c>
      <c r="AU503" s="185" t="str">
        <f>_xlfn.IFNA(VLOOKUP($AH503,Programma!$F$3:$S$1101,14,0),"")</f>
        <v>_</v>
      </c>
      <c r="AV503" s="185" t="str">
        <f>_xlfn.IFNA(VLOOKUP($AH503,Programma!$F$3:$T$1101,15,0),"")</f>
        <v>_</v>
      </c>
      <c r="AW503" s="185" t="str">
        <f>_xlfn.IFNA(VLOOKUP($AH503,Programma!$F$3:$U$1101,16,0),"")</f>
        <v>_</v>
      </c>
      <c r="AX503" s="185" t="str">
        <f>_xlfn.IFNA(VLOOKUP($AH503,Programma!$F$3:$V$1101,17,0),"")</f>
        <v>_</v>
      </c>
      <c r="AY503" s="185" t="str">
        <f>_xlfn.IFNA(VLOOKUP($AH503,Programma!$F$3:$W$1101,18,0),"")</f>
        <v>4w</v>
      </c>
      <c r="AZ503" s="185" t="str">
        <f>_xlfn.IFNA(VLOOKUP($AH503,Programma!$F$3:$X$1101,19,0),"")</f>
        <v>1w</v>
      </c>
      <c r="BA503" s="185" t="str">
        <f>_xlfn.IFNA(VLOOKUP($AH503,Programma!$F$3:$Y$1101,20,0),"")</f>
        <v>_</v>
      </c>
      <c r="BB503" s="182"/>
      <c r="BC503" s="181" t="str">
        <f>IF(Ruimtestaat[[#This Row],[Frequentie weekend]]="","",_xlfn.CONCAT(Ruimtestaat[[#This Row],[Ruimte code]],"-",Ruimtestaat[[#This Row],[Frequentie weekend]]," ",Ruimtestaat[[#This Row],[Vloer code]]))</f>
        <v/>
      </c>
      <c r="BD503" s="185" t="str">
        <f>_xlfn.IFNA(VLOOKUP($BC503,Programma!$F$3:$G$1101,2,0),"")</f>
        <v/>
      </c>
      <c r="BE503" s="185" t="str">
        <f>_xlfn.IFNA(VLOOKUP($BC503,Programma!$F$3:$H$1101,3,0),"")</f>
        <v/>
      </c>
      <c r="BF503" s="185" t="str">
        <f>_xlfn.IFNA(VLOOKUP($BC503,Programma!$F$3:$I$1101,4,0),"")</f>
        <v/>
      </c>
      <c r="BG503" s="185" t="str">
        <f>_xlfn.IFNA(VLOOKUP($BC503,Programma!$F$3:$J$1101,5,0),"")</f>
        <v/>
      </c>
      <c r="BH503" s="185" t="str">
        <f>_xlfn.IFNA(VLOOKUP($BC503,Programma!$F$3:$K$1101,6,0),"")</f>
        <v/>
      </c>
      <c r="BI503" s="185" t="str">
        <f>_xlfn.IFNA(VLOOKUP($BC503,Programma!$F$3:$L$1101,7,0),"")</f>
        <v/>
      </c>
      <c r="BJ503" s="185" t="str">
        <f>_xlfn.IFNA(VLOOKUP($BC503,Programma!$F$3:$M$1101,8,0),"")</f>
        <v/>
      </c>
      <c r="BK503" s="185" t="str">
        <f>_xlfn.IFNA(VLOOKUP($BC503,Programma!$F$3:$N$1101,9,0),"")</f>
        <v/>
      </c>
      <c r="BL503" s="185" t="str">
        <f>_xlfn.IFNA(VLOOKUP($BC503,Programma!$F$3:$O$1101,10,0),"")</f>
        <v/>
      </c>
      <c r="BM503" s="185" t="str">
        <f>_xlfn.IFNA(VLOOKUP($BC503,Programma!$F$3:$P$1101,11,0),"")</f>
        <v/>
      </c>
      <c r="BN503" s="185" t="str">
        <f>_xlfn.IFNA(VLOOKUP($BC503,Programma!$F$3:$Q$1101,12,0),"")</f>
        <v/>
      </c>
      <c r="BO503" s="185" t="str">
        <f>_xlfn.IFNA(VLOOKUP($BC503,Programma!$F$3:$R$1101,13,0),"")</f>
        <v/>
      </c>
      <c r="BP503" s="185" t="str">
        <f>_xlfn.IFNA(VLOOKUP($BC503,Programma!$F$3:$S$1101,14,0),"")</f>
        <v/>
      </c>
      <c r="BQ503" s="185" t="str">
        <f>_xlfn.IFNA(VLOOKUP($BC503,Programma!$F$3:$T$1101,15,0),"")</f>
        <v/>
      </c>
      <c r="BR503" s="185" t="str">
        <f>_xlfn.IFNA(VLOOKUP($BC503,Programma!$F$3:$U$1101,16,0),"")</f>
        <v/>
      </c>
      <c r="BS503" s="185" t="str">
        <f>_xlfn.IFNA(VLOOKUP($BC503,Programma!$F$3:$V$1101,17,0),"")</f>
        <v/>
      </c>
      <c r="BT503" s="185" t="str">
        <f>_xlfn.IFNA(VLOOKUP($BC503,Programma!$F$3:$W$1101,18,0),"")</f>
        <v/>
      </c>
      <c r="BU503" s="185" t="str">
        <f>_xlfn.IFNA(VLOOKUP($BC503,Programma!$F$3:$X$1101,19,0),"")</f>
        <v/>
      </c>
      <c r="BV503" s="185" t="str">
        <f>_xlfn.IFNA(VLOOKUP($BC503,Programma!$F$3:$Y$1101,20,0),"")</f>
        <v/>
      </c>
    </row>
    <row r="504" spans="1:74" s="78" customFormat="1" ht="15" customHeight="1">
      <c r="A504" s="99">
        <v>14</v>
      </c>
      <c r="B504" s="176" t="str">
        <f>VLOOKUP(Ruimtestaat[[#This Row],[Code]],Locaties[[Code]:[Locatie]],2,FALSE)</f>
        <v>Prinseschool Prinsestraat</v>
      </c>
      <c r="C504" s="176" t="str">
        <f>VLOOKUP(Ruimtestaat[[#This Row],[Code]],Locaties[[#All],[Code]:[Adres]],4,FALSE)</f>
        <v>Prinsestraat 10-10a </v>
      </c>
      <c r="D504" s="176" t="str">
        <f>VLOOKUP(Ruimtestaat[[#This Row],[Code]],Locaties[[#All],[Code]:[Postcode]],5,FALSE)</f>
        <v>7513 AL</v>
      </c>
      <c r="E504" s="176" t="str">
        <f>VLOOKUP(Ruimtestaat[[#This Row],[Code]],Locaties[#All],6,FALSE)</f>
        <v>Enschede</v>
      </c>
      <c r="F504" s="183"/>
      <c r="G504" s="99" t="s">
        <v>1760</v>
      </c>
      <c r="H504" s="99" t="s">
        <v>1805</v>
      </c>
      <c r="I504" s="183" t="s">
        <v>1651</v>
      </c>
      <c r="J504" s="99">
        <v>16</v>
      </c>
      <c r="K504" s="183" t="str">
        <f>VLOOKUP(Ruimtestaat[[#This Row],[Ruimte code]],Ruimtegroepen[[#All],[Code]:[Ruimte omschrijving]],2,FALSE)</f>
        <v>Leslokalen</v>
      </c>
      <c r="L504" s="99" t="s">
        <v>100</v>
      </c>
      <c r="M504" s="99" t="s">
        <v>1697</v>
      </c>
      <c r="N504" s="177">
        <v>49.2</v>
      </c>
      <c r="O504" s="177"/>
      <c r="P504" s="178" t="str">
        <f>VLOOKUP(Ruimtestaat[[#This Row],[Ruimte code]],Ruimtegroepen[],4,FALSE)</f>
        <v>Le</v>
      </c>
      <c r="Q504" s="149">
        <v>40</v>
      </c>
      <c r="R504" s="149" t="s">
        <v>2</v>
      </c>
      <c r="S504" s="149">
        <f>IF(Q504&gt;0,IF(RIGHT(Ruimtestaat[[#This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4" s="149">
        <f>IF(S504&gt;0,VLOOKUP($J504,Ruimtegroepen[],3,FALSE)*VLOOKUP($L504,Vloersoorten[],3,FALSE)*VLOOKUP($R504,Frequenties[],3,FALSE)*VLOOKUP($A504,Locaties[],3,FALSE),0)</f>
        <v>0</v>
      </c>
      <c r="U504" s="149">
        <f>Ruimtestaat[[#This Row],[Uitvoeringen werkdagen]]*Ruimtestaat[[#This Row],[Oppervlak (netto)]]</f>
        <v>9840</v>
      </c>
      <c r="V504" s="179">
        <f>IF(T504&gt;0,Ruimtestaat[[#This Row],[Prest. (m2 /jaar) werkdagen]]/Ruimtestaat[[#This Row],[Norm (m2/uur) werkdagen]],0)</f>
        <v>0</v>
      </c>
      <c r="W504" s="180">
        <f>Ruimtestaat[[#This Row],[uren / jaar werkdagen]]*Tariefsopbouw!$E$35</f>
        <v>0</v>
      </c>
      <c r="X504" s="149"/>
      <c r="Y504" s="149">
        <f>IF(Ruimtestaat[[#This Row],[Frequentie weekend]]&gt;0,VALUE(LEFT(X504,1))*Q504,0)</f>
        <v>0</v>
      </c>
      <c r="Z504" s="148">
        <f>IF($Y504&gt;0,VLOOKUP($J504,Ruimtegroepen[],3,FALSE)*VLOOKUP($L504,Vloersoorten[],3,FALSE)*VLOOKUP($X504,Frequenties[],3,FALSE)*VLOOKUP(Ruimtestaat[[#This Row],[Code]],Locaties[],3,FALSE),0)</f>
        <v>0</v>
      </c>
      <c r="AA504" s="148">
        <f>Ruimtestaat[[#This Row],[Uitvoeringen weekend]]*Ruimtestaat[[#This Row],[Oppervlak (netto)]]</f>
        <v>0</v>
      </c>
      <c r="AB504" s="148">
        <f>IF(Z504&gt;0,Ruimtestaat[[#This Row],[Prest. (m2 /jaar) weekend]]/Ruimtestaat[[#This Row],[Norm (m2/uur) weekend]],0)</f>
        <v>0</v>
      </c>
      <c r="AC504" s="180">
        <f>Ruimtestaat[[#This Row],[uren / jaar weekend]]*Tariefsopbouw!$D$40</f>
        <v>0</v>
      </c>
      <c r="AD504" s="179">
        <f>Ruimtestaat[[#This Row],[Prest. (m2 /jaar) weekend]]+Ruimtestaat[[#This Row],[Prest. (m2 /jaar) werkdagen]]</f>
        <v>9840</v>
      </c>
      <c r="AE504" s="179">
        <f>Ruimtestaat[[#This Row],[uren / jaar weekend]]+Ruimtestaat[[#This Row],[uren / jaar werkdagen]]</f>
        <v>0</v>
      </c>
      <c r="AF504" s="174">
        <f>Ruimtestaat[[#This Row],[kosten / jaar weekend]]+Ruimtestaat[[#This Row],[kosten / jaar werkdagen]]</f>
        <v>0</v>
      </c>
      <c r="AG504" s="174"/>
      <c r="AH504" s="181" t="str">
        <f>IF(Ruimtestaat[[#This Row],[Frequentie werkdagen]]="","",_xlfn.CONCAT(Ruimtestaat[[#This Row],[Ruimte code]],"-",Ruimtestaat[[#This Row],[Frequentie werkdagen]]," ",Ruimtestaat[[#This Row],[Vloer code]]))</f>
        <v>16-5w L</v>
      </c>
      <c r="AI504" s="185" t="str">
        <f>_xlfn.IFNA(VLOOKUP($AH504,Programma!$F$3:$G$1101,2,0),"")</f>
        <v>_</v>
      </c>
      <c r="AJ504" s="185" t="str">
        <f>_xlfn.IFNA(VLOOKUP($AH504,Programma!$F$3:$H$1101,3,0),"")</f>
        <v>_</v>
      </c>
      <c r="AK504" s="185" t="str">
        <f>_xlfn.IFNA(VLOOKUP($AH504,Programma!$F$3:$I$1101,4,0),"")</f>
        <v>4w</v>
      </c>
      <c r="AL504" s="185" t="str">
        <f>_xlfn.IFNA(VLOOKUP($AH504,Programma!$F$3:$J$1101,5,0),"")</f>
        <v>1w</v>
      </c>
      <c r="AM504" s="185" t="str">
        <f>_xlfn.IFNA(VLOOKUP($AH504,Programma!$F$3:$K$1101,6,0),"")</f>
        <v>_</v>
      </c>
      <c r="AN504" s="185" t="str">
        <f>_xlfn.IFNA(VLOOKUP($AH504,Programma!$F$3:$L$1101,7,0),"")</f>
        <v>_</v>
      </c>
      <c r="AO504" s="185" t="str">
        <f>_xlfn.IFNA(VLOOKUP($AH504,Programma!$F$3:$M$1101,8,0),"")</f>
        <v>_</v>
      </c>
      <c r="AP504" s="185" t="str">
        <f>_xlfn.IFNA(VLOOKUP($AH504,Programma!$F$3:$N$1101,9,0),"")</f>
        <v>_</v>
      </c>
      <c r="AQ504" s="185" t="str">
        <f>_xlfn.IFNA(VLOOKUP($AH504,Programma!$F$3:$O$1101,10,0),"")</f>
        <v>5w</v>
      </c>
      <c r="AR504" s="185" t="str">
        <f>_xlfn.IFNA(VLOOKUP($AH504,Programma!$F$3:$P$1101,11,0),"")</f>
        <v>5w</v>
      </c>
      <c r="AS504" s="185" t="str">
        <f>_xlfn.IFNA(VLOOKUP($AH504,Programma!$F$3:$Q$1101,12,0),"")</f>
        <v>1w</v>
      </c>
      <c r="AT504" s="185" t="str">
        <f>_xlfn.IFNA(VLOOKUP($AH504,Programma!$F$3:$R$1101,13,0),"")</f>
        <v>1w</v>
      </c>
      <c r="AU504" s="185" t="str">
        <f>_xlfn.IFNA(VLOOKUP($AH504,Programma!$F$3:$S$1101,14,0),"")</f>
        <v>1m</v>
      </c>
      <c r="AV504" s="185" t="str">
        <f>_xlfn.IFNA(VLOOKUP($AH504,Programma!$F$3:$T$1101,15,0),"")</f>
        <v>2j</v>
      </c>
      <c r="AW504" s="185" t="str">
        <f>_xlfn.IFNA(VLOOKUP($AH504,Programma!$F$3:$U$1101,16,0),"")</f>
        <v>1j</v>
      </c>
      <c r="AX504" s="185" t="str">
        <f>_xlfn.IFNA(VLOOKUP($AH504,Programma!$F$3:$V$1101,17,0),"")</f>
        <v>_</v>
      </c>
      <c r="AY504" s="185" t="str">
        <f>_xlfn.IFNA(VLOOKUP($AH504,Programma!$F$3:$W$1101,18,0),"")</f>
        <v>_</v>
      </c>
      <c r="AZ504" s="185" t="str">
        <f>_xlfn.IFNA(VLOOKUP($AH504,Programma!$F$3:$X$1101,19,0),"")</f>
        <v>_</v>
      </c>
      <c r="BA504" s="185" t="str">
        <f>_xlfn.IFNA(VLOOKUP($AH504,Programma!$F$3:$Y$1101,20,0),"")</f>
        <v>_</v>
      </c>
      <c r="BB504" s="182"/>
      <c r="BC504" s="181" t="str">
        <f>IF(Ruimtestaat[[#This Row],[Frequentie weekend]]="","",_xlfn.CONCAT(Ruimtestaat[[#This Row],[Ruimte code]],"-",Ruimtestaat[[#This Row],[Frequentie weekend]]," ",Ruimtestaat[[#This Row],[Vloer code]]))</f>
        <v/>
      </c>
      <c r="BD504" s="185" t="str">
        <f>_xlfn.IFNA(VLOOKUP($BC504,Programma!$F$3:$G$1101,2,0),"")</f>
        <v/>
      </c>
      <c r="BE504" s="185" t="str">
        <f>_xlfn.IFNA(VLOOKUP($BC504,Programma!$F$3:$H$1101,3,0),"")</f>
        <v/>
      </c>
      <c r="BF504" s="185" t="str">
        <f>_xlfn.IFNA(VLOOKUP($BC504,Programma!$F$3:$I$1101,4,0),"")</f>
        <v/>
      </c>
      <c r="BG504" s="185" t="str">
        <f>_xlfn.IFNA(VLOOKUP($BC504,Programma!$F$3:$J$1101,5,0),"")</f>
        <v/>
      </c>
      <c r="BH504" s="185" t="str">
        <f>_xlfn.IFNA(VLOOKUP($BC504,Programma!$F$3:$K$1101,6,0),"")</f>
        <v/>
      </c>
      <c r="BI504" s="185" t="str">
        <f>_xlfn.IFNA(VLOOKUP($BC504,Programma!$F$3:$L$1101,7,0),"")</f>
        <v/>
      </c>
      <c r="BJ504" s="185" t="str">
        <f>_xlfn.IFNA(VLOOKUP($BC504,Programma!$F$3:$M$1101,8,0),"")</f>
        <v/>
      </c>
      <c r="BK504" s="185" t="str">
        <f>_xlfn.IFNA(VLOOKUP($BC504,Programma!$F$3:$N$1101,9,0),"")</f>
        <v/>
      </c>
      <c r="BL504" s="185" t="str">
        <f>_xlfn.IFNA(VLOOKUP($BC504,Programma!$F$3:$O$1101,10,0),"")</f>
        <v/>
      </c>
      <c r="BM504" s="185" t="str">
        <f>_xlfn.IFNA(VLOOKUP($BC504,Programma!$F$3:$P$1101,11,0),"")</f>
        <v/>
      </c>
      <c r="BN504" s="185" t="str">
        <f>_xlfn.IFNA(VLOOKUP($BC504,Programma!$F$3:$Q$1101,12,0),"")</f>
        <v/>
      </c>
      <c r="BO504" s="185" t="str">
        <f>_xlfn.IFNA(VLOOKUP($BC504,Programma!$F$3:$R$1101,13,0),"")</f>
        <v/>
      </c>
      <c r="BP504" s="185" t="str">
        <f>_xlfn.IFNA(VLOOKUP($BC504,Programma!$F$3:$S$1101,14,0),"")</f>
        <v/>
      </c>
      <c r="BQ504" s="185" t="str">
        <f>_xlfn.IFNA(VLOOKUP($BC504,Programma!$F$3:$T$1101,15,0),"")</f>
        <v/>
      </c>
      <c r="BR504" s="185" t="str">
        <f>_xlfn.IFNA(VLOOKUP($BC504,Programma!$F$3:$U$1101,16,0),"")</f>
        <v/>
      </c>
      <c r="BS504" s="185" t="str">
        <f>_xlfn.IFNA(VLOOKUP($BC504,Programma!$F$3:$V$1101,17,0),"")</f>
        <v/>
      </c>
      <c r="BT504" s="185" t="str">
        <f>_xlfn.IFNA(VLOOKUP($BC504,Programma!$F$3:$W$1101,18,0),"")</f>
        <v/>
      </c>
      <c r="BU504" s="185" t="str">
        <f>_xlfn.IFNA(VLOOKUP($BC504,Programma!$F$3:$X$1101,19,0),"")</f>
        <v/>
      </c>
      <c r="BV504" s="185" t="str">
        <f>_xlfn.IFNA(VLOOKUP($BC504,Programma!$F$3:$Y$1101,20,0),"")</f>
        <v/>
      </c>
    </row>
    <row r="505" spans="1:74" s="78" customFormat="1" ht="15" customHeight="1">
      <c r="A505" s="99">
        <v>14</v>
      </c>
      <c r="B505" s="176" t="str">
        <f>VLOOKUP(Ruimtestaat[[#This Row],[Code]],Locaties[[Code]:[Locatie]],2,FALSE)</f>
        <v>Prinseschool Prinsestraat</v>
      </c>
      <c r="C505" s="176" t="str">
        <f>VLOOKUP(Ruimtestaat[[#This Row],[Code]],Locaties[[#All],[Code]:[Adres]],4,FALSE)</f>
        <v>Prinsestraat 10-10a </v>
      </c>
      <c r="D505" s="176" t="str">
        <f>VLOOKUP(Ruimtestaat[[#This Row],[Code]],Locaties[[#All],[Code]:[Postcode]],5,FALSE)</f>
        <v>7513 AL</v>
      </c>
      <c r="E505" s="176" t="str">
        <f>VLOOKUP(Ruimtestaat[[#This Row],[Code]],Locaties[#All],6,FALSE)</f>
        <v>Enschede</v>
      </c>
      <c r="F505" s="183"/>
      <c r="G505" s="99" t="s">
        <v>1760</v>
      </c>
      <c r="H505" s="99" t="s">
        <v>1806</v>
      </c>
      <c r="I505" s="183" t="s">
        <v>1651</v>
      </c>
      <c r="J505" s="99">
        <v>16</v>
      </c>
      <c r="K505" s="183" t="str">
        <f>VLOOKUP(Ruimtestaat[[#This Row],[Ruimte code]],Ruimtegroepen[[#All],[Code]:[Ruimte omschrijving]],2,FALSE)</f>
        <v>Leslokalen</v>
      </c>
      <c r="L505" s="99" t="s">
        <v>100</v>
      </c>
      <c r="M505" s="99" t="s">
        <v>1697</v>
      </c>
      <c r="N505" s="177">
        <v>49.2</v>
      </c>
      <c r="O505" s="177"/>
      <c r="P505" s="178" t="str">
        <f>VLOOKUP(Ruimtestaat[[#This Row],[Ruimte code]],Ruimtegroepen[],4,FALSE)</f>
        <v>Le</v>
      </c>
      <c r="Q505" s="149">
        <v>40</v>
      </c>
      <c r="R505" s="149" t="s">
        <v>2</v>
      </c>
      <c r="S505" s="149">
        <f>IF(Q505&gt;0,IF(RIGHT(Ruimtestaat[[#This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5" s="149">
        <f>IF(S505&gt;0,VLOOKUP($J505,Ruimtegroepen[],3,FALSE)*VLOOKUP($L505,Vloersoorten[],3,FALSE)*VLOOKUP($R505,Frequenties[],3,FALSE)*VLOOKUP($A505,Locaties[],3,FALSE),0)</f>
        <v>0</v>
      </c>
      <c r="U505" s="149">
        <f>Ruimtestaat[[#This Row],[Uitvoeringen werkdagen]]*Ruimtestaat[[#This Row],[Oppervlak (netto)]]</f>
        <v>9840</v>
      </c>
      <c r="V505" s="179">
        <f>IF(T505&gt;0,Ruimtestaat[[#This Row],[Prest. (m2 /jaar) werkdagen]]/Ruimtestaat[[#This Row],[Norm (m2/uur) werkdagen]],0)</f>
        <v>0</v>
      </c>
      <c r="W505" s="180">
        <f>Ruimtestaat[[#This Row],[uren / jaar werkdagen]]*Tariefsopbouw!$E$35</f>
        <v>0</v>
      </c>
      <c r="X505" s="149"/>
      <c r="Y505" s="149">
        <f>IF(Ruimtestaat[[#This Row],[Frequentie weekend]]&gt;0,VALUE(LEFT(X505,1))*Q505,0)</f>
        <v>0</v>
      </c>
      <c r="Z505" s="148">
        <f>IF($Y505&gt;0,VLOOKUP($J505,Ruimtegroepen[],3,FALSE)*VLOOKUP($L505,Vloersoorten[],3,FALSE)*VLOOKUP($X505,Frequenties[],3,FALSE)*VLOOKUP(Ruimtestaat[[#This Row],[Code]],Locaties[],3,FALSE),0)</f>
        <v>0</v>
      </c>
      <c r="AA505" s="148">
        <f>Ruimtestaat[[#This Row],[Uitvoeringen weekend]]*Ruimtestaat[[#This Row],[Oppervlak (netto)]]</f>
        <v>0</v>
      </c>
      <c r="AB505" s="148">
        <f>IF(Z505&gt;0,Ruimtestaat[[#This Row],[Prest. (m2 /jaar) weekend]]/Ruimtestaat[[#This Row],[Norm (m2/uur) weekend]],0)</f>
        <v>0</v>
      </c>
      <c r="AC505" s="180">
        <f>Ruimtestaat[[#This Row],[uren / jaar weekend]]*Tariefsopbouw!$D$40</f>
        <v>0</v>
      </c>
      <c r="AD505" s="179">
        <f>Ruimtestaat[[#This Row],[Prest. (m2 /jaar) weekend]]+Ruimtestaat[[#This Row],[Prest. (m2 /jaar) werkdagen]]</f>
        <v>9840</v>
      </c>
      <c r="AE505" s="179">
        <f>Ruimtestaat[[#This Row],[uren / jaar weekend]]+Ruimtestaat[[#This Row],[uren / jaar werkdagen]]</f>
        <v>0</v>
      </c>
      <c r="AF505" s="174">
        <f>Ruimtestaat[[#This Row],[kosten / jaar weekend]]+Ruimtestaat[[#This Row],[kosten / jaar werkdagen]]</f>
        <v>0</v>
      </c>
      <c r="AG505" s="174"/>
      <c r="AH505" s="181" t="str">
        <f>IF(Ruimtestaat[[#This Row],[Frequentie werkdagen]]="","",_xlfn.CONCAT(Ruimtestaat[[#This Row],[Ruimte code]],"-",Ruimtestaat[[#This Row],[Frequentie werkdagen]]," ",Ruimtestaat[[#This Row],[Vloer code]]))</f>
        <v>16-5w L</v>
      </c>
      <c r="AI505" s="185" t="str">
        <f>_xlfn.IFNA(VLOOKUP($AH505,Programma!$F$3:$G$1101,2,0),"")</f>
        <v>_</v>
      </c>
      <c r="AJ505" s="185" t="str">
        <f>_xlfn.IFNA(VLOOKUP($AH505,Programma!$F$3:$H$1101,3,0),"")</f>
        <v>_</v>
      </c>
      <c r="AK505" s="185" t="str">
        <f>_xlfn.IFNA(VLOOKUP($AH505,Programma!$F$3:$I$1101,4,0),"")</f>
        <v>4w</v>
      </c>
      <c r="AL505" s="185" t="str">
        <f>_xlfn.IFNA(VLOOKUP($AH505,Programma!$F$3:$J$1101,5,0),"")</f>
        <v>1w</v>
      </c>
      <c r="AM505" s="185" t="str">
        <f>_xlfn.IFNA(VLOOKUP($AH505,Programma!$F$3:$K$1101,6,0),"")</f>
        <v>_</v>
      </c>
      <c r="AN505" s="185" t="str">
        <f>_xlfn.IFNA(VLOOKUP($AH505,Programma!$F$3:$L$1101,7,0),"")</f>
        <v>_</v>
      </c>
      <c r="AO505" s="185" t="str">
        <f>_xlfn.IFNA(VLOOKUP($AH505,Programma!$F$3:$M$1101,8,0),"")</f>
        <v>_</v>
      </c>
      <c r="AP505" s="185" t="str">
        <f>_xlfn.IFNA(VLOOKUP($AH505,Programma!$F$3:$N$1101,9,0),"")</f>
        <v>_</v>
      </c>
      <c r="AQ505" s="185" t="str">
        <f>_xlfn.IFNA(VLOOKUP($AH505,Programma!$F$3:$O$1101,10,0),"")</f>
        <v>5w</v>
      </c>
      <c r="AR505" s="185" t="str">
        <f>_xlfn.IFNA(VLOOKUP($AH505,Programma!$F$3:$P$1101,11,0),"")</f>
        <v>5w</v>
      </c>
      <c r="AS505" s="185" t="str">
        <f>_xlfn.IFNA(VLOOKUP($AH505,Programma!$F$3:$Q$1101,12,0),"")</f>
        <v>1w</v>
      </c>
      <c r="AT505" s="185" t="str">
        <f>_xlfn.IFNA(VLOOKUP($AH505,Programma!$F$3:$R$1101,13,0),"")</f>
        <v>1w</v>
      </c>
      <c r="AU505" s="185" t="str">
        <f>_xlfn.IFNA(VLOOKUP($AH505,Programma!$F$3:$S$1101,14,0),"")</f>
        <v>1m</v>
      </c>
      <c r="AV505" s="185" t="str">
        <f>_xlfn.IFNA(VLOOKUP($AH505,Programma!$F$3:$T$1101,15,0),"")</f>
        <v>2j</v>
      </c>
      <c r="AW505" s="185" t="str">
        <f>_xlfn.IFNA(VLOOKUP($AH505,Programma!$F$3:$U$1101,16,0),"")</f>
        <v>1j</v>
      </c>
      <c r="AX505" s="185" t="str">
        <f>_xlfn.IFNA(VLOOKUP($AH505,Programma!$F$3:$V$1101,17,0),"")</f>
        <v>_</v>
      </c>
      <c r="AY505" s="185" t="str">
        <f>_xlfn.IFNA(VLOOKUP($AH505,Programma!$F$3:$W$1101,18,0),"")</f>
        <v>_</v>
      </c>
      <c r="AZ505" s="185" t="str">
        <f>_xlfn.IFNA(VLOOKUP($AH505,Programma!$F$3:$X$1101,19,0),"")</f>
        <v>_</v>
      </c>
      <c r="BA505" s="185" t="str">
        <f>_xlfn.IFNA(VLOOKUP($AH505,Programma!$F$3:$Y$1101,20,0),"")</f>
        <v>_</v>
      </c>
      <c r="BB505" s="182"/>
      <c r="BC505" s="181" t="str">
        <f>IF(Ruimtestaat[[#This Row],[Frequentie weekend]]="","",_xlfn.CONCAT(Ruimtestaat[[#This Row],[Ruimte code]],"-",Ruimtestaat[[#This Row],[Frequentie weekend]]," ",Ruimtestaat[[#This Row],[Vloer code]]))</f>
        <v/>
      </c>
      <c r="BD505" s="185" t="str">
        <f>_xlfn.IFNA(VLOOKUP($BC505,Programma!$F$3:$G$1101,2,0),"")</f>
        <v/>
      </c>
      <c r="BE505" s="185" t="str">
        <f>_xlfn.IFNA(VLOOKUP($BC505,Programma!$F$3:$H$1101,3,0),"")</f>
        <v/>
      </c>
      <c r="BF505" s="185" t="str">
        <f>_xlfn.IFNA(VLOOKUP($BC505,Programma!$F$3:$I$1101,4,0),"")</f>
        <v/>
      </c>
      <c r="BG505" s="185" t="str">
        <f>_xlfn.IFNA(VLOOKUP($BC505,Programma!$F$3:$J$1101,5,0),"")</f>
        <v/>
      </c>
      <c r="BH505" s="185" t="str">
        <f>_xlfn.IFNA(VLOOKUP($BC505,Programma!$F$3:$K$1101,6,0),"")</f>
        <v/>
      </c>
      <c r="BI505" s="185" t="str">
        <f>_xlfn.IFNA(VLOOKUP($BC505,Programma!$F$3:$L$1101,7,0),"")</f>
        <v/>
      </c>
      <c r="BJ505" s="185" t="str">
        <f>_xlfn.IFNA(VLOOKUP($BC505,Programma!$F$3:$M$1101,8,0),"")</f>
        <v/>
      </c>
      <c r="BK505" s="185" t="str">
        <f>_xlfn.IFNA(VLOOKUP($BC505,Programma!$F$3:$N$1101,9,0),"")</f>
        <v/>
      </c>
      <c r="BL505" s="185" t="str">
        <f>_xlfn.IFNA(VLOOKUP($BC505,Programma!$F$3:$O$1101,10,0),"")</f>
        <v/>
      </c>
      <c r="BM505" s="185" t="str">
        <f>_xlfn.IFNA(VLOOKUP($BC505,Programma!$F$3:$P$1101,11,0),"")</f>
        <v/>
      </c>
      <c r="BN505" s="185" t="str">
        <f>_xlfn.IFNA(VLOOKUP($BC505,Programma!$F$3:$Q$1101,12,0),"")</f>
        <v/>
      </c>
      <c r="BO505" s="185" t="str">
        <f>_xlfn.IFNA(VLOOKUP($BC505,Programma!$F$3:$R$1101,13,0),"")</f>
        <v/>
      </c>
      <c r="BP505" s="185" t="str">
        <f>_xlfn.IFNA(VLOOKUP($BC505,Programma!$F$3:$S$1101,14,0),"")</f>
        <v/>
      </c>
      <c r="BQ505" s="185" t="str">
        <f>_xlfn.IFNA(VLOOKUP($BC505,Programma!$F$3:$T$1101,15,0),"")</f>
        <v/>
      </c>
      <c r="BR505" s="185" t="str">
        <f>_xlfn.IFNA(VLOOKUP($BC505,Programma!$F$3:$U$1101,16,0),"")</f>
        <v/>
      </c>
      <c r="BS505" s="185" t="str">
        <f>_xlfn.IFNA(VLOOKUP($BC505,Programma!$F$3:$V$1101,17,0),"")</f>
        <v/>
      </c>
      <c r="BT505" s="185" t="str">
        <f>_xlfn.IFNA(VLOOKUP($BC505,Programma!$F$3:$W$1101,18,0),"")</f>
        <v/>
      </c>
      <c r="BU505" s="185" t="str">
        <f>_xlfn.IFNA(VLOOKUP($BC505,Programma!$F$3:$X$1101,19,0),"")</f>
        <v/>
      </c>
      <c r="BV505" s="185" t="str">
        <f>_xlfn.IFNA(VLOOKUP($BC505,Programma!$F$3:$Y$1101,20,0),"")</f>
        <v/>
      </c>
    </row>
    <row r="506" spans="1:74" s="78" customFormat="1" ht="15" customHeight="1">
      <c r="A506" s="99">
        <v>14</v>
      </c>
      <c r="B506" s="176" t="str">
        <f>VLOOKUP(Ruimtestaat[[#This Row],[Code]],Locaties[[Code]:[Locatie]],2,FALSE)</f>
        <v>Prinseschool Prinsestraat</v>
      </c>
      <c r="C506" s="176" t="str">
        <f>VLOOKUP(Ruimtestaat[[#This Row],[Code]],Locaties[[#All],[Code]:[Adres]],4,FALSE)</f>
        <v>Prinsestraat 10-10a </v>
      </c>
      <c r="D506" s="176" t="str">
        <f>VLOOKUP(Ruimtestaat[[#This Row],[Code]],Locaties[[#All],[Code]:[Postcode]],5,FALSE)</f>
        <v>7513 AL</v>
      </c>
      <c r="E506" s="176" t="str">
        <f>VLOOKUP(Ruimtestaat[[#This Row],[Code]],Locaties[#All],6,FALSE)</f>
        <v>Enschede</v>
      </c>
      <c r="F506" s="183"/>
      <c r="G506" s="99" t="s">
        <v>1760</v>
      </c>
      <c r="H506" s="99" t="s">
        <v>1807</v>
      </c>
      <c r="I506" s="183" t="s">
        <v>38</v>
      </c>
      <c r="J506" s="99">
        <v>7</v>
      </c>
      <c r="K506" s="183" t="str">
        <f>VLOOKUP(Ruimtestaat[[#This Row],[Ruimte code]],Ruimtegroepen[[#All],[Code]:[Ruimte omschrijving]],2,FALSE)</f>
        <v>Entree</v>
      </c>
      <c r="L506" s="99" t="s">
        <v>99</v>
      </c>
      <c r="M506" s="99" t="s">
        <v>1700</v>
      </c>
      <c r="N506" s="177">
        <v>4</v>
      </c>
      <c r="O506" s="177"/>
      <c r="P506" s="178" t="str">
        <f>VLOOKUP(Ruimtestaat[[#This Row],[Ruimte code]],Ruimtegroepen[],4,FALSE)</f>
        <v>Ve</v>
      </c>
      <c r="Q506" s="149">
        <v>40</v>
      </c>
      <c r="R506" s="149" t="s">
        <v>2</v>
      </c>
      <c r="S506" s="149">
        <f>IF(Q506&gt;0,IF(RIGHT(Ruimtestaat[[#This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6" s="149">
        <f>IF(S506&gt;0,VLOOKUP($J506,Ruimtegroepen[],3,FALSE)*VLOOKUP($L506,Vloersoorten[],3,FALSE)*VLOOKUP($R506,Frequenties[],3,FALSE)*VLOOKUP($A506,Locaties[],3,FALSE),0)</f>
        <v>0</v>
      </c>
      <c r="U506" s="149">
        <f>Ruimtestaat[[#This Row],[Uitvoeringen werkdagen]]*Ruimtestaat[[#This Row],[Oppervlak (netto)]]</f>
        <v>800</v>
      </c>
      <c r="V506" s="179">
        <f>IF(T506&gt;0,Ruimtestaat[[#This Row],[Prest. (m2 /jaar) werkdagen]]/Ruimtestaat[[#This Row],[Norm (m2/uur) werkdagen]],0)</f>
        <v>0</v>
      </c>
      <c r="W506" s="180">
        <f>Ruimtestaat[[#This Row],[uren / jaar werkdagen]]*Tariefsopbouw!$E$35</f>
        <v>0</v>
      </c>
      <c r="X506" s="149"/>
      <c r="Y506" s="149">
        <f>IF(Ruimtestaat[[#This Row],[Frequentie weekend]]&gt;0,VALUE(LEFT(X506,1))*Q506,0)</f>
        <v>0</v>
      </c>
      <c r="Z506" s="148">
        <f>IF($Y506&gt;0,VLOOKUP($J506,Ruimtegroepen[],3,FALSE)*VLOOKUP($L506,Vloersoorten[],3,FALSE)*VLOOKUP($X506,Frequenties[],3,FALSE)*VLOOKUP(Ruimtestaat[[#This Row],[Code]],Locaties[],3,FALSE),0)</f>
        <v>0</v>
      </c>
      <c r="AA506" s="148">
        <f>Ruimtestaat[[#This Row],[Uitvoeringen weekend]]*Ruimtestaat[[#This Row],[Oppervlak (netto)]]</f>
        <v>0</v>
      </c>
      <c r="AB506" s="148">
        <f>IF(Z506&gt;0,Ruimtestaat[[#This Row],[Prest. (m2 /jaar) weekend]]/Ruimtestaat[[#This Row],[Norm (m2/uur) weekend]],0)</f>
        <v>0</v>
      </c>
      <c r="AC506" s="180">
        <f>Ruimtestaat[[#This Row],[uren / jaar weekend]]*Tariefsopbouw!$D$40</f>
        <v>0</v>
      </c>
      <c r="AD506" s="179">
        <f>Ruimtestaat[[#This Row],[Prest. (m2 /jaar) weekend]]+Ruimtestaat[[#This Row],[Prest. (m2 /jaar) werkdagen]]</f>
        <v>800</v>
      </c>
      <c r="AE506" s="179">
        <f>Ruimtestaat[[#This Row],[uren / jaar weekend]]+Ruimtestaat[[#This Row],[uren / jaar werkdagen]]</f>
        <v>0</v>
      </c>
      <c r="AF506" s="174">
        <f>Ruimtestaat[[#This Row],[kosten / jaar weekend]]+Ruimtestaat[[#This Row],[kosten / jaar werkdagen]]</f>
        <v>0</v>
      </c>
      <c r="AG506" s="174"/>
      <c r="AH506" s="181" t="str">
        <f>IF(Ruimtestaat[[#This Row],[Frequentie werkdagen]]="","",_xlfn.CONCAT(Ruimtestaat[[#This Row],[Ruimte code]],"-",Ruimtestaat[[#This Row],[Frequentie werkdagen]]," ",Ruimtestaat[[#This Row],[Vloer code]]))</f>
        <v>7-5w T</v>
      </c>
      <c r="AI506" s="185" t="str">
        <f>_xlfn.IFNA(VLOOKUP($AH506,Programma!$F$3:$G$1101,2,0),"")</f>
        <v>_</v>
      </c>
      <c r="AJ506" s="185" t="str">
        <f>_xlfn.IFNA(VLOOKUP($AH506,Programma!$F$3:$H$1101,3,0),"")</f>
        <v>5w</v>
      </c>
      <c r="AK506" s="185" t="str">
        <f>_xlfn.IFNA(VLOOKUP($AH506,Programma!$F$3:$I$1101,4,0),"")</f>
        <v>_</v>
      </c>
      <c r="AL506" s="185" t="str">
        <f>_xlfn.IFNA(VLOOKUP($AH506,Programma!$F$3:$J$1101,5,0),"")</f>
        <v>_</v>
      </c>
      <c r="AM506" s="185" t="str">
        <f>_xlfn.IFNA(VLOOKUP($AH506,Programma!$F$3:$K$1101,6,0),"")</f>
        <v>_</v>
      </c>
      <c r="AN506" s="185" t="str">
        <f>_xlfn.IFNA(VLOOKUP($AH506,Programma!$F$3:$L$1101,7,0),"")</f>
        <v>_</v>
      </c>
      <c r="AO506" s="185" t="str">
        <f>_xlfn.IFNA(VLOOKUP($AH506,Programma!$F$3:$M$1101,8,0),"")</f>
        <v>_</v>
      </c>
      <c r="AP506" s="185" t="str">
        <f>_xlfn.IFNA(VLOOKUP($AH506,Programma!$F$3:$N$1101,9,0),"")</f>
        <v>_</v>
      </c>
      <c r="AQ506" s="185" t="str">
        <f>_xlfn.IFNA(VLOOKUP($AH506,Programma!$F$3:$O$1101,10,0),"")</f>
        <v>5w</v>
      </c>
      <c r="AR506" s="185" t="str">
        <f>_xlfn.IFNA(VLOOKUP($AH506,Programma!$F$3:$P$1101,11,0),"")</f>
        <v>5w</v>
      </c>
      <c r="AS506" s="185" t="str">
        <f>_xlfn.IFNA(VLOOKUP($AH506,Programma!$F$3:$Q$1101,12,0),"")</f>
        <v>1w</v>
      </c>
      <c r="AT506" s="185" t="str">
        <f>_xlfn.IFNA(VLOOKUP($AH506,Programma!$F$3:$R$1101,13,0),"")</f>
        <v>1w</v>
      </c>
      <c r="AU506" s="185" t="str">
        <f>_xlfn.IFNA(VLOOKUP($AH506,Programma!$F$3:$S$1101,14,0),"")</f>
        <v>1m</v>
      </c>
      <c r="AV506" s="185" t="str">
        <f>_xlfn.IFNA(VLOOKUP($AH506,Programma!$F$3:$T$1101,15,0),"")</f>
        <v>2j</v>
      </c>
      <c r="AW506" s="185" t="str">
        <f>_xlfn.IFNA(VLOOKUP($AH506,Programma!$F$3:$U$1101,16,0),"")</f>
        <v>1j</v>
      </c>
      <c r="AX506" s="185" t="str">
        <f>_xlfn.IFNA(VLOOKUP($AH506,Programma!$F$3:$V$1101,17,0),"")</f>
        <v>_</v>
      </c>
      <c r="AY506" s="185" t="str">
        <f>_xlfn.IFNA(VLOOKUP($AH506,Programma!$F$3:$W$1101,18,0),"")</f>
        <v>_</v>
      </c>
      <c r="AZ506" s="185" t="str">
        <f>_xlfn.IFNA(VLOOKUP($AH506,Programma!$F$3:$X$1101,19,0),"")</f>
        <v>_</v>
      </c>
      <c r="BA506" s="185" t="str">
        <f>_xlfn.IFNA(VLOOKUP($AH506,Programma!$F$3:$Y$1101,20,0),"")</f>
        <v>_</v>
      </c>
      <c r="BB506" s="182"/>
      <c r="BC506" s="181" t="str">
        <f>IF(Ruimtestaat[[#This Row],[Frequentie weekend]]="","",_xlfn.CONCAT(Ruimtestaat[[#This Row],[Ruimte code]],"-",Ruimtestaat[[#This Row],[Frequentie weekend]]," ",Ruimtestaat[[#This Row],[Vloer code]]))</f>
        <v/>
      </c>
      <c r="BD506" s="185" t="str">
        <f>_xlfn.IFNA(VLOOKUP($BC506,Programma!$F$3:$G$1101,2,0),"")</f>
        <v/>
      </c>
      <c r="BE506" s="185" t="str">
        <f>_xlfn.IFNA(VLOOKUP($BC506,Programma!$F$3:$H$1101,3,0),"")</f>
        <v/>
      </c>
      <c r="BF506" s="185" t="str">
        <f>_xlfn.IFNA(VLOOKUP($BC506,Programma!$F$3:$I$1101,4,0),"")</f>
        <v/>
      </c>
      <c r="BG506" s="185" t="str">
        <f>_xlfn.IFNA(VLOOKUP($BC506,Programma!$F$3:$J$1101,5,0),"")</f>
        <v/>
      </c>
      <c r="BH506" s="185" t="str">
        <f>_xlfn.IFNA(VLOOKUP($BC506,Programma!$F$3:$K$1101,6,0),"")</f>
        <v/>
      </c>
      <c r="BI506" s="185" t="str">
        <f>_xlfn.IFNA(VLOOKUP($BC506,Programma!$F$3:$L$1101,7,0),"")</f>
        <v/>
      </c>
      <c r="BJ506" s="185" t="str">
        <f>_xlfn.IFNA(VLOOKUP($BC506,Programma!$F$3:$M$1101,8,0),"")</f>
        <v/>
      </c>
      <c r="BK506" s="185" t="str">
        <f>_xlfn.IFNA(VLOOKUP($BC506,Programma!$F$3:$N$1101,9,0),"")</f>
        <v/>
      </c>
      <c r="BL506" s="185" t="str">
        <f>_xlfn.IFNA(VLOOKUP($BC506,Programma!$F$3:$O$1101,10,0),"")</f>
        <v/>
      </c>
      <c r="BM506" s="185" t="str">
        <f>_xlfn.IFNA(VLOOKUP($BC506,Programma!$F$3:$P$1101,11,0),"")</f>
        <v/>
      </c>
      <c r="BN506" s="185" t="str">
        <f>_xlfn.IFNA(VLOOKUP($BC506,Programma!$F$3:$Q$1101,12,0),"")</f>
        <v/>
      </c>
      <c r="BO506" s="185" t="str">
        <f>_xlfn.IFNA(VLOOKUP($BC506,Programma!$F$3:$R$1101,13,0),"")</f>
        <v/>
      </c>
      <c r="BP506" s="185" t="str">
        <f>_xlfn.IFNA(VLOOKUP($BC506,Programma!$F$3:$S$1101,14,0),"")</f>
        <v/>
      </c>
      <c r="BQ506" s="185" t="str">
        <f>_xlfn.IFNA(VLOOKUP($BC506,Programma!$F$3:$T$1101,15,0),"")</f>
        <v/>
      </c>
      <c r="BR506" s="185" t="str">
        <f>_xlfn.IFNA(VLOOKUP($BC506,Programma!$F$3:$U$1101,16,0),"")</f>
        <v/>
      </c>
      <c r="BS506" s="185" t="str">
        <f>_xlfn.IFNA(VLOOKUP($BC506,Programma!$F$3:$V$1101,17,0),"")</f>
        <v/>
      </c>
      <c r="BT506" s="185" t="str">
        <f>_xlfn.IFNA(VLOOKUP($BC506,Programma!$F$3:$W$1101,18,0),"")</f>
        <v/>
      </c>
      <c r="BU506" s="185" t="str">
        <f>_xlfn.IFNA(VLOOKUP($BC506,Programma!$F$3:$X$1101,19,0),"")</f>
        <v/>
      </c>
      <c r="BV506" s="185" t="str">
        <f>_xlfn.IFNA(VLOOKUP($BC506,Programma!$F$3:$Y$1101,20,0),"")</f>
        <v/>
      </c>
    </row>
    <row r="507" spans="1:74" s="78" customFormat="1" ht="15" customHeight="1">
      <c r="A507" s="99">
        <v>14</v>
      </c>
      <c r="B507" s="176" t="str">
        <f>VLOOKUP(Ruimtestaat[[#This Row],[Code]],Locaties[[Code]:[Locatie]],2,FALSE)</f>
        <v>Prinseschool Prinsestraat</v>
      </c>
      <c r="C507" s="176" t="str">
        <f>VLOOKUP(Ruimtestaat[[#This Row],[Code]],Locaties[[#All],[Code]:[Adres]],4,FALSE)</f>
        <v>Prinsestraat 10-10a </v>
      </c>
      <c r="D507" s="176" t="str">
        <f>VLOOKUP(Ruimtestaat[[#This Row],[Code]],Locaties[[#All],[Code]:[Postcode]],5,FALSE)</f>
        <v>7513 AL</v>
      </c>
      <c r="E507" s="176" t="str">
        <f>VLOOKUP(Ruimtestaat[[#This Row],[Code]],Locaties[#All],6,FALSE)</f>
        <v>Enschede</v>
      </c>
      <c r="F507" s="183"/>
      <c r="G507" s="99" t="s">
        <v>1760</v>
      </c>
      <c r="H507" s="99" t="s">
        <v>1808</v>
      </c>
      <c r="I507" s="183" t="s">
        <v>1655</v>
      </c>
      <c r="J507" s="99">
        <v>5</v>
      </c>
      <c r="K507" s="183" t="str">
        <f>VLOOKUP(Ruimtestaat[[#This Row],[Ruimte code]],Ruimtegroepen[[#All],[Code]:[Ruimte omschrijving]],2,FALSE)</f>
        <v>Sanitair</v>
      </c>
      <c r="L507" s="99" t="s">
        <v>101</v>
      </c>
      <c r="M507" s="99" t="s">
        <v>1682</v>
      </c>
      <c r="N507" s="177">
        <v>3</v>
      </c>
      <c r="O507" s="177"/>
      <c r="P507" s="178" t="str">
        <f>VLOOKUP(Ruimtestaat[[#This Row],[Ruimte code]],Ruimtegroepen[],4,FALSE)</f>
        <v>Sa</v>
      </c>
      <c r="Q507" s="149">
        <v>40</v>
      </c>
      <c r="R507" s="149" t="s">
        <v>2</v>
      </c>
      <c r="S507" s="149">
        <f>IF(Q507&gt;0,IF(RIGHT(Ruimtestaat[[#This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7" s="149">
        <f>IF(S507&gt;0,VLOOKUP($J507,Ruimtegroepen[],3,FALSE)*VLOOKUP($L507,Vloersoorten[],3,FALSE)*VLOOKUP($R507,Frequenties[],3,FALSE)*VLOOKUP($A507,Locaties[],3,FALSE),0)</f>
        <v>0</v>
      </c>
      <c r="U507" s="149">
        <f>Ruimtestaat[[#This Row],[Uitvoeringen werkdagen]]*Ruimtestaat[[#This Row],[Oppervlak (netto)]]</f>
        <v>600</v>
      </c>
      <c r="V507" s="179">
        <f>IF(T507&gt;0,Ruimtestaat[[#This Row],[Prest. (m2 /jaar) werkdagen]]/Ruimtestaat[[#This Row],[Norm (m2/uur) werkdagen]],0)</f>
        <v>0</v>
      </c>
      <c r="W507" s="180">
        <f>Ruimtestaat[[#This Row],[uren / jaar werkdagen]]*Tariefsopbouw!$E$35</f>
        <v>0</v>
      </c>
      <c r="X507" s="149"/>
      <c r="Y507" s="149">
        <f>IF(Ruimtestaat[[#This Row],[Frequentie weekend]]&gt;0,VALUE(LEFT(X507,1))*Q507,0)</f>
        <v>0</v>
      </c>
      <c r="Z507" s="148">
        <f>IF($Y507&gt;0,VLOOKUP($J507,Ruimtegroepen[],3,FALSE)*VLOOKUP($L507,Vloersoorten[],3,FALSE)*VLOOKUP($X507,Frequenties[],3,FALSE)*VLOOKUP(Ruimtestaat[[#This Row],[Code]],Locaties[],3,FALSE),0)</f>
        <v>0</v>
      </c>
      <c r="AA507" s="148">
        <f>Ruimtestaat[[#This Row],[Uitvoeringen weekend]]*Ruimtestaat[[#This Row],[Oppervlak (netto)]]</f>
        <v>0</v>
      </c>
      <c r="AB507" s="148">
        <f>IF(Z507&gt;0,Ruimtestaat[[#This Row],[Prest. (m2 /jaar) weekend]]/Ruimtestaat[[#This Row],[Norm (m2/uur) weekend]],0)</f>
        <v>0</v>
      </c>
      <c r="AC507" s="180">
        <f>Ruimtestaat[[#This Row],[uren / jaar weekend]]*Tariefsopbouw!$D$40</f>
        <v>0</v>
      </c>
      <c r="AD507" s="179">
        <f>Ruimtestaat[[#This Row],[Prest. (m2 /jaar) weekend]]+Ruimtestaat[[#This Row],[Prest. (m2 /jaar) werkdagen]]</f>
        <v>600</v>
      </c>
      <c r="AE507" s="179">
        <f>Ruimtestaat[[#This Row],[uren / jaar weekend]]+Ruimtestaat[[#This Row],[uren / jaar werkdagen]]</f>
        <v>0</v>
      </c>
      <c r="AF507" s="174">
        <f>Ruimtestaat[[#This Row],[kosten / jaar weekend]]+Ruimtestaat[[#This Row],[kosten / jaar werkdagen]]</f>
        <v>0</v>
      </c>
      <c r="AG507" s="174"/>
      <c r="AH507" s="181" t="str">
        <f>IF(Ruimtestaat[[#This Row],[Frequentie werkdagen]]="","",_xlfn.CONCAT(Ruimtestaat[[#This Row],[Ruimte code]],"-",Ruimtestaat[[#This Row],[Frequentie werkdagen]]," ",Ruimtestaat[[#This Row],[Vloer code]]))</f>
        <v>5-5w S</v>
      </c>
      <c r="AI507" s="185" t="str">
        <f>_xlfn.IFNA(VLOOKUP($AH507,Programma!$F$3:$G$1101,2,0),"")</f>
        <v>_</v>
      </c>
      <c r="AJ507" s="185" t="str">
        <f>_xlfn.IFNA(VLOOKUP($AH507,Programma!$F$3:$H$1101,3,0),"")</f>
        <v>_</v>
      </c>
      <c r="AK507" s="185" t="str">
        <f>_xlfn.IFNA(VLOOKUP($AH507,Programma!$F$3:$I$1101,4,0),"")</f>
        <v>_</v>
      </c>
      <c r="AL507" s="185" t="str">
        <f>_xlfn.IFNA(VLOOKUP($AH507,Programma!$F$3:$J$1101,5,0),"")</f>
        <v>4w</v>
      </c>
      <c r="AM507" s="185" t="str">
        <f>_xlfn.IFNA(VLOOKUP($AH507,Programma!$F$3:$K$1101,6,0),"")</f>
        <v>1w</v>
      </c>
      <c r="AN507" s="185" t="str">
        <f>_xlfn.IFNA(VLOOKUP($AH507,Programma!$F$3:$L$1101,7,0),"")</f>
        <v>_</v>
      </c>
      <c r="AO507" s="185" t="str">
        <f>_xlfn.IFNA(VLOOKUP($AH507,Programma!$F$3:$M$1101,8,0),"")</f>
        <v>_</v>
      </c>
      <c r="AP507" s="185" t="str">
        <f>_xlfn.IFNA(VLOOKUP($AH507,Programma!$F$3:$N$1101,9,0),"")</f>
        <v>_</v>
      </c>
      <c r="AQ507" s="185" t="str">
        <f>_xlfn.IFNA(VLOOKUP($AH507,Programma!$F$3:$O$1101,10,0),"")</f>
        <v>_</v>
      </c>
      <c r="AR507" s="185" t="str">
        <f>_xlfn.IFNA(VLOOKUP($AH507,Programma!$F$3:$P$1101,11,0),"")</f>
        <v>_</v>
      </c>
      <c r="AS507" s="185" t="str">
        <f>_xlfn.IFNA(VLOOKUP($AH507,Programma!$F$3:$Q$1101,12,0),"")</f>
        <v>_</v>
      </c>
      <c r="AT507" s="185" t="str">
        <f>_xlfn.IFNA(VLOOKUP($AH507,Programma!$F$3:$R$1101,13,0),"")</f>
        <v>_</v>
      </c>
      <c r="AU507" s="185" t="str">
        <f>_xlfn.IFNA(VLOOKUP($AH507,Programma!$F$3:$S$1101,14,0),"")</f>
        <v>_</v>
      </c>
      <c r="AV507" s="185" t="str">
        <f>_xlfn.IFNA(VLOOKUP($AH507,Programma!$F$3:$T$1101,15,0),"")</f>
        <v>_</v>
      </c>
      <c r="AW507" s="185" t="str">
        <f>_xlfn.IFNA(VLOOKUP($AH507,Programma!$F$3:$U$1101,16,0),"")</f>
        <v>_</v>
      </c>
      <c r="AX507" s="185" t="str">
        <f>_xlfn.IFNA(VLOOKUP($AH507,Programma!$F$3:$V$1101,17,0),"")</f>
        <v>_</v>
      </c>
      <c r="AY507" s="185" t="str">
        <f>_xlfn.IFNA(VLOOKUP($AH507,Programma!$F$3:$W$1101,18,0),"")</f>
        <v>4w</v>
      </c>
      <c r="AZ507" s="185" t="str">
        <f>_xlfn.IFNA(VLOOKUP($AH507,Programma!$F$3:$X$1101,19,0),"")</f>
        <v>1w</v>
      </c>
      <c r="BA507" s="185" t="str">
        <f>_xlfn.IFNA(VLOOKUP($AH507,Programma!$F$3:$Y$1101,20,0),"")</f>
        <v>_</v>
      </c>
      <c r="BB507" s="182"/>
      <c r="BC507" s="181" t="str">
        <f>IF(Ruimtestaat[[#This Row],[Frequentie weekend]]="","",_xlfn.CONCAT(Ruimtestaat[[#This Row],[Ruimte code]],"-",Ruimtestaat[[#This Row],[Frequentie weekend]]," ",Ruimtestaat[[#This Row],[Vloer code]]))</f>
        <v/>
      </c>
      <c r="BD507" s="185" t="str">
        <f>_xlfn.IFNA(VLOOKUP($BC507,Programma!$F$3:$G$1101,2,0),"")</f>
        <v/>
      </c>
      <c r="BE507" s="185" t="str">
        <f>_xlfn.IFNA(VLOOKUP($BC507,Programma!$F$3:$H$1101,3,0),"")</f>
        <v/>
      </c>
      <c r="BF507" s="185" t="str">
        <f>_xlfn.IFNA(VLOOKUP($BC507,Programma!$F$3:$I$1101,4,0),"")</f>
        <v/>
      </c>
      <c r="BG507" s="185" t="str">
        <f>_xlfn.IFNA(VLOOKUP($BC507,Programma!$F$3:$J$1101,5,0),"")</f>
        <v/>
      </c>
      <c r="BH507" s="185" t="str">
        <f>_xlfn.IFNA(VLOOKUP($BC507,Programma!$F$3:$K$1101,6,0),"")</f>
        <v/>
      </c>
      <c r="BI507" s="185" t="str">
        <f>_xlfn.IFNA(VLOOKUP($BC507,Programma!$F$3:$L$1101,7,0),"")</f>
        <v/>
      </c>
      <c r="BJ507" s="185" t="str">
        <f>_xlfn.IFNA(VLOOKUP($BC507,Programma!$F$3:$M$1101,8,0),"")</f>
        <v/>
      </c>
      <c r="BK507" s="185" t="str">
        <f>_xlfn.IFNA(VLOOKUP($BC507,Programma!$F$3:$N$1101,9,0),"")</f>
        <v/>
      </c>
      <c r="BL507" s="185" t="str">
        <f>_xlfn.IFNA(VLOOKUP($BC507,Programma!$F$3:$O$1101,10,0),"")</f>
        <v/>
      </c>
      <c r="BM507" s="185" t="str">
        <f>_xlfn.IFNA(VLOOKUP($BC507,Programma!$F$3:$P$1101,11,0),"")</f>
        <v/>
      </c>
      <c r="BN507" s="185" t="str">
        <f>_xlfn.IFNA(VLOOKUP($BC507,Programma!$F$3:$Q$1101,12,0),"")</f>
        <v/>
      </c>
      <c r="BO507" s="185" t="str">
        <f>_xlfn.IFNA(VLOOKUP($BC507,Programma!$F$3:$R$1101,13,0),"")</f>
        <v/>
      </c>
      <c r="BP507" s="185" t="str">
        <f>_xlfn.IFNA(VLOOKUP($BC507,Programma!$F$3:$S$1101,14,0),"")</f>
        <v/>
      </c>
      <c r="BQ507" s="185" t="str">
        <f>_xlfn.IFNA(VLOOKUP($BC507,Programma!$F$3:$T$1101,15,0),"")</f>
        <v/>
      </c>
      <c r="BR507" s="185" t="str">
        <f>_xlfn.IFNA(VLOOKUP($BC507,Programma!$F$3:$U$1101,16,0),"")</f>
        <v/>
      </c>
      <c r="BS507" s="185" t="str">
        <f>_xlfn.IFNA(VLOOKUP($BC507,Programma!$F$3:$V$1101,17,0),"")</f>
        <v/>
      </c>
      <c r="BT507" s="185" t="str">
        <f>_xlfn.IFNA(VLOOKUP($BC507,Programma!$F$3:$W$1101,18,0),"")</f>
        <v/>
      </c>
      <c r="BU507" s="185" t="str">
        <f>_xlfn.IFNA(VLOOKUP($BC507,Programma!$F$3:$X$1101,19,0),"")</f>
        <v/>
      </c>
      <c r="BV507" s="185" t="str">
        <f>_xlfn.IFNA(VLOOKUP($BC507,Programma!$F$3:$Y$1101,20,0),"")</f>
        <v/>
      </c>
    </row>
    <row r="508" spans="1:74" s="78" customFormat="1" ht="15" customHeight="1">
      <c r="A508" s="99">
        <v>14</v>
      </c>
      <c r="B508" s="176" t="str">
        <f>VLOOKUP(Ruimtestaat[[#This Row],[Code]],Locaties[[Code]:[Locatie]],2,FALSE)</f>
        <v>Prinseschool Prinsestraat</v>
      </c>
      <c r="C508" s="176" t="str">
        <f>VLOOKUP(Ruimtestaat[[#This Row],[Code]],Locaties[[#All],[Code]:[Adres]],4,FALSE)</f>
        <v>Prinsestraat 10-10a </v>
      </c>
      <c r="D508" s="176" t="str">
        <f>VLOOKUP(Ruimtestaat[[#This Row],[Code]],Locaties[[#All],[Code]:[Postcode]],5,FALSE)</f>
        <v>7513 AL</v>
      </c>
      <c r="E508" s="176" t="str">
        <f>VLOOKUP(Ruimtestaat[[#This Row],[Code]],Locaties[#All],6,FALSE)</f>
        <v>Enschede</v>
      </c>
      <c r="F508" s="183"/>
      <c r="G508" s="99" t="s">
        <v>1760</v>
      </c>
      <c r="H508" s="99" t="s">
        <v>1809</v>
      </c>
      <c r="I508" s="183" t="s">
        <v>1651</v>
      </c>
      <c r="J508" s="99">
        <v>16</v>
      </c>
      <c r="K508" s="183" t="str">
        <f>VLOOKUP(Ruimtestaat[[#This Row],[Ruimte code]],Ruimtegroepen[[#All],[Code]:[Ruimte omschrijving]],2,FALSE)</f>
        <v>Leslokalen</v>
      </c>
      <c r="L508" s="99" t="s">
        <v>100</v>
      </c>
      <c r="M508" s="99" t="s">
        <v>1697</v>
      </c>
      <c r="N508" s="177">
        <v>49.2</v>
      </c>
      <c r="O508" s="177"/>
      <c r="P508" s="178" t="str">
        <f>VLOOKUP(Ruimtestaat[[#This Row],[Ruimte code]],Ruimtegroepen[],4,FALSE)</f>
        <v>Le</v>
      </c>
      <c r="Q508" s="149">
        <v>40</v>
      </c>
      <c r="R508" s="149" t="s">
        <v>2</v>
      </c>
      <c r="S508" s="149">
        <f>IF(Q508&gt;0,IF(RIGHT(Ruimtestaat[[#This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8" s="149">
        <f>IF(S508&gt;0,VLOOKUP($J508,Ruimtegroepen[],3,FALSE)*VLOOKUP($L508,Vloersoorten[],3,FALSE)*VLOOKUP($R508,Frequenties[],3,FALSE)*VLOOKUP($A508,Locaties[],3,FALSE),0)</f>
        <v>0</v>
      </c>
      <c r="U508" s="149">
        <f>Ruimtestaat[[#This Row],[Uitvoeringen werkdagen]]*Ruimtestaat[[#This Row],[Oppervlak (netto)]]</f>
        <v>9840</v>
      </c>
      <c r="V508" s="179">
        <f>IF(T508&gt;0,Ruimtestaat[[#This Row],[Prest. (m2 /jaar) werkdagen]]/Ruimtestaat[[#This Row],[Norm (m2/uur) werkdagen]],0)</f>
        <v>0</v>
      </c>
      <c r="W508" s="180">
        <f>Ruimtestaat[[#This Row],[uren / jaar werkdagen]]*Tariefsopbouw!$E$35</f>
        <v>0</v>
      </c>
      <c r="X508" s="149"/>
      <c r="Y508" s="149">
        <f>IF(Ruimtestaat[[#This Row],[Frequentie weekend]]&gt;0,VALUE(LEFT(X508,1))*Q508,0)</f>
        <v>0</v>
      </c>
      <c r="Z508" s="148">
        <f>IF($Y508&gt;0,VLOOKUP($J508,Ruimtegroepen[],3,FALSE)*VLOOKUP($L508,Vloersoorten[],3,FALSE)*VLOOKUP($X508,Frequenties[],3,FALSE)*VLOOKUP(Ruimtestaat[[#This Row],[Code]],Locaties[],3,FALSE),0)</f>
        <v>0</v>
      </c>
      <c r="AA508" s="148">
        <f>Ruimtestaat[[#This Row],[Uitvoeringen weekend]]*Ruimtestaat[[#This Row],[Oppervlak (netto)]]</f>
        <v>0</v>
      </c>
      <c r="AB508" s="148">
        <f>IF(Z508&gt;0,Ruimtestaat[[#This Row],[Prest. (m2 /jaar) weekend]]/Ruimtestaat[[#This Row],[Norm (m2/uur) weekend]],0)</f>
        <v>0</v>
      </c>
      <c r="AC508" s="180">
        <f>Ruimtestaat[[#This Row],[uren / jaar weekend]]*Tariefsopbouw!$D$40</f>
        <v>0</v>
      </c>
      <c r="AD508" s="179">
        <f>Ruimtestaat[[#This Row],[Prest. (m2 /jaar) weekend]]+Ruimtestaat[[#This Row],[Prest. (m2 /jaar) werkdagen]]</f>
        <v>9840</v>
      </c>
      <c r="AE508" s="179">
        <f>Ruimtestaat[[#This Row],[uren / jaar weekend]]+Ruimtestaat[[#This Row],[uren / jaar werkdagen]]</f>
        <v>0</v>
      </c>
      <c r="AF508" s="174">
        <f>Ruimtestaat[[#This Row],[kosten / jaar weekend]]+Ruimtestaat[[#This Row],[kosten / jaar werkdagen]]</f>
        <v>0</v>
      </c>
      <c r="AG508" s="174"/>
      <c r="AH508" s="181" t="str">
        <f>IF(Ruimtestaat[[#This Row],[Frequentie werkdagen]]="","",_xlfn.CONCAT(Ruimtestaat[[#This Row],[Ruimte code]],"-",Ruimtestaat[[#This Row],[Frequentie werkdagen]]," ",Ruimtestaat[[#This Row],[Vloer code]]))</f>
        <v>16-5w L</v>
      </c>
      <c r="AI508" s="185" t="str">
        <f>_xlfn.IFNA(VLOOKUP($AH508,Programma!$F$3:$G$1101,2,0),"")</f>
        <v>_</v>
      </c>
      <c r="AJ508" s="185" t="str">
        <f>_xlfn.IFNA(VLOOKUP($AH508,Programma!$F$3:$H$1101,3,0),"")</f>
        <v>_</v>
      </c>
      <c r="AK508" s="185" t="str">
        <f>_xlfn.IFNA(VLOOKUP($AH508,Programma!$F$3:$I$1101,4,0),"")</f>
        <v>4w</v>
      </c>
      <c r="AL508" s="185" t="str">
        <f>_xlfn.IFNA(VLOOKUP($AH508,Programma!$F$3:$J$1101,5,0),"")</f>
        <v>1w</v>
      </c>
      <c r="AM508" s="185" t="str">
        <f>_xlfn.IFNA(VLOOKUP($AH508,Programma!$F$3:$K$1101,6,0),"")</f>
        <v>_</v>
      </c>
      <c r="AN508" s="185" t="str">
        <f>_xlfn.IFNA(VLOOKUP($AH508,Programma!$F$3:$L$1101,7,0),"")</f>
        <v>_</v>
      </c>
      <c r="AO508" s="185" t="str">
        <f>_xlfn.IFNA(VLOOKUP($AH508,Programma!$F$3:$M$1101,8,0),"")</f>
        <v>_</v>
      </c>
      <c r="AP508" s="185" t="str">
        <f>_xlfn.IFNA(VLOOKUP($AH508,Programma!$F$3:$N$1101,9,0),"")</f>
        <v>_</v>
      </c>
      <c r="AQ508" s="185" t="str">
        <f>_xlfn.IFNA(VLOOKUP($AH508,Programma!$F$3:$O$1101,10,0),"")</f>
        <v>5w</v>
      </c>
      <c r="AR508" s="185" t="str">
        <f>_xlfn.IFNA(VLOOKUP($AH508,Programma!$F$3:$P$1101,11,0),"")</f>
        <v>5w</v>
      </c>
      <c r="AS508" s="185" t="str">
        <f>_xlfn.IFNA(VLOOKUP($AH508,Programma!$F$3:$Q$1101,12,0),"")</f>
        <v>1w</v>
      </c>
      <c r="AT508" s="185" t="str">
        <f>_xlfn.IFNA(VLOOKUP($AH508,Programma!$F$3:$R$1101,13,0),"")</f>
        <v>1w</v>
      </c>
      <c r="AU508" s="185" t="str">
        <f>_xlfn.IFNA(VLOOKUP($AH508,Programma!$F$3:$S$1101,14,0),"")</f>
        <v>1m</v>
      </c>
      <c r="AV508" s="185" t="str">
        <f>_xlfn.IFNA(VLOOKUP($AH508,Programma!$F$3:$T$1101,15,0),"")</f>
        <v>2j</v>
      </c>
      <c r="AW508" s="185" t="str">
        <f>_xlfn.IFNA(VLOOKUP($AH508,Programma!$F$3:$U$1101,16,0),"")</f>
        <v>1j</v>
      </c>
      <c r="AX508" s="185" t="str">
        <f>_xlfn.IFNA(VLOOKUP($AH508,Programma!$F$3:$V$1101,17,0),"")</f>
        <v>_</v>
      </c>
      <c r="AY508" s="185" t="str">
        <f>_xlfn.IFNA(VLOOKUP($AH508,Programma!$F$3:$W$1101,18,0),"")</f>
        <v>_</v>
      </c>
      <c r="AZ508" s="185" t="str">
        <f>_xlfn.IFNA(VLOOKUP($AH508,Programma!$F$3:$X$1101,19,0),"")</f>
        <v>_</v>
      </c>
      <c r="BA508" s="185" t="str">
        <f>_xlfn.IFNA(VLOOKUP($AH508,Programma!$F$3:$Y$1101,20,0),"")</f>
        <v>_</v>
      </c>
      <c r="BB508" s="182"/>
      <c r="BC508" s="181" t="str">
        <f>IF(Ruimtestaat[[#This Row],[Frequentie weekend]]="","",_xlfn.CONCAT(Ruimtestaat[[#This Row],[Ruimte code]],"-",Ruimtestaat[[#This Row],[Frequentie weekend]]," ",Ruimtestaat[[#This Row],[Vloer code]]))</f>
        <v/>
      </c>
      <c r="BD508" s="185" t="str">
        <f>_xlfn.IFNA(VLOOKUP($BC508,Programma!$F$3:$G$1101,2,0),"")</f>
        <v/>
      </c>
      <c r="BE508" s="185" t="str">
        <f>_xlfn.IFNA(VLOOKUP($BC508,Programma!$F$3:$H$1101,3,0),"")</f>
        <v/>
      </c>
      <c r="BF508" s="185" t="str">
        <f>_xlfn.IFNA(VLOOKUP($BC508,Programma!$F$3:$I$1101,4,0),"")</f>
        <v/>
      </c>
      <c r="BG508" s="185" t="str">
        <f>_xlfn.IFNA(VLOOKUP($BC508,Programma!$F$3:$J$1101,5,0),"")</f>
        <v/>
      </c>
      <c r="BH508" s="185" t="str">
        <f>_xlfn.IFNA(VLOOKUP($BC508,Programma!$F$3:$K$1101,6,0),"")</f>
        <v/>
      </c>
      <c r="BI508" s="185" t="str">
        <f>_xlfn.IFNA(VLOOKUP($BC508,Programma!$F$3:$L$1101,7,0),"")</f>
        <v/>
      </c>
      <c r="BJ508" s="185" t="str">
        <f>_xlfn.IFNA(VLOOKUP($BC508,Programma!$F$3:$M$1101,8,0),"")</f>
        <v/>
      </c>
      <c r="BK508" s="185" t="str">
        <f>_xlfn.IFNA(VLOOKUP($BC508,Programma!$F$3:$N$1101,9,0),"")</f>
        <v/>
      </c>
      <c r="BL508" s="185" t="str">
        <f>_xlfn.IFNA(VLOOKUP($BC508,Programma!$F$3:$O$1101,10,0),"")</f>
        <v/>
      </c>
      <c r="BM508" s="185" t="str">
        <f>_xlfn.IFNA(VLOOKUP($BC508,Programma!$F$3:$P$1101,11,0),"")</f>
        <v/>
      </c>
      <c r="BN508" s="185" t="str">
        <f>_xlfn.IFNA(VLOOKUP($BC508,Programma!$F$3:$Q$1101,12,0),"")</f>
        <v/>
      </c>
      <c r="BO508" s="185" t="str">
        <f>_xlfn.IFNA(VLOOKUP($BC508,Programma!$F$3:$R$1101,13,0),"")</f>
        <v/>
      </c>
      <c r="BP508" s="185" t="str">
        <f>_xlfn.IFNA(VLOOKUP($BC508,Programma!$F$3:$S$1101,14,0),"")</f>
        <v/>
      </c>
      <c r="BQ508" s="185" t="str">
        <f>_xlfn.IFNA(VLOOKUP($BC508,Programma!$F$3:$T$1101,15,0),"")</f>
        <v/>
      </c>
      <c r="BR508" s="185" t="str">
        <f>_xlfn.IFNA(VLOOKUP($BC508,Programma!$F$3:$U$1101,16,0),"")</f>
        <v/>
      </c>
      <c r="BS508" s="185" t="str">
        <f>_xlfn.IFNA(VLOOKUP($BC508,Programma!$F$3:$V$1101,17,0),"")</f>
        <v/>
      </c>
      <c r="BT508" s="185" t="str">
        <f>_xlfn.IFNA(VLOOKUP($BC508,Programma!$F$3:$W$1101,18,0),"")</f>
        <v/>
      </c>
      <c r="BU508" s="185" t="str">
        <f>_xlfn.IFNA(VLOOKUP($BC508,Programma!$F$3:$X$1101,19,0),"")</f>
        <v/>
      </c>
      <c r="BV508" s="185" t="str">
        <f>_xlfn.IFNA(VLOOKUP($BC508,Programma!$F$3:$Y$1101,20,0),"")</f>
        <v/>
      </c>
    </row>
    <row r="509" spans="1:74" s="78" customFormat="1" ht="15" customHeight="1">
      <c r="A509" s="99">
        <v>14</v>
      </c>
      <c r="B509" s="176" t="str">
        <f>VLOOKUP(Ruimtestaat[[#This Row],[Code]],Locaties[[Code]:[Locatie]],2,FALSE)</f>
        <v>Prinseschool Prinsestraat</v>
      </c>
      <c r="C509" s="176" t="str">
        <f>VLOOKUP(Ruimtestaat[[#This Row],[Code]],Locaties[[#All],[Code]:[Adres]],4,FALSE)</f>
        <v>Prinsestraat 10-10a </v>
      </c>
      <c r="D509" s="176" t="str">
        <f>VLOOKUP(Ruimtestaat[[#This Row],[Code]],Locaties[[#All],[Code]:[Postcode]],5,FALSE)</f>
        <v>7513 AL</v>
      </c>
      <c r="E509" s="176" t="str">
        <f>VLOOKUP(Ruimtestaat[[#This Row],[Code]],Locaties[#All],6,FALSE)</f>
        <v>Enschede</v>
      </c>
      <c r="F509" s="183"/>
      <c r="G509" s="99" t="s">
        <v>1760</v>
      </c>
      <c r="H509" s="99" t="s">
        <v>1810</v>
      </c>
      <c r="I509" s="183" t="s">
        <v>1651</v>
      </c>
      <c r="J509" s="99">
        <v>16</v>
      </c>
      <c r="K509" s="183" t="str">
        <f>VLOOKUP(Ruimtestaat[[#This Row],[Ruimte code]],Ruimtegroepen[[#All],[Code]:[Ruimte omschrijving]],2,FALSE)</f>
        <v>Leslokalen</v>
      </c>
      <c r="L509" s="99" t="s">
        <v>100</v>
      </c>
      <c r="M509" s="99" t="s">
        <v>1697</v>
      </c>
      <c r="N509" s="177">
        <v>49.2</v>
      </c>
      <c r="O509" s="177"/>
      <c r="P509" s="178" t="str">
        <f>VLOOKUP(Ruimtestaat[[#This Row],[Ruimte code]],Ruimtegroepen[],4,FALSE)</f>
        <v>Le</v>
      </c>
      <c r="Q509" s="149">
        <v>40</v>
      </c>
      <c r="R509" s="149" t="s">
        <v>2</v>
      </c>
      <c r="S509" s="149">
        <f>IF(Q509&gt;0,IF(RIGHT(Ruimtestaat[[#This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9" s="149">
        <f>IF(S509&gt;0,VLOOKUP($J509,Ruimtegroepen[],3,FALSE)*VLOOKUP($L509,Vloersoorten[],3,FALSE)*VLOOKUP($R509,Frequenties[],3,FALSE)*VLOOKUP($A509,Locaties[],3,FALSE),0)</f>
        <v>0</v>
      </c>
      <c r="U509" s="149">
        <f>Ruimtestaat[[#This Row],[Uitvoeringen werkdagen]]*Ruimtestaat[[#This Row],[Oppervlak (netto)]]</f>
        <v>9840</v>
      </c>
      <c r="V509" s="179">
        <f>IF(T509&gt;0,Ruimtestaat[[#This Row],[Prest. (m2 /jaar) werkdagen]]/Ruimtestaat[[#This Row],[Norm (m2/uur) werkdagen]],0)</f>
        <v>0</v>
      </c>
      <c r="W509" s="180">
        <f>Ruimtestaat[[#This Row],[uren / jaar werkdagen]]*Tariefsopbouw!$E$35</f>
        <v>0</v>
      </c>
      <c r="X509" s="149"/>
      <c r="Y509" s="149">
        <f>IF(Ruimtestaat[[#This Row],[Frequentie weekend]]&gt;0,VALUE(LEFT(X509,1))*Q509,0)</f>
        <v>0</v>
      </c>
      <c r="Z509" s="148">
        <f>IF($Y509&gt;0,VLOOKUP($J509,Ruimtegroepen[],3,FALSE)*VLOOKUP($L509,Vloersoorten[],3,FALSE)*VLOOKUP($X509,Frequenties[],3,FALSE)*VLOOKUP(Ruimtestaat[[#This Row],[Code]],Locaties[],3,FALSE),0)</f>
        <v>0</v>
      </c>
      <c r="AA509" s="148">
        <f>Ruimtestaat[[#This Row],[Uitvoeringen weekend]]*Ruimtestaat[[#This Row],[Oppervlak (netto)]]</f>
        <v>0</v>
      </c>
      <c r="AB509" s="148">
        <f>IF(Z509&gt;0,Ruimtestaat[[#This Row],[Prest. (m2 /jaar) weekend]]/Ruimtestaat[[#This Row],[Norm (m2/uur) weekend]],0)</f>
        <v>0</v>
      </c>
      <c r="AC509" s="180">
        <f>Ruimtestaat[[#This Row],[uren / jaar weekend]]*Tariefsopbouw!$D$40</f>
        <v>0</v>
      </c>
      <c r="AD509" s="179">
        <f>Ruimtestaat[[#This Row],[Prest. (m2 /jaar) weekend]]+Ruimtestaat[[#This Row],[Prest. (m2 /jaar) werkdagen]]</f>
        <v>9840</v>
      </c>
      <c r="AE509" s="179">
        <f>Ruimtestaat[[#This Row],[uren / jaar weekend]]+Ruimtestaat[[#This Row],[uren / jaar werkdagen]]</f>
        <v>0</v>
      </c>
      <c r="AF509" s="174">
        <f>Ruimtestaat[[#This Row],[kosten / jaar weekend]]+Ruimtestaat[[#This Row],[kosten / jaar werkdagen]]</f>
        <v>0</v>
      </c>
      <c r="AG509" s="174"/>
      <c r="AH509" s="181" t="str">
        <f>IF(Ruimtestaat[[#This Row],[Frequentie werkdagen]]="","",_xlfn.CONCAT(Ruimtestaat[[#This Row],[Ruimte code]],"-",Ruimtestaat[[#This Row],[Frequentie werkdagen]]," ",Ruimtestaat[[#This Row],[Vloer code]]))</f>
        <v>16-5w L</v>
      </c>
      <c r="AI509" s="185" t="str">
        <f>_xlfn.IFNA(VLOOKUP($AH509,Programma!$F$3:$G$1101,2,0),"")</f>
        <v>_</v>
      </c>
      <c r="AJ509" s="185" t="str">
        <f>_xlfn.IFNA(VLOOKUP($AH509,Programma!$F$3:$H$1101,3,0),"")</f>
        <v>_</v>
      </c>
      <c r="AK509" s="185" t="str">
        <f>_xlfn.IFNA(VLOOKUP($AH509,Programma!$F$3:$I$1101,4,0),"")</f>
        <v>4w</v>
      </c>
      <c r="AL509" s="185" t="str">
        <f>_xlfn.IFNA(VLOOKUP($AH509,Programma!$F$3:$J$1101,5,0),"")</f>
        <v>1w</v>
      </c>
      <c r="AM509" s="185" t="str">
        <f>_xlfn.IFNA(VLOOKUP($AH509,Programma!$F$3:$K$1101,6,0),"")</f>
        <v>_</v>
      </c>
      <c r="AN509" s="185" t="str">
        <f>_xlfn.IFNA(VLOOKUP($AH509,Programma!$F$3:$L$1101,7,0),"")</f>
        <v>_</v>
      </c>
      <c r="AO509" s="185" t="str">
        <f>_xlfn.IFNA(VLOOKUP($AH509,Programma!$F$3:$M$1101,8,0),"")</f>
        <v>_</v>
      </c>
      <c r="AP509" s="185" t="str">
        <f>_xlfn.IFNA(VLOOKUP($AH509,Programma!$F$3:$N$1101,9,0),"")</f>
        <v>_</v>
      </c>
      <c r="AQ509" s="185" t="str">
        <f>_xlfn.IFNA(VLOOKUP($AH509,Programma!$F$3:$O$1101,10,0),"")</f>
        <v>5w</v>
      </c>
      <c r="AR509" s="185" t="str">
        <f>_xlfn.IFNA(VLOOKUP($AH509,Programma!$F$3:$P$1101,11,0),"")</f>
        <v>5w</v>
      </c>
      <c r="AS509" s="185" t="str">
        <f>_xlfn.IFNA(VLOOKUP($AH509,Programma!$F$3:$Q$1101,12,0),"")</f>
        <v>1w</v>
      </c>
      <c r="AT509" s="185" t="str">
        <f>_xlfn.IFNA(VLOOKUP($AH509,Programma!$F$3:$R$1101,13,0),"")</f>
        <v>1w</v>
      </c>
      <c r="AU509" s="185" t="str">
        <f>_xlfn.IFNA(VLOOKUP($AH509,Programma!$F$3:$S$1101,14,0),"")</f>
        <v>1m</v>
      </c>
      <c r="AV509" s="185" t="str">
        <f>_xlfn.IFNA(VLOOKUP($AH509,Programma!$F$3:$T$1101,15,0),"")</f>
        <v>2j</v>
      </c>
      <c r="AW509" s="185" t="str">
        <f>_xlfn.IFNA(VLOOKUP($AH509,Programma!$F$3:$U$1101,16,0),"")</f>
        <v>1j</v>
      </c>
      <c r="AX509" s="185" t="str">
        <f>_xlfn.IFNA(VLOOKUP($AH509,Programma!$F$3:$V$1101,17,0),"")</f>
        <v>_</v>
      </c>
      <c r="AY509" s="185" t="str">
        <f>_xlfn.IFNA(VLOOKUP($AH509,Programma!$F$3:$W$1101,18,0),"")</f>
        <v>_</v>
      </c>
      <c r="AZ509" s="185" t="str">
        <f>_xlfn.IFNA(VLOOKUP($AH509,Programma!$F$3:$X$1101,19,0),"")</f>
        <v>_</v>
      </c>
      <c r="BA509" s="185" t="str">
        <f>_xlfn.IFNA(VLOOKUP($AH509,Programma!$F$3:$Y$1101,20,0),"")</f>
        <v>_</v>
      </c>
      <c r="BB509" s="182"/>
      <c r="BC509" s="181" t="str">
        <f>IF(Ruimtestaat[[#This Row],[Frequentie weekend]]="","",_xlfn.CONCAT(Ruimtestaat[[#This Row],[Ruimte code]],"-",Ruimtestaat[[#This Row],[Frequentie weekend]]," ",Ruimtestaat[[#This Row],[Vloer code]]))</f>
        <v/>
      </c>
      <c r="BD509" s="185" t="str">
        <f>_xlfn.IFNA(VLOOKUP($BC509,Programma!$F$3:$G$1101,2,0),"")</f>
        <v/>
      </c>
      <c r="BE509" s="185" t="str">
        <f>_xlfn.IFNA(VLOOKUP($BC509,Programma!$F$3:$H$1101,3,0),"")</f>
        <v/>
      </c>
      <c r="BF509" s="185" t="str">
        <f>_xlfn.IFNA(VLOOKUP($BC509,Programma!$F$3:$I$1101,4,0),"")</f>
        <v/>
      </c>
      <c r="BG509" s="185" t="str">
        <f>_xlfn.IFNA(VLOOKUP($BC509,Programma!$F$3:$J$1101,5,0),"")</f>
        <v/>
      </c>
      <c r="BH509" s="185" t="str">
        <f>_xlfn.IFNA(VLOOKUP($BC509,Programma!$F$3:$K$1101,6,0),"")</f>
        <v/>
      </c>
      <c r="BI509" s="185" t="str">
        <f>_xlfn.IFNA(VLOOKUP($BC509,Programma!$F$3:$L$1101,7,0),"")</f>
        <v/>
      </c>
      <c r="BJ509" s="185" t="str">
        <f>_xlfn.IFNA(VLOOKUP($BC509,Programma!$F$3:$M$1101,8,0),"")</f>
        <v/>
      </c>
      <c r="BK509" s="185" t="str">
        <f>_xlfn.IFNA(VLOOKUP($BC509,Programma!$F$3:$N$1101,9,0),"")</f>
        <v/>
      </c>
      <c r="BL509" s="185" t="str">
        <f>_xlfn.IFNA(VLOOKUP($BC509,Programma!$F$3:$O$1101,10,0),"")</f>
        <v/>
      </c>
      <c r="BM509" s="185" t="str">
        <f>_xlfn.IFNA(VLOOKUP($BC509,Programma!$F$3:$P$1101,11,0),"")</f>
        <v/>
      </c>
      <c r="BN509" s="185" t="str">
        <f>_xlfn.IFNA(VLOOKUP($BC509,Programma!$F$3:$Q$1101,12,0),"")</f>
        <v/>
      </c>
      <c r="BO509" s="185" t="str">
        <f>_xlfn.IFNA(VLOOKUP($BC509,Programma!$F$3:$R$1101,13,0),"")</f>
        <v/>
      </c>
      <c r="BP509" s="185" t="str">
        <f>_xlfn.IFNA(VLOOKUP($BC509,Programma!$F$3:$S$1101,14,0),"")</f>
        <v/>
      </c>
      <c r="BQ509" s="185" t="str">
        <f>_xlfn.IFNA(VLOOKUP($BC509,Programma!$F$3:$T$1101,15,0),"")</f>
        <v/>
      </c>
      <c r="BR509" s="185" t="str">
        <f>_xlfn.IFNA(VLOOKUP($BC509,Programma!$F$3:$U$1101,16,0),"")</f>
        <v/>
      </c>
      <c r="BS509" s="185" t="str">
        <f>_xlfn.IFNA(VLOOKUP($BC509,Programma!$F$3:$V$1101,17,0),"")</f>
        <v/>
      </c>
      <c r="BT509" s="185" t="str">
        <f>_xlfn.IFNA(VLOOKUP($BC509,Programma!$F$3:$W$1101,18,0),"")</f>
        <v/>
      </c>
      <c r="BU509" s="185" t="str">
        <f>_xlfn.IFNA(VLOOKUP($BC509,Programma!$F$3:$X$1101,19,0),"")</f>
        <v/>
      </c>
      <c r="BV509" s="185" t="str">
        <f>_xlfn.IFNA(VLOOKUP($BC509,Programma!$F$3:$Y$1101,20,0),"")</f>
        <v/>
      </c>
    </row>
    <row r="510" spans="1:74" s="78" customFormat="1" ht="15" customHeight="1">
      <c r="A510" s="99">
        <v>14</v>
      </c>
      <c r="B510" s="176" t="str">
        <f>VLOOKUP(Ruimtestaat[[#This Row],[Code]],Locaties[[Code]:[Locatie]],2,FALSE)</f>
        <v>Prinseschool Prinsestraat</v>
      </c>
      <c r="C510" s="176" t="str">
        <f>VLOOKUP(Ruimtestaat[[#This Row],[Code]],Locaties[[#All],[Code]:[Adres]],4,FALSE)</f>
        <v>Prinsestraat 10-10a </v>
      </c>
      <c r="D510" s="176" t="str">
        <f>VLOOKUP(Ruimtestaat[[#This Row],[Code]],Locaties[[#All],[Code]:[Postcode]],5,FALSE)</f>
        <v>7513 AL</v>
      </c>
      <c r="E510" s="176" t="str">
        <f>VLOOKUP(Ruimtestaat[[#This Row],[Code]],Locaties[#All],6,FALSE)</f>
        <v>Enschede</v>
      </c>
      <c r="F510" s="183"/>
      <c r="G510" s="99" t="s">
        <v>1760</v>
      </c>
      <c r="H510" s="99" t="s">
        <v>1811</v>
      </c>
      <c r="I510" s="183" t="s">
        <v>1651</v>
      </c>
      <c r="J510" s="99">
        <v>16</v>
      </c>
      <c r="K510" s="183" t="str">
        <f>VLOOKUP(Ruimtestaat[[#This Row],[Ruimte code]],Ruimtegroepen[[#All],[Code]:[Ruimte omschrijving]],2,FALSE)</f>
        <v>Leslokalen</v>
      </c>
      <c r="L510" s="99" t="s">
        <v>100</v>
      </c>
      <c r="M510" s="99" t="s">
        <v>1697</v>
      </c>
      <c r="N510" s="177">
        <v>49.2</v>
      </c>
      <c r="O510" s="177"/>
      <c r="P510" s="178" t="str">
        <f>VLOOKUP(Ruimtestaat[[#This Row],[Ruimte code]],Ruimtegroepen[],4,FALSE)</f>
        <v>Le</v>
      </c>
      <c r="Q510" s="149">
        <v>40</v>
      </c>
      <c r="R510" s="149" t="s">
        <v>2</v>
      </c>
      <c r="S510" s="149">
        <f>IF(Q510&gt;0,IF(RIGHT(Ruimtestaat[[#This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0" s="149">
        <f>IF(S510&gt;0,VLOOKUP($J510,Ruimtegroepen[],3,FALSE)*VLOOKUP($L510,Vloersoorten[],3,FALSE)*VLOOKUP($R510,Frequenties[],3,FALSE)*VLOOKUP($A510,Locaties[],3,FALSE),0)</f>
        <v>0</v>
      </c>
      <c r="U510" s="149">
        <f>Ruimtestaat[[#This Row],[Uitvoeringen werkdagen]]*Ruimtestaat[[#This Row],[Oppervlak (netto)]]</f>
        <v>9840</v>
      </c>
      <c r="V510" s="179">
        <f>IF(T510&gt;0,Ruimtestaat[[#This Row],[Prest. (m2 /jaar) werkdagen]]/Ruimtestaat[[#This Row],[Norm (m2/uur) werkdagen]],0)</f>
        <v>0</v>
      </c>
      <c r="W510" s="180">
        <f>Ruimtestaat[[#This Row],[uren / jaar werkdagen]]*Tariefsopbouw!$E$35</f>
        <v>0</v>
      </c>
      <c r="X510" s="149"/>
      <c r="Y510" s="149">
        <f>IF(Ruimtestaat[[#This Row],[Frequentie weekend]]&gt;0,VALUE(LEFT(X510,1))*Q510,0)</f>
        <v>0</v>
      </c>
      <c r="Z510" s="148">
        <f>IF($Y510&gt;0,VLOOKUP($J510,Ruimtegroepen[],3,FALSE)*VLOOKUP($L510,Vloersoorten[],3,FALSE)*VLOOKUP($X510,Frequenties[],3,FALSE)*VLOOKUP(Ruimtestaat[[#This Row],[Code]],Locaties[],3,FALSE),0)</f>
        <v>0</v>
      </c>
      <c r="AA510" s="148">
        <f>Ruimtestaat[[#This Row],[Uitvoeringen weekend]]*Ruimtestaat[[#This Row],[Oppervlak (netto)]]</f>
        <v>0</v>
      </c>
      <c r="AB510" s="148">
        <f>IF(Z510&gt;0,Ruimtestaat[[#This Row],[Prest. (m2 /jaar) weekend]]/Ruimtestaat[[#This Row],[Norm (m2/uur) weekend]],0)</f>
        <v>0</v>
      </c>
      <c r="AC510" s="180">
        <f>Ruimtestaat[[#This Row],[uren / jaar weekend]]*Tariefsopbouw!$D$40</f>
        <v>0</v>
      </c>
      <c r="AD510" s="179">
        <f>Ruimtestaat[[#This Row],[Prest. (m2 /jaar) weekend]]+Ruimtestaat[[#This Row],[Prest. (m2 /jaar) werkdagen]]</f>
        <v>9840</v>
      </c>
      <c r="AE510" s="179">
        <f>Ruimtestaat[[#This Row],[uren / jaar weekend]]+Ruimtestaat[[#This Row],[uren / jaar werkdagen]]</f>
        <v>0</v>
      </c>
      <c r="AF510" s="174">
        <f>Ruimtestaat[[#This Row],[kosten / jaar weekend]]+Ruimtestaat[[#This Row],[kosten / jaar werkdagen]]</f>
        <v>0</v>
      </c>
      <c r="AG510" s="174"/>
      <c r="AH510" s="181" t="str">
        <f>IF(Ruimtestaat[[#This Row],[Frequentie werkdagen]]="","",_xlfn.CONCAT(Ruimtestaat[[#This Row],[Ruimte code]],"-",Ruimtestaat[[#This Row],[Frequentie werkdagen]]," ",Ruimtestaat[[#This Row],[Vloer code]]))</f>
        <v>16-5w L</v>
      </c>
      <c r="AI510" s="185" t="str">
        <f>_xlfn.IFNA(VLOOKUP($AH510,Programma!$F$3:$G$1101,2,0),"")</f>
        <v>_</v>
      </c>
      <c r="AJ510" s="185" t="str">
        <f>_xlfn.IFNA(VLOOKUP($AH510,Programma!$F$3:$H$1101,3,0),"")</f>
        <v>_</v>
      </c>
      <c r="AK510" s="185" t="str">
        <f>_xlfn.IFNA(VLOOKUP($AH510,Programma!$F$3:$I$1101,4,0),"")</f>
        <v>4w</v>
      </c>
      <c r="AL510" s="185" t="str">
        <f>_xlfn.IFNA(VLOOKUP($AH510,Programma!$F$3:$J$1101,5,0),"")</f>
        <v>1w</v>
      </c>
      <c r="AM510" s="185" t="str">
        <f>_xlfn.IFNA(VLOOKUP($AH510,Programma!$F$3:$K$1101,6,0),"")</f>
        <v>_</v>
      </c>
      <c r="AN510" s="185" t="str">
        <f>_xlfn.IFNA(VLOOKUP($AH510,Programma!$F$3:$L$1101,7,0),"")</f>
        <v>_</v>
      </c>
      <c r="AO510" s="185" t="str">
        <f>_xlfn.IFNA(VLOOKUP($AH510,Programma!$F$3:$M$1101,8,0),"")</f>
        <v>_</v>
      </c>
      <c r="AP510" s="185" t="str">
        <f>_xlfn.IFNA(VLOOKUP($AH510,Programma!$F$3:$N$1101,9,0),"")</f>
        <v>_</v>
      </c>
      <c r="AQ510" s="185" t="str">
        <f>_xlfn.IFNA(VLOOKUP($AH510,Programma!$F$3:$O$1101,10,0),"")</f>
        <v>5w</v>
      </c>
      <c r="AR510" s="185" t="str">
        <f>_xlfn.IFNA(VLOOKUP($AH510,Programma!$F$3:$P$1101,11,0),"")</f>
        <v>5w</v>
      </c>
      <c r="AS510" s="185" t="str">
        <f>_xlfn.IFNA(VLOOKUP($AH510,Programma!$F$3:$Q$1101,12,0),"")</f>
        <v>1w</v>
      </c>
      <c r="AT510" s="185" t="str">
        <f>_xlfn.IFNA(VLOOKUP($AH510,Programma!$F$3:$R$1101,13,0),"")</f>
        <v>1w</v>
      </c>
      <c r="AU510" s="185" t="str">
        <f>_xlfn.IFNA(VLOOKUP($AH510,Programma!$F$3:$S$1101,14,0),"")</f>
        <v>1m</v>
      </c>
      <c r="AV510" s="185" t="str">
        <f>_xlfn.IFNA(VLOOKUP($AH510,Programma!$F$3:$T$1101,15,0),"")</f>
        <v>2j</v>
      </c>
      <c r="AW510" s="185" t="str">
        <f>_xlfn.IFNA(VLOOKUP($AH510,Programma!$F$3:$U$1101,16,0),"")</f>
        <v>1j</v>
      </c>
      <c r="AX510" s="185" t="str">
        <f>_xlfn.IFNA(VLOOKUP($AH510,Programma!$F$3:$V$1101,17,0),"")</f>
        <v>_</v>
      </c>
      <c r="AY510" s="185" t="str">
        <f>_xlfn.IFNA(VLOOKUP($AH510,Programma!$F$3:$W$1101,18,0),"")</f>
        <v>_</v>
      </c>
      <c r="AZ510" s="185" t="str">
        <f>_xlfn.IFNA(VLOOKUP($AH510,Programma!$F$3:$X$1101,19,0),"")</f>
        <v>_</v>
      </c>
      <c r="BA510" s="185" t="str">
        <f>_xlfn.IFNA(VLOOKUP($AH510,Programma!$F$3:$Y$1101,20,0),"")</f>
        <v>_</v>
      </c>
      <c r="BB510" s="182"/>
      <c r="BC510" s="181" t="str">
        <f>IF(Ruimtestaat[[#This Row],[Frequentie weekend]]="","",_xlfn.CONCAT(Ruimtestaat[[#This Row],[Ruimte code]],"-",Ruimtestaat[[#This Row],[Frequentie weekend]]," ",Ruimtestaat[[#This Row],[Vloer code]]))</f>
        <v/>
      </c>
      <c r="BD510" s="185" t="str">
        <f>_xlfn.IFNA(VLOOKUP($BC510,Programma!$F$3:$G$1101,2,0),"")</f>
        <v/>
      </c>
      <c r="BE510" s="185" t="str">
        <f>_xlfn.IFNA(VLOOKUP($BC510,Programma!$F$3:$H$1101,3,0),"")</f>
        <v/>
      </c>
      <c r="BF510" s="185" t="str">
        <f>_xlfn.IFNA(VLOOKUP($BC510,Programma!$F$3:$I$1101,4,0),"")</f>
        <v/>
      </c>
      <c r="BG510" s="185" t="str">
        <f>_xlfn.IFNA(VLOOKUP($BC510,Programma!$F$3:$J$1101,5,0),"")</f>
        <v/>
      </c>
      <c r="BH510" s="185" t="str">
        <f>_xlfn.IFNA(VLOOKUP($BC510,Programma!$F$3:$K$1101,6,0),"")</f>
        <v/>
      </c>
      <c r="BI510" s="185" t="str">
        <f>_xlfn.IFNA(VLOOKUP($BC510,Programma!$F$3:$L$1101,7,0),"")</f>
        <v/>
      </c>
      <c r="BJ510" s="185" t="str">
        <f>_xlfn.IFNA(VLOOKUP($BC510,Programma!$F$3:$M$1101,8,0),"")</f>
        <v/>
      </c>
      <c r="BK510" s="185" t="str">
        <f>_xlfn.IFNA(VLOOKUP($BC510,Programma!$F$3:$N$1101,9,0),"")</f>
        <v/>
      </c>
      <c r="BL510" s="185" t="str">
        <f>_xlfn.IFNA(VLOOKUP($BC510,Programma!$F$3:$O$1101,10,0),"")</f>
        <v/>
      </c>
      <c r="BM510" s="185" t="str">
        <f>_xlfn.IFNA(VLOOKUP($BC510,Programma!$F$3:$P$1101,11,0),"")</f>
        <v/>
      </c>
      <c r="BN510" s="185" t="str">
        <f>_xlfn.IFNA(VLOOKUP($BC510,Programma!$F$3:$Q$1101,12,0),"")</f>
        <v/>
      </c>
      <c r="BO510" s="185" t="str">
        <f>_xlfn.IFNA(VLOOKUP($BC510,Programma!$F$3:$R$1101,13,0),"")</f>
        <v/>
      </c>
      <c r="BP510" s="185" t="str">
        <f>_xlfn.IFNA(VLOOKUP($BC510,Programma!$F$3:$S$1101,14,0),"")</f>
        <v/>
      </c>
      <c r="BQ510" s="185" t="str">
        <f>_xlfn.IFNA(VLOOKUP($BC510,Programma!$F$3:$T$1101,15,0),"")</f>
        <v/>
      </c>
      <c r="BR510" s="185" t="str">
        <f>_xlfn.IFNA(VLOOKUP($BC510,Programma!$F$3:$U$1101,16,0),"")</f>
        <v/>
      </c>
      <c r="BS510" s="185" t="str">
        <f>_xlfn.IFNA(VLOOKUP($BC510,Programma!$F$3:$V$1101,17,0),"")</f>
        <v/>
      </c>
      <c r="BT510" s="185" t="str">
        <f>_xlfn.IFNA(VLOOKUP($BC510,Programma!$F$3:$W$1101,18,0),"")</f>
        <v/>
      </c>
      <c r="BU510" s="185" t="str">
        <f>_xlfn.IFNA(VLOOKUP($BC510,Programma!$F$3:$X$1101,19,0),"")</f>
        <v/>
      </c>
      <c r="BV510" s="185" t="str">
        <f>_xlfn.IFNA(VLOOKUP($BC510,Programma!$F$3:$Y$1101,20,0),"")</f>
        <v/>
      </c>
    </row>
    <row r="511" spans="1:74" s="78" customFormat="1" ht="15" customHeight="1">
      <c r="A511" s="99">
        <v>14</v>
      </c>
      <c r="B511" s="176" t="str">
        <f>VLOOKUP(Ruimtestaat[[#This Row],[Code]],Locaties[[Code]:[Locatie]],2,FALSE)</f>
        <v>Prinseschool Prinsestraat</v>
      </c>
      <c r="C511" s="176" t="str">
        <f>VLOOKUP(Ruimtestaat[[#This Row],[Code]],Locaties[[#All],[Code]:[Adres]],4,FALSE)</f>
        <v>Prinsestraat 10-10a </v>
      </c>
      <c r="D511" s="176" t="str">
        <f>VLOOKUP(Ruimtestaat[[#This Row],[Code]],Locaties[[#All],[Code]:[Postcode]],5,FALSE)</f>
        <v>7513 AL</v>
      </c>
      <c r="E511" s="176" t="str">
        <f>VLOOKUP(Ruimtestaat[[#This Row],[Code]],Locaties[#All],6,FALSE)</f>
        <v>Enschede</v>
      </c>
      <c r="F511" s="183"/>
      <c r="G511" s="99" t="s">
        <v>1760</v>
      </c>
      <c r="H511" s="99" t="s">
        <v>1812</v>
      </c>
      <c r="I511" s="183" t="s">
        <v>1655</v>
      </c>
      <c r="J511" s="99">
        <v>5</v>
      </c>
      <c r="K511" s="183" t="str">
        <f>VLOOKUP(Ruimtestaat[[#This Row],[Ruimte code]],Ruimtegroepen[[#All],[Code]:[Ruimte omschrijving]],2,FALSE)</f>
        <v>Sanitair</v>
      </c>
      <c r="L511" s="99" t="s">
        <v>101</v>
      </c>
      <c r="M511" s="99" t="s">
        <v>1682</v>
      </c>
      <c r="N511" s="177">
        <v>3.7</v>
      </c>
      <c r="O511" s="177"/>
      <c r="P511" s="178" t="str">
        <f>VLOOKUP(Ruimtestaat[[#This Row],[Ruimte code]],Ruimtegroepen[],4,FALSE)</f>
        <v>Sa</v>
      </c>
      <c r="Q511" s="149">
        <v>40</v>
      </c>
      <c r="R511" s="149" t="s">
        <v>2</v>
      </c>
      <c r="S511" s="149">
        <f>IF(Q511&gt;0,IF(RIGHT(Ruimtestaat[[#This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1" s="149">
        <f>IF(S511&gt;0,VLOOKUP($J511,Ruimtegroepen[],3,FALSE)*VLOOKUP($L511,Vloersoorten[],3,FALSE)*VLOOKUP($R511,Frequenties[],3,FALSE)*VLOOKUP($A511,Locaties[],3,FALSE),0)</f>
        <v>0</v>
      </c>
      <c r="U511" s="149">
        <f>Ruimtestaat[[#This Row],[Uitvoeringen werkdagen]]*Ruimtestaat[[#This Row],[Oppervlak (netto)]]</f>
        <v>740</v>
      </c>
      <c r="V511" s="179">
        <f>IF(T511&gt;0,Ruimtestaat[[#This Row],[Prest. (m2 /jaar) werkdagen]]/Ruimtestaat[[#This Row],[Norm (m2/uur) werkdagen]],0)</f>
        <v>0</v>
      </c>
      <c r="W511" s="180">
        <f>Ruimtestaat[[#This Row],[uren / jaar werkdagen]]*Tariefsopbouw!$E$35</f>
        <v>0</v>
      </c>
      <c r="X511" s="149"/>
      <c r="Y511" s="149">
        <f>IF(Ruimtestaat[[#This Row],[Frequentie weekend]]&gt;0,VALUE(LEFT(X511,1))*Q511,0)</f>
        <v>0</v>
      </c>
      <c r="Z511" s="148">
        <f>IF($Y511&gt;0,VLOOKUP($J511,Ruimtegroepen[],3,FALSE)*VLOOKUP($L511,Vloersoorten[],3,FALSE)*VLOOKUP($X511,Frequenties[],3,FALSE)*VLOOKUP(Ruimtestaat[[#This Row],[Code]],Locaties[],3,FALSE),0)</f>
        <v>0</v>
      </c>
      <c r="AA511" s="148">
        <f>Ruimtestaat[[#This Row],[Uitvoeringen weekend]]*Ruimtestaat[[#This Row],[Oppervlak (netto)]]</f>
        <v>0</v>
      </c>
      <c r="AB511" s="148">
        <f>IF(Z511&gt;0,Ruimtestaat[[#This Row],[Prest. (m2 /jaar) weekend]]/Ruimtestaat[[#This Row],[Norm (m2/uur) weekend]],0)</f>
        <v>0</v>
      </c>
      <c r="AC511" s="180">
        <f>Ruimtestaat[[#This Row],[uren / jaar weekend]]*Tariefsopbouw!$D$40</f>
        <v>0</v>
      </c>
      <c r="AD511" s="179">
        <f>Ruimtestaat[[#This Row],[Prest. (m2 /jaar) weekend]]+Ruimtestaat[[#This Row],[Prest. (m2 /jaar) werkdagen]]</f>
        <v>740</v>
      </c>
      <c r="AE511" s="179">
        <f>Ruimtestaat[[#This Row],[uren / jaar weekend]]+Ruimtestaat[[#This Row],[uren / jaar werkdagen]]</f>
        <v>0</v>
      </c>
      <c r="AF511" s="174">
        <f>Ruimtestaat[[#This Row],[kosten / jaar weekend]]+Ruimtestaat[[#This Row],[kosten / jaar werkdagen]]</f>
        <v>0</v>
      </c>
      <c r="AG511" s="174"/>
      <c r="AH511" s="181" t="str">
        <f>IF(Ruimtestaat[[#This Row],[Frequentie werkdagen]]="","",_xlfn.CONCAT(Ruimtestaat[[#This Row],[Ruimte code]],"-",Ruimtestaat[[#This Row],[Frequentie werkdagen]]," ",Ruimtestaat[[#This Row],[Vloer code]]))</f>
        <v>5-5w S</v>
      </c>
      <c r="AI511" s="185" t="str">
        <f>_xlfn.IFNA(VLOOKUP($AH511,Programma!$F$3:$G$1101,2,0),"")</f>
        <v>_</v>
      </c>
      <c r="AJ511" s="185" t="str">
        <f>_xlfn.IFNA(VLOOKUP($AH511,Programma!$F$3:$H$1101,3,0),"")</f>
        <v>_</v>
      </c>
      <c r="AK511" s="185" t="str">
        <f>_xlfn.IFNA(VLOOKUP($AH511,Programma!$F$3:$I$1101,4,0),"")</f>
        <v>_</v>
      </c>
      <c r="AL511" s="185" t="str">
        <f>_xlfn.IFNA(VLOOKUP($AH511,Programma!$F$3:$J$1101,5,0),"")</f>
        <v>4w</v>
      </c>
      <c r="AM511" s="185" t="str">
        <f>_xlfn.IFNA(VLOOKUP($AH511,Programma!$F$3:$K$1101,6,0),"")</f>
        <v>1w</v>
      </c>
      <c r="AN511" s="185" t="str">
        <f>_xlfn.IFNA(VLOOKUP($AH511,Programma!$F$3:$L$1101,7,0),"")</f>
        <v>_</v>
      </c>
      <c r="AO511" s="185" t="str">
        <f>_xlfn.IFNA(VLOOKUP($AH511,Programma!$F$3:$M$1101,8,0),"")</f>
        <v>_</v>
      </c>
      <c r="AP511" s="185" t="str">
        <f>_xlfn.IFNA(VLOOKUP($AH511,Programma!$F$3:$N$1101,9,0),"")</f>
        <v>_</v>
      </c>
      <c r="AQ511" s="185" t="str">
        <f>_xlfn.IFNA(VLOOKUP($AH511,Programma!$F$3:$O$1101,10,0),"")</f>
        <v>_</v>
      </c>
      <c r="AR511" s="185" t="str">
        <f>_xlfn.IFNA(VLOOKUP($AH511,Programma!$F$3:$P$1101,11,0),"")</f>
        <v>_</v>
      </c>
      <c r="AS511" s="185" t="str">
        <f>_xlfn.IFNA(VLOOKUP($AH511,Programma!$F$3:$Q$1101,12,0),"")</f>
        <v>_</v>
      </c>
      <c r="AT511" s="185" t="str">
        <f>_xlfn.IFNA(VLOOKUP($AH511,Programma!$F$3:$R$1101,13,0),"")</f>
        <v>_</v>
      </c>
      <c r="AU511" s="185" t="str">
        <f>_xlfn.IFNA(VLOOKUP($AH511,Programma!$F$3:$S$1101,14,0),"")</f>
        <v>_</v>
      </c>
      <c r="AV511" s="185" t="str">
        <f>_xlfn.IFNA(VLOOKUP($AH511,Programma!$F$3:$T$1101,15,0),"")</f>
        <v>_</v>
      </c>
      <c r="AW511" s="185" t="str">
        <f>_xlfn.IFNA(VLOOKUP($AH511,Programma!$F$3:$U$1101,16,0),"")</f>
        <v>_</v>
      </c>
      <c r="AX511" s="185" t="str">
        <f>_xlfn.IFNA(VLOOKUP($AH511,Programma!$F$3:$V$1101,17,0),"")</f>
        <v>_</v>
      </c>
      <c r="AY511" s="185" t="str">
        <f>_xlfn.IFNA(VLOOKUP($AH511,Programma!$F$3:$W$1101,18,0),"")</f>
        <v>4w</v>
      </c>
      <c r="AZ511" s="185" t="str">
        <f>_xlfn.IFNA(VLOOKUP($AH511,Programma!$F$3:$X$1101,19,0),"")</f>
        <v>1w</v>
      </c>
      <c r="BA511" s="185" t="str">
        <f>_xlfn.IFNA(VLOOKUP($AH511,Programma!$F$3:$Y$1101,20,0),"")</f>
        <v>_</v>
      </c>
      <c r="BB511" s="182"/>
      <c r="BC511" s="181" t="str">
        <f>IF(Ruimtestaat[[#This Row],[Frequentie weekend]]="","",_xlfn.CONCAT(Ruimtestaat[[#This Row],[Ruimte code]],"-",Ruimtestaat[[#This Row],[Frequentie weekend]]," ",Ruimtestaat[[#This Row],[Vloer code]]))</f>
        <v/>
      </c>
      <c r="BD511" s="185" t="str">
        <f>_xlfn.IFNA(VLOOKUP($BC511,Programma!$F$3:$G$1101,2,0),"")</f>
        <v/>
      </c>
      <c r="BE511" s="185" t="str">
        <f>_xlfn.IFNA(VLOOKUP($BC511,Programma!$F$3:$H$1101,3,0),"")</f>
        <v/>
      </c>
      <c r="BF511" s="185" t="str">
        <f>_xlfn.IFNA(VLOOKUP($BC511,Programma!$F$3:$I$1101,4,0),"")</f>
        <v/>
      </c>
      <c r="BG511" s="185" t="str">
        <f>_xlfn.IFNA(VLOOKUP($BC511,Programma!$F$3:$J$1101,5,0),"")</f>
        <v/>
      </c>
      <c r="BH511" s="185" t="str">
        <f>_xlfn.IFNA(VLOOKUP($BC511,Programma!$F$3:$K$1101,6,0),"")</f>
        <v/>
      </c>
      <c r="BI511" s="185" t="str">
        <f>_xlfn.IFNA(VLOOKUP($BC511,Programma!$F$3:$L$1101,7,0),"")</f>
        <v/>
      </c>
      <c r="BJ511" s="185" t="str">
        <f>_xlfn.IFNA(VLOOKUP($BC511,Programma!$F$3:$M$1101,8,0),"")</f>
        <v/>
      </c>
      <c r="BK511" s="185" t="str">
        <f>_xlfn.IFNA(VLOOKUP($BC511,Programma!$F$3:$N$1101,9,0),"")</f>
        <v/>
      </c>
      <c r="BL511" s="185" t="str">
        <f>_xlfn.IFNA(VLOOKUP($BC511,Programma!$F$3:$O$1101,10,0),"")</f>
        <v/>
      </c>
      <c r="BM511" s="185" t="str">
        <f>_xlfn.IFNA(VLOOKUP($BC511,Programma!$F$3:$P$1101,11,0),"")</f>
        <v/>
      </c>
      <c r="BN511" s="185" t="str">
        <f>_xlfn.IFNA(VLOOKUP($BC511,Programma!$F$3:$Q$1101,12,0),"")</f>
        <v/>
      </c>
      <c r="BO511" s="185" t="str">
        <f>_xlfn.IFNA(VLOOKUP($BC511,Programma!$F$3:$R$1101,13,0),"")</f>
        <v/>
      </c>
      <c r="BP511" s="185" t="str">
        <f>_xlfn.IFNA(VLOOKUP($BC511,Programma!$F$3:$S$1101,14,0),"")</f>
        <v/>
      </c>
      <c r="BQ511" s="185" t="str">
        <f>_xlfn.IFNA(VLOOKUP($BC511,Programma!$F$3:$T$1101,15,0),"")</f>
        <v/>
      </c>
      <c r="BR511" s="185" t="str">
        <f>_xlfn.IFNA(VLOOKUP($BC511,Programma!$F$3:$U$1101,16,0),"")</f>
        <v/>
      </c>
      <c r="BS511" s="185" t="str">
        <f>_xlfn.IFNA(VLOOKUP($BC511,Programma!$F$3:$V$1101,17,0),"")</f>
        <v/>
      </c>
      <c r="BT511" s="185" t="str">
        <f>_xlfn.IFNA(VLOOKUP($BC511,Programma!$F$3:$W$1101,18,0),"")</f>
        <v/>
      </c>
      <c r="BU511" s="185" t="str">
        <f>_xlfn.IFNA(VLOOKUP($BC511,Programma!$F$3:$X$1101,19,0),"")</f>
        <v/>
      </c>
      <c r="BV511" s="185" t="str">
        <f>_xlfn.IFNA(VLOOKUP($BC511,Programma!$F$3:$Y$1101,20,0),"")</f>
        <v/>
      </c>
    </row>
    <row r="512" spans="1:74" s="78" customFormat="1" ht="15" customHeight="1">
      <c r="A512" s="99">
        <v>14</v>
      </c>
      <c r="B512" s="176" t="str">
        <f>VLOOKUP(Ruimtestaat[[#This Row],[Code]],Locaties[[Code]:[Locatie]],2,FALSE)</f>
        <v>Prinseschool Prinsestraat</v>
      </c>
      <c r="C512" s="176" t="str">
        <f>VLOOKUP(Ruimtestaat[[#This Row],[Code]],Locaties[[#All],[Code]:[Adres]],4,FALSE)</f>
        <v>Prinsestraat 10-10a </v>
      </c>
      <c r="D512" s="176" t="str">
        <f>VLOOKUP(Ruimtestaat[[#This Row],[Code]],Locaties[[#All],[Code]:[Postcode]],5,FALSE)</f>
        <v>7513 AL</v>
      </c>
      <c r="E512" s="176" t="str">
        <f>VLOOKUP(Ruimtestaat[[#This Row],[Code]],Locaties[#All],6,FALSE)</f>
        <v>Enschede</v>
      </c>
      <c r="F512" s="183"/>
      <c r="G512" s="99" t="s">
        <v>1760</v>
      </c>
      <c r="H512" s="99" t="s">
        <v>1813</v>
      </c>
      <c r="I512" s="183" t="s">
        <v>1655</v>
      </c>
      <c r="J512" s="99">
        <v>5</v>
      </c>
      <c r="K512" s="183" t="str">
        <f>VLOOKUP(Ruimtestaat[[#This Row],[Ruimte code]],Ruimtegroepen[[#All],[Code]:[Ruimte omschrijving]],2,FALSE)</f>
        <v>Sanitair</v>
      </c>
      <c r="L512" s="99" t="s">
        <v>101</v>
      </c>
      <c r="M512" s="99" t="s">
        <v>1682</v>
      </c>
      <c r="N512" s="177">
        <v>7</v>
      </c>
      <c r="O512" s="177"/>
      <c r="P512" s="178" t="str">
        <f>VLOOKUP(Ruimtestaat[[#This Row],[Ruimte code]],Ruimtegroepen[],4,FALSE)</f>
        <v>Sa</v>
      </c>
      <c r="Q512" s="149">
        <v>40</v>
      </c>
      <c r="R512" s="149" t="s">
        <v>2</v>
      </c>
      <c r="S512" s="149">
        <f>IF(Q512&gt;0,IF(RIGHT(Ruimtestaat[[#This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2" s="149">
        <f>IF(S512&gt;0,VLOOKUP($J512,Ruimtegroepen[],3,FALSE)*VLOOKUP($L512,Vloersoorten[],3,FALSE)*VLOOKUP($R512,Frequenties[],3,FALSE)*VLOOKUP($A512,Locaties[],3,FALSE),0)</f>
        <v>0</v>
      </c>
      <c r="U512" s="149">
        <f>Ruimtestaat[[#This Row],[Uitvoeringen werkdagen]]*Ruimtestaat[[#This Row],[Oppervlak (netto)]]</f>
        <v>1400</v>
      </c>
      <c r="V512" s="179">
        <f>IF(T512&gt;0,Ruimtestaat[[#This Row],[Prest. (m2 /jaar) werkdagen]]/Ruimtestaat[[#This Row],[Norm (m2/uur) werkdagen]],0)</f>
        <v>0</v>
      </c>
      <c r="W512" s="180">
        <f>Ruimtestaat[[#This Row],[uren / jaar werkdagen]]*Tariefsopbouw!$E$35</f>
        <v>0</v>
      </c>
      <c r="X512" s="149"/>
      <c r="Y512" s="149">
        <f>IF(Ruimtestaat[[#This Row],[Frequentie weekend]]&gt;0,VALUE(LEFT(X512,1))*Q512,0)</f>
        <v>0</v>
      </c>
      <c r="Z512" s="148">
        <f>IF($Y512&gt;0,VLOOKUP($J512,Ruimtegroepen[],3,FALSE)*VLOOKUP($L512,Vloersoorten[],3,FALSE)*VLOOKUP($X512,Frequenties[],3,FALSE)*VLOOKUP(Ruimtestaat[[#This Row],[Code]],Locaties[],3,FALSE),0)</f>
        <v>0</v>
      </c>
      <c r="AA512" s="148">
        <f>Ruimtestaat[[#This Row],[Uitvoeringen weekend]]*Ruimtestaat[[#This Row],[Oppervlak (netto)]]</f>
        <v>0</v>
      </c>
      <c r="AB512" s="148">
        <f>IF(Z512&gt;0,Ruimtestaat[[#This Row],[Prest. (m2 /jaar) weekend]]/Ruimtestaat[[#This Row],[Norm (m2/uur) weekend]],0)</f>
        <v>0</v>
      </c>
      <c r="AC512" s="180">
        <f>Ruimtestaat[[#This Row],[uren / jaar weekend]]*Tariefsopbouw!$D$40</f>
        <v>0</v>
      </c>
      <c r="AD512" s="179">
        <f>Ruimtestaat[[#This Row],[Prest. (m2 /jaar) weekend]]+Ruimtestaat[[#This Row],[Prest. (m2 /jaar) werkdagen]]</f>
        <v>1400</v>
      </c>
      <c r="AE512" s="179">
        <f>Ruimtestaat[[#This Row],[uren / jaar weekend]]+Ruimtestaat[[#This Row],[uren / jaar werkdagen]]</f>
        <v>0</v>
      </c>
      <c r="AF512" s="174">
        <f>Ruimtestaat[[#This Row],[kosten / jaar weekend]]+Ruimtestaat[[#This Row],[kosten / jaar werkdagen]]</f>
        <v>0</v>
      </c>
      <c r="AG512" s="174"/>
      <c r="AH512" s="181" t="str">
        <f>IF(Ruimtestaat[[#This Row],[Frequentie werkdagen]]="","",_xlfn.CONCAT(Ruimtestaat[[#This Row],[Ruimte code]],"-",Ruimtestaat[[#This Row],[Frequentie werkdagen]]," ",Ruimtestaat[[#This Row],[Vloer code]]))</f>
        <v>5-5w S</v>
      </c>
      <c r="AI512" s="185" t="str">
        <f>_xlfn.IFNA(VLOOKUP($AH512,Programma!$F$3:$G$1101,2,0),"")</f>
        <v>_</v>
      </c>
      <c r="AJ512" s="185" t="str">
        <f>_xlfn.IFNA(VLOOKUP($AH512,Programma!$F$3:$H$1101,3,0),"")</f>
        <v>_</v>
      </c>
      <c r="AK512" s="185" t="str">
        <f>_xlfn.IFNA(VLOOKUP($AH512,Programma!$F$3:$I$1101,4,0),"")</f>
        <v>_</v>
      </c>
      <c r="AL512" s="185" t="str">
        <f>_xlfn.IFNA(VLOOKUP($AH512,Programma!$F$3:$J$1101,5,0),"")</f>
        <v>4w</v>
      </c>
      <c r="AM512" s="185" t="str">
        <f>_xlfn.IFNA(VLOOKUP($AH512,Programma!$F$3:$K$1101,6,0),"")</f>
        <v>1w</v>
      </c>
      <c r="AN512" s="185" t="str">
        <f>_xlfn.IFNA(VLOOKUP($AH512,Programma!$F$3:$L$1101,7,0),"")</f>
        <v>_</v>
      </c>
      <c r="AO512" s="185" t="str">
        <f>_xlfn.IFNA(VLOOKUP($AH512,Programma!$F$3:$M$1101,8,0),"")</f>
        <v>_</v>
      </c>
      <c r="AP512" s="185" t="str">
        <f>_xlfn.IFNA(VLOOKUP($AH512,Programma!$F$3:$N$1101,9,0),"")</f>
        <v>_</v>
      </c>
      <c r="AQ512" s="185" t="str">
        <f>_xlfn.IFNA(VLOOKUP($AH512,Programma!$F$3:$O$1101,10,0),"")</f>
        <v>_</v>
      </c>
      <c r="AR512" s="185" t="str">
        <f>_xlfn.IFNA(VLOOKUP($AH512,Programma!$F$3:$P$1101,11,0),"")</f>
        <v>_</v>
      </c>
      <c r="AS512" s="185" t="str">
        <f>_xlfn.IFNA(VLOOKUP($AH512,Programma!$F$3:$Q$1101,12,0),"")</f>
        <v>_</v>
      </c>
      <c r="AT512" s="185" t="str">
        <f>_xlfn.IFNA(VLOOKUP($AH512,Programma!$F$3:$R$1101,13,0),"")</f>
        <v>_</v>
      </c>
      <c r="AU512" s="185" t="str">
        <f>_xlfn.IFNA(VLOOKUP($AH512,Programma!$F$3:$S$1101,14,0),"")</f>
        <v>_</v>
      </c>
      <c r="AV512" s="185" t="str">
        <f>_xlfn.IFNA(VLOOKUP($AH512,Programma!$F$3:$T$1101,15,0),"")</f>
        <v>_</v>
      </c>
      <c r="AW512" s="185" t="str">
        <f>_xlfn.IFNA(VLOOKUP($AH512,Programma!$F$3:$U$1101,16,0),"")</f>
        <v>_</v>
      </c>
      <c r="AX512" s="185" t="str">
        <f>_xlfn.IFNA(VLOOKUP($AH512,Programma!$F$3:$V$1101,17,0),"")</f>
        <v>_</v>
      </c>
      <c r="AY512" s="185" t="str">
        <f>_xlfn.IFNA(VLOOKUP($AH512,Programma!$F$3:$W$1101,18,0),"")</f>
        <v>4w</v>
      </c>
      <c r="AZ512" s="185" t="str">
        <f>_xlfn.IFNA(VLOOKUP($AH512,Programma!$F$3:$X$1101,19,0),"")</f>
        <v>1w</v>
      </c>
      <c r="BA512" s="185" t="str">
        <f>_xlfn.IFNA(VLOOKUP($AH512,Programma!$F$3:$Y$1101,20,0),"")</f>
        <v>_</v>
      </c>
      <c r="BB512" s="182"/>
      <c r="BC512" s="181" t="str">
        <f>IF(Ruimtestaat[[#This Row],[Frequentie weekend]]="","",_xlfn.CONCAT(Ruimtestaat[[#This Row],[Ruimte code]],"-",Ruimtestaat[[#This Row],[Frequentie weekend]]," ",Ruimtestaat[[#This Row],[Vloer code]]))</f>
        <v/>
      </c>
      <c r="BD512" s="185" t="str">
        <f>_xlfn.IFNA(VLOOKUP($BC512,Programma!$F$3:$G$1101,2,0),"")</f>
        <v/>
      </c>
      <c r="BE512" s="185" t="str">
        <f>_xlfn.IFNA(VLOOKUP($BC512,Programma!$F$3:$H$1101,3,0),"")</f>
        <v/>
      </c>
      <c r="BF512" s="185" t="str">
        <f>_xlfn.IFNA(VLOOKUP($BC512,Programma!$F$3:$I$1101,4,0),"")</f>
        <v/>
      </c>
      <c r="BG512" s="185" t="str">
        <f>_xlfn.IFNA(VLOOKUP($BC512,Programma!$F$3:$J$1101,5,0),"")</f>
        <v/>
      </c>
      <c r="BH512" s="185" t="str">
        <f>_xlfn.IFNA(VLOOKUP($BC512,Programma!$F$3:$K$1101,6,0),"")</f>
        <v/>
      </c>
      <c r="BI512" s="185" t="str">
        <f>_xlfn.IFNA(VLOOKUP($BC512,Programma!$F$3:$L$1101,7,0),"")</f>
        <v/>
      </c>
      <c r="BJ512" s="185" t="str">
        <f>_xlfn.IFNA(VLOOKUP($BC512,Programma!$F$3:$M$1101,8,0),"")</f>
        <v/>
      </c>
      <c r="BK512" s="185" t="str">
        <f>_xlfn.IFNA(VLOOKUP($BC512,Programma!$F$3:$N$1101,9,0),"")</f>
        <v/>
      </c>
      <c r="BL512" s="185" t="str">
        <f>_xlfn.IFNA(VLOOKUP($BC512,Programma!$F$3:$O$1101,10,0),"")</f>
        <v/>
      </c>
      <c r="BM512" s="185" t="str">
        <f>_xlfn.IFNA(VLOOKUP($BC512,Programma!$F$3:$P$1101,11,0),"")</f>
        <v/>
      </c>
      <c r="BN512" s="185" t="str">
        <f>_xlfn.IFNA(VLOOKUP($BC512,Programma!$F$3:$Q$1101,12,0),"")</f>
        <v/>
      </c>
      <c r="BO512" s="185" t="str">
        <f>_xlfn.IFNA(VLOOKUP($BC512,Programma!$F$3:$R$1101,13,0),"")</f>
        <v/>
      </c>
      <c r="BP512" s="185" t="str">
        <f>_xlfn.IFNA(VLOOKUP($BC512,Programma!$F$3:$S$1101,14,0),"")</f>
        <v/>
      </c>
      <c r="BQ512" s="185" t="str">
        <f>_xlfn.IFNA(VLOOKUP($BC512,Programma!$F$3:$T$1101,15,0),"")</f>
        <v/>
      </c>
      <c r="BR512" s="185" t="str">
        <f>_xlfn.IFNA(VLOOKUP($BC512,Programma!$F$3:$U$1101,16,0),"")</f>
        <v/>
      </c>
      <c r="BS512" s="185" t="str">
        <f>_xlfn.IFNA(VLOOKUP($BC512,Programma!$F$3:$V$1101,17,0),"")</f>
        <v/>
      </c>
      <c r="BT512" s="185" t="str">
        <f>_xlfn.IFNA(VLOOKUP($BC512,Programma!$F$3:$W$1101,18,0),"")</f>
        <v/>
      </c>
      <c r="BU512" s="185" t="str">
        <f>_xlfn.IFNA(VLOOKUP($BC512,Programma!$F$3:$X$1101,19,0),"")</f>
        <v/>
      </c>
      <c r="BV512" s="185" t="str">
        <f>_xlfn.IFNA(VLOOKUP($BC512,Programma!$F$3:$Y$1101,20,0),"")</f>
        <v/>
      </c>
    </row>
    <row r="513" spans="1:74" s="78" customFormat="1" ht="15" customHeight="1">
      <c r="A513" s="99">
        <v>14</v>
      </c>
      <c r="B513" s="176" t="str">
        <f>VLOOKUP(Ruimtestaat[[#This Row],[Code]],Locaties[[Code]:[Locatie]],2,FALSE)</f>
        <v>Prinseschool Prinsestraat</v>
      </c>
      <c r="C513" s="176" t="str">
        <f>VLOOKUP(Ruimtestaat[[#This Row],[Code]],Locaties[[#All],[Code]:[Adres]],4,FALSE)</f>
        <v>Prinsestraat 10-10a </v>
      </c>
      <c r="D513" s="176" t="str">
        <f>VLOOKUP(Ruimtestaat[[#This Row],[Code]],Locaties[[#All],[Code]:[Postcode]],5,FALSE)</f>
        <v>7513 AL</v>
      </c>
      <c r="E513" s="176" t="str">
        <f>VLOOKUP(Ruimtestaat[[#This Row],[Code]],Locaties[#All],6,FALSE)</f>
        <v>Enschede</v>
      </c>
      <c r="F513" s="183"/>
      <c r="G513" s="99" t="s">
        <v>1760</v>
      </c>
      <c r="H513" s="99" t="s">
        <v>1814</v>
      </c>
      <c r="I513" s="183" t="s">
        <v>1655</v>
      </c>
      <c r="J513" s="99">
        <v>5</v>
      </c>
      <c r="K513" s="183" t="str">
        <f>VLOOKUP(Ruimtestaat[[#This Row],[Ruimte code]],Ruimtegroepen[[#All],[Code]:[Ruimte omschrijving]],2,FALSE)</f>
        <v>Sanitair</v>
      </c>
      <c r="L513" s="99" t="s">
        <v>101</v>
      </c>
      <c r="M513" s="99" t="s">
        <v>1682</v>
      </c>
      <c r="N513" s="177">
        <v>7</v>
      </c>
      <c r="O513" s="177"/>
      <c r="P513" s="178" t="str">
        <f>VLOOKUP(Ruimtestaat[[#This Row],[Ruimte code]],Ruimtegroepen[],4,FALSE)</f>
        <v>Sa</v>
      </c>
      <c r="Q513" s="149">
        <v>40</v>
      </c>
      <c r="R513" s="149" t="s">
        <v>2</v>
      </c>
      <c r="S513" s="149">
        <f>IF(Q513&gt;0,IF(RIGHT(Ruimtestaat[[#This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3" s="149">
        <f>IF(S513&gt;0,VLOOKUP($J513,Ruimtegroepen[],3,FALSE)*VLOOKUP($L513,Vloersoorten[],3,FALSE)*VLOOKUP($R513,Frequenties[],3,FALSE)*VLOOKUP($A513,Locaties[],3,FALSE),0)</f>
        <v>0</v>
      </c>
      <c r="U513" s="149">
        <f>Ruimtestaat[[#This Row],[Uitvoeringen werkdagen]]*Ruimtestaat[[#This Row],[Oppervlak (netto)]]</f>
        <v>1400</v>
      </c>
      <c r="V513" s="179">
        <f>IF(T513&gt;0,Ruimtestaat[[#This Row],[Prest. (m2 /jaar) werkdagen]]/Ruimtestaat[[#This Row],[Norm (m2/uur) werkdagen]],0)</f>
        <v>0</v>
      </c>
      <c r="W513" s="180">
        <f>Ruimtestaat[[#This Row],[uren / jaar werkdagen]]*Tariefsopbouw!$E$35</f>
        <v>0</v>
      </c>
      <c r="X513" s="149"/>
      <c r="Y513" s="149">
        <f>IF(Ruimtestaat[[#This Row],[Frequentie weekend]]&gt;0,VALUE(LEFT(X513,1))*Q513,0)</f>
        <v>0</v>
      </c>
      <c r="Z513" s="148">
        <f>IF($Y513&gt;0,VLOOKUP($J513,Ruimtegroepen[],3,FALSE)*VLOOKUP($L513,Vloersoorten[],3,FALSE)*VLOOKUP($X513,Frequenties[],3,FALSE)*VLOOKUP(Ruimtestaat[[#This Row],[Code]],Locaties[],3,FALSE),0)</f>
        <v>0</v>
      </c>
      <c r="AA513" s="148">
        <f>Ruimtestaat[[#This Row],[Uitvoeringen weekend]]*Ruimtestaat[[#This Row],[Oppervlak (netto)]]</f>
        <v>0</v>
      </c>
      <c r="AB513" s="148">
        <f>IF(Z513&gt;0,Ruimtestaat[[#This Row],[Prest. (m2 /jaar) weekend]]/Ruimtestaat[[#This Row],[Norm (m2/uur) weekend]],0)</f>
        <v>0</v>
      </c>
      <c r="AC513" s="180">
        <f>Ruimtestaat[[#This Row],[uren / jaar weekend]]*Tariefsopbouw!$D$40</f>
        <v>0</v>
      </c>
      <c r="AD513" s="179">
        <f>Ruimtestaat[[#This Row],[Prest. (m2 /jaar) weekend]]+Ruimtestaat[[#This Row],[Prest. (m2 /jaar) werkdagen]]</f>
        <v>1400</v>
      </c>
      <c r="AE513" s="179">
        <f>Ruimtestaat[[#This Row],[uren / jaar weekend]]+Ruimtestaat[[#This Row],[uren / jaar werkdagen]]</f>
        <v>0</v>
      </c>
      <c r="AF513" s="174">
        <f>Ruimtestaat[[#This Row],[kosten / jaar weekend]]+Ruimtestaat[[#This Row],[kosten / jaar werkdagen]]</f>
        <v>0</v>
      </c>
      <c r="AG513" s="174"/>
      <c r="AH513" s="181" t="str">
        <f>IF(Ruimtestaat[[#This Row],[Frequentie werkdagen]]="","",_xlfn.CONCAT(Ruimtestaat[[#This Row],[Ruimte code]],"-",Ruimtestaat[[#This Row],[Frequentie werkdagen]]," ",Ruimtestaat[[#This Row],[Vloer code]]))</f>
        <v>5-5w S</v>
      </c>
      <c r="AI513" s="185" t="str">
        <f>_xlfn.IFNA(VLOOKUP($AH513,Programma!$F$3:$G$1101,2,0),"")</f>
        <v>_</v>
      </c>
      <c r="AJ513" s="185" t="str">
        <f>_xlfn.IFNA(VLOOKUP($AH513,Programma!$F$3:$H$1101,3,0),"")</f>
        <v>_</v>
      </c>
      <c r="AK513" s="185" t="str">
        <f>_xlfn.IFNA(VLOOKUP($AH513,Programma!$F$3:$I$1101,4,0),"")</f>
        <v>_</v>
      </c>
      <c r="AL513" s="185" t="str">
        <f>_xlfn.IFNA(VLOOKUP($AH513,Programma!$F$3:$J$1101,5,0),"")</f>
        <v>4w</v>
      </c>
      <c r="AM513" s="185" t="str">
        <f>_xlfn.IFNA(VLOOKUP($AH513,Programma!$F$3:$K$1101,6,0),"")</f>
        <v>1w</v>
      </c>
      <c r="AN513" s="185" t="str">
        <f>_xlfn.IFNA(VLOOKUP($AH513,Programma!$F$3:$L$1101,7,0),"")</f>
        <v>_</v>
      </c>
      <c r="AO513" s="185" t="str">
        <f>_xlfn.IFNA(VLOOKUP($AH513,Programma!$F$3:$M$1101,8,0),"")</f>
        <v>_</v>
      </c>
      <c r="AP513" s="185" t="str">
        <f>_xlfn.IFNA(VLOOKUP($AH513,Programma!$F$3:$N$1101,9,0),"")</f>
        <v>_</v>
      </c>
      <c r="AQ513" s="185" t="str">
        <f>_xlfn.IFNA(VLOOKUP($AH513,Programma!$F$3:$O$1101,10,0),"")</f>
        <v>_</v>
      </c>
      <c r="AR513" s="185" t="str">
        <f>_xlfn.IFNA(VLOOKUP($AH513,Programma!$F$3:$P$1101,11,0),"")</f>
        <v>_</v>
      </c>
      <c r="AS513" s="185" t="str">
        <f>_xlfn.IFNA(VLOOKUP($AH513,Programma!$F$3:$Q$1101,12,0),"")</f>
        <v>_</v>
      </c>
      <c r="AT513" s="185" t="str">
        <f>_xlfn.IFNA(VLOOKUP($AH513,Programma!$F$3:$R$1101,13,0),"")</f>
        <v>_</v>
      </c>
      <c r="AU513" s="185" t="str">
        <f>_xlfn.IFNA(VLOOKUP($AH513,Programma!$F$3:$S$1101,14,0),"")</f>
        <v>_</v>
      </c>
      <c r="AV513" s="185" t="str">
        <f>_xlfn.IFNA(VLOOKUP($AH513,Programma!$F$3:$T$1101,15,0),"")</f>
        <v>_</v>
      </c>
      <c r="AW513" s="185" t="str">
        <f>_xlfn.IFNA(VLOOKUP($AH513,Programma!$F$3:$U$1101,16,0),"")</f>
        <v>_</v>
      </c>
      <c r="AX513" s="185" t="str">
        <f>_xlfn.IFNA(VLOOKUP($AH513,Programma!$F$3:$V$1101,17,0),"")</f>
        <v>_</v>
      </c>
      <c r="AY513" s="185" t="str">
        <f>_xlfn.IFNA(VLOOKUP($AH513,Programma!$F$3:$W$1101,18,0),"")</f>
        <v>4w</v>
      </c>
      <c r="AZ513" s="185" t="str">
        <f>_xlfn.IFNA(VLOOKUP($AH513,Programma!$F$3:$X$1101,19,0),"")</f>
        <v>1w</v>
      </c>
      <c r="BA513" s="185" t="str">
        <f>_xlfn.IFNA(VLOOKUP($AH513,Programma!$F$3:$Y$1101,20,0),"")</f>
        <v>_</v>
      </c>
      <c r="BB513" s="182"/>
      <c r="BC513" s="181" t="str">
        <f>IF(Ruimtestaat[[#This Row],[Frequentie weekend]]="","",_xlfn.CONCAT(Ruimtestaat[[#This Row],[Ruimte code]],"-",Ruimtestaat[[#This Row],[Frequentie weekend]]," ",Ruimtestaat[[#This Row],[Vloer code]]))</f>
        <v/>
      </c>
      <c r="BD513" s="185" t="str">
        <f>_xlfn.IFNA(VLOOKUP($BC513,Programma!$F$3:$G$1101,2,0),"")</f>
        <v/>
      </c>
      <c r="BE513" s="185" t="str">
        <f>_xlfn.IFNA(VLOOKUP($BC513,Programma!$F$3:$H$1101,3,0),"")</f>
        <v/>
      </c>
      <c r="BF513" s="185" t="str">
        <f>_xlfn.IFNA(VLOOKUP($BC513,Programma!$F$3:$I$1101,4,0),"")</f>
        <v/>
      </c>
      <c r="BG513" s="185" t="str">
        <f>_xlfn.IFNA(VLOOKUP($BC513,Programma!$F$3:$J$1101,5,0),"")</f>
        <v/>
      </c>
      <c r="BH513" s="185" t="str">
        <f>_xlfn.IFNA(VLOOKUP($BC513,Programma!$F$3:$K$1101,6,0),"")</f>
        <v/>
      </c>
      <c r="BI513" s="185" t="str">
        <f>_xlfn.IFNA(VLOOKUP($BC513,Programma!$F$3:$L$1101,7,0),"")</f>
        <v/>
      </c>
      <c r="BJ513" s="185" t="str">
        <f>_xlfn.IFNA(VLOOKUP($BC513,Programma!$F$3:$M$1101,8,0),"")</f>
        <v/>
      </c>
      <c r="BK513" s="185" t="str">
        <f>_xlfn.IFNA(VLOOKUP($BC513,Programma!$F$3:$N$1101,9,0),"")</f>
        <v/>
      </c>
      <c r="BL513" s="185" t="str">
        <f>_xlfn.IFNA(VLOOKUP($BC513,Programma!$F$3:$O$1101,10,0),"")</f>
        <v/>
      </c>
      <c r="BM513" s="185" t="str">
        <f>_xlfn.IFNA(VLOOKUP($BC513,Programma!$F$3:$P$1101,11,0),"")</f>
        <v/>
      </c>
      <c r="BN513" s="185" t="str">
        <f>_xlfn.IFNA(VLOOKUP($BC513,Programma!$F$3:$Q$1101,12,0),"")</f>
        <v/>
      </c>
      <c r="BO513" s="185" t="str">
        <f>_xlfn.IFNA(VLOOKUP($BC513,Programma!$F$3:$R$1101,13,0),"")</f>
        <v/>
      </c>
      <c r="BP513" s="185" t="str">
        <f>_xlfn.IFNA(VLOOKUP($BC513,Programma!$F$3:$S$1101,14,0),"")</f>
        <v/>
      </c>
      <c r="BQ513" s="185" t="str">
        <f>_xlfn.IFNA(VLOOKUP($BC513,Programma!$F$3:$T$1101,15,0),"")</f>
        <v/>
      </c>
      <c r="BR513" s="185" t="str">
        <f>_xlfn.IFNA(VLOOKUP($BC513,Programma!$F$3:$U$1101,16,0),"")</f>
        <v/>
      </c>
      <c r="BS513" s="185" t="str">
        <f>_xlfn.IFNA(VLOOKUP($BC513,Programma!$F$3:$V$1101,17,0),"")</f>
        <v/>
      </c>
      <c r="BT513" s="185" t="str">
        <f>_xlfn.IFNA(VLOOKUP($BC513,Programma!$F$3:$W$1101,18,0),"")</f>
        <v/>
      </c>
      <c r="BU513" s="185" t="str">
        <f>_xlfn.IFNA(VLOOKUP($BC513,Programma!$F$3:$X$1101,19,0),"")</f>
        <v/>
      </c>
      <c r="BV513" s="185" t="str">
        <f>_xlfn.IFNA(VLOOKUP($BC513,Programma!$F$3:$Y$1101,20,0),"")</f>
        <v/>
      </c>
    </row>
    <row r="514" spans="1:74" s="78" customFormat="1" ht="15" customHeight="1">
      <c r="A514" s="99">
        <v>14</v>
      </c>
      <c r="B514" s="176" t="str">
        <f>VLOOKUP(Ruimtestaat[[#This Row],[Code]],Locaties[[Code]:[Locatie]],2,FALSE)</f>
        <v>Prinseschool Prinsestraat</v>
      </c>
      <c r="C514" s="176" t="str">
        <f>VLOOKUP(Ruimtestaat[[#This Row],[Code]],Locaties[[#All],[Code]:[Adres]],4,FALSE)</f>
        <v>Prinsestraat 10-10a </v>
      </c>
      <c r="D514" s="176" t="str">
        <f>VLOOKUP(Ruimtestaat[[#This Row],[Code]],Locaties[[#All],[Code]:[Postcode]],5,FALSE)</f>
        <v>7513 AL</v>
      </c>
      <c r="E514" s="176" t="str">
        <f>VLOOKUP(Ruimtestaat[[#This Row],[Code]],Locaties[#All],6,FALSE)</f>
        <v>Enschede</v>
      </c>
      <c r="F514" s="183"/>
      <c r="G514" s="99" t="s">
        <v>1760</v>
      </c>
      <c r="H514" s="99" t="s">
        <v>1815</v>
      </c>
      <c r="I514" s="183" t="s">
        <v>1658</v>
      </c>
      <c r="J514" s="99">
        <v>6</v>
      </c>
      <c r="K514" s="183" t="str">
        <f>VLOOKUP(Ruimtestaat[[#This Row],[Ruimte code]],Ruimtegroepen[[#All],[Code]:[Ruimte omschrijving]],2,FALSE)</f>
        <v>Gangen/hallen</v>
      </c>
      <c r="L514" s="99" t="s">
        <v>100</v>
      </c>
      <c r="M514" s="99" t="s">
        <v>1697</v>
      </c>
      <c r="N514" s="177">
        <v>202.3</v>
      </c>
      <c r="O514" s="177"/>
      <c r="P514" s="178" t="str">
        <f>VLOOKUP(Ruimtestaat[[#This Row],[Ruimte code]],Ruimtegroepen[],4,FALSE)</f>
        <v>Ve</v>
      </c>
      <c r="Q514" s="149">
        <v>40</v>
      </c>
      <c r="R514" s="149" t="s">
        <v>2</v>
      </c>
      <c r="S514" s="149">
        <f>IF(Q514&gt;0,IF(RIGHT(Ruimtestaat[[#This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4" s="149">
        <f>IF(S514&gt;0,VLOOKUP($J514,Ruimtegroepen[],3,FALSE)*VLOOKUP($L514,Vloersoorten[],3,FALSE)*VLOOKUP($R514,Frequenties[],3,FALSE)*VLOOKUP($A514,Locaties[],3,FALSE),0)</f>
        <v>0</v>
      </c>
      <c r="U514" s="149">
        <f>Ruimtestaat[[#This Row],[Uitvoeringen werkdagen]]*Ruimtestaat[[#This Row],[Oppervlak (netto)]]</f>
        <v>40460</v>
      </c>
      <c r="V514" s="179">
        <f>IF(T514&gt;0,Ruimtestaat[[#This Row],[Prest. (m2 /jaar) werkdagen]]/Ruimtestaat[[#This Row],[Norm (m2/uur) werkdagen]],0)</f>
        <v>0</v>
      </c>
      <c r="W514" s="180">
        <f>Ruimtestaat[[#This Row],[uren / jaar werkdagen]]*Tariefsopbouw!$E$35</f>
        <v>0</v>
      </c>
      <c r="X514" s="149"/>
      <c r="Y514" s="149">
        <f>IF(Ruimtestaat[[#This Row],[Frequentie weekend]]&gt;0,VALUE(LEFT(X514,1))*Q514,0)</f>
        <v>0</v>
      </c>
      <c r="Z514" s="148">
        <f>IF($Y514&gt;0,VLOOKUP($J514,Ruimtegroepen[],3,FALSE)*VLOOKUP($L514,Vloersoorten[],3,FALSE)*VLOOKUP($X514,Frequenties[],3,FALSE)*VLOOKUP(Ruimtestaat[[#This Row],[Code]],Locaties[],3,FALSE),0)</f>
        <v>0</v>
      </c>
      <c r="AA514" s="148">
        <f>Ruimtestaat[[#This Row],[Uitvoeringen weekend]]*Ruimtestaat[[#This Row],[Oppervlak (netto)]]</f>
        <v>0</v>
      </c>
      <c r="AB514" s="148">
        <f>IF(Z514&gt;0,Ruimtestaat[[#This Row],[Prest. (m2 /jaar) weekend]]/Ruimtestaat[[#This Row],[Norm (m2/uur) weekend]],0)</f>
        <v>0</v>
      </c>
      <c r="AC514" s="180">
        <f>Ruimtestaat[[#This Row],[uren / jaar weekend]]*Tariefsopbouw!$D$40</f>
        <v>0</v>
      </c>
      <c r="AD514" s="179">
        <f>Ruimtestaat[[#This Row],[Prest. (m2 /jaar) weekend]]+Ruimtestaat[[#This Row],[Prest. (m2 /jaar) werkdagen]]</f>
        <v>40460</v>
      </c>
      <c r="AE514" s="179">
        <f>Ruimtestaat[[#This Row],[uren / jaar weekend]]+Ruimtestaat[[#This Row],[uren / jaar werkdagen]]</f>
        <v>0</v>
      </c>
      <c r="AF514" s="174">
        <f>Ruimtestaat[[#This Row],[kosten / jaar weekend]]+Ruimtestaat[[#This Row],[kosten / jaar werkdagen]]</f>
        <v>0</v>
      </c>
      <c r="AG514" s="174"/>
      <c r="AH514" s="181" t="str">
        <f>IF(Ruimtestaat[[#This Row],[Frequentie werkdagen]]="","",_xlfn.CONCAT(Ruimtestaat[[#This Row],[Ruimte code]],"-",Ruimtestaat[[#This Row],[Frequentie werkdagen]]," ",Ruimtestaat[[#This Row],[Vloer code]]))</f>
        <v>6-5w L</v>
      </c>
      <c r="AI514" s="185" t="str">
        <f>_xlfn.IFNA(VLOOKUP($AH514,Programma!$F$3:$G$1101,2,0),"")</f>
        <v>_</v>
      </c>
      <c r="AJ514" s="185" t="str">
        <f>_xlfn.IFNA(VLOOKUP($AH514,Programma!$F$3:$H$1101,3,0),"")</f>
        <v>_</v>
      </c>
      <c r="AK514" s="185" t="str">
        <f>_xlfn.IFNA(VLOOKUP($AH514,Programma!$F$3:$I$1101,4,0),"")</f>
        <v>_</v>
      </c>
      <c r="AL514" s="185" t="str">
        <f>_xlfn.IFNA(VLOOKUP($AH514,Programma!$F$3:$J$1101,5,0),"")</f>
        <v>5w</v>
      </c>
      <c r="AM514" s="185" t="str">
        <f>_xlfn.IFNA(VLOOKUP($AH514,Programma!$F$3:$K$1101,6,0),"")</f>
        <v>_</v>
      </c>
      <c r="AN514" s="185" t="str">
        <f>_xlfn.IFNA(VLOOKUP($AH514,Programma!$F$3:$L$1101,7,0),"")</f>
        <v>_</v>
      </c>
      <c r="AO514" s="185" t="str">
        <f>_xlfn.IFNA(VLOOKUP($AH514,Programma!$F$3:$M$1101,8,0),"")</f>
        <v>_</v>
      </c>
      <c r="AP514" s="185" t="str">
        <f>_xlfn.IFNA(VLOOKUP($AH514,Programma!$F$3:$N$1101,9,0),"")</f>
        <v>_</v>
      </c>
      <c r="AQ514" s="185" t="str">
        <f>_xlfn.IFNA(VLOOKUP($AH514,Programma!$F$3:$O$1101,10,0),"")</f>
        <v>5w</v>
      </c>
      <c r="AR514" s="185" t="str">
        <f>_xlfn.IFNA(VLOOKUP($AH514,Programma!$F$3:$P$1101,11,0),"")</f>
        <v>5w</v>
      </c>
      <c r="AS514" s="185" t="str">
        <f>_xlfn.IFNA(VLOOKUP($AH514,Programma!$F$3:$Q$1101,12,0),"")</f>
        <v>1w</v>
      </c>
      <c r="AT514" s="185" t="str">
        <f>_xlfn.IFNA(VLOOKUP($AH514,Programma!$F$3:$R$1101,13,0),"")</f>
        <v>1w</v>
      </c>
      <c r="AU514" s="185" t="str">
        <f>_xlfn.IFNA(VLOOKUP($AH514,Programma!$F$3:$S$1101,14,0),"")</f>
        <v>1m</v>
      </c>
      <c r="AV514" s="185" t="str">
        <f>_xlfn.IFNA(VLOOKUP($AH514,Programma!$F$3:$T$1101,15,0),"")</f>
        <v>2j</v>
      </c>
      <c r="AW514" s="185" t="str">
        <f>_xlfn.IFNA(VLOOKUP($AH514,Programma!$F$3:$U$1101,16,0),"")</f>
        <v>1j</v>
      </c>
      <c r="AX514" s="185" t="str">
        <f>_xlfn.IFNA(VLOOKUP($AH514,Programma!$F$3:$V$1101,17,0),"")</f>
        <v>_</v>
      </c>
      <c r="AY514" s="185" t="str">
        <f>_xlfn.IFNA(VLOOKUP($AH514,Programma!$F$3:$W$1101,18,0),"")</f>
        <v>_</v>
      </c>
      <c r="AZ514" s="185" t="str">
        <f>_xlfn.IFNA(VLOOKUP($AH514,Programma!$F$3:$X$1101,19,0),"")</f>
        <v>_</v>
      </c>
      <c r="BA514" s="185" t="str">
        <f>_xlfn.IFNA(VLOOKUP($AH514,Programma!$F$3:$Y$1101,20,0),"")</f>
        <v>_</v>
      </c>
      <c r="BB514" s="182"/>
      <c r="BC514" s="181" t="str">
        <f>IF(Ruimtestaat[[#This Row],[Frequentie weekend]]="","",_xlfn.CONCAT(Ruimtestaat[[#This Row],[Ruimte code]],"-",Ruimtestaat[[#This Row],[Frequentie weekend]]," ",Ruimtestaat[[#This Row],[Vloer code]]))</f>
        <v/>
      </c>
      <c r="BD514" s="185" t="str">
        <f>_xlfn.IFNA(VLOOKUP($BC514,Programma!$F$3:$G$1101,2,0),"")</f>
        <v/>
      </c>
      <c r="BE514" s="185" t="str">
        <f>_xlfn.IFNA(VLOOKUP($BC514,Programma!$F$3:$H$1101,3,0),"")</f>
        <v/>
      </c>
      <c r="BF514" s="185" t="str">
        <f>_xlfn.IFNA(VLOOKUP($BC514,Programma!$F$3:$I$1101,4,0),"")</f>
        <v/>
      </c>
      <c r="BG514" s="185" t="str">
        <f>_xlfn.IFNA(VLOOKUP($BC514,Programma!$F$3:$J$1101,5,0),"")</f>
        <v/>
      </c>
      <c r="BH514" s="185" t="str">
        <f>_xlfn.IFNA(VLOOKUP($BC514,Programma!$F$3:$K$1101,6,0),"")</f>
        <v/>
      </c>
      <c r="BI514" s="185" t="str">
        <f>_xlfn.IFNA(VLOOKUP($BC514,Programma!$F$3:$L$1101,7,0),"")</f>
        <v/>
      </c>
      <c r="BJ514" s="185" t="str">
        <f>_xlfn.IFNA(VLOOKUP($BC514,Programma!$F$3:$M$1101,8,0),"")</f>
        <v/>
      </c>
      <c r="BK514" s="185" t="str">
        <f>_xlfn.IFNA(VLOOKUP($BC514,Programma!$F$3:$N$1101,9,0),"")</f>
        <v/>
      </c>
      <c r="BL514" s="185" t="str">
        <f>_xlfn.IFNA(VLOOKUP($BC514,Programma!$F$3:$O$1101,10,0),"")</f>
        <v/>
      </c>
      <c r="BM514" s="185" t="str">
        <f>_xlfn.IFNA(VLOOKUP($BC514,Programma!$F$3:$P$1101,11,0),"")</f>
        <v/>
      </c>
      <c r="BN514" s="185" t="str">
        <f>_xlfn.IFNA(VLOOKUP($BC514,Programma!$F$3:$Q$1101,12,0),"")</f>
        <v/>
      </c>
      <c r="BO514" s="185" t="str">
        <f>_xlfn.IFNA(VLOOKUP($BC514,Programma!$F$3:$R$1101,13,0),"")</f>
        <v/>
      </c>
      <c r="BP514" s="185" t="str">
        <f>_xlfn.IFNA(VLOOKUP($BC514,Programma!$F$3:$S$1101,14,0),"")</f>
        <v/>
      </c>
      <c r="BQ514" s="185" t="str">
        <f>_xlfn.IFNA(VLOOKUP($BC514,Programma!$F$3:$T$1101,15,0),"")</f>
        <v/>
      </c>
      <c r="BR514" s="185" t="str">
        <f>_xlfn.IFNA(VLOOKUP($BC514,Programma!$F$3:$U$1101,16,0),"")</f>
        <v/>
      </c>
      <c r="BS514" s="185" t="str">
        <f>_xlfn.IFNA(VLOOKUP($BC514,Programma!$F$3:$V$1101,17,0),"")</f>
        <v/>
      </c>
      <c r="BT514" s="185" t="str">
        <f>_xlfn.IFNA(VLOOKUP($BC514,Programma!$F$3:$W$1101,18,0),"")</f>
        <v/>
      </c>
      <c r="BU514" s="185" t="str">
        <f>_xlfn.IFNA(VLOOKUP($BC514,Programma!$F$3:$X$1101,19,0),"")</f>
        <v/>
      </c>
      <c r="BV514" s="185" t="str">
        <f>_xlfn.IFNA(VLOOKUP($BC514,Programma!$F$3:$Y$1101,20,0),"")</f>
        <v/>
      </c>
    </row>
    <row r="515" spans="1:74" s="78" customFormat="1" ht="15" customHeight="1">
      <c r="A515" s="99">
        <v>15</v>
      </c>
      <c r="B515" s="176" t="str">
        <f>VLOOKUP(Ruimtestaat[[#This Row],[Code]],Locaties[[Code]:[Locatie]],2,FALSE)</f>
        <v>Prinseschool Staringstraat</v>
      </c>
      <c r="C515" s="176" t="str">
        <f>VLOOKUP(Ruimtestaat[[#This Row],[Code]],Locaties[[#All],[Code]:[Adres]],4,FALSE)</f>
        <v>Staringstraat 15 </v>
      </c>
      <c r="D515" s="176" t="str">
        <f>VLOOKUP(Ruimtestaat[[#This Row],[Code]],Locaties[[#All],[Code]:[Postcode]],5,FALSE)</f>
        <v>7514 DE</v>
      </c>
      <c r="E515" s="176" t="str">
        <f>VLOOKUP(Ruimtestaat[[#This Row],[Code]],Locaties[#All],6,FALSE)</f>
        <v>Enschede</v>
      </c>
      <c r="F515" s="183"/>
      <c r="G515" s="99" t="s">
        <v>1646</v>
      </c>
      <c r="H515" s="99" t="s">
        <v>1647</v>
      </c>
      <c r="I515" s="183" t="s">
        <v>38</v>
      </c>
      <c r="J515" s="99">
        <v>7</v>
      </c>
      <c r="K515" s="183" t="str">
        <f>VLOOKUP(Ruimtestaat[[#This Row],[Ruimte code]],Ruimtegroepen[[#All],[Code]:[Ruimte omschrijving]],2,FALSE)</f>
        <v>Entree</v>
      </c>
      <c r="L515" s="99" t="s">
        <v>99</v>
      </c>
      <c r="M515" s="99" t="s">
        <v>1700</v>
      </c>
      <c r="N515" s="177">
        <v>5.3</v>
      </c>
      <c r="O515" s="177"/>
      <c r="P515" s="178" t="str">
        <f>VLOOKUP(Ruimtestaat[[#This Row],[Ruimte code]],Ruimtegroepen[],4,FALSE)</f>
        <v>Ve</v>
      </c>
      <c r="Q515" s="149">
        <v>40</v>
      </c>
      <c r="R515" s="149" t="s">
        <v>2</v>
      </c>
      <c r="S515" s="149">
        <f>IF(Q515&gt;0,IF(RIGHT(Ruimtestaat[[#This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5" s="149">
        <f>IF(S515&gt;0,VLOOKUP($J515,Ruimtegroepen[],3,FALSE)*VLOOKUP($L515,Vloersoorten[],3,FALSE)*VLOOKUP($R515,Frequenties[],3,FALSE)*VLOOKUP($A515,Locaties[],3,FALSE),0)</f>
        <v>0</v>
      </c>
      <c r="U515" s="149">
        <f>Ruimtestaat[[#This Row],[Uitvoeringen werkdagen]]*Ruimtestaat[[#This Row],[Oppervlak (netto)]]</f>
        <v>1060</v>
      </c>
      <c r="V515" s="179">
        <f>IF(T515&gt;0,Ruimtestaat[[#This Row],[Prest. (m2 /jaar) werkdagen]]/Ruimtestaat[[#This Row],[Norm (m2/uur) werkdagen]],0)</f>
        <v>0</v>
      </c>
      <c r="W515" s="180">
        <f>Ruimtestaat[[#This Row],[uren / jaar werkdagen]]*Tariefsopbouw!$E$35</f>
        <v>0</v>
      </c>
      <c r="X515" s="149"/>
      <c r="Y515" s="149">
        <f>IF(Ruimtestaat[[#This Row],[Frequentie weekend]]&gt;0,VALUE(LEFT(X515,1))*Q515,0)</f>
        <v>0</v>
      </c>
      <c r="Z515" s="148">
        <f>IF($Y515&gt;0,VLOOKUP($J515,Ruimtegroepen[],3,FALSE)*VLOOKUP($L515,Vloersoorten[],3,FALSE)*VLOOKUP($X515,Frequenties[],3,FALSE)*VLOOKUP(Ruimtestaat[[#This Row],[Code]],Locaties[],3,FALSE),0)</f>
        <v>0</v>
      </c>
      <c r="AA515" s="148">
        <f>Ruimtestaat[[#This Row],[Uitvoeringen weekend]]*Ruimtestaat[[#This Row],[Oppervlak (netto)]]</f>
        <v>0</v>
      </c>
      <c r="AB515" s="148">
        <f>IF(Z515&gt;0,Ruimtestaat[[#This Row],[Prest. (m2 /jaar) weekend]]/Ruimtestaat[[#This Row],[Norm (m2/uur) weekend]],0)</f>
        <v>0</v>
      </c>
      <c r="AC515" s="180">
        <f>Ruimtestaat[[#This Row],[uren / jaar weekend]]*Tariefsopbouw!$D$40</f>
        <v>0</v>
      </c>
      <c r="AD515" s="179">
        <f>Ruimtestaat[[#This Row],[Prest. (m2 /jaar) weekend]]+Ruimtestaat[[#This Row],[Prest. (m2 /jaar) werkdagen]]</f>
        <v>1060</v>
      </c>
      <c r="AE515" s="179">
        <f>Ruimtestaat[[#This Row],[uren / jaar weekend]]+Ruimtestaat[[#This Row],[uren / jaar werkdagen]]</f>
        <v>0</v>
      </c>
      <c r="AF515" s="174">
        <f>Ruimtestaat[[#This Row],[kosten / jaar weekend]]+Ruimtestaat[[#This Row],[kosten / jaar werkdagen]]</f>
        <v>0</v>
      </c>
      <c r="AG515" s="174"/>
      <c r="AH515" s="181" t="str">
        <f>IF(Ruimtestaat[[#This Row],[Frequentie werkdagen]]="","",_xlfn.CONCAT(Ruimtestaat[[#This Row],[Ruimte code]],"-",Ruimtestaat[[#This Row],[Frequentie werkdagen]]," ",Ruimtestaat[[#This Row],[Vloer code]]))</f>
        <v>7-5w T</v>
      </c>
      <c r="AI515" s="185" t="str">
        <f>_xlfn.IFNA(VLOOKUP($AH515,Programma!$F$3:$G$1101,2,0),"")</f>
        <v>_</v>
      </c>
      <c r="AJ515" s="185" t="str">
        <f>_xlfn.IFNA(VLOOKUP($AH515,Programma!$F$3:$H$1101,3,0),"")</f>
        <v>5w</v>
      </c>
      <c r="AK515" s="185" t="str">
        <f>_xlfn.IFNA(VLOOKUP($AH515,Programma!$F$3:$I$1101,4,0),"")</f>
        <v>_</v>
      </c>
      <c r="AL515" s="185" t="str">
        <f>_xlfn.IFNA(VLOOKUP($AH515,Programma!$F$3:$J$1101,5,0),"")</f>
        <v>_</v>
      </c>
      <c r="AM515" s="185" t="str">
        <f>_xlfn.IFNA(VLOOKUP($AH515,Programma!$F$3:$K$1101,6,0),"")</f>
        <v>_</v>
      </c>
      <c r="AN515" s="185" t="str">
        <f>_xlfn.IFNA(VLOOKUP($AH515,Programma!$F$3:$L$1101,7,0),"")</f>
        <v>_</v>
      </c>
      <c r="AO515" s="185" t="str">
        <f>_xlfn.IFNA(VLOOKUP($AH515,Programma!$F$3:$M$1101,8,0),"")</f>
        <v>_</v>
      </c>
      <c r="AP515" s="185" t="str">
        <f>_xlfn.IFNA(VLOOKUP($AH515,Programma!$F$3:$N$1101,9,0),"")</f>
        <v>_</v>
      </c>
      <c r="AQ515" s="185" t="str">
        <f>_xlfn.IFNA(VLOOKUP($AH515,Programma!$F$3:$O$1101,10,0),"")</f>
        <v>5w</v>
      </c>
      <c r="AR515" s="185" t="str">
        <f>_xlfn.IFNA(VLOOKUP($AH515,Programma!$F$3:$P$1101,11,0),"")</f>
        <v>5w</v>
      </c>
      <c r="AS515" s="185" t="str">
        <f>_xlfn.IFNA(VLOOKUP($AH515,Programma!$F$3:$Q$1101,12,0),"")</f>
        <v>1w</v>
      </c>
      <c r="AT515" s="185" t="str">
        <f>_xlfn.IFNA(VLOOKUP($AH515,Programma!$F$3:$R$1101,13,0),"")</f>
        <v>1w</v>
      </c>
      <c r="AU515" s="185" t="str">
        <f>_xlfn.IFNA(VLOOKUP($AH515,Programma!$F$3:$S$1101,14,0),"")</f>
        <v>1m</v>
      </c>
      <c r="AV515" s="185" t="str">
        <f>_xlfn.IFNA(VLOOKUP($AH515,Programma!$F$3:$T$1101,15,0),"")</f>
        <v>2j</v>
      </c>
      <c r="AW515" s="185" t="str">
        <f>_xlfn.IFNA(VLOOKUP($AH515,Programma!$F$3:$U$1101,16,0),"")</f>
        <v>1j</v>
      </c>
      <c r="AX515" s="185" t="str">
        <f>_xlfn.IFNA(VLOOKUP($AH515,Programma!$F$3:$V$1101,17,0),"")</f>
        <v>_</v>
      </c>
      <c r="AY515" s="185" t="str">
        <f>_xlfn.IFNA(VLOOKUP($AH515,Programma!$F$3:$W$1101,18,0),"")</f>
        <v>_</v>
      </c>
      <c r="AZ515" s="185" t="str">
        <f>_xlfn.IFNA(VLOOKUP($AH515,Programma!$F$3:$X$1101,19,0),"")</f>
        <v>_</v>
      </c>
      <c r="BA515" s="185" t="str">
        <f>_xlfn.IFNA(VLOOKUP($AH515,Programma!$F$3:$Y$1101,20,0),"")</f>
        <v>_</v>
      </c>
      <c r="BB515" s="182"/>
      <c r="BC515" s="181" t="str">
        <f>IF(Ruimtestaat[[#This Row],[Frequentie weekend]]="","",_xlfn.CONCAT(Ruimtestaat[[#This Row],[Ruimte code]],"-",Ruimtestaat[[#This Row],[Frequentie weekend]]," ",Ruimtestaat[[#This Row],[Vloer code]]))</f>
        <v/>
      </c>
      <c r="BD515" s="185" t="str">
        <f>_xlfn.IFNA(VLOOKUP($BC515,Programma!$F$3:$G$1101,2,0),"")</f>
        <v/>
      </c>
      <c r="BE515" s="185" t="str">
        <f>_xlfn.IFNA(VLOOKUP($BC515,Programma!$F$3:$H$1101,3,0),"")</f>
        <v/>
      </c>
      <c r="BF515" s="185" t="str">
        <f>_xlfn.IFNA(VLOOKUP($BC515,Programma!$F$3:$I$1101,4,0),"")</f>
        <v/>
      </c>
      <c r="BG515" s="185" t="str">
        <f>_xlfn.IFNA(VLOOKUP($BC515,Programma!$F$3:$J$1101,5,0),"")</f>
        <v/>
      </c>
      <c r="BH515" s="185" t="str">
        <f>_xlfn.IFNA(VLOOKUP($BC515,Programma!$F$3:$K$1101,6,0),"")</f>
        <v/>
      </c>
      <c r="BI515" s="185" t="str">
        <f>_xlfn.IFNA(VLOOKUP($BC515,Programma!$F$3:$L$1101,7,0),"")</f>
        <v/>
      </c>
      <c r="BJ515" s="185" t="str">
        <f>_xlfn.IFNA(VLOOKUP($BC515,Programma!$F$3:$M$1101,8,0),"")</f>
        <v/>
      </c>
      <c r="BK515" s="185" t="str">
        <f>_xlfn.IFNA(VLOOKUP($BC515,Programma!$F$3:$N$1101,9,0),"")</f>
        <v/>
      </c>
      <c r="BL515" s="185" t="str">
        <f>_xlfn.IFNA(VLOOKUP($BC515,Programma!$F$3:$O$1101,10,0),"")</f>
        <v/>
      </c>
      <c r="BM515" s="185" t="str">
        <f>_xlfn.IFNA(VLOOKUP($BC515,Programma!$F$3:$P$1101,11,0),"")</f>
        <v/>
      </c>
      <c r="BN515" s="185" t="str">
        <f>_xlfn.IFNA(VLOOKUP($BC515,Programma!$F$3:$Q$1101,12,0),"")</f>
        <v/>
      </c>
      <c r="BO515" s="185" t="str">
        <f>_xlfn.IFNA(VLOOKUP($BC515,Programma!$F$3:$R$1101,13,0),"")</f>
        <v/>
      </c>
      <c r="BP515" s="185" t="str">
        <f>_xlfn.IFNA(VLOOKUP($BC515,Programma!$F$3:$S$1101,14,0),"")</f>
        <v/>
      </c>
      <c r="BQ515" s="185" t="str">
        <f>_xlfn.IFNA(VLOOKUP($BC515,Programma!$F$3:$T$1101,15,0),"")</f>
        <v/>
      </c>
      <c r="BR515" s="185" t="str">
        <f>_xlfn.IFNA(VLOOKUP($BC515,Programma!$F$3:$U$1101,16,0),"")</f>
        <v/>
      </c>
      <c r="BS515" s="185" t="str">
        <f>_xlfn.IFNA(VLOOKUP($BC515,Programma!$F$3:$V$1101,17,0),"")</f>
        <v/>
      </c>
      <c r="BT515" s="185" t="str">
        <f>_xlfn.IFNA(VLOOKUP($BC515,Programma!$F$3:$W$1101,18,0),"")</f>
        <v/>
      </c>
      <c r="BU515" s="185" t="str">
        <f>_xlfn.IFNA(VLOOKUP($BC515,Programma!$F$3:$X$1101,19,0),"")</f>
        <v/>
      </c>
      <c r="BV515" s="185" t="str">
        <f>_xlfn.IFNA(VLOOKUP($BC515,Programma!$F$3:$Y$1101,20,0),"")</f>
        <v/>
      </c>
    </row>
    <row r="516" spans="1:74" s="78" customFormat="1" ht="15" customHeight="1">
      <c r="A516" s="99">
        <v>15</v>
      </c>
      <c r="B516" s="176" t="str">
        <f>VLOOKUP(Ruimtestaat[[#This Row],[Code]],Locaties[[Code]:[Locatie]],2,FALSE)</f>
        <v>Prinseschool Staringstraat</v>
      </c>
      <c r="C516" s="176" t="str">
        <f>VLOOKUP(Ruimtestaat[[#This Row],[Code]],Locaties[[#All],[Code]:[Adres]],4,FALSE)</f>
        <v>Staringstraat 15 </v>
      </c>
      <c r="D516" s="176" t="str">
        <f>VLOOKUP(Ruimtestaat[[#This Row],[Code]],Locaties[[#All],[Code]:[Postcode]],5,FALSE)</f>
        <v>7514 DE</v>
      </c>
      <c r="E516" s="176" t="str">
        <f>VLOOKUP(Ruimtestaat[[#This Row],[Code]],Locaties[#All],6,FALSE)</f>
        <v>Enschede</v>
      </c>
      <c r="F516" s="183"/>
      <c r="G516" s="99" t="s">
        <v>1646</v>
      </c>
      <c r="H516" s="99" t="s">
        <v>1648</v>
      </c>
      <c r="I516" s="183" t="s">
        <v>1651</v>
      </c>
      <c r="J516" s="99">
        <v>16</v>
      </c>
      <c r="K516" s="183" t="str">
        <f>VLOOKUP(Ruimtestaat[[#This Row],[Ruimte code]],Ruimtegroepen[[#All],[Code]:[Ruimte omschrijving]],2,FALSE)</f>
        <v>Leslokalen</v>
      </c>
      <c r="L516" s="99" t="s">
        <v>100</v>
      </c>
      <c r="M516" s="99" t="s">
        <v>1697</v>
      </c>
      <c r="N516" s="177">
        <v>58.3</v>
      </c>
      <c r="O516" s="177"/>
      <c r="P516" s="178" t="str">
        <f>VLOOKUP(Ruimtestaat[[#This Row],[Ruimte code]],Ruimtegroepen[],4,FALSE)</f>
        <v>Le</v>
      </c>
      <c r="Q516" s="149">
        <v>40</v>
      </c>
      <c r="R516" s="149" t="s">
        <v>2</v>
      </c>
      <c r="S516" s="149">
        <f>IF(Q516&gt;0,IF(RIGHT(Ruimtestaat[[#This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6" s="149">
        <f>IF(S516&gt;0,VLOOKUP($J516,Ruimtegroepen[],3,FALSE)*VLOOKUP($L516,Vloersoorten[],3,FALSE)*VLOOKUP($R516,Frequenties[],3,FALSE)*VLOOKUP($A516,Locaties[],3,FALSE),0)</f>
        <v>0</v>
      </c>
      <c r="U516" s="149">
        <f>Ruimtestaat[[#This Row],[Uitvoeringen werkdagen]]*Ruimtestaat[[#This Row],[Oppervlak (netto)]]</f>
        <v>11660</v>
      </c>
      <c r="V516" s="179">
        <f>IF(T516&gt;0,Ruimtestaat[[#This Row],[Prest. (m2 /jaar) werkdagen]]/Ruimtestaat[[#This Row],[Norm (m2/uur) werkdagen]],0)</f>
        <v>0</v>
      </c>
      <c r="W516" s="180">
        <f>Ruimtestaat[[#This Row],[uren / jaar werkdagen]]*Tariefsopbouw!$E$35</f>
        <v>0</v>
      </c>
      <c r="X516" s="149"/>
      <c r="Y516" s="149">
        <f>IF(Ruimtestaat[[#This Row],[Frequentie weekend]]&gt;0,VALUE(LEFT(X516,1))*Q516,0)</f>
        <v>0</v>
      </c>
      <c r="Z516" s="148">
        <f>IF($Y516&gt;0,VLOOKUP($J516,Ruimtegroepen[],3,FALSE)*VLOOKUP($L516,Vloersoorten[],3,FALSE)*VLOOKUP($X516,Frequenties[],3,FALSE)*VLOOKUP(Ruimtestaat[[#This Row],[Code]],Locaties[],3,FALSE),0)</f>
        <v>0</v>
      </c>
      <c r="AA516" s="148">
        <f>Ruimtestaat[[#This Row],[Uitvoeringen weekend]]*Ruimtestaat[[#This Row],[Oppervlak (netto)]]</f>
        <v>0</v>
      </c>
      <c r="AB516" s="148">
        <f>IF(Z516&gt;0,Ruimtestaat[[#This Row],[Prest. (m2 /jaar) weekend]]/Ruimtestaat[[#This Row],[Norm (m2/uur) weekend]],0)</f>
        <v>0</v>
      </c>
      <c r="AC516" s="180">
        <f>Ruimtestaat[[#This Row],[uren / jaar weekend]]*Tariefsopbouw!$D$40</f>
        <v>0</v>
      </c>
      <c r="AD516" s="179">
        <f>Ruimtestaat[[#This Row],[Prest. (m2 /jaar) weekend]]+Ruimtestaat[[#This Row],[Prest. (m2 /jaar) werkdagen]]</f>
        <v>11660</v>
      </c>
      <c r="AE516" s="179">
        <f>Ruimtestaat[[#This Row],[uren / jaar weekend]]+Ruimtestaat[[#This Row],[uren / jaar werkdagen]]</f>
        <v>0</v>
      </c>
      <c r="AF516" s="174">
        <f>Ruimtestaat[[#This Row],[kosten / jaar weekend]]+Ruimtestaat[[#This Row],[kosten / jaar werkdagen]]</f>
        <v>0</v>
      </c>
      <c r="AG516" s="174"/>
      <c r="AH516" s="181" t="str">
        <f>IF(Ruimtestaat[[#This Row],[Frequentie werkdagen]]="","",_xlfn.CONCAT(Ruimtestaat[[#This Row],[Ruimte code]],"-",Ruimtestaat[[#This Row],[Frequentie werkdagen]]," ",Ruimtestaat[[#This Row],[Vloer code]]))</f>
        <v>16-5w L</v>
      </c>
      <c r="AI516" s="185" t="str">
        <f>_xlfn.IFNA(VLOOKUP($AH516,Programma!$F$3:$G$1101,2,0),"")</f>
        <v>_</v>
      </c>
      <c r="AJ516" s="185" t="str">
        <f>_xlfn.IFNA(VLOOKUP($AH516,Programma!$F$3:$H$1101,3,0),"")</f>
        <v>_</v>
      </c>
      <c r="AK516" s="185" t="str">
        <f>_xlfn.IFNA(VLOOKUP($AH516,Programma!$F$3:$I$1101,4,0),"")</f>
        <v>4w</v>
      </c>
      <c r="AL516" s="185" t="str">
        <f>_xlfn.IFNA(VLOOKUP($AH516,Programma!$F$3:$J$1101,5,0),"")</f>
        <v>1w</v>
      </c>
      <c r="AM516" s="185" t="str">
        <f>_xlfn.IFNA(VLOOKUP($AH516,Programma!$F$3:$K$1101,6,0),"")</f>
        <v>_</v>
      </c>
      <c r="AN516" s="185" t="str">
        <f>_xlfn.IFNA(VLOOKUP($AH516,Programma!$F$3:$L$1101,7,0),"")</f>
        <v>_</v>
      </c>
      <c r="AO516" s="185" t="str">
        <f>_xlfn.IFNA(VLOOKUP($AH516,Programma!$F$3:$M$1101,8,0),"")</f>
        <v>_</v>
      </c>
      <c r="AP516" s="185" t="str">
        <f>_xlfn.IFNA(VLOOKUP($AH516,Programma!$F$3:$N$1101,9,0),"")</f>
        <v>_</v>
      </c>
      <c r="AQ516" s="185" t="str">
        <f>_xlfn.IFNA(VLOOKUP($AH516,Programma!$F$3:$O$1101,10,0),"")</f>
        <v>5w</v>
      </c>
      <c r="AR516" s="185" t="str">
        <f>_xlfn.IFNA(VLOOKUP($AH516,Programma!$F$3:$P$1101,11,0),"")</f>
        <v>5w</v>
      </c>
      <c r="AS516" s="185" t="str">
        <f>_xlfn.IFNA(VLOOKUP($AH516,Programma!$F$3:$Q$1101,12,0),"")</f>
        <v>1w</v>
      </c>
      <c r="AT516" s="185" t="str">
        <f>_xlfn.IFNA(VLOOKUP($AH516,Programma!$F$3:$R$1101,13,0),"")</f>
        <v>1w</v>
      </c>
      <c r="AU516" s="185" t="str">
        <f>_xlfn.IFNA(VLOOKUP($AH516,Programma!$F$3:$S$1101,14,0),"")</f>
        <v>1m</v>
      </c>
      <c r="AV516" s="185" t="str">
        <f>_xlfn.IFNA(VLOOKUP($AH516,Programma!$F$3:$T$1101,15,0),"")</f>
        <v>2j</v>
      </c>
      <c r="AW516" s="185" t="str">
        <f>_xlfn.IFNA(VLOOKUP($AH516,Programma!$F$3:$U$1101,16,0),"")</f>
        <v>1j</v>
      </c>
      <c r="AX516" s="185" t="str">
        <f>_xlfn.IFNA(VLOOKUP($AH516,Programma!$F$3:$V$1101,17,0),"")</f>
        <v>_</v>
      </c>
      <c r="AY516" s="185" t="str">
        <f>_xlfn.IFNA(VLOOKUP($AH516,Programma!$F$3:$W$1101,18,0),"")</f>
        <v>_</v>
      </c>
      <c r="AZ516" s="185" t="str">
        <f>_xlfn.IFNA(VLOOKUP($AH516,Programma!$F$3:$X$1101,19,0),"")</f>
        <v>_</v>
      </c>
      <c r="BA516" s="185" t="str">
        <f>_xlfn.IFNA(VLOOKUP($AH516,Programma!$F$3:$Y$1101,20,0),"")</f>
        <v>_</v>
      </c>
      <c r="BB516" s="182"/>
      <c r="BC516" s="181" t="str">
        <f>IF(Ruimtestaat[[#This Row],[Frequentie weekend]]="","",_xlfn.CONCAT(Ruimtestaat[[#This Row],[Ruimte code]],"-",Ruimtestaat[[#This Row],[Frequentie weekend]]," ",Ruimtestaat[[#This Row],[Vloer code]]))</f>
        <v/>
      </c>
      <c r="BD516" s="185" t="str">
        <f>_xlfn.IFNA(VLOOKUP($BC516,Programma!$F$3:$G$1101,2,0),"")</f>
        <v/>
      </c>
      <c r="BE516" s="185" t="str">
        <f>_xlfn.IFNA(VLOOKUP($BC516,Programma!$F$3:$H$1101,3,0),"")</f>
        <v/>
      </c>
      <c r="BF516" s="185" t="str">
        <f>_xlfn.IFNA(VLOOKUP($BC516,Programma!$F$3:$I$1101,4,0),"")</f>
        <v/>
      </c>
      <c r="BG516" s="185" t="str">
        <f>_xlfn.IFNA(VLOOKUP($BC516,Programma!$F$3:$J$1101,5,0),"")</f>
        <v/>
      </c>
      <c r="BH516" s="185" t="str">
        <f>_xlfn.IFNA(VLOOKUP($BC516,Programma!$F$3:$K$1101,6,0),"")</f>
        <v/>
      </c>
      <c r="BI516" s="185" t="str">
        <f>_xlfn.IFNA(VLOOKUP($BC516,Programma!$F$3:$L$1101,7,0),"")</f>
        <v/>
      </c>
      <c r="BJ516" s="185" t="str">
        <f>_xlfn.IFNA(VLOOKUP($BC516,Programma!$F$3:$M$1101,8,0),"")</f>
        <v/>
      </c>
      <c r="BK516" s="185" t="str">
        <f>_xlfn.IFNA(VLOOKUP($BC516,Programma!$F$3:$N$1101,9,0),"")</f>
        <v/>
      </c>
      <c r="BL516" s="185" t="str">
        <f>_xlfn.IFNA(VLOOKUP($BC516,Programma!$F$3:$O$1101,10,0),"")</f>
        <v/>
      </c>
      <c r="BM516" s="185" t="str">
        <f>_xlfn.IFNA(VLOOKUP($BC516,Programma!$F$3:$P$1101,11,0),"")</f>
        <v/>
      </c>
      <c r="BN516" s="185" t="str">
        <f>_xlfn.IFNA(VLOOKUP($BC516,Programma!$F$3:$Q$1101,12,0),"")</f>
        <v/>
      </c>
      <c r="BO516" s="185" t="str">
        <f>_xlfn.IFNA(VLOOKUP($BC516,Programma!$F$3:$R$1101,13,0),"")</f>
        <v/>
      </c>
      <c r="BP516" s="185" t="str">
        <f>_xlfn.IFNA(VLOOKUP($BC516,Programma!$F$3:$S$1101,14,0),"")</f>
        <v/>
      </c>
      <c r="BQ516" s="185" t="str">
        <f>_xlfn.IFNA(VLOOKUP($BC516,Programma!$F$3:$T$1101,15,0),"")</f>
        <v/>
      </c>
      <c r="BR516" s="185" t="str">
        <f>_xlfn.IFNA(VLOOKUP($BC516,Programma!$F$3:$U$1101,16,0),"")</f>
        <v/>
      </c>
      <c r="BS516" s="185" t="str">
        <f>_xlfn.IFNA(VLOOKUP($BC516,Programma!$F$3:$V$1101,17,0),"")</f>
        <v/>
      </c>
      <c r="BT516" s="185" t="str">
        <f>_xlfn.IFNA(VLOOKUP($BC516,Programma!$F$3:$W$1101,18,0),"")</f>
        <v/>
      </c>
      <c r="BU516" s="185" t="str">
        <f>_xlfn.IFNA(VLOOKUP($BC516,Programma!$F$3:$X$1101,19,0),"")</f>
        <v/>
      </c>
      <c r="BV516" s="185" t="str">
        <f>_xlfn.IFNA(VLOOKUP($BC516,Programma!$F$3:$Y$1101,20,0),"")</f>
        <v/>
      </c>
    </row>
    <row r="517" spans="1:74" s="78" customFormat="1" ht="15" customHeight="1">
      <c r="A517" s="99">
        <v>15</v>
      </c>
      <c r="B517" s="176" t="str">
        <f>VLOOKUP(Ruimtestaat[[#This Row],[Code]],Locaties[[Code]:[Locatie]],2,FALSE)</f>
        <v>Prinseschool Staringstraat</v>
      </c>
      <c r="C517" s="176" t="str">
        <f>VLOOKUP(Ruimtestaat[[#This Row],[Code]],Locaties[[#All],[Code]:[Adres]],4,FALSE)</f>
        <v>Staringstraat 15 </v>
      </c>
      <c r="D517" s="176" t="str">
        <f>VLOOKUP(Ruimtestaat[[#This Row],[Code]],Locaties[[#All],[Code]:[Postcode]],5,FALSE)</f>
        <v>7514 DE</v>
      </c>
      <c r="E517" s="176" t="str">
        <f>VLOOKUP(Ruimtestaat[[#This Row],[Code]],Locaties[#All],6,FALSE)</f>
        <v>Enschede</v>
      </c>
      <c r="F517" s="183"/>
      <c r="G517" s="99" t="s">
        <v>1646</v>
      </c>
      <c r="H517" s="99" t="s">
        <v>1650</v>
      </c>
      <c r="I517" s="183" t="s">
        <v>1649</v>
      </c>
      <c r="J517" s="99">
        <v>2</v>
      </c>
      <c r="K517" s="183" t="str">
        <f>VLOOKUP(Ruimtestaat[[#This Row],[Ruimte code]],Ruimtegroepen[[#All],[Code]:[Ruimte omschrijving]],2,FALSE)</f>
        <v>Kantoren</v>
      </c>
      <c r="L517" s="99" t="s">
        <v>101</v>
      </c>
      <c r="M517" s="99" t="s">
        <v>1682</v>
      </c>
      <c r="N517" s="177">
        <v>21.1</v>
      </c>
      <c r="O517" s="177"/>
      <c r="P517" s="178" t="str">
        <f>VLOOKUP(Ruimtestaat[[#This Row],[Ruimte code]],Ruimtegroepen[],4,FALSE)</f>
        <v>Bu</v>
      </c>
      <c r="Q517" s="149">
        <v>40</v>
      </c>
      <c r="R517" s="149" t="s">
        <v>18</v>
      </c>
      <c r="S517" s="149">
        <f>IF(Q517&gt;0,IF(RIGHT(Ruimtestaat[[#This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17" s="149">
        <f>IF(S517&gt;0,VLOOKUP($J517,Ruimtegroepen[],3,FALSE)*VLOOKUP($L517,Vloersoorten[],3,FALSE)*VLOOKUP($R517,Frequenties[],3,FALSE)*VLOOKUP($A517,Locaties[],3,FALSE),0)</f>
        <v>0</v>
      </c>
      <c r="U517" s="149">
        <f>Ruimtestaat[[#This Row],[Uitvoeringen werkdagen]]*Ruimtestaat[[#This Row],[Oppervlak (netto)]]</f>
        <v>2532</v>
      </c>
      <c r="V517" s="179">
        <f>IF(T517&gt;0,Ruimtestaat[[#This Row],[Prest. (m2 /jaar) werkdagen]]/Ruimtestaat[[#This Row],[Norm (m2/uur) werkdagen]],0)</f>
        <v>0</v>
      </c>
      <c r="W517" s="180">
        <f>Ruimtestaat[[#This Row],[uren / jaar werkdagen]]*Tariefsopbouw!$E$35</f>
        <v>0</v>
      </c>
      <c r="X517" s="149"/>
      <c r="Y517" s="149">
        <f>IF(Ruimtestaat[[#This Row],[Frequentie weekend]]&gt;0,VALUE(LEFT(X517,1))*Q517,0)</f>
        <v>0</v>
      </c>
      <c r="Z517" s="148">
        <f>IF($Y517&gt;0,VLOOKUP($J517,Ruimtegroepen[],3,FALSE)*VLOOKUP($L517,Vloersoorten[],3,FALSE)*VLOOKUP($X517,Frequenties[],3,FALSE)*VLOOKUP(Ruimtestaat[[#This Row],[Code]],Locaties[],3,FALSE),0)</f>
        <v>0</v>
      </c>
      <c r="AA517" s="148">
        <f>Ruimtestaat[[#This Row],[Uitvoeringen weekend]]*Ruimtestaat[[#This Row],[Oppervlak (netto)]]</f>
        <v>0</v>
      </c>
      <c r="AB517" s="148">
        <f>IF(Z517&gt;0,Ruimtestaat[[#This Row],[Prest. (m2 /jaar) weekend]]/Ruimtestaat[[#This Row],[Norm (m2/uur) weekend]],0)</f>
        <v>0</v>
      </c>
      <c r="AC517" s="180">
        <f>Ruimtestaat[[#This Row],[uren / jaar weekend]]*Tariefsopbouw!$D$40</f>
        <v>0</v>
      </c>
      <c r="AD517" s="179">
        <f>Ruimtestaat[[#This Row],[Prest. (m2 /jaar) weekend]]+Ruimtestaat[[#This Row],[Prest. (m2 /jaar) werkdagen]]</f>
        <v>2532</v>
      </c>
      <c r="AE517" s="179">
        <f>Ruimtestaat[[#This Row],[uren / jaar weekend]]+Ruimtestaat[[#This Row],[uren / jaar werkdagen]]</f>
        <v>0</v>
      </c>
      <c r="AF517" s="174">
        <f>Ruimtestaat[[#This Row],[kosten / jaar weekend]]+Ruimtestaat[[#This Row],[kosten / jaar werkdagen]]</f>
        <v>0</v>
      </c>
      <c r="AG517" s="174"/>
      <c r="AH517" s="181" t="str">
        <f>IF(Ruimtestaat[[#This Row],[Frequentie werkdagen]]="","",_xlfn.CONCAT(Ruimtestaat[[#This Row],[Ruimte code]],"-",Ruimtestaat[[#This Row],[Frequentie werkdagen]]," ",Ruimtestaat[[#This Row],[Vloer code]]))</f>
        <v>2-3w S</v>
      </c>
      <c r="AI517" s="185" t="str">
        <f>_xlfn.IFNA(VLOOKUP($AH517,Programma!$F$3:$G$1101,2,0),"")</f>
        <v>_</v>
      </c>
      <c r="AJ517" s="185" t="str">
        <f>_xlfn.IFNA(VLOOKUP($AH517,Programma!$F$3:$H$1101,3,0),"")</f>
        <v>_</v>
      </c>
      <c r="AK517" s="185" t="str">
        <f>_xlfn.IFNA(VLOOKUP($AH517,Programma!$F$3:$I$1101,4,0),"")</f>
        <v>2w</v>
      </c>
      <c r="AL517" s="185" t="str">
        <f>_xlfn.IFNA(VLOOKUP($AH517,Programma!$F$3:$J$1101,5,0),"")</f>
        <v>1w</v>
      </c>
      <c r="AM517" s="185" t="str">
        <f>_xlfn.IFNA(VLOOKUP($AH517,Programma!$F$3:$K$1101,6,0),"")</f>
        <v>1j</v>
      </c>
      <c r="AN517" s="185" t="str">
        <f>_xlfn.IFNA(VLOOKUP($AH517,Programma!$F$3:$L$1101,7,0),"")</f>
        <v>_</v>
      </c>
      <c r="AO517" s="185" t="str">
        <f>_xlfn.IFNA(VLOOKUP($AH517,Programma!$F$3:$M$1101,8,0),"")</f>
        <v>_</v>
      </c>
      <c r="AP517" s="185" t="str">
        <f>_xlfn.IFNA(VLOOKUP($AH517,Programma!$F$3:$N$1101,9,0),"")</f>
        <v>_</v>
      </c>
      <c r="AQ517" s="185" t="str">
        <f>_xlfn.IFNA(VLOOKUP($AH517,Programma!$F$3:$O$1101,10,0),"")</f>
        <v>3w</v>
      </c>
      <c r="AR517" s="185" t="str">
        <f>_xlfn.IFNA(VLOOKUP($AH517,Programma!$F$3:$P$1101,11,0),"")</f>
        <v>3w</v>
      </c>
      <c r="AS517" s="185" t="str">
        <f>_xlfn.IFNA(VLOOKUP($AH517,Programma!$F$3:$Q$1101,12,0),"")</f>
        <v>1w</v>
      </c>
      <c r="AT517" s="185" t="str">
        <f>_xlfn.IFNA(VLOOKUP($AH517,Programma!$F$3:$R$1101,13,0),"")</f>
        <v>1w</v>
      </c>
      <c r="AU517" s="185" t="str">
        <f>_xlfn.IFNA(VLOOKUP($AH517,Programma!$F$3:$S$1101,14,0),"")</f>
        <v>1m</v>
      </c>
      <c r="AV517" s="185" t="str">
        <f>_xlfn.IFNA(VLOOKUP($AH517,Programma!$F$3:$T$1101,15,0),"")</f>
        <v>2j</v>
      </c>
      <c r="AW517" s="185" t="str">
        <f>_xlfn.IFNA(VLOOKUP($AH517,Programma!$F$3:$U$1101,16,0),"")</f>
        <v>1j</v>
      </c>
      <c r="AX517" s="185" t="str">
        <f>_xlfn.IFNA(VLOOKUP($AH517,Programma!$F$3:$V$1101,17,0),"")</f>
        <v>_</v>
      </c>
      <c r="AY517" s="185" t="str">
        <f>_xlfn.IFNA(VLOOKUP($AH517,Programma!$F$3:$W$1101,18,0),"")</f>
        <v>_</v>
      </c>
      <c r="AZ517" s="185" t="str">
        <f>_xlfn.IFNA(VLOOKUP($AH517,Programma!$F$3:$X$1101,19,0),"")</f>
        <v>_</v>
      </c>
      <c r="BA517" s="185" t="str">
        <f>_xlfn.IFNA(VLOOKUP($AH517,Programma!$F$3:$Y$1101,20,0),"")</f>
        <v>_</v>
      </c>
      <c r="BB517" s="182"/>
      <c r="BC517" s="181" t="str">
        <f>IF(Ruimtestaat[[#This Row],[Frequentie weekend]]="","",_xlfn.CONCAT(Ruimtestaat[[#This Row],[Ruimte code]],"-",Ruimtestaat[[#This Row],[Frequentie weekend]]," ",Ruimtestaat[[#This Row],[Vloer code]]))</f>
        <v/>
      </c>
      <c r="BD517" s="185" t="str">
        <f>_xlfn.IFNA(VLOOKUP($BC517,Programma!$F$3:$G$1101,2,0),"")</f>
        <v/>
      </c>
      <c r="BE517" s="185" t="str">
        <f>_xlfn.IFNA(VLOOKUP($BC517,Programma!$F$3:$H$1101,3,0),"")</f>
        <v/>
      </c>
      <c r="BF517" s="185" t="str">
        <f>_xlfn.IFNA(VLOOKUP($BC517,Programma!$F$3:$I$1101,4,0),"")</f>
        <v/>
      </c>
      <c r="BG517" s="185" t="str">
        <f>_xlfn.IFNA(VLOOKUP($BC517,Programma!$F$3:$J$1101,5,0),"")</f>
        <v/>
      </c>
      <c r="BH517" s="185" t="str">
        <f>_xlfn.IFNA(VLOOKUP($BC517,Programma!$F$3:$K$1101,6,0),"")</f>
        <v/>
      </c>
      <c r="BI517" s="185" t="str">
        <f>_xlfn.IFNA(VLOOKUP($BC517,Programma!$F$3:$L$1101,7,0),"")</f>
        <v/>
      </c>
      <c r="BJ517" s="185" t="str">
        <f>_xlfn.IFNA(VLOOKUP($BC517,Programma!$F$3:$M$1101,8,0),"")</f>
        <v/>
      </c>
      <c r="BK517" s="185" t="str">
        <f>_xlfn.IFNA(VLOOKUP($BC517,Programma!$F$3:$N$1101,9,0),"")</f>
        <v/>
      </c>
      <c r="BL517" s="185" t="str">
        <f>_xlfn.IFNA(VLOOKUP($BC517,Programma!$F$3:$O$1101,10,0),"")</f>
        <v/>
      </c>
      <c r="BM517" s="185" t="str">
        <f>_xlfn.IFNA(VLOOKUP($BC517,Programma!$F$3:$P$1101,11,0),"")</f>
        <v/>
      </c>
      <c r="BN517" s="185" t="str">
        <f>_xlfn.IFNA(VLOOKUP($BC517,Programma!$F$3:$Q$1101,12,0),"")</f>
        <v/>
      </c>
      <c r="BO517" s="185" t="str">
        <f>_xlfn.IFNA(VLOOKUP($BC517,Programma!$F$3:$R$1101,13,0),"")</f>
        <v/>
      </c>
      <c r="BP517" s="185" t="str">
        <f>_xlfn.IFNA(VLOOKUP($BC517,Programma!$F$3:$S$1101,14,0),"")</f>
        <v/>
      </c>
      <c r="BQ517" s="185" t="str">
        <f>_xlfn.IFNA(VLOOKUP($BC517,Programma!$F$3:$T$1101,15,0),"")</f>
        <v/>
      </c>
      <c r="BR517" s="185" t="str">
        <f>_xlfn.IFNA(VLOOKUP($BC517,Programma!$F$3:$U$1101,16,0),"")</f>
        <v/>
      </c>
      <c r="BS517" s="185" t="str">
        <f>_xlfn.IFNA(VLOOKUP($BC517,Programma!$F$3:$V$1101,17,0),"")</f>
        <v/>
      </c>
      <c r="BT517" s="185" t="str">
        <f>_xlfn.IFNA(VLOOKUP($BC517,Programma!$F$3:$W$1101,18,0),"")</f>
        <v/>
      </c>
      <c r="BU517" s="185" t="str">
        <f>_xlfn.IFNA(VLOOKUP($BC517,Programma!$F$3:$X$1101,19,0),"")</f>
        <v/>
      </c>
      <c r="BV517" s="185" t="str">
        <f>_xlfn.IFNA(VLOOKUP($BC517,Programma!$F$3:$Y$1101,20,0),"")</f>
        <v/>
      </c>
    </row>
    <row r="518" spans="1:74" s="78" customFormat="1" ht="15" customHeight="1">
      <c r="A518" s="99">
        <v>15</v>
      </c>
      <c r="B518" s="176" t="str">
        <f>VLOOKUP(Ruimtestaat[[#This Row],[Code]],Locaties[[Code]:[Locatie]],2,FALSE)</f>
        <v>Prinseschool Staringstraat</v>
      </c>
      <c r="C518" s="176" t="str">
        <f>VLOOKUP(Ruimtestaat[[#This Row],[Code]],Locaties[[#All],[Code]:[Adres]],4,FALSE)</f>
        <v>Staringstraat 15 </v>
      </c>
      <c r="D518" s="176" t="str">
        <f>VLOOKUP(Ruimtestaat[[#This Row],[Code]],Locaties[[#All],[Code]:[Postcode]],5,FALSE)</f>
        <v>7514 DE</v>
      </c>
      <c r="E518" s="176" t="str">
        <f>VLOOKUP(Ruimtestaat[[#This Row],[Code]],Locaties[#All],6,FALSE)</f>
        <v>Enschede</v>
      </c>
      <c r="F518" s="183"/>
      <c r="G518" s="99" t="s">
        <v>1646</v>
      </c>
      <c r="H518" s="99" t="s">
        <v>1652</v>
      </c>
      <c r="I518" s="183" t="s">
        <v>1649</v>
      </c>
      <c r="J518" s="99">
        <v>2</v>
      </c>
      <c r="K518" s="183" t="str">
        <f>VLOOKUP(Ruimtestaat[[#This Row],[Ruimte code]],Ruimtegroepen[[#All],[Code]:[Ruimte omschrijving]],2,FALSE)</f>
        <v>Kantoren</v>
      </c>
      <c r="L518" s="99" t="s">
        <v>101</v>
      </c>
      <c r="M518" s="99" t="s">
        <v>1682</v>
      </c>
      <c r="N518" s="177">
        <v>14</v>
      </c>
      <c r="O518" s="177"/>
      <c r="P518" s="178" t="str">
        <f>VLOOKUP(Ruimtestaat[[#This Row],[Ruimte code]],Ruimtegroepen[],4,FALSE)</f>
        <v>Bu</v>
      </c>
      <c r="Q518" s="149">
        <v>40</v>
      </c>
      <c r="R518" s="149" t="s">
        <v>18</v>
      </c>
      <c r="S518" s="149">
        <f>IF(Q518&gt;0,IF(RIGHT(Ruimtestaat[[#This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18" s="149">
        <f>IF(S518&gt;0,VLOOKUP($J518,Ruimtegroepen[],3,FALSE)*VLOOKUP($L518,Vloersoorten[],3,FALSE)*VLOOKUP($R518,Frequenties[],3,FALSE)*VLOOKUP($A518,Locaties[],3,FALSE),0)</f>
        <v>0</v>
      </c>
      <c r="U518" s="149">
        <f>Ruimtestaat[[#This Row],[Uitvoeringen werkdagen]]*Ruimtestaat[[#This Row],[Oppervlak (netto)]]</f>
        <v>1680</v>
      </c>
      <c r="V518" s="179">
        <f>IF(T518&gt;0,Ruimtestaat[[#This Row],[Prest. (m2 /jaar) werkdagen]]/Ruimtestaat[[#This Row],[Norm (m2/uur) werkdagen]],0)</f>
        <v>0</v>
      </c>
      <c r="W518" s="180">
        <f>Ruimtestaat[[#This Row],[uren / jaar werkdagen]]*Tariefsopbouw!$E$35</f>
        <v>0</v>
      </c>
      <c r="X518" s="149"/>
      <c r="Y518" s="149">
        <f>IF(Ruimtestaat[[#This Row],[Frequentie weekend]]&gt;0,VALUE(LEFT(X518,1))*Q518,0)</f>
        <v>0</v>
      </c>
      <c r="Z518" s="148">
        <f>IF($Y518&gt;0,VLOOKUP($J518,Ruimtegroepen[],3,FALSE)*VLOOKUP($L518,Vloersoorten[],3,FALSE)*VLOOKUP($X518,Frequenties[],3,FALSE)*VLOOKUP(Ruimtestaat[[#This Row],[Code]],Locaties[],3,FALSE),0)</f>
        <v>0</v>
      </c>
      <c r="AA518" s="148">
        <f>Ruimtestaat[[#This Row],[Uitvoeringen weekend]]*Ruimtestaat[[#This Row],[Oppervlak (netto)]]</f>
        <v>0</v>
      </c>
      <c r="AB518" s="148">
        <f>IF(Z518&gt;0,Ruimtestaat[[#This Row],[Prest. (m2 /jaar) weekend]]/Ruimtestaat[[#This Row],[Norm (m2/uur) weekend]],0)</f>
        <v>0</v>
      </c>
      <c r="AC518" s="180">
        <f>Ruimtestaat[[#This Row],[uren / jaar weekend]]*Tariefsopbouw!$D$40</f>
        <v>0</v>
      </c>
      <c r="AD518" s="179">
        <f>Ruimtestaat[[#This Row],[Prest. (m2 /jaar) weekend]]+Ruimtestaat[[#This Row],[Prest. (m2 /jaar) werkdagen]]</f>
        <v>1680</v>
      </c>
      <c r="AE518" s="179">
        <f>Ruimtestaat[[#This Row],[uren / jaar weekend]]+Ruimtestaat[[#This Row],[uren / jaar werkdagen]]</f>
        <v>0</v>
      </c>
      <c r="AF518" s="174">
        <f>Ruimtestaat[[#This Row],[kosten / jaar weekend]]+Ruimtestaat[[#This Row],[kosten / jaar werkdagen]]</f>
        <v>0</v>
      </c>
      <c r="AG518" s="174"/>
      <c r="AH518" s="181" t="str">
        <f>IF(Ruimtestaat[[#This Row],[Frequentie werkdagen]]="","",_xlfn.CONCAT(Ruimtestaat[[#This Row],[Ruimte code]],"-",Ruimtestaat[[#This Row],[Frequentie werkdagen]]," ",Ruimtestaat[[#This Row],[Vloer code]]))</f>
        <v>2-3w S</v>
      </c>
      <c r="AI518" s="185" t="str">
        <f>_xlfn.IFNA(VLOOKUP($AH518,Programma!$F$3:$G$1101,2,0),"")</f>
        <v>_</v>
      </c>
      <c r="AJ518" s="185" t="str">
        <f>_xlfn.IFNA(VLOOKUP($AH518,Programma!$F$3:$H$1101,3,0),"")</f>
        <v>_</v>
      </c>
      <c r="AK518" s="185" t="str">
        <f>_xlfn.IFNA(VLOOKUP($AH518,Programma!$F$3:$I$1101,4,0),"")</f>
        <v>2w</v>
      </c>
      <c r="AL518" s="185" t="str">
        <f>_xlfn.IFNA(VLOOKUP($AH518,Programma!$F$3:$J$1101,5,0),"")</f>
        <v>1w</v>
      </c>
      <c r="AM518" s="185" t="str">
        <f>_xlfn.IFNA(VLOOKUP($AH518,Programma!$F$3:$K$1101,6,0),"")</f>
        <v>1j</v>
      </c>
      <c r="AN518" s="185" t="str">
        <f>_xlfn.IFNA(VLOOKUP($AH518,Programma!$F$3:$L$1101,7,0),"")</f>
        <v>_</v>
      </c>
      <c r="AO518" s="185" t="str">
        <f>_xlfn.IFNA(VLOOKUP($AH518,Programma!$F$3:$M$1101,8,0),"")</f>
        <v>_</v>
      </c>
      <c r="AP518" s="185" t="str">
        <f>_xlfn.IFNA(VLOOKUP($AH518,Programma!$F$3:$N$1101,9,0),"")</f>
        <v>_</v>
      </c>
      <c r="AQ518" s="185" t="str">
        <f>_xlfn.IFNA(VLOOKUP($AH518,Programma!$F$3:$O$1101,10,0),"")</f>
        <v>3w</v>
      </c>
      <c r="AR518" s="185" t="str">
        <f>_xlfn.IFNA(VLOOKUP($AH518,Programma!$F$3:$P$1101,11,0),"")</f>
        <v>3w</v>
      </c>
      <c r="AS518" s="185" t="str">
        <f>_xlfn.IFNA(VLOOKUP($AH518,Programma!$F$3:$Q$1101,12,0),"")</f>
        <v>1w</v>
      </c>
      <c r="AT518" s="185" t="str">
        <f>_xlfn.IFNA(VLOOKUP($AH518,Programma!$F$3:$R$1101,13,0),"")</f>
        <v>1w</v>
      </c>
      <c r="AU518" s="185" t="str">
        <f>_xlfn.IFNA(VLOOKUP($AH518,Programma!$F$3:$S$1101,14,0),"")</f>
        <v>1m</v>
      </c>
      <c r="AV518" s="185" t="str">
        <f>_xlfn.IFNA(VLOOKUP($AH518,Programma!$F$3:$T$1101,15,0),"")</f>
        <v>2j</v>
      </c>
      <c r="AW518" s="185" t="str">
        <f>_xlfn.IFNA(VLOOKUP($AH518,Programma!$F$3:$U$1101,16,0),"")</f>
        <v>1j</v>
      </c>
      <c r="AX518" s="185" t="str">
        <f>_xlfn.IFNA(VLOOKUP($AH518,Programma!$F$3:$V$1101,17,0),"")</f>
        <v>_</v>
      </c>
      <c r="AY518" s="185" t="str">
        <f>_xlfn.IFNA(VLOOKUP($AH518,Programma!$F$3:$W$1101,18,0),"")</f>
        <v>_</v>
      </c>
      <c r="AZ518" s="185" t="str">
        <f>_xlfn.IFNA(VLOOKUP($AH518,Programma!$F$3:$X$1101,19,0),"")</f>
        <v>_</v>
      </c>
      <c r="BA518" s="185" t="str">
        <f>_xlfn.IFNA(VLOOKUP($AH518,Programma!$F$3:$Y$1101,20,0),"")</f>
        <v>_</v>
      </c>
      <c r="BB518" s="182"/>
      <c r="BC518" s="181" t="str">
        <f>IF(Ruimtestaat[[#This Row],[Frequentie weekend]]="","",_xlfn.CONCAT(Ruimtestaat[[#This Row],[Ruimte code]],"-",Ruimtestaat[[#This Row],[Frequentie weekend]]," ",Ruimtestaat[[#This Row],[Vloer code]]))</f>
        <v/>
      </c>
      <c r="BD518" s="185" t="str">
        <f>_xlfn.IFNA(VLOOKUP($BC518,Programma!$F$3:$G$1101,2,0),"")</f>
        <v/>
      </c>
      <c r="BE518" s="185" t="str">
        <f>_xlfn.IFNA(VLOOKUP($BC518,Programma!$F$3:$H$1101,3,0),"")</f>
        <v/>
      </c>
      <c r="BF518" s="185" t="str">
        <f>_xlfn.IFNA(VLOOKUP($BC518,Programma!$F$3:$I$1101,4,0),"")</f>
        <v/>
      </c>
      <c r="BG518" s="185" t="str">
        <f>_xlfn.IFNA(VLOOKUP($BC518,Programma!$F$3:$J$1101,5,0),"")</f>
        <v/>
      </c>
      <c r="BH518" s="185" t="str">
        <f>_xlfn.IFNA(VLOOKUP($BC518,Programma!$F$3:$K$1101,6,0),"")</f>
        <v/>
      </c>
      <c r="BI518" s="185" t="str">
        <f>_xlfn.IFNA(VLOOKUP($BC518,Programma!$F$3:$L$1101,7,0),"")</f>
        <v/>
      </c>
      <c r="BJ518" s="185" t="str">
        <f>_xlfn.IFNA(VLOOKUP($BC518,Programma!$F$3:$M$1101,8,0),"")</f>
        <v/>
      </c>
      <c r="BK518" s="185" t="str">
        <f>_xlfn.IFNA(VLOOKUP($BC518,Programma!$F$3:$N$1101,9,0),"")</f>
        <v/>
      </c>
      <c r="BL518" s="185" t="str">
        <f>_xlfn.IFNA(VLOOKUP($BC518,Programma!$F$3:$O$1101,10,0),"")</f>
        <v/>
      </c>
      <c r="BM518" s="185" t="str">
        <f>_xlfn.IFNA(VLOOKUP($BC518,Programma!$F$3:$P$1101,11,0),"")</f>
        <v/>
      </c>
      <c r="BN518" s="185" t="str">
        <f>_xlfn.IFNA(VLOOKUP($BC518,Programma!$F$3:$Q$1101,12,0),"")</f>
        <v/>
      </c>
      <c r="BO518" s="185" t="str">
        <f>_xlfn.IFNA(VLOOKUP($BC518,Programma!$F$3:$R$1101,13,0),"")</f>
        <v/>
      </c>
      <c r="BP518" s="185" t="str">
        <f>_xlfn.IFNA(VLOOKUP($BC518,Programma!$F$3:$S$1101,14,0),"")</f>
        <v/>
      </c>
      <c r="BQ518" s="185" t="str">
        <f>_xlfn.IFNA(VLOOKUP($BC518,Programma!$F$3:$T$1101,15,0),"")</f>
        <v/>
      </c>
      <c r="BR518" s="185" t="str">
        <f>_xlfn.IFNA(VLOOKUP($BC518,Programma!$F$3:$U$1101,16,0),"")</f>
        <v/>
      </c>
      <c r="BS518" s="185" t="str">
        <f>_xlfn.IFNA(VLOOKUP($BC518,Programma!$F$3:$V$1101,17,0),"")</f>
        <v/>
      </c>
      <c r="BT518" s="185" t="str">
        <f>_xlfn.IFNA(VLOOKUP($BC518,Programma!$F$3:$W$1101,18,0),"")</f>
        <v/>
      </c>
      <c r="BU518" s="185" t="str">
        <f>_xlfn.IFNA(VLOOKUP($BC518,Programma!$F$3:$X$1101,19,0),"")</f>
        <v/>
      </c>
      <c r="BV518" s="185" t="str">
        <f>_xlfn.IFNA(VLOOKUP($BC518,Programma!$F$3:$Y$1101,20,0),"")</f>
        <v/>
      </c>
    </row>
    <row r="519" spans="1:74" s="78" customFormat="1" ht="15" customHeight="1">
      <c r="A519" s="99">
        <v>15</v>
      </c>
      <c r="B519" s="176" t="str">
        <f>VLOOKUP(Ruimtestaat[[#This Row],[Code]],Locaties[[Code]:[Locatie]],2,FALSE)</f>
        <v>Prinseschool Staringstraat</v>
      </c>
      <c r="C519" s="176" t="str">
        <f>VLOOKUP(Ruimtestaat[[#This Row],[Code]],Locaties[[#All],[Code]:[Adres]],4,FALSE)</f>
        <v>Staringstraat 15 </v>
      </c>
      <c r="D519" s="176" t="str">
        <f>VLOOKUP(Ruimtestaat[[#This Row],[Code]],Locaties[[#All],[Code]:[Postcode]],5,FALSE)</f>
        <v>7514 DE</v>
      </c>
      <c r="E519" s="176" t="str">
        <f>VLOOKUP(Ruimtestaat[[#This Row],[Code]],Locaties[#All],6,FALSE)</f>
        <v>Enschede</v>
      </c>
      <c r="F519" s="183"/>
      <c r="G519" s="99" t="s">
        <v>1646</v>
      </c>
      <c r="H519" s="99" t="s">
        <v>1653</v>
      </c>
      <c r="I519" s="183" t="s">
        <v>1655</v>
      </c>
      <c r="J519" s="99">
        <v>5</v>
      </c>
      <c r="K519" s="183" t="str">
        <f>VLOOKUP(Ruimtestaat[[#This Row],[Ruimte code]],Ruimtegroepen[[#All],[Code]:[Ruimte omschrijving]],2,FALSE)</f>
        <v>Sanitair</v>
      </c>
      <c r="L519" s="99" t="s">
        <v>101</v>
      </c>
      <c r="M519" s="99" t="s">
        <v>1682</v>
      </c>
      <c r="N519" s="177">
        <v>2.2999999999999998</v>
      </c>
      <c r="O519" s="177"/>
      <c r="P519" s="178" t="str">
        <f>VLOOKUP(Ruimtestaat[[#This Row],[Ruimte code]],Ruimtegroepen[],4,FALSE)</f>
        <v>Sa</v>
      </c>
      <c r="Q519" s="149">
        <v>40</v>
      </c>
      <c r="R519" s="149" t="s">
        <v>2</v>
      </c>
      <c r="S519" s="149">
        <f>IF(Q519&gt;0,IF(RIGHT(Ruimtestaat[[#This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19" s="149">
        <f>IF(S519&gt;0,VLOOKUP($J519,Ruimtegroepen[],3,FALSE)*VLOOKUP($L519,Vloersoorten[],3,FALSE)*VLOOKUP($R519,Frequenties[],3,FALSE)*VLOOKUP($A519,Locaties[],3,FALSE),0)</f>
        <v>0</v>
      </c>
      <c r="U519" s="149">
        <f>Ruimtestaat[[#This Row],[Uitvoeringen werkdagen]]*Ruimtestaat[[#This Row],[Oppervlak (netto)]]</f>
        <v>459.99999999999994</v>
      </c>
      <c r="V519" s="179">
        <f>IF(T519&gt;0,Ruimtestaat[[#This Row],[Prest. (m2 /jaar) werkdagen]]/Ruimtestaat[[#This Row],[Norm (m2/uur) werkdagen]],0)</f>
        <v>0</v>
      </c>
      <c r="W519" s="180">
        <f>Ruimtestaat[[#This Row],[uren / jaar werkdagen]]*Tariefsopbouw!$E$35</f>
        <v>0</v>
      </c>
      <c r="X519" s="149"/>
      <c r="Y519" s="149">
        <f>IF(Ruimtestaat[[#This Row],[Frequentie weekend]]&gt;0,VALUE(LEFT(X519,1))*Q519,0)</f>
        <v>0</v>
      </c>
      <c r="Z519" s="148">
        <f>IF($Y519&gt;0,VLOOKUP($J519,Ruimtegroepen[],3,FALSE)*VLOOKUP($L519,Vloersoorten[],3,FALSE)*VLOOKUP($X519,Frequenties[],3,FALSE)*VLOOKUP(Ruimtestaat[[#This Row],[Code]],Locaties[],3,FALSE),0)</f>
        <v>0</v>
      </c>
      <c r="AA519" s="148">
        <f>Ruimtestaat[[#This Row],[Uitvoeringen weekend]]*Ruimtestaat[[#This Row],[Oppervlak (netto)]]</f>
        <v>0</v>
      </c>
      <c r="AB519" s="148">
        <f>IF(Z519&gt;0,Ruimtestaat[[#This Row],[Prest. (m2 /jaar) weekend]]/Ruimtestaat[[#This Row],[Norm (m2/uur) weekend]],0)</f>
        <v>0</v>
      </c>
      <c r="AC519" s="180">
        <f>Ruimtestaat[[#This Row],[uren / jaar weekend]]*Tariefsopbouw!$D$40</f>
        <v>0</v>
      </c>
      <c r="AD519" s="179">
        <f>Ruimtestaat[[#This Row],[Prest. (m2 /jaar) weekend]]+Ruimtestaat[[#This Row],[Prest. (m2 /jaar) werkdagen]]</f>
        <v>459.99999999999994</v>
      </c>
      <c r="AE519" s="179">
        <f>Ruimtestaat[[#This Row],[uren / jaar weekend]]+Ruimtestaat[[#This Row],[uren / jaar werkdagen]]</f>
        <v>0</v>
      </c>
      <c r="AF519" s="174">
        <f>Ruimtestaat[[#This Row],[kosten / jaar weekend]]+Ruimtestaat[[#This Row],[kosten / jaar werkdagen]]</f>
        <v>0</v>
      </c>
      <c r="AG519" s="174"/>
      <c r="AH519" s="181" t="str">
        <f>IF(Ruimtestaat[[#This Row],[Frequentie werkdagen]]="","",_xlfn.CONCAT(Ruimtestaat[[#This Row],[Ruimte code]],"-",Ruimtestaat[[#This Row],[Frequentie werkdagen]]," ",Ruimtestaat[[#This Row],[Vloer code]]))</f>
        <v>5-5w S</v>
      </c>
      <c r="AI519" s="185" t="str">
        <f>_xlfn.IFNA(VLOOKUP($AH519,Programma!$F$3:$G$1101,2,0),"")</f>
        <v>_</v>
      </c>
      <c r="AJ519" s="185" t="str">
        <f>_xlfn.IFNA(VLOOKUP($AH519,Programma!$F$3:$H$1101,3,0),"")</f>
        <v>_</v>
      </c>
      <c r="AK519" s="185" t="str">
        <f>_xlfn.IFNA(VLOOKUP($AH519,Programma!$F$3:$I$1101,4,0),"")</f>
        <v>_</v>
      </c>
      <c r="AL519" s="185" t="str">
        <f>_xlfn.IFNA(VLOOKUP($AH519,Programma!$F$3:$J$1101,5,0),"")</f>
        <v>4w</v>
      </c>
      <c r="AM519" s="185" t="str">
        <f>_xlfn.IFNA(VLOOKUP($AH519,Programma!$F$3:$K$1101,6,0),"")</f>
        <v>1w</v>
      </c>
      <c r="AN519" s="185" t="str">
        <f>_xlfn.IFNA(VLOOKUP($AH519,Programma!$F$3:$L$1101,7,0),"")</f>
        <v>_</v>
      </c>
      <c r="AO519" s="185" t="str">
        <f>_xlfn.IFNA(VLOOKUP($AH519,Programma!$F$3:$M$1101,8,0),"")</f>
        <v>_</v>
      </c>
      <c r="AP519" s="185" t="str">
        <f>_xlfn.IFNA(VLOOKUP($AH519,Programma!$F$3:$N$1101,9,0),"")</f>
        <v>_</v>
      </c>
      <c r="AQ519" s="185" t="str">
        <f>_xlfn.IFNA(VLOOKUP($AH519,Programma!$F$3:$O$1101,10,0),"")</f>
        <v>_</v>
      </c>
      <c r="AR519" s="185" t="str">
        <f>_xlfn.IFNA(VLOOKUP($AH519,Programma!$F$3:$P$1101,11,0),"")</f>
        <v>_</v>
      </c>
      <c r="AS519" s="185" t="str">
        <f>_xlfn.IFNA(VLOOKUP($AH519,Programma!$F$3:$Q$1101,12,0),"")</f>
        <v>_</v>
      </c>
      <c r="AT519" s="185" t="str">
        <f>_xlfn.IFNA(VLOOKUP($AH519,Programma!$F$3:$R$1101,13,0),"")</f>
        <v>_</v>
      </c>
      <c r="AU519" s="185" t="str">
        <f>_xlfn.IFNA(VLOOKUP($AH519,Programma!$F$3:$S$1101,14,0),"")</f>
        <v>_</v>
      </c>
      <c r="AV519" s="185" t="str">
        <f>_xlfn.IFNA(VLOOKUP($AH519,Programma!$F$3:$T$1101,15,0),"")</f>
        <v>_</v>
      </c>
      <c r="AW519" s="185" t="str">
        <f>_xlfn.IFNA(VLOOKUP($AH519,Programma!$F$3:$U$1101,16,0),"")</f>
        <v>_</v>
      </c>
      <c r="AX519" s="185" t="str">
        <f>_xlfn.IFNA(VLOOKUP($AH519,Programma!$F$3:$V$1101,17,0),"")</f>
        <v>_</v>
      </c>
      <c r="AY519" s="185" t="str">
        <f>_xlfn.IFNA(VLOOKUP($AH519,Programma!$F$3:$W$1101,18,0),"")</f>
        <v>4w</v>
      </c>
      <c r="AZ519" s="185" t="str">
        <f>_xlfn.IFNA(VLOOKUP($AH519,Programma!$F$3:$X$1101,19,0),"")</f>
        <v>1w</v>
      </c>
      <c r="BA519" s="185" t="str">
        <f>_xlfn.IFNA(VLOOKUP($AH519,Programma!$F$3:$Y$1101,20,0),"")</f>
        <v>_</v>
      </c>
      <c r="BB519" s="182"/>
      <c r="BC519" s="181" t="str">
        <f>IF(Ruimtestaat[[#This Row],[Frequentie weekend]]="","",_xlfn.CONCAT(Ruimtestaat[[#This Row],[Ruimte code]],"-",Ruimtestaat[[#This Row],[Frequentie weekend]]," ",Ruimtestaat[[#This Row],[Vloer code]]))</f>
        <v/>
      </c>
      <c r="BD519" s="185" t="str">
        <f>_xlfn.IFNA(VLOOKUP($BC519,Programma!$F$3:$G$1101,2,0),"")</f>
        <v/>
      </c>
      <c r="BE519" s="185" t="str">
        <f>_xlfn.IFNA(VLOOKUP($BC519,Programma!$F$3:$H$1101,3,0),"")</f>
        <v/>
      </c>
      <c r="BF519" s="185" t="str">
        <f>_xlfn.IFNA(VLOOKUP($BC519,Programma!$F$3:$I$1101,4,0),"")</f>
        <v/>
      </c>
      <c r="BG519" s="185" t="str">
        <f>_xlfn.IFNA(VLOOKUP($BC519,Programma!$F$3:$J$1101,5,0),"")</f>
        <v/>
      </c>
      <c r="BH519" s="185" t="str">
        <f>_xlfn.IFNA(VLOOKUP($BC519,Programma!$F$3:$K$1101,6,0),"")</f>
        <v/>
      </c>
      <c r="BI519" s="185" t="str">
        <f>_xlfn.IFNA(VLOOKUP($BC519,Programma!$F$3:$L$1101,7,0),"")</f>
        <v/>
      </c>
      <c r="BJ519" s="185" t="str">
        <f>_xlfn.IFNA(VLOOKUP($BC519,Programma!$F$3:$M$1101,8,0),"")</f>
        <v/>
      </c>
      <c r="BK519" s="185" t="str">
        <f>_xlfn.IFNA(VLOOKUP($BC519,Programma!$F$3:$N$1101,9,0),"")</f>
        <v/>
      </c>
      <c r="BL519" s="185" t="str">
        <f>_xlfn.IFNA(VLOOKUP($BC519,Programma!$F$3:$O$1101,10,0),"")</f>
        <v/>
      </c>
      <c r="BM519" s="185" t="str">
        <f>_xlfn.IFNA(VLOOKUP($BC519,Programma!$F$3:$P$1101,11,0),"")</f>
        <v/>
      </c>
      <c r="BN519" s="185" t="str">
        <f>_xlfn.IFNA(VLOOKUP($BC519,Programma!$F$3:$Q$1101,12,0),"")</f>
        <v/>
      </c>
      <c r="BO519" s="185" t="str">
        <f>_xlfn.IFNA(VLOOKUP($BC519,Programma!$F$3:$R$1101,13,0),"")</f>
        <v/>
      </c>
      <c r="BP519" s="185" t="str">
        <f>_xlfn.IFNA(VLOOKUP($BC519,Programma!$F$3:$S$1101,14,0),"")</f>
        <v/>
      </c>
      <c r="BQ519" s="185" t="str">
        <f>_xlfn.IFNA(VLOOKUP($BC519,Programma!$F$3:$T$1101,15,0),"")</f>
        <v/>
      </c>
      <c r="BR519" s="185" t="str">
        <f>_xlfn.IFNA(VLOOKUP($BC519,Programma!$F$3:$U$1101,16,0),"")</f>
        <v/>
      </c>
      <c r="BS519" s="185" t="str">
        <f>_xlfn.IFNA(VLOOKUP($BC519,Programma!$F$3:$V$1101,17,0),"")</f>
        <v/>
      </c>
      <c r="BT519" s="185" t="str">
        <f>_xlfn.IFNA(VLOOKUP($BC519,Programma!$F$3:$W$1101,18,0),"")</f>
        <v/>
      </c>
      <c r="BU519" s="185" t="str">
        <f>_xlfn.IFNA(VLOOKUP($BC519,Programma!$F$3:$X$1101,19,0),"")</f>
        <v/>
      </c>
      <c r="BV519" s="185" t="str">
        <f>_xlfn.IFNA(VLOOKUP($BC519,Programma!$F$3:$Y$1101,20,0),"")</f>
        <v/>
      </c>
    </row>
    <row r="520" spans="1:74" s="78" customFormat="1" ht="15" customHeight="1">
      <c r="A520" s="99">
        <v>15</v>
      </c>
      <c r="B520" s="176" t="str">
        <f>VLOOKUP(Ruimtestaat[[#This Row],[Code]],Locaties[[Code]:[Locatie]],2,FALSE)</f>
        <v>Prinseschool Staringstraat</v>
      </c>
      <c r="C520" s="176" t="str">
        <f>VLOOKUP(Ruimtestaat[[#This Row],[Code]],Locaties[[#All],[Code]:[Adres]],4,FALSE)</f>
        <v>Staringstraat 15 </v>
      </c>
      <c r="D520" s="176" t="str">
        <f>VLOOKUP(Ruimtestaat[[#This Row],[Code]],Locaties[[#All],[Code]:[Postcode]],5,FALSE)</f>
        <v>7514 DE</v>
      </c>
      <c r="E520" s="176" t="str">
        <f>VLOOKUP(Ruimtestaat[[#This Row],[Code]],Locaties[#All],6,FALSE)</f>
        <v>Enschede</v>
      </c>
      <c r="F520" s="183"/>
      <c r="G520" s="99" t="s">
        <v>1646</v>
      </c>
      <c r="H520" s="99" t="s">
        <v>1654</v>
      </c>
      <c r="I520" s="183" t="s">
        <v>38</v>
      </c>
      <c r="J520" s="99">
        <v>7</v>
      </c>
      <c r="K520" s="183" t="str">
        <f>VLOOKUP(Ruimtestaat[[#This Row],[Ruimte code]],Ruimtegroepen[[#All],[Code]:[Ruimte omschrijving]],2,FALSE)</f>
        <v>Entree</v>
      </c>
      <c r="L520" s="99" t="s">
        <v>99</v>
      </c>
      <c r="M520" s="99" t="s">
        <v>1700</v>
      </c>
      <c r="N520" s="177">
        <v>7.2</v>
      </c>
      <c r="O520" s="177"/>
      <c r="P520" s="178" t="str">
        <f>VLOOKUP(Ruimtestaat[[#This Row],[Ruimte code]],Ruimtegroepen[],4,FALSE)</f>
        <v>Ve</v>
      </c>
      <c r="Q520" s="149">
        <v>40</v>
      </c>
      <c r="R520" s="149" t="s">
        <v>2</v>
      </c>
      <c r="S520" s="149">
        <f>IF(Q520&gt;0,IF(RIGHT(Ruimtestaat[[#This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0" s="149">
        <f>IF(S520&gt;0,VLOOKUP($J520,Ruimtegroepen[],3,FALSE)*VLOOKUP($L520,Vloersoorten[],3,FALSE)*VLOOKUP($R520,Frequenties[],3,FALSE)*VLOOKUP($A520,Locaties[],3,FALSE),0)</f>
        <v>0</v>
      </c>
      <c r="U520" s="149">
        <f>Ruimtestaat[[#This Row],[Uitvoeringen werkdagen]]*Ruimtestaat[[#This Row],[Oppervlak (netto)]]</f>
        <v>1440</v>
      </c>
      <c r="V520" s="179">
        <f>IF(T520&gt;0,Ruimtestaat[[#This Row],[Prest. (m2 /jaar) werkdagen]]/Ruimtestaat[[#This Row],[Norm (m2/uur) werkdagen]],0)</f>
        <v>0</v>
      </c>
      <c r="W520" s="180">
        <f>Ruimtestaat[[#This Row],[uren / jaar werkdagen]]*Tariefsopbouw!$E$35</f>
        <v>0</v>
      </c>
      <c r="X520" s="149"/>
      <c r="Y520" s="149">
        <f>IF(Ruimtestaat[[#This Row],[Frequentie weekend]]&gt;0,VALUE(LEFT(X520,1))*Q520,0)</f>
        <v>0</v>
      </c>
      <c r="Z520" s="148">
        <f>IF($Y520&gt;0,VLOOKUP($J520,Ruimtegroepen[],3,FALSE)*VLOOKUP($L520,Vloersoorten[],3,FALSE)*VLOOKUP($X520,Frequenties[],3,FALSE)*VLOOKUP(Ruimtestaat[[#This Row],[Code]],Locaties[],3,FALSE),0)</f>
        <v>0</v>
      </c>
      <c r="AA520" s="148">
        <f>Ruimtestaat[[#This Row],[Uitvoeringen weekend]]*Ruimtestaat[[#This Row],[Oppervlak (netto)]]</f>
        <v>0</v>
      </c>
      <c r="AB520" s="148">
        <f>IF(Z520&gt;0,Ruimtestaat[[#This Row],[Prest. (m2 /jaar) weekend]]/Ruimtestaat[[#This Row],[Norm (m2/uur) weekend]],0)</f>
        <v>0</v>
      </c>
      <c r="AC520" s="180">
        <f>Ruimtestaat[[#This Row],[uren / jaar weekend]]*Tariefsopbouw!$D$40</f>
        <v>0</v>
      </c>
      <c r="AD520" s="179">
        <f>Ruimtestaat[[#This Row],[Prest. (m2 /jaar) weekend]]+Ruimtestaat[[#This Row],[Prest. (m2 /jaar) werkdagen]]</f>
        <v>1440</v>
      </c>
      <c r="AE520" s="179">
        <f>Ruimtestaat[[#This Row],[uren / jaar weekend]]+Ruimtestaat[[#This Row],[uren / jaar werkdagen]]</f>
        <v>0</v>
      </c>
      <c r="AF520" s="174">
        <f>Ruimtestaat[[#This Row],[kosten / jaar weekend]]+Ruimtestaat[[#This Row],[kosten / jaar werkdagen]]</f>
        <v>0</v>
      </c>
      <c r="AG520" s="174"/>
      <c r="AH520" s="181" t="str">
        <f>IF(Ruimtestaat[[#This Row],[Frequentie werkdagen]]="","",_xlfn.CONCAT(Ruimtestaat[[#This Row],[Ruimte code]],"-",Ruimtestaat[[#This Row],[Frequentie werkdagen]]," ",Ruimtestaat[[#This Row],[Vloer code]]))</f>
        <v>7-5w T</v>
      </c>
      <c r="AI520" s="185" t="str">
        <f>_xlfn.IFNA(VLOOKUP($AH520,Programma!$F$3:$G$1101,2,0),"")</f>
        <v>_</v>
      </c>
      <c r="AJ520" s="185" t="str">
        <f>_xlfn.IFNA(VLOOKUP($AH520,Programma!$F$3:$H$1101,3,0),"")</f>
        <v>5w</v>
      </c>
      <c r="AK520" s="185" t="str">
        <f>_xlfn.IFNA(VLOOKUP($AH520,Programma!$F$3:$I$1101,4,0),"")</f>
        <v>_</v>
      </c>
      <c r="AL520" s="185" t="str">
        <f>_xlfn.IFNA(VLOOKUP($AH520,Programma!$F$3:$J$1101,5,0),"")</f>
        <v>_</v>
      </c>
      <c r="AM520" s="185" t="str">
        <f>_xlfn.IFNA(VLOOKUP($AH520,Programma!$F$3:$K$1101,6,0),"")</f>
        <v>_</v>
      </c>
      <c r="AN520" s="185" t="str">
        <f>_xlfn.IFNA(VLOOKUP($AH520,Programma!$F$3:$L$1101,7,0),"")</f>
        <v>_</v>
      </c>
      <c r="AO520" s="185" t="str">
        <f>_xlfn.IFNA(VLOOKUP($AH520,Programma!$F$3:$M$1101,8,0),"")</f>
        <v>_</v>
      </c>
      <c r="AP520" s="185" t="str">
        <f>_xlfn.IFNA(VLOOKUP($AH520,Programma!$F$3:$N$1101,9,0),"")</f>
        <v>_</v>
      </c>
      <c r="AQ520" s="185" t="str">
        <f>_xlfn.IFNA(VLOOKUP($AH520,Programma!$F$3:$O$1101,10,0),"")</f>
        <v>5w</v>
      </c>
      <c r="AR520" s="185" t="str">
        <f>_xlfn.IFNA(VLOOKUP($AH520,Programma!$F$3:$P$1101,11,0),"")</f>
        <v>5w</v>
      </c>
      <c r="AS520" s="185" t="str">
        <f>_xlfn.IFNA(VLOOKUP($AH520,Programma!$F$3:$Q$1101,12,0),"")</f>
        <v>1w</v>
      </c>
      <c r="AT520" s="185" t="str">
        <f>_xlfn.IFNA(VLOOKUP($AH520,Programma!$F$3:$R$1101,13,0),"")</f>
        <v>1w</v>
      </c>
      <c r="AU520" s="185" t="str">
        <f>_xlfn.IFNA(VLOOKUP($AH520,Programma!$F$3:$S$1101,14,0),"")</f>
        <v>1m</v>
      </c>
      <c r="AV520" s="185" t="str">
        <f>_xlfn.IFNA(VLOOKUP($AH520,Programma!$F$3:$T$1101,15,0),"")</f>
        <v>2j</v>
      </c>
      <c r="AW520" s="185" t="str">
        <f>_xlfn.IFNA(VLOOKUP($AH520,Programma!$F$3:$U$1101,16,0),"")</f>
        <v>1j</v>
      </c>
      <c r="AX520" s="185" t="str">
        <f>_xlfn.IFNA(VLOOKUP($AH520,Programma!$F$3:$V$1101,17,0),"")</f>
        <v>_</v>
      </c>
      <c r="AY520" s="185" t="str">
        <f>_xlfn.IFNA(VLOOKUP($AH520,Programma!$F$3:$W$1101,18,0),"")</f>
        <v>_</v>
      </c>
      <c r="AZ520" s="185" t="str">
        <f>_xlfn.IFNA(VLOOKUP($AH520,Programma!$F$3:$X$1101,19,0),"")</f>
        <v>_</v>
      </c>
      <c r="BA520" s="185" t="str">
        <f>_xlfn.IFNA(VLOOKUP($AH520,Programma!$F$3:$Y$1101,20,0),"")</f>
        <v>_</v>
      </c>
      <c r="BB520" s="182"/>
      <c r="BC520" s="181" t="str">
        <f>IF(Ruimtestaat[[#This Row],[Frequentie weekend]]="","",_xlfn.CONCAT(Ruimtestaat[[#This Row],[Ruimte code]],"-",Ruimtestaat[[#This Row],[Frequentie weekend]]," ",Ruimtestaat[[#This Row],[Vloer code]]))</f>
        <v/>
      </c>
      <c r="BD520" s="185" t="str">
        <f>_xlfn.IFNA(VLOOKUP($BC520,Programma!$F$3:$G$1101,2,0),"")</f>
        <v/>
      </c>
      <c r="BE520" s="185" t="str">
        <f>_xlfn.IFNA(VLOOKUP($BC520,Programma!$F$3:$H$1101,3,0),"")</f>
        <v/>
      </c>
      <c r="BF520" s="185" t="str">
        <f>_xlfn.IFNA(VLOOKUP($BC520,Programma!$F$3:$I$1101,4,0),"")</f>
        <v/>
      </c>
      <c r="BG520" s="185" t="str">
        <f>_xlfn.IFNA(VLOOKUP($BC520,Programma!$F$3:$J$1101,5,0),"")</f>
        <v/>
      </c>
      <c r="BH520" s="185" t="str">
        <f>_xlfn.IFNA(VLOOKUP($BC520,Programma!$F$3:$K$1101,6,0),"")</f>
        <v/>
      </c>
      <c r="BI520" s="185" t="str">
        <f>_xlfn.IFNA(VLOOKUP($BC520,Programma!$F$3:$L$1101,7,0),"")</f>
        <v/>
      </c>
      <c r="BJ520" s="185" t="str">
        <f>_xlfn.IFNA(VLOOKUP($BC520,Programma!$F$3:$M$1101,8,0),"")</f>
        <v/>
      </c>
      <c r="BK520" s="185" t="str">
        <f>_xlfn.IFNA(VLOOKUP($BC520,Programma!$F$3:$N$1101,9,0),"")</f>
        <v/>
      </c>
      <c r="BL520" s="185" t="str">
        <f>_xlfn.IFNA(VLOOKUP($BC520,Programma!$F$3:$O$1101,10,0),"")</f>
        <v/>
      </c>
      <c r="BM520" s="185" t="str">
        <f>_xlfn.IFNA(VLOOKUP($BC520,Programma!$F$3:$P$1101,11,0),"")</f>
        <v/>
      </c>
      <c r="BN520" s="185" t="str">
        <f>_xlfn.IFNA(VLOOKUP($BC520,Programma!$F$3:$Q$1101,12,0),"")</f>
        <v/>
      </c>
      <c r="BO520" s="185" t="str">
        <f>_xlfn.IFNA(VLOOKUP($BC520,Programma!$F$3:$R$1101,13,0),"")</f>
        <v/>
      </c>
      <c r="BP520" s="185" t="str">
        <f>_xlfn.IFNA(VLOOKUP($BC520,Programma!$F$3:$S$1101,14,0),"")</f>
        <v/>
      </c>
      <c r="BQ520" s="185" t="str">
        <f>_xlfn.IFNA(VLOOKUP($BC520,Programma!$F$3:$T$1101,15,0),"")</f>
        <v/>
      </c>
      <c r="BR520" s="185" t="str">
        <f>_xlfn.IFNA(VLOOKUP($BC520,Programma!$F$3:$U$1101,16,0),"")</f>
        <v/>
      </c>
      <c r="BS520" s="185" t="str">
        <f>_xlfn.IFNA(VLOOKUP($BC520,Programma!$F$3:$V$1101,17,0),"")</f>
        <v/>
      </c>
      <c r="BT520" s="185" t="str">
        <f>_xlfn.IFNA(VLOOKUP($BC520,Programma!$F$3:$W$1101,18,0),"")</f>
        <v/>
      </c>
      <c r="BU520" s="185" t="str">
        <f>_xlfn.IFNA(VLOOKUP($BC520,Programma!$F$3:$X$1101,19,0),"")</f>
        <v/>
      </c>
      <c r="BV520" s="185" t="str">
        <f>_xlfn.IFNA(VLOOKUP($BC520,Programma!$F$3:$Y$1101,20,0),"")</f>
        <v/>
      </c>
    </row>
    <row r="521" spans="1:74" s="78" customFormat="1" ht="15" customHeight="1">
      <c r="A521" s="99">
        <v>15</v>
      </c>
      <c r="B521" s="176" t="str">
        <f>VLOOKUP(Ruimtestaat[[#This Row],[Code]],Locaties[[Code]:[Locatie]],2,FALSE)</f>
        <v>Prinseschool Staringstraat</v>
      </c>
      <c r="C521" s="176" t="str">
        <f>VLOOKUP(Ruimtestaat[[#This Row],[Code]],Locaties[[#All],[Code]:[Adres]],4,FALSE)</f>
        <v>Staringstraat 15 </v>
      </c>
      <c r="D521" s="176" t="str">
        <f>VLOOKUP(Ruimtestaat[[#This Row],[Code]],Locaties[[#All],[Code]:[Postcode]],5,FALSE)</f>
        <v>7514 DE</v>
      </c>
      <c r="E521" s="176" t="str">
        <f>VLOOKUP(Ruimtestaat[[#This Row],[Code]],Locaties[#All],6,FALSE)</f>
        <v>Enschede</v>
      </c>
      <c r="F521" s="183"/>
      <c r="G521" s="99" t="s">
        <v>1646</v>
      </c>
      <c r="H521" s="99" t="s">
        <v>1656</v>
      </c>
      <c r="I521" s="183" t="s">
        <v>1685</v>
      </c>
      <c r="J521" s="99">
        <v>20</v>
      </c>
      <c r="K521" s="183" t="str">
        <f>VLOOKUP(Ruimtestaat[[#This Row],[Ruimte code]],Ruimtegroepen[[#All],[Code]:[Ruimte omschrijving]],2,FALSE)</f>
        <v>Niet in Onderhoud</v>
      </c>
      <c r="L521" s="99"/>
      <c r="M521" s="99"/>
      <c r="N521" s="177"/>
      <c r="O521" s="177">
        <v>0</v>
      </c>
      <c r="P521" s="178">
        <f>VLOOKUP(Ruimtestaat[[#This Row],[Ruimte code]],Ruimtegroepen[],4,FALSE)</f>
        <v>0</v>
      </c>
      <c r="Q521" s="149"/>
      <c r="R521" s="149"/>
      <c r="S521" s="149">
        <f>IF(Q521&gt;0,IF(RIGHT(Ruimtestaat[[#This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1" s="149">
        <f>IF(S521&gt;0,VLOOKUP($J521,Ruimtegroepen[],3,FALSE)*VLOOKUP($L521,Vloersoorten[],3,FALSE)*VLOOKUP($R521,Frequenties[],3,FALSE)*VLOOKUP($A521,Locaties[],3,FALSE),0)</f>
        <v>0</v>
      </c>
      <c r="U521" s="149">
        <f>Ruimtestaat[[#This Row],[Uitvoeringen werkdagen]]*Ruimtestaat[[#This Row],[Oppervlak (netto)]]</f>
        <v>0</v>
      </c>
      <c r="V521" s="179">
        <f>IF(T521&gt;0,Ruimtestaat[[#This Row],[Prest. (m2 /jaar) werkdagen]]/Ruimtestaat[[#This Row],[Norm (m2/uur) werkdagen]],0)</f>
        <v>0</v>
      </c>
      <c r="W521" s="180">
        <f>Ruimtestaat[[#This Row],[uren / jaar werkdagen]]*Tariefsopbouw!$E$35</f>
        <v>0</v>
      </c>
      <c r="X521" s="149"/>
      <c r="Y521" s="149">
        <f>IF(Ruimtestaat[[#This Row],[Frequentie weekend]]&gt;0,VALUE(LEFT(X521,1))*Q521,0)</f>
        <v>0</v>
      </c>
      <c r="Z521" s="148">
        <f>IF($Y521&gt;0,VLOOKUP($J521,Ruimtegroepen[],3,FALSE)*VLOOKUP($L521,Vloersoorten[],3,FALSE)*VLOOKUP($X521,Frequenties[],3,FALSE)*VLOOKUP(Ruimtestaat[[#This Row],[Code]],Locaties[],3,FALSE),0)</f>
        <v>0</v>
      </c>
      <c r="AA521" s="148">
        <f>Ruimtestaat[[#This Row],[Uitvoeringen weekend]]*Ruimtestaat[[#This Row],[Oppervlak (netto)]]</f>
        <v>0</v>
      </c>
      <c r="AB521" s="148">
        <f>IF(Z521&gt;0,Ruimtestaat[[#This Row],[Prest. (m2 /jaar) weekend]]/Ruimtestaat[[#This Row],[Norm (m2/uur) weekend]],0)</f>
        <v>0</v>
      </c>
      <c r="AC521" s="180">
        <f>Ruimtestaat[[#This Row],[uren / jaar weekend]]*Tariefsopbouw!$D$40</f>
        <v>0</v>
      </c>
      <c r="AD521" s="179">
        <f>Ruimtestaat[[#This Row],[Prest. (m2 /jaar) weekend]]+Ruimtestaat[[#This Row],[Prest. (m2 /jaar) werkdagen]]</f>
        <v>0</v>
      </c>
      <c r="AE521" s="179">
        <f>Ruimtestaat[[#This Row],[uren / jaar weekend]]+Ruimtestaat[[#This Row],[uren / jaar werkdagen]]</f>
        <v>0</v>
      </c>
      <c r="AF521" s="174">
        <f>Ruimtestaat[[#This Row],[kosten / jaar weekend]]+Ruimtestaat[[#This Row],[kosten / jaar werkdagen]]</f>
        <v>0</v>
      </c>
      <c r="AG521" s="174"/>
      <c r="AH521" s="181" t="str">
        <f>IF(Ruimtestaat[[#This Row],[Frequentie werkdagen]]="","",_xlfn.CONCAT(Ruimtestaat[[#This Row],[Ruimte code]],"-",Ruimtestaat[[#This Row],[Frequentie werkdagen]]," ",Ruimtestaat[[#This Row],[Vloer code]]))</f>
        <v/>
      </c>
      <c r="AI521" s="185" t="str">
        <f>_xlfn.IFNA(VLOOKUP($AH521,Programma!$F$3:$G$1101,2,0),"")</f>
        <v/>
      </c>
      <c r="AJ521" s="185" t="str">
        <f>_xlfn.IFNA(VLOOKUP($AH521,Programma!$F$3:$H$1101,3,0),"")</f>
        <v/>
      </c>
      <c r="AK521" s="185" t="str">
        <f>_xlfn.IFNA(VLOOKUP($AH521,Programma!$F$3:$I$1101,4,0),"")</f>
        <v/>
      </c>
      <c r="AL521" s="185" t="str">
        <f>_xlfn.IFNA(VLOOKUP($AH521,Programma!$F$3:$J$1101,5,0),"")</f>
        <v/>
      </c>
      <c r="AM521" s="185" t="str">
        <f>_xlfn.IFNA(VLOOKUP($AH521,Programma!$F$3:$K$1101,6,0),"")</f>
        <v/>
      </c>
      <c r="AN521" s="185" t="str">
        <f>_xlfn.IFNA(VLOOKUP($AH521,Programma!$F$3:$L$1101,7,0),"")</f>
        <v/>
      </c>
      <c r="AO521" s="185" t="str">
        <f>_xlfn.IFNA(VLOOKUP($AH521,Programma!$F$3:$M$1101,8,0),"")</f>
        <v/>
      </c>
      <c r="AP521" s="185" t="str">
        <f>_xlfn.IFNA(VLOOKUP($AH521,Programma!$F$3:$N$1101,9,0),"")</f>
        <v/>
      </c>
      <c r="AQ521" s="185" t="str">
        <f>_xlfn.IFNA(VLOOKUP($AH521,Programma!$F$3:$O$1101,10,0),"")</f>
        <v/>
      </c>
      <c r="AR521" s="185" t="str">
        <f>_xlfn.IFNA(VLOOKUP($AH521,Programma!$F$3:$P$1101,11,0),"")</f>
        <v/>
      </c>
      <c r="AS521" s="185" t="str">
        <f>_xlfn.IFNA(VLOOKUP($AH521,Programma!$F$3:$Q$1101,12,0),"")</f>
        <v/>
      </c>
      <c r="AT521" s="185" t="str">
        <f>_xlfn.IFNA(VLOOKUP($AH521,Programma!$F$3:$R$1101,13,0),"")</f>
        <v/>
      </c>
      <c r="AU521" s="185" t="str">
        <f>_xlfn.IFNA(VLOOKUP($AH521,Programma!$F$3:$S$1101,14,0),"")</f>
        <v/>
      </c>
      <c r="AV521" s="185" t="str">
        <f>_xlfn.IFNA(VLOOKUP($AH521,Programma!$F$3:$T$1101,15,0),"")</f>
        <v/>
      </c>
      <c r="AW521" s="185" t="str">
        <f>_xlfn.IFNA(VLOOKUP($AH521,Programma!$F$3:$U$1101,16,0),"")</f>
        <v/>
      </c>
      <c r="AX521" s="185" t="str">
        <f>_xlfn.IFNA(VLOOKUP($AH521,Programma!$F$3:$V$1101,17,0),"")</f>
        <v/>
      </c>
      <c r="AY521" s="185" t="str">
        <f>_xlfn.IFNA(VLOOKUP($AH521,Programma!$F$3:$W$1101,18,0),"")</f>
        <v/>
      </c>
      <c r="AZ521" s="185" t="str">
        <f>_xlfn.IFNA(VLOOKUP($AH521,Programma!$F$3:$X$1101,19,0),"")</f>
        <v/>
      </c>
      <c r="BA521" s="185" t="str">
        <f>_xlfn.IFNA(VLOOKUP($AH521,Programma!$F$3:$Y$1101,20,0),"")</f>
        <v/>
      </c>
      <c r="BB521" s="182"/>
      <c r="BC521" s="181" t="str">
        <f>IF(Ruimtestaat[[#This Row],[Frequentie weekend]]="","",_xlfn.CONCAT(Ruimtestaat[[#This Row],[Ruimte code]],"-",Ruimtestaat[[#This Row],[Frequentie weekend]]," ",Ruimtestaat[[#This Row],[Vloer code]]))</f>
        <v/>
      </c>
      <c r="BD521" s="185" t="str">
        <f>_xlfn.IFNA(VLOOKUP($BC521,Programma!$F$3:$G$1101,2,0),"")</f>
        <v/>
      </c>
      <c r="BE521" s="185" t="str">
        <f>_xlfn.IFNA(VLOOKUP($BC521,Programma!$F$3:$H$1101,3,0),"")</f>
        <v/>
      </c>
      <c r="BF521" s="185" t="str">
        <f>_xlfn.IFNA(VLOOKUP($BC521,Programma!$F$3:$I$1101,4,0),"")</f>
        <v/>
      </c>
      <c r="BG521" s="185" t="str">
        <f>_xlfn.IFNA(VLOOKUP($BC521,Programma!$F$3:$J$1101,5,0),"")</f>
        <v/>
      </c>
      <c r="BH521" s="185" t="str">
        <f>_xlfn.IFNA(VLOOKUP($BC521,Programma!$F$3:$K$1101,6,0),"")</f>
        <v/>
      </c>
      <c r="BI521" s="185" t="str">
        <f>_xlfn.IFNA(VLOOKUP($BC521,Programma!$F$3:$L$1101,7,0),"")</f>
        <v/>
      </c>
      <c r="BJ521" s="185" t="str">
        <f>_xlfn.IFNA(VLOOKUP($BC521,Programma!$F$3:$M$1101,8,0),"")</f>
        <v/>
      </c>
      <c r="BK521" s="185" t="str">
        <f>_xlfn.IFNA(VLOOKUP($BC521,Programma!$F$3:$N$1101,9,0),"")</f>
        <v/>
      </c>
      <c r="BL521" s="185" t="str">
        <f>_xlfn.IFNA(VLOOKUP($BC521,Programma!$F$3:$O$1101,10,0),"")</f>
        <v/>
      </c>
      <c r="BM521" s="185" t="str">
        <f>_xlfn.IFNA(VLOOKUP($BC521,Programma!$F$3:$P$1101,11,0),"")</f>
        <v/>
      </c>
      <c r="BN521" s="185" t="str">
        <f>_xlfn.IFNA(VLOOKUP($BC521,Programma!$F$3:$Q$1101,12,0),"")</f>
        <v/>
      </c>
      <c r="BO521" s="185" t="str">
        <f>_xlfn.IFNA(VLOOKUP($BC521,Programma!$F$3:$R$1101,13,0),"")</f>
        <v/>
      </c>
      <c r="BP521" s="185" t="str">
        <f>_xlfn.IFNA(VLOOKUP($BC521,Programma!$F$3:$S$1101,14,0),"")</f>
        <v/>
      </c>
      <c r="BQ521" s="185" t="str">
        <f>_xlfn.IFNA(VLOOKUP($BC521,Programma!$F$3:$T$1101,15,0),"")</f>
        <v/>
      </c>
      <c r="BR521" s="185" t="str">
        <f>_xlfn.IFNA(VLOOKUP($BC521,Programma!$F$3:$U$1101,16,0),"")</f>
        <v/>
      </c>
      <c r="BS521" s="185" t="str">
        <f>_xlfn.IFNA(VLOOKUP($BC521,Programma!$F$3:$V$1101,17,0),"")</f>
        <v/>
      </c>
      <c r="BT521" s="185" t="str">
        <f>_xlfn.IFNA(VLOOKUP($BC521,Programma!$F$3:$W$1101,18,0),"")</f>
        <v/>
      </c>
      <c r="BU521" s="185" t="str">
        <f>_xlfn.IFNA(VLOOKUP($BC521,Programma!$F$3:$X$1101,19,0),"")</f>
        <v/>
      </c>
      <c r="BV521" s="185" t="str">
        <f>_xlfn.IFNA(VLOOKUP($BC521,Programma!$F$3:$Y$1101,20,0),"")</f>
        <v/>
      </c>
    </row>
    <row r="522" spans="1:74" s="78" customFormat="1" ht="15" customHeight="1">
      <c r="A522" s="99">
        <v>15</v>
      </c>
      <c r="B522" s="176" t="str">
        <f>VLOOKUP(Ruimtestaat[[#This Row],[Code]],Locaties[[Code]:[Locatie]],2,FALSE)</f>
        <v>Prinseschool Staringstraat</v>
      </c>
      <c r="C522" s="176" t="str">
        <f>VLOOKUP(Ruimtestaat[[#This Row],[Code]],Locaties[[#All],[Code]:[Adres]],4,FALSE)</f>
        <v>Staringstraat 15 </v>
      </c>
      <c r="D522" s="176" t="str">
        <f>VLOOKUP(Ruimtestaat[[#This Row],[Code]],Locaties[[#All],[Code]:[Postcode]],5,FALSE)</f>
        <v>7514 DE</v>
      </c>
      <c r="E522" s="176" t="str">
        <f>VLOOKUP(Ruimtestaat[[#This Row],[Code]],Locaties[#All],6,FALSE)</f>
        <v>Enschede</v>
      </c>
      <c r="F522" s="183"/>
      <c r="G522" s="99" t="s">
        <v>1646</v>
      </c>
      <c r="H522" s="99" t="s">
        <v>1657</v>
      </c>
      <c r="I522" s="183" t="s">
        <v>1655</v>
      </c>
      <c r="J522" s="99">
        <v>5</v>
      </c>
      <c r="K522" s="183" t="str">
        <f>VLOOKUP(Ruimtestaat[[#This Row],[Ruimte code]],Ruimtegroepen[[#All],[Code]:[Ruimte omschrijving]],2,FALSE)</f>
        <v>Sanitair</v>
      </c>
      <c r="L522" s="99" t="s">
        <v>101</v>
      </c>
      <c r="M522" s="99" t="s">
        <v>1682</v>
      </c>
      <c r="N522" s="177">
        <v>2.2999999999999998</v>
      </c>
      <c r="O522" s="177"/>
      <c r="P522" s="178" t="str">
        <f>VLOOKUP(Ruimtestaat[[#This Row],[Ruimte code]],Ruimtegroepen[],4,FALSE)</f>
        <v>Sa</v>
      </c>
      <c r="Q522" s="149">
        <v>40</v>
      </c>
      <c r="R522" s="149" t="s">
        <v>2</v>
      </c>
      <c r="S522" s="149">
        <f>IF(Q522&gt;0,IF(RIGHT(Ruimtestaat[[#This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2" s="149">
        <f>IF(S522&gt;0,VLOOKUP($J522,Ruimtegroepen[],3,FALSE)*VLOOKUP($L522,Vloersoorten[],3,FALSE)*VLOOKUP($R522,Frequenties[],3,FALSE)*VLOOKUP($A522,Locaties[],3,FALSE),0)</f>
        <v>0</v>
      </c>
      <c r="U522" s="149">
        <f>Ruimtestaat[[#This Row],[Uitvoeringen werkdagen]]*Ruimtestaat[[#This Row],[Oppervlak (netto)]]</f>
        <v>459.99999999999994</v>
      </c>
      <c r="V522" s="179">
        <f>IF(T522&gt;0,Ruimtestaat[[#This Row],[Prest. (m2 /jaar) werkdagen]]/Ruimtestaat[[#This Row],[Norm (m2/uur) werkdagen]],0)</f>
        <v>0</v>
      </c>
      <c r="W522" s="180">
        <f>Ruimtestaat[[#This Row],[uren / jaar werkdagen]]*Tariefsopbouw!$E$35</f>
        <v>0</v>
      </c>
      <c r="X522" s="149"/>
      <c r="Y522" s="149">
        <f>IF(Ruimtestaat[[#This Row],[Frequentie weekend]]&gt;0,VALUE(LEFT(X522,1))*Q522,0)</f>
        <v>0</v>
      </c>
      <c r="Z522" s="148">
        <f>IF($Y522&gt;0,VLOOKUP($J522,Ruimtegroepen[],3,FALSE)*VLOOKUP($L522,Vloersoorten[],3,FALSE)*VLOOKUP($X522,Frequenties[],3,FALSE)*VLOOKUP(Ruimtestaat[[#This Row],[Code]],Locaties[],3,FALSE),0)</f>
        <v>0</v>
      </c>
      <c r="AA522" s="148">
        <f>Ruimtestaat[[#This Row],[Uitvoeringen weekend]]*Ruimtestaat[[#This Row],[Oppervlak (netto)]]</f>
        <v>0</v>
      </c>
      <c r="AB522" s="148">
        <f>IF(Z522&gt;0,Ruimtestaat[[#This Row],[Prest. (m2 /jaar) weekend]]/Ruimtestaat[[#This Row],[Norm (m2/uur) weekend]],0)</f>
        <v>0</v>
      </c>
      <c r="AC522" s="180">
        <f>Ruimtestaat[[#This Row],[uren / jaar weekend]]*Tariefsopbouw!$D$40</f>
        <v>0</v>
      </c>
      <c r="AD522" s="179">
        <f>Ruimtestaat[[#This Row],[Prest. (m2 /jaar) weekend]]+Ruimtestaat[[#This Row],[Prest. (m2 /jaar) werkdagen]]</f>
        <v>459.99999999999994</v>
      </c>
      <c r="AE522" s="179">
        <f>Ruimtestaat[[#This Row],[uren / jaar weekend]]+Ruimtestaat[[#This Row],[uren / jaar werkdagen]]</f>
        <v>0</v>
      </c>
      <c r="AF522" s="174">
        <f>Ruimtestaat[[#This Row],[kosten / jaar weekend]]+Ruimtestaat[[#This Row],[kosten / jaar werkdagen]]</f>
        <v>0</v>
      </c>
      <c r="AG522" s="174"/>
      <c r="AH522" s="181" t="str">
        <f>IF(Ruimtestaat[[#This Row],[Frequentie werkdagen]]="","",_xlfn.CONCAT(Ruimtestaat[[#This Row],[Ruimte code]],"-",Ruimtestaat[[#This Row],[Frequentie werkdagen]]," ",Ruimtestaat[[#This Row],[Vloer code]]))</f>
        <v>5-5w S</v>
      </c>
      <c r="AI522" s="185" t="str">
        <f>_xlfn.IFNA(VLOOKUP($AH522,Programma!$F$3:$G$1101,2,0),"")</f>
        <v>_</v>
      </c>
      <c r="AJ522" s="185" t="str">
        <f>_xlfn.IFNA(VLOOKUP($AH522,Programma!$F$3:$H$1101,3,0),"")</f>
        <v>_</v>
      </c>
      <c r="AK522" s="185" t="str">
        <f>_xlfn.IFNA(VLOOKUP($AH522,Programma!$F$3:$I$1101,4,0),"")</f>
        <v>_</v>
      </c>
      <c r="AL522" s="185" t="str">
        <f>_xlfn.IFNA(VLOOKUP($AH522,Programma!$F$3:$J$1101,5,0),"")</f>
        <v>4w</v>
      </c>
      <c r="AM522" s="185" t="str">
        <f>_xlfn.IFNA(VLOOKUP($AH522,Programma!$F$3:$K$1101,6,0),"")</f>
        <v>1w</v>
      </c>
      <c r="AN522" s="185" t="str">
        <f>_xlfn.IFNA(VLOOKUP($AH522,Programma!$F$3:$L$1101,7,0),"")</f>
        <v>_</v>
      </c>
      <c r="AO522" s="185" t="str">
        <f>_xlfn.IFNA(VLOOKUP($AH522,Programma!$F$3:$M$1101,8,0),"")</f>
        <v>_</v>
      </c>
      <c r="AP522" s="185" t="str">
        <f>_xlfn.IFNA(VLOOKUP($AH522,Programma!$F$3:$N$1101,9,0),"")</f>
        <v>_</v>
      </c>
      <c r="AQ522" s="185" t="str">
        <f>_xlfn.IFNA(VLOOKUP($AH522,Programma!$F$3:$O$1101,10,0),"")</f>
        <v>_</v>
      </c>
      <c r="AR522" s="185" t="str">
        <f>_xlfn.IFNA(VLOOKUP($AH522,Programma!$F$3:$P$1101,11,0),"")</f>
        <v>_</v>
      </c>
      <c r="AS522" s="185" t="str">
        <f>_xlfn.IFNA(VLOOKUP($AH522,Programma!$F$3:$Q$1101,12,0),"")</f>
        <v>_</v>
      </c>
      <c r="AT522" s="185" t="str">
        <f>_xlfn.IFNA(VLOOKUP($AH522,Programma!$F$3:$R$1101,13,0),"")</f>
        <v>_</v>
      </c>
      <c r="AU522" s="185" t="str">
        <f>_xlfn.IFNA(VLOOKUP($AH522,Programma!$F$3:$S$1101,14,0),"")</f>
        <v>_</v>
      </c>
      <c r="AV522" s="185" t="str">
        <f>_xlfn.IFNA(VLOOKUP($AH522,Programma!$F$3:$T$1101,15,0),"")</f>
        <v>_</v>
      </c>
      <c r="AW522" s="185" t="str">
        <f>_xlfn.IFNA(VLOOKUP($AH522,Programma!$F$3:$U$1101,16,0),"")</f>
        <v>_</v>
      </c>
      <c r="AX522" s="185" t="str">
        <f>_xlfn.IFNA(VLOOKUP($AH522,Programma!$F$3:$V$1101,17,0),"")</f>
        <v>_</v>
      </c>
      <c r="AY522" s="185" t="str">
        <f>_xlfn.IFNA(VLOOKUP($AH522,Programma!$F$3:$W$1101,18,0),"")</f>
        <v>4w</v>
      </c>
      <c r="AZ522" s="185" t="str">
        <f>_xlfn.IFNA(VLOOKUP($AH522,Programma!$F$3:$X$1101,19,0),"")</f>
        <v>1w</v>
      </c>
      <c r="BA522" s="185" t="str">
        <f>_xlfn.IFNA(VLOOKUP($AH522,Programma!$F$3:$Y$1101,20,0),"")</f>
        <v>_</v>
      </c>
      <c r="BB522" s="182"/>
      <c r="BC522" s="181" t="str">
        <f>IF(Ruimtestaat[[#This Row],[Frequentie weekend]]="","",_xlfn.CONCAT(Ruimtestaat[[#This Row],[Ruimte code]],"-",Ruimtestaat[[#This Row],[Frequentie weekend]]," ",Ruimtestaat[[#This Row],[Vloer code]]))</f>
        <v/>
      </c>
      <c r="BD522" s="185" t="str">
        <f>_xlfn.IFNA(VLOOKUP($BC522,Programma!$F$3:$G$1101,2,0),"")</f>
        <v/>
      </c>
      <c r="BE522" s="185" t="str">
        <f>_xlfn.IFNA(VLOOKUP($BC522,Programma!$F$3:$H$1101,3,0),"")</f>
        <v/>
      </c>
      <c r="BF522" s="185" t="str">
        <f>_xlfn.IFNA(VLOOKUP($BC522,Programma!$F$3:$I$1101,4,0),"")</f>
        <v/>
      </c>
      <c r="BG522" s="185" t="str">
        <f>_xlfn.IFNA(VLOOKUP($BC522,Programma!$F$3:$J$1101,5,0),"")</f>
        <v/>
      </c>
      <c r="BH522" s="185" t="str">
        <f>_xlfn.IFNA(VLOOKUP($BC522,Programma!$F$3:$K$1101,6,0),"")</f>
        <v/>
      </c>
      <c r="BI522" s="185" t="str">
        <f>_xlfn.IFNA(VLOOKUP($BC522,Programma!$F$3:$L$1101,7,0),"")</f>
        <v/>
      </c>
      <c r="BJ522" s="185" t="str">
        <f>_xlfn.IFNA(VLOOKUP($BC522,Programma!$F$3:$M$1101,8,0),"")</f>
        <v/>
      </c>
      <c r="BK522" s="185" t="str">
        <f>_xlfn.IFNA(VLOOKUP($BC522,Programma!$F$3:$N$1101,9,0),"")</f>
        <v/>
      </c>
      <c r="BL522" s="185" t="str">
        <f>_xlfn.IFNA(VLOOKUP($BC522,Programma!$F$3:$O$1101,10,0),"")</f>
        <v/>
      </c>
      <c r="BM522" s="185" t="str">
        <f>_xlfn.IFNA(VLOOKUP($BC522,Programma!$F$3:$P$1101,11,0),"")</f>
        <v/>
      </c>
      <c r="BN522" s="185" t="str">
        <f>_xlfn.IFNA(VLOOKUP($BC522,Programma!$F$3:$Q$1101,12,0),"")</f>
        <v/>
      </c>
      <c r="BO522" s="185" t="str">
        <f>_xlfn.IFNA(VLOOKUP($BC522,Programma!$F$3:$R$1101,13,0),"")</f>
        <v/>
      </c>
      <c r="BP522" s="185" t="str">
        <f>_xlfn.IFNA(VLOOKUP($BC522,Programma!$F$3:$S$1101,14,0),"")</f>
        <v/>
      </c>
      <c r="BQ522" s="185" t="str">
        <f>_xlfn.IFNA(VLOOKUP($BC522,Programma!$F$3:$T$1101,15,0),"")</f>
        <v/>
      </c>
      <c r="BR522" s="185" t="str">
        <f>_xlfn.IFNA(VLOOKUP($BC522,Programma!$F$3:$U$1101,16,0),"")</f>
        <v/>
      </c>
      <c r="BS522" s="185" t="str">
        <f>_xlfn.IFNA(VLOOKUP($BC522,Programma!$F$3:$V$1101,17,0),"")</f>
        <v/>
      </c>
      <c r="BT522" s="185" t="str">
        <f>_xlfn.IFNA(VLOOKUP($BC522,Programma!$F$3:$W$1101,18,0),"")</f>
        <v/>
      </c>
      <c r="BU522" s="185" t="str">
        <f>_xlfn.IFNA(VLOOKUP($BC522,Programma!$F$3:$X$1101,19,0),"")</f>
        <v/>
      </c>
      <c r="BV522" s="185" t="str">
        <f>_xlfn.IFNA(VLOOKUP($BC522,Programma!$F$3:$Y$1101,20,0),"")</f>
        <v/>
      </c>
    </row>
    <row r="523" spans="1:74" s="78" customFormat="1" ht="15" customHeight="1">
      <c r="A523" s="99">
        <v>15</v>
      </c>
      <c r="B523" s="176" t="str">
        <f>VLOOKUP(Ruimtestaat[[#This Row],[Code]],Locaties[[Code]:[Locatie]],2,FALSE)</f>
        <v>Prinseschool Staringstraat</v>
      </c>
      <c r="C523" s="176" t="str">
        <f>VLOOKUP(Ruimtestaat[[#This Row],[Code]],Locaties[[#All],[Code]:[Adres]],4,FALSE)</f>
        <v>Staringstraat 15 </v>
      </c>
      <c r="D523" s="176" t="str">
        <f>VLOOKUP(Ruimtestaat[[#This Row],[Code]],Locaties[[#All],[Code]:[Postcode]],5,FALSE)</f>
        <v>7514 DE</v>
      </c>
      <c r="E523" s="176" t="str">
        <f>VLOOKUP(Ruimtestaat[[#This Row],[Code]],Locaties[#All],6,FALSE)</f>
        <v>Enschede</v>
      </c>
      <c r="F523" s="183"/>
      <c r="G523" s="99" t="s">
        <v>1646</v>
      </c>
      <c r="H523" s="99" t="s">
        <v>1659</v>
      </c>
      <c r="I523" s="183" t="s">
        <v>1655</v>
      </c>
      <c r="J523" s="99">
        <v>5</v>
      </c>
      <c r="K523" s="183" t="str">
        <f>VLOOKUP(Ruimtestaat[[#This Row],[Ruimte code]],Ruimtegroepen[[#All],[Code]:[Ruimte omschrijving]],2,FALSE)</f>
        <v>Sanitair</v>
      </c>
      <c r="L523" s="99" t="s">
        <v>101</v>
      </c>
      <c r="M523" s="99" t="s">
        <v>1682</v>
      </c>
      <c r="N523" s="177">
        <v>4.8</v>
      </c>
      <c r="O523" s="177"/>
      <c r="P523" s="178" t="str">
        <f>VLOOKUP(Ruimtestaat[[#This Row],[Ruimte code]],Ruimtegroepen[],4,FALSE)</f>
        <v>Sa</v>
      </c>
      <c r="Q523" s="149">
        <v>40</v>
      </c>
      <c r="R523" s="149" t="s">
        <v>2</v>
      </c>
      <c r="S523" s="149">
        <f>IF(Q523&gt;0,IF(RIGHT(Ruimtestaat[[#This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3" s="149">
        <f>IF(S523&gt;0,VLOOKUP($J523,Ruimtegroepen[],3,FALSE)*VLOOKUP($L523,Vloersoorten[],3,FALSE)*VLOOKUP($R523,Frequenties[],3,FALSE)*VLOOKUP($A523,Locaties[],3,FALSE),0)</f>
        <v>0</v>
      </c>
      <c r="U523" s="149">
        <f>Ruimtestaat[[#This Row],[Uitvoeringen werkdagen]]*Ruimtestaat[[#This Row],[Oppervlak (netto)]]</f>
        <v>960</v>
      </c>
      <c r="V523" s="179">
        <f>IF(T523&gt;0,Ruimtestaat[[#This Row],[Prest. (m2 /jaar) werkdagen]]/Ruimtestaat[[#This Row],[Norm (m2/uur) werkdagen]],0)</f>
        <v>0</v>
      </c>
      <c r="W523" s="180">
        <f>Ruimtestaat[[#This Row],[uren / jaar werkdagen]]*Tariefsopbouw!$E$35</f>
        <v>0</v>
      </c>
      <c r="X523" s="149"/>
      <c r="Y523" s="149">
        <f>IF(Ruimtestaat[[#This Row],[Frequentie weekend]]&gt;0,VALUE(LEFT(X523,1))*Q523,0)</f>
        <v>0</v>
      </c>
      <c r="Z523" s="148">
        <f>IF($Y523&gt;0,VLOOKUP($J523,Ruimtegroepen[],3,FALSE)*VLOOKUP($L523,Vloersoorten[],3,FALSE)*VLOOKUP($X523,Frequenties[],3,FALSE)*VLOOKUP(Ruimtestaat[[#This Row],[Code]],Locaties[],3,FALSE),0)</f>
        <v>0</v>
      </c>
      <c r="AA523" s="148">
        <f>Ruimtestaat[[#This Row],[Uitvoeringen weekend]]*Ruimtestaat[[#This Row],[Oppervlak (netto)]]</f>
        <v>0</v>
      </c>
      <c r="AB523" s="148">
        <f>IF(Z523&gt;0,Ruimtestaat[[#This Row],[Prest. (m2 /jaar) weekend]]/Ruimtestaat[[#This Row],[Norm (m2/uur) weekend]],0)</f>
        <v>0</v>
      </c>
      <c r="AC523" s="180">
        <f>Ruimtestaat[[#This Row],[uren / jaar weekend]]*Tariefsopbouw!$D$40</f>
        <v>0</v>
      </c>
      <c r="AD523" s="179">
        <f>Ruimtestaat[[#This Row],[Prest. (m2 /jaar) weekend]]+Ruimtestaat[[#This Row],[Prest. (m2 /jaar) werkdagen]]</f>
        <v>960</v>
      </c>
      <c r="AE523" s="179">
        <f>Ruimtestaat[[#This Row],[uren / jaar weekend]]+Ruimtestaat[[#This Row],[uren / jaar werkdagen]]</f>
        <v>0</v>
      </c>
      <c r="AF523" s="174">
        <f>Ruimtestaat[[#This Row],[kosten / jaar weekend]]+Ruimtestaat[[#This Row],[kosten / jaar werkdagen]]</f>
        <v>0</v>
      </c>
      <c r="AG523" s="174"/>
      <c r="AH523" s="181" t="str">
        <f>IF(Ruimtestaat[[#This Row],[Frequentie werkdagen]]="","",_xlfn.CONCAT(Ruimtestaat[[#This Row],[Ruimte code]],"-",Ruimtestaat[[#This Row],[Frequentie werkdagen]]," ",Ruimtestaat[[#This Row],[Vloer code]]))</f>
        <v>5-5w S</v>
      </c>
      <c r="AI523" s="185" t="str">
        <f>_xlfn.IFNA(VLOOKUP($AH523,Programma!$F$3:$G$1101,2,0),"")</f>
        <v>_</v>
      </c>
      <c r="AJ523" s="185" t="str">
        <f>_xlfn.IFNA(VLOOKUP($AH523,Programma!$F$3:$H$1101,3,0),"")</f>
        <v>_</v>
      </c>
      <c r="AK523" s="185" t="str">
        <f>_xlfn.IFNA(VLOOKUP($AH523,Programma!$F$3:$I$1101,4,0),"")</f>
        <v>_</v>
      </c>
      <c r="AL523" s="185" t="str">
        <f>_xlfn.IFNA(VLOOKUP($AH523,Programma!$F$3:$J$1101,5,0),"")</f>
        <v>4w</v>
      </c>
      <c r="AM523" s="185" t="str">
        <f>_xlfn.IFNA(VLOOKUP($AH523,Programma!$F$3:$K$1101,6,0),"")</f>
        <v>1w</v>
      </c>
      <c r="AN523" s="185" t="str">
        <f>_xlfn.IFNA(VLOOKUP($AH523,Programma!$F$3:$L$1101,7,0),"")</f>
        <v>_</v>
      </c>
      <c r="AO523" s="185" t="str">
        <f>_xlfn.IFNA(VLOOKUP($AH523,Programma!$F$3:$M$1101,8,0),"")</f>
        <v>_</v>
      </c>
      <c r="AP523" s="185" t="str">
        <f>_xlfn.IFNA(VLOOKUP($AH523,Programma!$F$3:$N$1101,9,0),"")</f>
        <v>_</v>
      </c>
      <c r="AQ523" s="185" t="str">
        <f>_xlfn.IFNA(VLOOKUP($AH523,Programma!$F$3:$O$1101,10,0),"")</f>
        <v>_</v>
      </c>
      <c r="AR523" s="185" t="str">
        <f>_xlfn.IFNA(VLOOKUP($AH523,Programma!$F$3:$P$1101,11,0),"")</f>
        <v>_</v>
      </c>
      <c r="AS523" s="185" t="str">
        <f>_xlfn.IFNA(VLOOKUP($AH523,Programma!$F$3:$Q$1101,12,0),"")</f>
        <v>_</v>
      </c>
      <c r="AT523" s="185" t="str">
        <f>_xlfn.IFNA(VLOOKUP($AH523,Programma!$F$3:$R$1101,13,0),"")</f>
        <v>_</v>
      </c>
      <c r="AU523" s="185" t="str">
        <f>_xlfn.IFNA(VLOOKUP($AH523,Programma!$F$3:$S$1101,14,0),"")</f>
        <v>_</v>
      </c>
      <c r="AV523" s="185" t="str">
        <f>_xlfn.IFNA(VLOOKUP($AH523,Programma!$F$3:$T$1101,15,0),"")</f>
        <v>_</v>
      </c>
      <c r="AW523" s="185" t="str">
        <f>_xlfn.IFNA(VLOOKUP($AH523,Programma!$F$3:$U$1101,16,0),"")</f>
        <v>_</v>
      </c>
      <c r="AX523" s="185" t="str">
        <f>_xlfn.IFNA(VLOOKUP($AH523,Programma!$F$3:$V$1101,17,0),"")</f>
        <v>_</v>
      </c>
      <c r="AY523" s="185" t="str">
        <f>_xlfn.IFNA(VLOOKUP($AH523,Programma!$F$3:$W$1101,18,0),"")</f>
        <v>4w</v>
      </c>
      <c r="AZ523" s="185" t="str">
        <f>_xlfn.IFNA(VLOOKUP($AH523,Programma!$F$3:$X$1101,19,0),"")</f>
        <v>1w</v>
      </c>
      <c r="BA523" s="185" t="str">
        <f>_xlfn.IFNA(VLOOKUP($AH523,Programma!$F$3:$Y$1101,20,0),"")</f>
        <v>_</v>
      </c>
      <c r="BB523" s="182"/>
      <c r="BC523" s="181" t="str">
        <f>IF(Ruimtestaat[[#This Row],[Frequentie weekend]]="","",_xlfn.CONCAT(Ruimtestaat[[#This Row],[Ruimte code]],"-",Ruimtestaat[[#This Row],[Frequentie weekend]]," ",Ruimtestaat[[#This Row],[Vloer code]]))</f>
        <v/>
      </c>
      <c r="BD523" s="185" t="str">
        <f>_xlfn.IFNA(VLOOKUP($BC523,Programma!$F$3:$G$1101,2,0),"")</f>
        <v/>
      </c>
      <c r="BE523" s="185" t="str">
        <f>_xlfn.IFNA(VLOOKUP($BC523,Programma!$F$3:$H$1101,3,0),"")</f>
        <v/>
      </c>
      <c r="BF523" s="185" t="str">
        <f>_xlfn.IFNA(VLOOKUP($BC523,Programma!$F$3:$I$1101,4,0),"")</f>
        <v/>
      </c>
      <c r="BG523" s="185" t="str">
        <f>_xlfn.IFNA(VLOOKUP($BC523,Programma!$F$3:$J$1101,5,0),"")</f>
        <v/>
      </c>
      <c r="BH523" s="185" t="str">
        <f>_xlfn.IFNA(VLOOKUP($BC523,Programma!$F$3:$K$1101,6,0),"")</f>
        <v/>
      </c>
      <c r="BI523" s="185" t="str">
        <f>_xlfn.IFNA(VLOOKUP($BC523,Programma!$F$3:$L$1101,7,0),"")</f>
        <v/>
      </c>
      <c r="BJ523" s="185" t="str">
        <f>_xlfn.IFNA(VLOOKUP($BC523,Programma!$F$3:$M$1101,8,0),"")</f>
        <v/>
      </c>
      <c r="BK523" s="185" t="str">
        <f>_xlfn.IFNA(VLOOKUP($BC523,Programma!$F$3:$N$1101,9,0),"")</f>
        <v/>
      </c>
      <c r="BL523" s="185" t="str">
        <f>_xlfn.IFNA(VLOOKUP($BC523,Programma!$F$3:$O$1101,10,0),"")</f>
        <v/>
      </c>
      <c r="BM523" s="185" t="str">
        <f>_xlfn.IFNA(VLOOKUP($BC523,Programma!$F$3:$P$1101,11,0),"")</f>
        <v/>
      </c>
      <c r="BN523" s="185" t="str">
        <f>_xlfn.IFNA(VLOOKUP($BC523,Programma!$F$3:$Q$1101,12,0),"")</f>
        <v/>
      </c>
      <c r="BO523" s="185" t="str">
        <f>_xlfn.IFNA(VLOOKUP($BC523,Programma!$F$3:$R$1101,13,0),"")</f>
        <v/>
      </c>
      <c r="BP523" s="185" t="str">
        <f>_xlfn.IFNA(VLOOKUP($BC523,Programma!$F$3:$S$1101,14,0),"")</f>
        <v/>
      </c>
      <c r="BQ523" s="185" t="str">
        <f>_xlfn.IFNA(VLOOKUP($BC523,Programma!$F$3:$T$1101,15,0),"")</f>
        <v/>
      </c>
      <c r="BR523" s="185" t="str">
        <f>_xlfn.IFNA(VLOOKUP($BC523,Programma!$F$3:$U$1101,16,0),"")</f>
        <v/>
      </c>
      <c r="BS523" s="185" t="str">
        <f>_xlfn.IFNA(VLOOKUP($BC523,Programma!$F$3:$V$1101,17,0),"")</f>
        <v/>
      </c>
      <c r="BT523" s="185" t="str">
        <f>_xlfn.IFNA(VLOOKUP($BC523,Programma!$F$3:$W$1101,18,0),"")</f>
        <v/>
      </c>
      <c r="BU523" s="185" t="str">
        <f>_xlfn.IFNA(VLOOKUP($BC523,Programma!$F$3:$X$1101,19,0),"")</f>
        <v/>
      </c>
      <c r="BV523" s="185" t="str">
        <f>_xlfn.IFNA(VLOOKUP($BC523,Programma!$F$3:$Y$1101,20,0),"")</f>
        <v/>
      </c>
    </row>
    <row r="524" spans="1:74" s="78" customFormat="1" ht="15" customHeight="1">
      <c r="A524" s="99">
        <v>15</v>
      </c>
      <c r="B524" s="176" t="str">
        <f>VLOOKUP(Ruimtestaat[[#This Row],[Code]],Locaties[[Code]:[Locatie]],2,FALSE)</f>
        <v>Prinseschool Staringstraat</v>
      </c>
      <c r="C524" s="176" t="str">
        <f>VLOOKUP(Ruimtestaat[[#This Row],[Code]],Locaties[[#All],[Code]:[Adres]],4,FALSE)</f>
        <v>Staringstraat 15 </v>
      </c>
      <c r="D524" s="176" t="str">
        <f>VLOOKUP(Ruimtestaat[[#This Row],[Code]],Locaties[[#All],[Code]:[Postcode]],5,FALSE)</f>
        <v>7514 DE</v>
      </c>
      <c r="E524" s="176" t="str">
        <f>VLOOKUP(Ruimtestaat[[#This Row],[Code]],Locaties[#All],6,FALSE)</f>
        <v>Enschede</v>
      </c>
      <c r="F524" s="183"/>
      <c r="G524" s="99" t="s">
        <v>1646</v>
      </c>
      <c r="H524" s="99" t="s">
        <v>1660</v>
      </c>
      <c r="I524" s="183" t="s">
        <v>1649</v>
      </c>
      <c r="J524" s="99">
        <v>2</v>
      </c>
      <c r="K524" s="183" t="str">
        <f>VLOOKUP(Ruimtestaat[[#This Row],[Ruimte code]],Ruimtegroepen[[#All],[Code]:[Ruimte omschrijving]],2,FALSE)</f>
        <v>Kantoren</v>
      </c>
      <c r="L524" s="99" t="s">
        <v>100</v>
      </c>
      <c r="M524" s="99" t="s">
        <v>1697</v>
      </c>
      <c r="N524" s="177">
        <v>5.7</v>
      </c>
      <c r="O524" s="177"/>
      <c r="P524" s="178" t="str">
        <f>VLOOKUP(Ruimtestaat[[#This Row],[Ruimte code]],Ruimtegroepen[],4,FALSE)</f>
        <v>Bu</v>
      </c>
      <c r="Q524" s="149">
        <v>40</v>
      </c>
      <c r="R524" s="149" t="s">
        <v>18</v>
      </c>
      <c r="S524" s="149">
        <f>IF(Q524&gt;0,IF(RIGHT(Ruimtestaat[[#This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24" s="149">
        <f>IF(S524&gt;0,VLOOKUP($J524,Ruimtegroepen[],3,FALSE)*VLOOKUP($L524,Vloersoorten[],3,FALSE)*VLOOKUP($R524,Frequenties[],3,FALSE)*VLOOKUP($A524,Locaties[],3,FALSE),0)</f>
        <v>0</v>
      </c>
      <c r="U524" s="149">
        <f>Ruimtestaat[[#This Row],[Uitvoeringen werkdagen]]*Ruimtestaat[[#This Row],[Oppervlak (netto)]]</f>
        <v>684</v>
      </c>
      <c r="V524" s="179">
        <f>IF(T524&gt;0,Ruimtestaat[[#This Row],[Prest. (m2 /jaar) werkdagen]]/Ruimtestaat[[#This Row],[Norm (m2/uur) werkdagen]],0)</f>
        <v>0</v>
      </c>
      <c r="W524" s="180">
        <f>Ruimtestaat[[#This Row],[uren / jaar werkdagen]]*Tariefsopbouw!$E$35</f>
        <v>0</v>
      </c>
      <c r="X524" s="149"/>
      <c r="Y524" s="149">
        <f>IF(Ruimtestaat[[#This Row],[Frequentie weekend]]&gt;0,VALUE(LEFT(X524,1))*Q524,0)</f>
        <v>0</v>
      </c>
      <c r="Z524" s="148">
        <f>IF($Y524&gt;0,VLOOKUP($J524,Ruimtegroepen[],3,FALSE)*VLOOKUP($L524,Vloersoorten[],3,FALSE)*VLOOKUP($X524,Frequenties[],3,FALSE)*VLOOKUP(Ruimtestaat[[#This Row],[Code]],Locaties[],3,FALSE),0)</f>
        <v>0</v>
      </c>
      <c r="AA524" s="148">
        <f>Ruimtestaat[[#This Row],[Uitvoeringen weekend]]*Ruimtestaat[[#This Row],[Oppervlak (netto)]]</f>
        <v>0</v>
      </c>
      <c r="AB524" s="148">
        <f>IF(Z524&gt;0,Ruimtestaat[[#This Row],[Prest. (m2 /jaar) weekend]]/Ruimtestaat[[#This Row],[Norm (m2/uur) weekend]],0)</f>
        <v>0</v>
      </c>
      <c r="AC524" s="180">
        <f>Ruimtestaat[[#This Row],[uren / jaar weekend]]*Tariefsopbouw!$D$40</f>
        <v>0</v>
      </c>
      <c r="AD524" s="179">
        <f>Ruimtestaat[[#This Row],[Prest. (m2 /jaar) weekend]]+Ruimtestaat[[#This Row],[Prest. (m2 /jaar) werkdagen]]</f>
        <v>684</v>
      </c>
      <c r="AE524" s="179">
        <f>Ruimtestaat[[#This Row],[uren / jaar weekend]]+Ruimtestaat[[#This Row],[uren / jaar werkdagen]]</f>
        <v>0</v>
      </c>
      <c r="AF524" s="174">
        <f>Ruimtestaat[[#This Row],[kosten / jaar weekend]]+Ruimtestaat[[#This Row],[kosten / jaar werkdagen]]</f>
        <v>0</v>
      </c>
      <c r="AG524" s="174"/>
      <c r="AH524" s="181" t="str">
        <f>IF(Ruimtestaat[[#This Row],[Frequentie werkdagen]]="","",_xlfn.CONCAT(Ruimtestaat[[#This Row],[Ruimte code]],"-",Ruimtestaat[[#This Row],[Frequentie werkdagen]]," ",Ruimtestaat[[#This Row],[Vloer code]]))</f>
        <v>2-3w L</v>
      </c>
      <c r="AI524" s="185" t="str">
        <f>_xlfn.IFNA(VLOOKUP($AH524,Programma!$F$3:$G$1101,2,0),"")</f>
        <v>_</v>
      </c>
      <c r="AJ524" s="185" t="str">
        <f>_xlfn.IFNA(VLOOKUP($AH524,Programma!$F$3:$H$1101,3,0),"")</f>
        <v>_</v>
      </c>
      <c r="AK524" s="185" t="str">
        <f>_xlfn.IFNA(VLOOKUP($AH524,Programma!$F$3:$I$1101,4,0),"")</f>
        <v>2w</v>
      </c>
      <c r="AL524" s="185" t="str">
        <f>_xlfn.IFNA(VLOOKUP($AH524,Programma!$F$3:$J$1101,5,0),"")</f>
        <v>1w</v>
      </c>
      <c r="AM524" s="185" t="str">
        <f>_xlfn.IFNA(VLOOKUP($AH524,Programma!$F$3:$K$1101,6,0),"")</f>
        <v>_</v>
      </c>
      <c r="AN524" s="185" t="str">
        <f>_xlfn.IFNA(VLOOKUP($AH524,Programma!$F$3:$L$1101,7,0),"")</f>
        <v>_</v>
      </c>
      <c r="AO524" s="185" t="str">
        <f>_xlfn.IFNA(VLOOKUP($AH524,Programma!$F$3:$M$1101,8,0),"")</f>
        <v>_</v>
      </c>
      <c r="AP524" s="185" t="str">
        <f>_xlfn.IFNA(VLOOKUP($AH524,Programma!$F$3:$N$1101,9,0),"")</f>
        <v>_</v>
      </c>
      <c r="AQ524" s="185" t="str">
        <f>_xlfn.IFNA(VLOOKUP($AH524,Programma!$F$3:$O$1101,10,0),"")</f>
        <v>3w</v>
      </c>
      <c r="AR524" s="185" t="str">
        <f>_xlfn.IFNA(VLOOKUP($AH524,Programma!$F$3:$P$1101,11,0),"")</f>
        <v>3w</v>
      </c>
      <c r="AS524" s="185" t="str">
        <f>_xlfn.IFNA(VLOOKUP($AH524,Programma!$F$3:$Q$1101,12,0),"")</f>
        <v>1w</v>
      </c>
      <c r="AT524" s="185" t="str">
        <f>_xlfn.IFNA(VLOOKUP($AH524,Programma!$F$3:$R$1101,13,0),"")</f>
        <v>1w</v>
      </c>
      <c r="AU524" s="185" t="str">
        <f>_xlfn.IFNA(VLOOKUP($AH524,Programma!$F$3:$S$1101,14,0),"")</f>
        <v>1m</v>
      </c>
      <c r="AV524" s="185" t="str">
        <f>_xlfn.IFNA(VLOOKUP($AH524,Programma!$F$3:$T$1101,15,0),"")</f>
        <v>2j</v>
      </c>
      <c r="AW524" s="185" t="str">
        <f>_xlfn.IFNA(VLOOKUP($AH524,Programma!$F$3:$U$1101,16,0),"")</f>
        <v>1j</v>
      </c>
      <c r="AX524" s="185" t="str">
        <f>_xlfn.IFNA(VLOOKUP($AH524,Programma!$F$3:$V$1101,17,0),"")</f>
        <v>_</v>
      </c>
      <c r="AY524" s="185" t="str">
        <f>_xlfn.IFNA(VLOOKUP($AH524,Programma!$F$3:$W$1101,18,0),"")</f>
        <v>_</v>
      </c>
      <c r="AZ524" s="185" t="str">
        <f>_xlfn.IFNA(VLOOKUP($AH524,Programma!$F$3:$X$1101,19,0),"")</f>
        <v>_</v>
      </c>
      <c r="BA524" s="185" t="str">
        <f>_xlfn.IFNA(VLOOKUP($AH524,Programma!$F$3:$Y$1101,20,0),"")</f>
        <v>_</v>
      </c>
      <c r="BB524" s="182"/>
      <c r="BC524" s="181" t="str">
        <f>IF(Ruimtestaat[[#This Row],[Frequentie weekend]]="","",_xlfn.CONCAT(Ruimtestaat[[#This Row],[Ruimte code]],"-",Ruimtestaat[[#This Row],[Frequentie weekend]]," ",Ruimtestaat[[#This Row],[Vloer code]]))</f>
        <v/>
      </c>
      <c r="BD524" s="185" t="str">
        <f>_xlfn.IFNA(VLOOKUP($BC524,Programma!$F$3:$G$1101,2,0),"")</f>
        <v/>
      </c>
      <c r="BE524" s="185" t="str">
        <f>_xlfn.IFNA(VLOOKUP($BC524,Programma!$F$3:$H$1101,3,0),"")</f>
        <v/>
      </c>
      <c r="BF524" s="185" t="str">
        <f>_xlfn.IFNA(VLOOKUP($BC524,Programma!$F$3:$I$1101,4,0),"")</f>
        <v/>
      </c>
      <c r="BG524" s="185" t="str">
        <f>_xlfn.IFNA(VLOOKUP($BC524,Programma!$F$3:$J$1101,5,0),"")</f>
        <v/>
      </c>
      <c r="BH524" s="185" t="str">
        <f>_xlfn.IFNA(VLOOKUP($BC524,Programma!$F$3:$K$1101,6,0),"")</f>
        <v/>
      </c>
      <c r="BI524" s="185" t="str">
        <f>_xlfn.IFNA(VLOOKUP($BC524,Programma!$F$3:$L$1101,7,0),"")</f>
        <v/>
      </c>
      <c r="BJ524" s="185" t="str">
        <f>_xlfn.IFNA(VLOOKUP($BC524,Programma!$F$3:$M$1101,8,0),"")</f>
        <v/>
      </c>
      <c r="BK524" s="185" t="str">
        <f>_xlfn.IFNA(VLOOKUP($BC524,Programma!$F$3:$N$1101,9,0),"")</f>
        <v/>
      </c>
      <c r="BL524" s="185" t="str">
        <f>_xlfn.IFNA(VLOOKUP($BC524,Programma!$F$3:$O$1101,10,0),"")</f>
        <v/>
      </c>
      <c r="BM524" s="185" t="str">
        <f>_xlfn.IFNA(VLOOKUP($BC524,Programma!$F$3:$P$1101,11,0),"")</f>
        <v/>
      </c>
      <c r="BN524" s="185" t="str">
        <f>_xlfn.IFNA(VLOOKUP($BC524,Programma!$F$3:$Q$1101,12,0),"")</f>
        <v/>
      </c>
      <c r="BO524" s="185" t="str">
        <f>_xlfn.IFNA(VLOOKUP($BC524,Programma!$F$3:$R$1101,13,0),"")</f>
        <v/>
      </c>
      <c r="BP524" s="185" t="str">
        <f>_xlfn.IFNA(VLOOKUP($BC524,Programma!$F$3:$S$1101,14,0),"")</f>
        <v/>
      </c>
      <c r="BQ524" s="185" t="str">
        <f>_xlfn.IFNA(VLOOKUP($BC524,Programma!$F$3:$T$1101,15,0),"")</f>
        <v/>
      </c>
      <c r="BR524" s="185" t="str">
        <f>_xlfn.IFNA(VLOOKUP($BC524,Programma!$F$3:$U$1101,16,0),"")</f>
        <v/>
      </c>
      <c r="BS524" s="185" t="str">
        <f>_xlfn.IFNA(VLOOKUP($BC524,Programma!$F$3:$V$1101,17,0),"")</f>
        <v/>
      </c>
      <c r="BT524" s="185" t="str">
        <f>_xlfn.IFNA(VLOOKUP($BC524,Programma!$F$3:$W$1101,18,0),"")</f>
        <v/>
      </c>
      <c r="BU524" s="185" t="str">
        <f>_xlfn.IFNA(VLOOKUP($BC524,Programma!$F$3:$X$1101,19,0),"")</f>
        <v/>
      </c>
      <c r="BV524" s="185" t="str">
        <f>_xlfn.IFNA(VLOOKUP($BC524,Programma!$F$3:$Y$1101,20,0),"")</f>
        <v/>
      </c>
    </row>
    <row r="525" spans="1:74" s="78" customFormat="1" ht="15" customHeight="1">
      <c r="A525" s="99">
        <v>15</v>
      </c>
      <c r="B525" s="176" t="str">
        <f>VLOOKUP(Ruimtestaat[[#This Row],[Code]],Locaties[[Code]:[Locatie]],2,FALSE)</f>
        <v>Prinseschool Staringstraat</v>
      </c>
      <c r="C525" s="176" t="str">
        <f>VLOOKUP(Ruimtestaat[[#This Row],[Code]],Locaties[[#All],[Code]:[Adres]],4,FALSE)</f>
        <v>Staringstraat 15 </v>
      </c>
      <c r="D525" s="176" t="str">
        <f>VLOOKUP(Ruimtestaat[[#This Row],[Code]],Locaties[[#All],[Code]:[Postcode]],5,FALSE)</f>
        <v>7514 DE</v>
      </c>
      <c r="E525" s="176" t="str">
        <f>VLOOKUP(Ruimtestaat[[#This Row],[Code]],Locaties[#All],6,FALSE)</f>
        <v>Enschede</v>
      </c>
      <c r="F525" s="183"/>
      <c r="G525" s="99" t="s">
        <v>1646</v>
      </c>
      <c r="H525" s="99" t="s">
        <v>1661</v>
      </c>
      <c r="I525" s="183" t="s">
        <v>1585</v>
      </c>
      <c r="J525" s="99">
        <v>13</v>
      </c>
      <c r="K525" s="183" t="str">
        <f>VLOOKUP(Ruimtestaat[[#This Row],[Ruimte code]],Ruimtegroepen[[#All],[Code]:[Ruimte omschrijving]],2,FALSE)</f>
        <v>Personeelskamer</v>
      </c>
      <c r="L525" s="99" t="s">
        <v>100</v>
      </c>
      <c r="M525" s="99" t="s">
        <v>1697</v>
      </c>
      <c r="N525" s="177">
        <v>52</v>
      </c>
      <c r="O525" s="177"/>
      <c r="P525" s="178" t="str">
        <f>VLOOKUP(Ruimtestaat[[#This Row],[Ruimte code]],Ruimtegroepen[],4,FALSE)</f>
        <v>Ve</v>
      </c>
      <c r="Q525" s="149">
        <v>40</v>
      </c>
      <c r="R525" s="149" t="s">
        <v>18</v>
      </c>
      <c r="S525" s="149">
        <f>IF(Q525&gt;0,IF(RIGHT(Ruimtestaat[[#This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25" s="149">
        <f>IF(S525&gt;0,VLOOKUP($J525,Ruimtegroepen[],3,FALSE)*VLOOKUP($L525,Vloersoorten[],3,FALSE)*VLOOKUP($R525,Frequenties[],3,FALSE)*VLOOKUP($A525,Locaties[],3,FALSE),0)</f>
        <v>0</v>
      </c>
      <c r="U525" s="149">
        <f>Ruimtestaat[[#This Row],[Uitvoeringen werkdagen]]*Ruimtestaat[[#This Row],[Oppervlak (netto)]]</f>
        <v>6240</v>
      </c>
      <c r="V525" s="179">
        <f>IF(T525&gt;0,Ruimtestaat[[#This Row],[Prest. (m2 /jaar) werkdagen]]/Ruimtestaat[[#This Row],[Norm (m2/uur) werkdagen]],0)</f>
        <v>0</v>
      </c>
      <c r="W525" s="180">
        <f>Ruimtestaat[[#This Row],[uren / jaar werkdagen]]*Tariefsopbouw!$E$35</f>
        <v>0</v>
      </c>
      <c r="X525" s="149"/>
      <c r="Y525" s="149">
        <f>IF(Ruimtestaat[[#This Row],[Frequentie weekend]]&gt;0,VALUE(LEFT(X525,1))*Q525,0)</f>
        <v>0</v>
      </c>
      <c r="Z525" s="148">
        <f>IF($Y525&gt;0,VLOOKUP($J525,Ruimtegroepen[],3,FALSE)*VLOOKUP($L525,Vloersoorten[],3,FALSE)*VLOOKUP($X525,Frequenties[],3,FALSE)*VLOOKUP(Ruimtestaat[[#This Row],[Code]],Locaties[],3,FALSE),0)</f>
        <v>0</v>
      </c>
      <c r="AA525" s="148">
        <f>Ruimtestaat[[#This Row],[Uitvoeringen weekend]]*Ruimtestaat[[#This Row],[Oppervlak (netto)]]</f>
        <v>0</v>
      </c>
      <c r="AB525" s="148">
        <f>IF(Z525&gt;0,Ruimtestaat[[#This Row],[Prest. (m2 /jaar) weekend]]/Ruimtestaat[[#This Row],[Norm (m2/uur) weekend]],0)</f>
        <v>0</v>
      </c>
      <c r="AC525" s="180">
        <f>Ruimtestaat[[#This Row],[uren / jaar weekend]]*Tariefsopbouw!$D$40</f>
        <v>0</v>
      </c>
      <c r="AD525" s="179">
        <f>Ruimtestaat[[#This Row],[Prest. (m2 /jaar) weekend]]+Ruimtestaat[[#This Row],[Prest. (m2 /jaar) werkdagen]]</f>
        <v>6240</v>
      </c>
      <c r="AE525" s="179">
        <f>Ruimtestaat[[#This Row],[uren / jaar weekend]]+Ruimtestaat[[#This Row],[uren / jaar werkdagen]]</f>
        <v>0</v>
      </c>
      <c r="AF525" s="174">
        <f>Ruimtestaat[[#This Row],[kosten / jaar weekend]]+Ruimtestaat[[#This Row],[kosten / jaar werkdagen]]</f>
        <v>0</v>
      </c>
      <c r="AG525" s="174"/>
      <c r="AH525" s="181" t="str">
        <f>IF(Ruimtestaat[[#This Row],[Frequentie werkdagen]]="","",_xlfn.CONCAT(Ruimtestaat[[#This Row],[Ruimte code]],"-",Ruimtestaat[[#This Row],[Frequentie werkdagen]]," ",Ruimtestaat[[#This Row],[Vloer code]]))</f>
        <v>13-3w L</v>
      </c>
      <c r="AI525" s="185" t="str">
        <f>_xlfn.IFNA(VLOOKUP($AH525,Programma!$F$3:$G$1101,2,0),"")</f>
        <v>_</v>
      </c>
      <c r="AJ525" s="185" t="str">
        <f>_xlfn.IFNA(VLOOKUP($AH525,Programma!$F$3:$H$1101,3,0),"")</f>
        <v>_</v>
      </c>
      <c r="AK525" s="185" t="str">
        <f>_xlfn.IFNA(VLOOKUP($AH525,Programma!$F$3:$I$1101,4,0),"")</f>
        <v>2w</v>
      </c>
      <c r="AL525" s="185" t="str">
        <f>_xlfn.IFNA(VLOOKUP($AH525,Programma!$F$3:$J$1101,5,0),"")</f>
        <v>1w</v>
      </c>
      <c r="AM525" s="185" t="str">
        <f>_xlfn.IFNA(VLOOKUP($AH525,Programma!$F$3:$K$1101,6,0),"")</f>
        <v>_</v>
      </c>
      <c r="AN525" s="185" t="str">
        <f>_xlfn.IFNA(VLOOKUP($AH525,Programma!$F$3:$L$1101,7,0),"")</f>
        <v>_</v>
      </c>
      <c r="AO525" s="185" t="str">
        <f>_xlfn.IFNA(VLOOKUP($AH525,Programma!$F$3:$M$1101,8,0),"")</f>
        <v>_</v>
      </c>
      <c r="AP525" s="185" t="str">
        <f>_xlfn.IFNA(VLOOKUP($AH525,Programma!$F$3:$N$1101,9,0),"")</f>
        <v>_</v>
      </c>
      <c r="AQ525" s="185" t="str">
        <f>_xlfn.IFNA(VLOOKUP($AH525,Programma!$F$3:$O$1101,10,0),"")</f>
        <v>3w</v>
      </c>
      <c r="AR525" s="185" t="str">
        <f>_xlfn.IFNA(VLOOKUP($AH525,Programma!$F$3:$P$1101,11,0),"")</f>
        <v>3w</v>
      </c>
      <c r="AS525" s="185" t="str">
        <f>_xlfn.IFNA(VLOOKUP($AH525,Programma!$F$3:$Q$1101,12,0),"")</f>
        <v>1w</v>
      </c>
      <c r="AT525" s="185" t="str">
        <f>_xlfn.IFNA(VLOOKUP($AH525,Programma!$F$3:$R$1101,13,0),"")</f>
        <v>1w</v>
      </c>
      <c r="AU525" s="185" t="str">
        <f>_xlfn.IFNA(VLOOKUP($AH525,Programma!$F$3:$S$1101,14,0),"")</f>
        <v>1m</v>
      </c>
      <c r="AV525" s="185" t="str">
        <f>_xlfn.IFNA(VLOOKUP($AH525,Programma!$F$3:$T$1101,15,0),"")</f>
        <v>2j</v>
      </c>
      <c r="AW525" s="185" t="str">
        <f>_xlfn.IFNA(VLOOKUP($AH525,Programma!$F$3:$U$1101,16,0),"")</f>
        <v>1j</v>
      </c>
      <c r="AX525" s="185" t="str">
        <f>_xlfn.IFNA(VLOOKUP($AH525,Programma!$F$3:$V$1101,17,0),"")</f>
        <v>_</v>
      </c>
      <c r="AY525" s="185" t="str">
        <f>_xlfn.IFNA(VLOOKUP($AH525,Programma!$F$3:$W$1101,18,0),"")</f>
        <v>_</v>
      </c>
      <c r="AZ525" s="185" t="str">
        <f>_xlfn.IFNA(VLOOKUP($AH525,Programma!$F$3:$X$1101,19,0),"")</f>
        <v>_</v>
      </c>
      <c r="BA525" s="185" t="str">
        <f>_xlfn.IFNA(VLOOKUP($AH525,Programma!$F$3:$Y$1101,20,0),"")</f>
        <v>_</v>
      </c>
      <c r="BB525" s="182"/>
      <c r="BC525" s="181" t="str">
        <f>IF(Ruimtestaat[[#This Row],[Frequentie weekend]]="","",_xlfn.CONCAT(Ruimtestaat[[#This Row],[Ruimte code]],"-",Ruimtestaat[[#This Row],[Frequentie weekend]]," ",Ruimtestaat[[#This Row],[Vloer code]]))</f>
        <v/>
      </c>
      <c r="BD525" s="185" t="str">
        <f>_xlfn.IFNA(VLOOKUP($BC525,Programma!$F$3:$G$1101,2,0),"")</f>
        <v/>
      </c>
      <c r="BE525" s="185" t="str">
        <f>_xlfn.IFNA(VLOOKUP($BC525,Programma!$F$3:$H$1101,3,0),"")</f>
        <v/>
      </c>
      <c r="BF525" s="185" t="str">
        <f>_xlfn.IFNA(VLOOKUP($BC525,Programma!$F$3:$I$1101,4,0),"")</f>
        <v/>
      </c>
      <c r="BG525" s="185" t="str">
        <f>_xlfn.IFNA(VLOOKUP($BC525,Programma!$F$3:$J$1101,5,0),"")</f>
        <v/>
      </c>
      <c r="BH525" s="185" t="str">
        <f>_xlfn.IFNA(VLOOKUP($BC525,Programma!$F$3:$K$1101,6,0),"")</f>
        <v/>
      </c>
      <c r="BI525" s="185" t="str">
        <f>_xlfn.IFNA(VLOOKUP($BC525,Programma!$F$3:$L$1101,7,0),"")</f>
        <v/>
      </c>
      <c r="BJ525" s="185" t="str">
        <f>_xlfn.IFNA(VLOOKUP($BC525,Programma!$F$3:$M$1101,8,0),"")</f>
        <v/>
      </c>
      <c r="BK525" s="185" t="str">
        <f>_xlfn.IFNA(VLOOKUP($BC525,Programma!$F$3:$N$1101,9,0),"")</f>
        <v/>
      </c>
      <c r="BL525" s="185" t="str">
        <f>_xlfn.IFNA(VLOOKUP($BC525,Programma!$F$3:$O$1101,10,0),"")</f>
        <v/>
      </c>
      <c r="BM525" s="185" t="str">
        <f>_xlfn.IFNA(VLOOKUP($BC525,Programma!$F$3:$P$1101,11,0),"")</f>
        <v/>
      </c>
      <c r="BN525" s="185" t="str">
        <f>_xlfn.IFNA(VLOOKUP($BC525,Programma!$F$3:$Q$1101,12,0),"")</f>
        <v/>
      </c>
      <c r="BO525" s="185" t="str">
        <f>_xlfn.IFNA(VLOOKUP($BC525,Programma!$F$3:$R$1101,13,0),"")</f>
        <v/>
      </c>
      <c r="BP525" s="185" t="str">
        <f>_xlfn.IFNA(VLOOKUP($BC525,Programma!$F$3:$S$1101,14,0),"")</f>
        <v/>
      </c>
      <c r="BQ525" s="185" t="str">
        <f>_xlfn.IFNA(VLOOKUP($BC525,Programma!$F$3:$T$1101,15,0),"")</f>
        <v/>
      </c>
      <c r="BR525" s="185" t="str">
        <f>_xlfn.IFNA(VLOOKUP($BC525,Programma!$F$3:$U$1101,16,0),"")</f>
        <v/>
      </c>
      <c r="BS525" s="185" t="str">
        <f>_xlfn.IFNA(VLOOKUP($BC525,Programma!$F$3:$V$1101,17,0),"")</f>
        <v/>
      </c>
      <c r="BT525" s="185" t="str">
        <f>_xlfn.IFNA(VLOOKUP($BC525,Programma!$F$3:$W$1101,18,0),"")</f>
        <v/>
      </c>
      <c r="BU525" s="185" t="str">
        <f>_xlfn.IFNA(VLOOKUP($BC525,Programma!$F$3:$X$1101,19,0),"")</f>
        <v/>
      </c>
      <c r="BV525" s="185" t="str">
        <f>_xlfn.IFNA(VLOOKUP($BC525,Programma!$F$3:$Y$1101,20,0),"")</f>
        <v/>
      </c>
    </row>
    <row r="526" spans="1:74" s="78" customFormat="1" ht="15" customHeight="1">
      <c r="A526" s="99">
        <v>15</v>
      </c>
      <c r="B526" s="176" t="str">
        <f>VLOOKUP(Ruimtestaat[[#This Row],[Code]],Locaties[[Code]:[Locatie]],2,FALSE)</f>
        <v>Prinseschool Staringstraat</v>
      </c>
      <c r="C526" s="176" t="str">
        <f>VLOOKUP(Ruimtestaat[[#This Row],[Code]],Locaties[[#All],[Code]:[Adres]],4,FALSE)</f>
        <v>Staringstraat 15 </v>
      </c>
      <c r="D526" s="176" t="str">
        <f>VLOOKUP(Ruimtestaat[[#This Row],[Code]],Locaties[[#All],[Code]:[Postcode]],5,FALSE)</f>
        <v>7514 DE</v>
      </c>
      <c r="E526" s="176" t="str">
        <f>VLOOKUP(Ruimtestaat[[#This Row],[Code]],Locaties[#All],6,FALSE)</f>
        <v>Enschede</v>
      </c>
      <c r="F526" s="183"/>
      <c r="G526" s="99" t="s">
        <v>1646</v>
      </c>
      <c r="H526" s="99" t="s">
        <v>1662</v>
      </c>
      <c r="I526" s="183" t="s">
        <v>1651</v>
      </c>
      <c r="J526" s="99">
        <v>16</v>
      </c>
      <c r="K526" s="183" t="str">
        <f>VLOOKUP(Ruimtestaat[[#This Row],[Ruimte code]],Ruimtegroepen[[#All],[Code]:[Ruimte omschrijving]],2,FALSE)</f>
        <v>Leslokalen</v>
      </c>
      <c r="L526" s="99" t="s">
        <v>100</v>
      </c>
      <c r="M526" s="99" t="s">
        <v>1697</v>
      </c>
      <c r="N526" s="177">
        <v>55.2</v>
      </c>
      <c r="O526" s="177"/>
      <c r="P526" s="178" t="str">
        <f>VLOOKUP(Ruimtestaat[[#This Row],[Ruimte code]],Ruimtegroepen[],4,FALSE)</f>
        <v>Le</v>
      </c>
      <c r="Q526" s="149">
        <v>40</v>
      </c>
      <c r="R526" s="149" t="s">
        <v>2</v>
      </c>
      <c r="S526" s="149">
        <f>IF(Q526&gt;0,IF(RIGHT(Ruimtestaat[[#This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6" s="149">
        <f>IF(S526&gt;0,VLOOKUP($J526,Ruimtegroepen[],3,FALSE)*VLOOKUP($L526,Vloersoorten[],3,FALSE)*VLOOKUP($R526,Frequenties[],3,FALSE)*VLOOKUP($A526,Locaties[],3,FALSE),0)</f>
        <v>0</v>
      </c>
      <c r="U526" s="149">
        <f>Ruimtestaat[[#This Row],[Uitvoeringen werkdagen]]*Ruimtestaat[[#This Row],[Oppervlak (netto)]]</f>
        <v>11040</v>
      </c>
      <c r="V526" s="179">
        <f>IF(T526&gt;0,Ruimtestaat[[#This Row],[Prest. (m2 /jaar) werkdagen]]/Ruimtestaat[[#This Row],[Norm (m2/uur) werkdagen]],0)</f>
        <v>0</v>
      </c>
      <c r="W526" s="180">
        <f>Ruimtestaat[[#This Row],[uren / jaar werkdagen]]*Tariefsopbouw!$E$35</f>
        <v>0</v>
      </c>
      <c r="X526" s="149"/>
      <c r="Y526" s="149">
        <f>IF(Ruimtestaat[[#This Row],[Frequentie weekend]]&gt;0,VALUE(LEFT(X526,1))*Q526,0)</f>
        <v>0</v>
      </c>
      <c r="Z526" s="148">
        <f>IF($Y526&gt;0,VLOOKUP($J526,Ruimtegroepen[],3,FALSE)*VLOOKUP($L526,Vloersoorten[],3,FALSE)*VLOOKUP($X526,Frequenties[],3,FALSE)*VLOOKUP(Ruimtestaat[[#This Row],[Code]],Locaties[],3,FALSE),0)</f>
        <v>0</v>
      </c>
      <c r="AA526" s="148">
        <f>Ruimtestaat[[#This Row],[Uitvoeringen weekend]]*Ruimtestaat[[#This Row],[Oppervlak (netto)]]</f>
        <v>0</v>
      </c>
      <c r="AB526" s="148">
        <f>IF(Z526&gt;0,Ruimtestaat[[#This Row],[Prest. (m2 /jaar) weekend]]/Ruimtestaat[[#This Row],[Norm (m2/uur) weekend]],0)</f>
        <v>0</v>
      </c>
      <c r="AC526" s="180">
        <f>Ruimtestaat[[#This Row],[uren / jaar weekend]]*Tariefsopbouw!$D$40</f>
        <v>0</v>
      </c>
      <c r="AD526" s="179">
        <f>Ruimtestaat[[#This Row],[Prest. (m2 /jaar) weekend]]+Ruimtestaat[[#This Row],[Prest. (m2 /jaar) werkdagen]]</f>
        <v>11040</v>
      </c>
      <c r="AE526" s="179">
        <f>Ruimtestaat[[#This Row],[uren / jaar weekend]]+Ruimtestaat[[#This Row],[uren / jaar werkdagen]]</f>
        <v>0</v>
      </c>
      <c r="AF526" s="174">
        <f>Ruimtestaat[[#This Row],[kosten / jaar weekend]]+Ruimtestaat[[#This Row],[kosten / jaar werkdagen]]</f>
        <v>0</v>
      </c>
      <c r="AG526" s="174"/>
      <c r="AH526" s="181" t="str">
        <f>IF(Ruimtestaat[[#This Row],[Frequentie werkdagen]]="","",_xlfn.CONCAT(Ruimtestaat[[#This Row],[Ruimte code]],"-",Ruimtestaat[[#This Row],[Frequentie werkdagen]]," ",Ruimtestaat[[#This Row],[Vloer code]]))</f>
        <v>16-5w L</v>
      </c>
      <c r="AI526" s="185" t="str">
        <f>_xlfn.IFNA(VLOOKUP($AH526,Programma!$F$3:$G$1101,2,0),"")</f>
        <v>_</v>
      </c>
      <c r="AJ526" s="185" t="str">
        <f>_xlfn.IFNA(VLOOKUP($AH526,Programma!$F$3:$H$1101,3,0),"")</f>
        <v>_</v>
      </c>
      <c r="AK526" s="185" t="str">
        <f>_xlfn.IFNA(VLOOKUP($AH526,Programma!$F$3:$I$1101,4,0),"")</f>
        <v>4w</v>
      </c>
      <c r="AL526" s="185" t="str">
        <f>_xlfn.IFNA(VLOOKUP($AH526,Programma!$F$3:$J$1101,5,0),"")</f>
        <v>1w</v>
      </c>
      <c r="AM526" s="185" t="str">
        <f>_xlfn.IFNA(VLOOKUP($AH526,Programma!$F$3:$K$1101,6,0),"")</f>
        <v>_</v>
      </c>
      <c r="AN526" s="185" t="str">
        <f>_xlfn.IFNA(VLOOKUP($AH526,Programma!$F$3:$L$1101,7,0),"")</f>
        <v>_</v>
      </c>
      <c r="AO526" s="185" t="str">
        <f>_xlfn.IFNA(VLOOKUP($AH526,Programma!$F$3:$M$1101,8,0),"")</f>
        <v>_</v>
      </c>
      <c r="AP526" s="185" t="str">
        <f>_xlfn.IFNA(VLOOKUP($AH526,Programma!$F$3:$N$1101,9,0),"")</f>
        <v>_</v>
      </c>
      <c r="AQ526" s="185" t="str">
        <f>_xlfn.IFNA(VLOOKUP($AH526,Programma!$F$3:$O$1101,10,0),"")</f>
        <v>5w</v>
      </c>
      <c r="AR526" s="185" t="str">
        <f>_xlfn.IFNA(VLOOKUP($AH526,Programma!$F$3:$P$1101,11,0),"")</f>
        <v>5w</v>
      </c>
      <c r="AS526" s="185" t="str">
        <f>_xlfn.IFNA(VLOOKUP($AH526,Programma!$F$3:$Q$1101,12,0),"")</f>
        <v>1w</v>
      </c>
      <c r="AT526" s="185" t="str">
        <f>_xlfn.IFNA(VLOOKUP($AH526,Programma!$F$3:$R$1101,13,0),"")</f>
        <v>1w</v>
      </c>
      <c r="AU526" s="185" t="str">
        <f>_xlfn.IFNA(VLOOKUP($AH526,Programma!$F$3:$S$1101,14,0),"")</f>
        <v>1m</v>
      </c>
      <c r="AV526" s="185" t="str">
        <f>_xlfn.IFNA(VLOOKUP($AH526,Programma!$F$3:$T$1101,15,0),"")</f>
        <v>2j</v>
      </c>
      <c r="AW526" s="185" t="str">
        <f>_xlfn.IFNA(VLOOKUP($AH526,Programma!$F$3:$U$1101,16,0),"")</f>
        <v>1j</v>
      </c>
      <c r="AX526" s="185" t="str">
        <f>_xlfn.IFNA(VLOOKUP($AH526,Programma!$F$3:$V$1101,17,0),"")</f>
        <v>_</v>
      </c>
      <c r="AY526" s="185" t="str">
        <f>_xlfn.IFNA(VLOOKUP($AH526,Programma!$F$3:$W$1101,18,0),"")</f>
        <v>_</v>
      </c>
      <c r="AZ526" s="185" t="str">
        <f>_xlfn.IFNA(VLOOKUP($AH526,Programma!$F$3:$X$1101,19,0),"")</f>
        <v>_</v>
      </c>
      <c r="BA526" s="185" t="str">
        <f>_xlfn.IFNA(VLOOKUP($AH526,Programma!$F$3:$Y$1101,20,0),"")</f>
        <v>_</v>
      </c>
      <c r="BB526" s="182"/>
      <c r="BC526" s="181" t="str">
        <f>IF(Ruimtestaat[[#This Row],[Frequentie weekend]]="","",_xlfn.CONCAT(Ruimtestaat[[#This Row],[Ruimte code]],"-",Ruimtestaat[[#This Row],[Frequentie weekend]]," ",Ruimtestaat[[#This Row],[Vloer code]]))</f>
        <v/>
      </c>
      <c r="BD526" s="185" t="str">
        <f>_xlfn.IFNA(VLOOKUP($BC526,Programma!$F$3:$G$1101,2,0),"")</f>
        <v/>
      </c>
      <c r="BE526" s="185" t="str">
        <f>_xlfn.IFNA(VLOOKUP($BC526,Programma!$F$3:$H$1101,3,0),"")</f>
        <v/>
      </c>
      <c r="BF526" s="185" t="str">
        <f>_xlfn.IFNA(VLOOKUP($BC526,Programma!$F$3:$I$1101,4,0),"")</f>
        <v/>
      </c>
      <c r="BG526" s="185" t="str">
        <f>_xlfn.IFNA(VLOOKUP($BC526,Programma!$F$3:$J$1101,5,0),"")</f>
        <v/>
      </c>
      <c r="BH526" s="185" t="str">
        <f>_xlfn.IFNA(VLOOKUP($BC526,Programma!$F$3:$K$1101,6,0),"")</f>
        <v/>
      </c>
      <c r="BI526" s="185" t="str">
        <f>_xlfn.IFNA(VLOOKUP($BC526,Programma!$F$3:$L$1101,7,0),"")</f>
        <v/>
      </c>
      <c r="BJ526" s="185" t="str">
        <f>_xlfn.IFNA(VLOOKUP($BC526,Programma!$F$3:$M$1101,8,0),"")</f>
        <v/>
      </c>
      <c r="BK526" s="185" t="str">
        <f>_xlfn.IFNA(VLOOKUP($BC526,Programma!$F$3:$N$1101,9,0),"")</f>
        <v/>
      </c>
      <c r="BL526" s="185" t="str">
        <f>_xlfn.IFNA(VLOOKUP($BC526,Programma!$F$3:$O$1101,10,0),"")</f>
        <v/>
      </c>
      <c r="BM526" s="185" t="str">
        <f>_xlfn.IFNA(VLOOKUP($BC526,Programma!$F$3:$P$1101,11,0),"")</f>
        <v/>
      </c>
      <c r="BN526" s="185" t="str">
        <f>_xlfn.IFNA(VLOOKUP($BC526,Programma!$F$3:$Q$1101,12,0),"")</f>
        <v/>
      </c>
      <c r="BO526" s="185" t="str">
        <f>_xlfn.IFNA(VLOOKUP($BC526,Programma!$F$3:$R$1101,13,0),"")</f>
        <v/>
      </c>
      <c r="BP526" s="185" t="str">
        <f>_xlfn.IFNA(VLOOKUP($BC526,Programma!$F$3:$S$1101,14,0),"")</f>
        <v/>
      </c>
      <c r="BQ526" s="185" t="str">
        <f>_xlfn.IFNA(VLOOKUP($BC526,Programma!$F$3:$T$1101,15,0),"")</f>
        <v/>
      </c>
      <c r="BR526" s="185" t="str">
        <f>_xlfn.IFNA(VLOOKUP($BC526,Programma!$F$3:$U$1101,16,0),"")</f>
        <v/>
      </c>
      <c r="BS526" s="185" t="str">
        <f>_xlfn.IFNA(VLOOKUP($BC526,Programma!$F$3:$V$1101,17,0),"")</f>
        <v/>
      </c>
      <c r="BT526" s="185" t="str">
        <f>_xlfn.IFNA(VLOOKUP($BC526,Programma!$F$3:$W$1101,18,0),"")</f>
        <v/>
      </c>
      <c r="BU526" s="185" t="str">
        <f>_xlfn.IFNA(VLOOKUP($BC526,Programma!$F$3:$X$1101,19,0),"")</f>
        <v/>
      </c>
      <c r="BV526" s="185" t="str">
        <f>_xlfn.IFNA(VLOOKUP($BC526,Programma!$F$3:$Y$1101,20,0),"")</f>
        <v/>
      </c>
    </row>
    <row r="527" spans="1:74" s="78" customFormat="1" ht="15" customHeight="1">
      <c r="A527" s="99">
        <v>15</v>
      </c>
      <c r="B527" s="176" t="str">
        <f>VLOOKUP(Ruimtestaat[[#This Row],[Code]],Locaties[[Code]:[Locatie]],2,FALSE)</f>
        <v>Prinseschool Staringstraat</v>
      </c>
      <c r="C527" s="176" t="str">
        <f>VLOOKUP(Ruimtestaat[[#This Row],[Code]],Locaties[[#All],[Code]:[Adres]],4,FALSE)</f>
        <v>Staringstraat 15 </v>
      </c>
      <c r="D527" s="176" t="str">
        <f>VLOOKUP(Ruimtestaat[[#This Row],[Code]],Locaties[[#All],[Code]:[Postcode]],5,FALSE)</f>
        <v>7514 DE</v>
      </c>
      <c r="E527" s="176" t="str">
        <f>VLOOKUP(Ruimtestaat[[#This Row],[Code]],Locaties[#All],6,FALSE)</f>
        <v>Enschede</v>
      </c>
      <c r="F527" s="183"/>
      <c r="G527" s="99" t="s">
        <v>1646</v>
      </c>
      <c r="H527" s="99" t="s">
        <v>1663</v>
      </c>
      <c r="I527" s="183" t="s">
        <v>1802</v>
      </c>
      <c r="J527" s="99">
        <v>20</v>
      </c>
      <c r="K527" s="183" t="str">
        <f>VLOOKUP(Ruimtestaat[[#This Row],[Ruimte code]],Ruimtegroepen[[#All],[Code]:[Ruimte omschrijving]],2,FALSE)</f>
        <v>Niet in Onderhoud</v>
      </c>
      <c r="L527" s="99"/>
      <c r="M527" s="99"/>
      <c r="N527" s="177"/>
      <c r="O527" s="177">
        <v>0</v>
      </c>
      <c r="P527" s="178">
        <f>VLOOKUP(Ruimtestaat[[#This Row],[Ruimte code]],Ruimtegroepen[],4,FALSE)</f>
        <v>0</v>
      </c>
      <c r="Q527" s="149"/>
      <c r="R527" s="149"/>
      <c r="S527" s="149">
        <f>IF(Q527&gt;0,IF(RIGHT(Ruimtestaat[[#This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27" s="149">
        <f>IF(S527&gt;0,VLOOKUP($J527,Ruimtegroepen[],3,FALSE)*VLOOKUP($L527,Vloersoorten[],3,FALSE)*VLOOKUP($R527,Frequenties[],3,FALSE)*VLOOKUP($A527,Locaties[],3,FALSE),0)</f>
        <v>0</v>
      </c>
      <c r="U527" s="149">
        <f>Ruimtestaat[[#This Row],[Uitvoeringen werkdagen]]*Ruimtestaat[[#This Row],[Oppervlak (netto)]]</f>
        <v>0</v>
      </c>
      <c r="V527" s="179">
        <f>IF(T527&gt;0,Ruimtestaat[[#This Row],[Prest. (m2 /jaar) werkdagen]]/Ruimtestaat[[#This Row],[Norm (m2/uur) werkdagen]],0)</f>
        <v>0</v>
      </c>
      <c r="W527" s="180">
        <f>Ruimtestaat[[#This Row],[uren / jaar werkdagen]]*Tariefsopbouw!$E$35</f>
        <v>0</v>
      </c>
      <c r="X527" s="149"/>
      <c r="Y527" s="149">
        <f>IF(Ruimtestaat[[#This Row],[Frequentie weekend]]&gt;0,VALUE(LEFT(X527,1))*Q527,0)</f>
        <v>0</v>
      </c>
      <c r="Z527" s="148">
        <f>IF($Y527&gt;0,VLOOKUP($J527,Ruimtegroepen[],3,FALSE)*VLOOKUP($L527,Vloersoorten[],3,FALSE)*VLOOKUP($X527,Frequenties[],3,FALSE)*VLOOKUP(Ruimtestaat[[#This Row],[Code]],Locaties[],3,FALSE),0)</f>
        <v>0</v>
      </c>
      <c r="AA527" s="148">
        <f>Ruimtestaat[[#This Row],[Uitvoeringen weekend]]*Ruimtestaat[[#This Row],[Oppervlak (netto)]]</f>
        <v>0</v>
      </c>
      <c r="AB527" s="148">
        <f>IF(Z527&gt;0,Ruimtestaat[[#This Row],[Prest. (m2 /jaar) weekend]]/Ruimtestaat[[#This Row],[Norm (m2/uur) weekend]],0)</f>
        <v>0</v>
      </c>
      <c r="AC527" s="180">
        <f>Ruimtestaat[[#This Row],[uren / jaar weekend]]*Tariefsopbouw!$D$40</f>
        <v>0</v>
      </c>
      <c r="AD527" s="179">
        <f>Ruimtestaat[[#This Row],[Prest. (m2 /jaar) weekend]]+Ruimtestaat[[#This Row],[Prest. (m2 /jaar) werkdagen]]</f>
        <v>0</v>
      </c>
      <c r="AE527" s="179">
        <f>Ruimtestaat[[#This Row],[uren / jaar weekend]]+Ruimtestaat[[#This Row],[uren / jaar werkdagen]]</f>
        <v>0</v>
      </c>
      <c r="AF527" s="174">
        <f>Ruimtestaat[[#This Row],[kosten / jaar weekend]]+Ruimtestaat[[#This Row],[kosten / jaar werkdagen]]</f>
        <v>0</v>
      </c>
      <c r="AG527" s="174"/>
      <c r="AH527" s="181" t="str">
        <f>IF(Ruimtestaat[[#This Row],[Frequentie werkdagen]]="","",_xlfn.CONCAT(Ruimtestaat[[#This Row],[Ruimte code]],"-",Ruimtestaat[[#This Row],[Frequentie werkdagen]]," ",Ruimtestaat[[#This Row],[Vloer code]]))</f>
        <v/>
      </c>
      <c r="AI527" s="185" t="str">
        <f>_xlfn.IFNA(VLOOKUP($AH527,Programma!$F$3:$G$1101,2,0),"")</f>
        <v/>
      </c>
      <c r="AJ527" s="185" t="str">
        <f>_xlfn.IFNA(VLOOKUP($AH527,Programma!$F$3:$H$1101,3,0),"")</f>
        <v/>
      </c>
      <c r="AK527" s="185" t="str">
        <f>_xlfn.IFNA(VLOOKUP($AH527,Programma!$F$3:$I$1101,4,0),"")</f>
        <v/>
      </c>
      <c r="AL527" s="185" t="str">
        <f>_xlfn.IFNA(VLOOKUP($AH527,Programma!$F$3:$J$1101,5,0),"")</f>
        <v/>
      </c>
      <c r="AM527" s="185" t="str">
        <f>_xlfn.IFNA(VLOOKUP($AH527,Programma!$F$3:$K$1101,6,0),"")</f>
        <v/>
      </c>
      <c r="AN527" s="185" t="str">
        <f>_xlfn.IFNA(VLOOKUP($AH527,Programma!$F$3:$L$1101,7,0),"")</f>
        <v/>
      </c>
      <c r="AO527" s="185" t="str">
        <f>_xlfn.IFNA(VLOOKUP($AH527,Programma!$F$3:$M$1101,8,0),"")</f>
        <v/>
      </c>
      <c r="AP527" s="185" t="str">
        <f>_xlfn.IFNA(VLOOKUP($AH527,Programma!$F$3:$N$1101,9,0),"")</f>
        <v/>
      </c>
      <c r="AQ527" s="185" t="str">
        <f>_xlfn.IFNA(VLOOKUP($AH527,Programma!$F$3:$O$1101,10,0),"")</f>
        <v/>
      </c>
      <c r="AR527" s="185" t="str">
        <f>_xlfn.IFNA(VLOOKUP($AH527,Programma!$F$3:$P$1101,11,0),"")</f>
        <v/>
      </c>
      <c r="AS527" s="185" t="str">
        <f>_xlfn.IFNA(VLOOKUP($AH527,Programma!$F$3:$Q$1101,12,0),"")</f>
        <v/>
      </c>
      <c r="AT527" s="185" t="str">
        <f>_xlfn.IFNA(VLOOKUP($AH527,Programma!$F$3:$R$1101,13,0),"")</f>
        <v/>
      </c>
      <c r="AU527" s="185" t="str">
        <f>_xlfn.IFNA(VLOOKUP($AH527,Programma!$F$3:$S$1101,14,0),"")</f>
        <v/>
      </c>
      <c r="AV527" s="185" t="str">
        <f>_xlfn.IFNA(VLOOKUP($AH527,Programma!$F$3:$T$1101,15,0),"")</f>
        <v/>
      </c>
      <c r="AW527" s="185" t="str">
        <f>_xlfn.IFNA(VLOOKUP($AH527,Programma!$F$3:$U$1101,16,0),"")</f>
        <v/>
      </c>
      <c r="AX527" s="185" t="str">
        <f>_xlfn.IFNA(VLOOKUP($AH527,Programma!$F$3:$V$1101,17,0),"")</f>
        <v/>
      </c>
      <c r="AY527" s="185" t="str">
        <f>_xlfn.IFNA(VLOOKUP($AH527,Programma!$F$3:$W$1101,18,0),"")</f>
        <v/>
      </c>
      <c r="AZ527" s="185" t="str">
        <f>_xlfn.IFNA(VLOOKUP($AH527,Programma!$F$3:$X$1101,19,0),"")</f>
        <v/>
      </c>
      <c r="BA527" s="185" t="str">
        <f>_xlfn.IFNA(VLOOKUP($AH527,Programma!$F$3:$Y$1101,20,0),"")</f>
        <v/>
      </c>
      <c r="BB527" s="182"/>
      <c r="BC527" s="181" t="str">
        <f>IF(Ruimtestaat[[#This Row],[Frequentie weekend]]="","",_xlfn.CONCAT(Ruimtestaat[[#This Row],[Ruimte code]],"-",Ruimtestaat[[#This Row],[Frequentie weekend]]," ",Ruimtestaat[[#This Row],[Vloer code]]))</f>
        <v/>
      </c>
      <c r="BD527" s="185" t="str">
        <f>_xlfn.IFNA(VLOOKUP($BC527,Programma!$F$3:$G$1101,2,0),"")</f>
        <v/>
      </c>
      <c r="BE527" s="185" t="str">
        <f>_xlfn.IFNA(VLOOKUP($BC527,Programma!$F$3:$H$1101,3,0),"")</f>
        <v/>
      </c>
      <c r="BF527" s="185" t="str">
        <f>_xlfn.IFNA(VLOOKUP($BC527,Programma!$F$3:$I$1101,4,0),"")</f>
        <v/>
      </c>
      <c r="BG527" s="185" t="str">
        <f>_xlfn.IFNA(VLOOKUP($BC527,Programma!$F$3:$J$1101,5,0),"")</f>
        <v/>
      </c>
      <c r="BH527" s="185" t="str">
        <f>_xlfn.IFNA(VLOOKUP($BC527,Programma!$F$3:$K$1101,6,0),"")</f>
        <v/>
      </c>
      <c r="BI527" s="185" t="str">
        <f>_xlfn.IFNA(VLOOKUP($BC527,Programma!$F$3:$L$1101,7,0),"")</f>
        <v/>
      </c>
      <c r="BJ527" s="185" t="str">
        <f>_xlfn.IFNA(VLOOKUP($BC527,Programma!$F$3:$M$1101,8,0),"")</f>
        <v/>
      </c>
      <c r="BK527" s="185" t="str">
        <f>_xlfn.IFNA(VLOOKUP($BC527,Programma!$F$3:$N$1101,9,0),"")</f>
        <v/>
      </c>
      <c r="BL527" s="185" t="str">
        <f>_xlfn.IFNA(VLOOKUP($BC527,Programma!$F$3:$O$1101,10,0),"")</f>
        <v/>
      </c>
      <c r="BM527" s="185" t="str">
        <f>_xlfn.IFNA(VLOOKUP($BC527,Programma!$F$3:$P$1101,11,0),"")</f>
        <v/>
      </c>
      <c r="BN527" s="185" t="str">
        <f>_xlfn.IFNA(VLOOKUP($BC527,Programma!$F$3:$Q$1101,12,0),"")</f>
        <v/>
      </c>
      <c r="BO527" s="185" t="str">
        <f>_xlfn.IFNA(VLOOKUP($BC527,Programma!$F$3:$R$1101,13,0),"")</f>
        <v/>
      </c>
      <c r="BP527" s="185" t="str">
        <f>_xlfn.IFNA(VLOOKUP($BC527,Programma!$F$3:$S$1101,14,0),"")</f>
        <v/>
      </c>
      <c r="BQ527" s="185" t="str">
        <f>_xlfn.IFNA(VLOOKUP($BC527,Programma!$F$3:$T$1101,15,0),"")</f>
        <v/>
      </c>
      <c r="BR527" s="185" t="str">
        <f>_xlfn.IFNA(VLOOKUP($BC527,Programma!$F$3:$U$1101,16,0),"")</f>
        <v/>
      </c>
      <c r="BS527" s="185" t="str">
        <f>_xlfn.IFNA(VLOOKUP($BC527,Programma!$F$3:$V$1101,17,0),"")</f>
        <v/>
      </c>
      <c r="BT527" s="185" t="str">
        <f>_xlfn.IFNA(VLOOKUP($BC527,Programma!$F$3:$W$1101,18,0),"")</f>
        <v/>
      </c>
      <c r="BU527" s="185" t="str">
        <f>_xlfn.IFNA(VLOOKUP($BC527,Programma!$F$3:$X$1101,19,0),"")</f>
        <v/>
      </c>
      <c r="BV527" s="185" t="str">
        <f>_xlfn.IFNA(VLOOKUP($BC527,Programma!$F$3:$Y$1101,20,0),"")</f>
        <v/>
      </c>
    </row>
    <row r="528" spans="1:74" s="78" customFormat="1" ht="15" customHeight="1">
      <c r="A528" s="99">
        <v>15</v>
      </c>
      <c r="B528" s="176" t="str">
        <f>VLOOKUP(Ruimtestaat[[#This Row],[Code]],Locaties[[Code]:[Locatie]],2,FALSE)</f>
        <v>Prinseschool Staringstraat</v>
      </c>
      <c r="C528" s="176" t="str">
        <f>VLOOKUP(Ruimtestaat[[#This Row],[Code]],Locaties[[#All],[Code]:[Adres]],4,FALSE)</f>
        <v>Staringstraat 15 </v>
      </c>
      <c r="D528" s="176" t="str">
        <f>VLOOKUP(Ruimtestaat[[#This Row],[Code]],Locaties[[#All],[Code]:[Postcode]],5,FALSE)</f>
        <v>7514 DE</v>
      </c>
      <c r="E528" s="176" t="str">
        <f>VLOOKUP(Ruimtestaat[[#This Row],[Code]],Locaties[#All],6,FALSE)</f>
        <v>Enschede</v>
      </c>
      <c r="F528" s="183"/>
      <c r="G528" s="99" t="s">
        <v>1646</v>
      </c>
      <c r="H528" s="99" t="s">
        <v>1664</v>
      </c>
      <c r="I528" s="183" t="s">
        <v>1655</v>
      </c>
      <c r="J528" s="99">
        <v>5</v>
      </c>
      <c r="K528" s="183" t="str">
        <f>VLOOKUP(Ruimtestaat[[#This Row],[Ruimte code]],Ruimtegroepen[[#All],[Code]:[Ruimte omschrijving]],2,FALSE)</f>
        <v>Sanitair</v>
      </c>
      <c r="L528" s="99" t="s">
        <v>101</v>
      </c>
      <c r="M528" s="99" t="s">
        <v>1682</v>
      </c>
      <c r="N528" s="177">
        <v>4.8</v>
      </c>
      <c r="O528" s="177"/>
      <c r="P528" s="178" t="str">
        <f>VLOOKUP(Ruimtestaat[[#This Row],[Ruimte code]],Ruimtegroepen[],4,FALSE)</f>
        <v>Sa</v>
      </c>
      <c r="Q528" s="149">
        <v>40</v>
      </c>
      <c r="R528" s="149" t="s">
        <v>2</v>
      </c>
      <c r="S528" s="149">
        <f>IF(Q528&gt;0,IF(RIGHT(Ruimtestaat[[#This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8" s="149">
        <f>IF(S528&gt;0,VLOOKUP($J528,Ruimtegroepen[],3,FALSE)*VLOOKUP($L528,Vloersoorten[],3,FALSE)*VLOOKUP($R528,Frequenties[],3,FALSE)*VLOOKUP($A528,Locaties[],3,FALSE),0)</f>
        <v>0</v>
      </c>
      <c r="U528" s="149">
        <f>Ruimtestaat[[#This Row],[Uitvoeringen werkdagen]]*Ruimtestaat[[#This Row],[Oppervlak (netto)]]</f>
        <v>960</v>
      </c>
      <c r="V528" s="179">
        <f>IF(T528&gt;0,Ruimtestaat[[#This Row],[Prest. (m2 /jaar) werkdagen]]/Ruimtestaat[[#This Row],[Norm (m2/uur) werkdagen]],0)</f>
        <v>0</v>
      </c>
      <c r="W528" s="180">
        <f>Ruimtestaat[[#This Row],[uren / jaar werkdagen]]*Tariefsopbouw!$E$35</f>
        <v>0</v>
      </c>
      <c r="X528" s="149"/>
      <c r="Y528" s="149">
        <f>IF(Ruimtestaat[[#This Row],[Frequentie weekend]]&gt;0,VALUE(LEFT(X528,1))*Q528,0)</f>
        <v>0</v>
      </c>
      <c r="Z528" s="148">
        <f>IF($Y528&gt;0,VLOOKUP($J528,Ruimtegroepen[],3,FALSE)*VLOOKUP($L528,Vloersoorten[],3,FALSE)*VLOOKUP($X528,Frequenties[],3,FALSE)*VLOOKUP(Ruimtestaat[[#This Row],[Code]],Locaties[],3,FALSE),0)</f>
        <v>0</v>
      </c>
      <c r="AA528" s="148">
        <f>Ruimtestaat[[#This Row],[Uitvoeringen weekend]]*Ruimtestaat[[#This Row],[Oppervlak (netto)]]</f>
        <v>0</v>
      </c>
      <c r="AB528" s="148">
        <f>IF(Z528&gt;0,Ruimtestaat[[#This Row],[Prest. (m2 /jaar) weekend]]/Ruimtestaat[[#This Row],[Norm (m2/uur) weekend]],0)</f>
        <v>0</v>
      </c>
      <c r="AC528" s="180">
        <f>Ruimtestaat[[#This Row],[uren / jaar weekend]]*Tariefsopbouw!$D$40</f>
        <v>0</v>
      </c>
      <c r="AD528" s="179">
        <f>Ruimtestaat[[#This Row],[Prest. (m2 /jaar) weekend]]+Ruimtestaat[[#This Row],[Prest. (m2 /jaar) werkdagen]]</f>
        <v>960</v>
      </c>
      <c r="AE528" s="179">
        <f>Ruimtestaat[[#This Row],[uren / jaar weekend]]+Ruimtestaat[[#This Row],[uren / jaar werkdagen]]</f>
        <v>0</v>
      </c>
      <c r="AF528" s="174">
        <f>Ruimtestaat[[#This Row],[kosten / jaar weekend]]+Ruimtestaat[[#This Row],[kosten / jaar werkdagen]]</f>
        <v>0</v>
      </c>
      <c r="AG528" s="174"/>
      <c r="AH528" s="181" t="str">
        <f>IF(Ruimtestaat[[#This Row],[Frequentie werkdagen]]="","",_xlfn.CONCAT(Ruimtestaat[[#This Row],[Ruimte code]],"-",Ruimtestaat[[#This Row],[Frequentie werkdagen]]," ",Ruimtestaat[[#This Row],[Vloer code]]))</f>
        <v>5-5w S</v>
      </c>
      <c r="AI528" s="185" t="str">
        <f>_xlfn.IFNA(VLOOKUP($AH528,Programma!$F$3:$G$1101,2,0),"")</f>
        <v>_</v>
      </c>
      <c r="AJ528" s="185" t="str">
        <f>_xlfn.IFNA(VLOOKUP($AH528,Programma!$F$3:$H$1101,3,0),"")</f>
        <v>_</v>
      </c>
      <c r="AK528" s="185" t="str">
        <f>_xlfn.IFNA(VLOOKUP($AH528,Programma!$F$3:$I$1101,4,0),"")</f>
        <v>_</v>
      </c>
      <c r="AL528" s="185" t="str">
        <f>_xlfn.IFNA(VLOOKUP($AH528,Programma!$F$3:$J$1101,5,0),"")</f>
        <v>4w</v>
      </c>
      <c r="AM528" s="185" t="str">
        <f>_xlfn.IFNA(VLOOKUP($AH528,Programma!$F$3:$K$1101,6,0),"")</f>
        <v>1w</v>
      </c>
      <c r="AN528" s="185" t="str">
        <f>_xlfn.IFNA(VLOOKUP($AH528,Programma!$F$3:$L$1101,7,0),"")</f>
        <v>_</v>
      </c>
      <c r="AO528" s="185" t="str">
        <f>_xlfn.IFNA(VLOOKUP($AH528,Programma!$F$3:$M$1101,8,0),"")</f>
        <v>_</v>
      </c>
      <c r="AP528" s="185" t="str">
        <f>_xlfn.IFNA(VLOOKUP($AH528,Programma!$F$3:$N$1101,9,0),"")</f>
        <v>_</v>
      </c>
      <c r="AQ528" s="185" t="str">
        <f>_xlfn.IFNA(VLOOKUP($AH528,Programma!$F$3:$O$1101,10,0),"")</f>
        <v>_</v>
      </c>
      <c r="AR528" s="185" t="str">
        <f>_xlfn.IFNA(VLOOKUP($AH528,Programma!$F$3:$P$1101,11,0),"")</f>
        <v>_</v>
      </c>
      <c r="AS528" s="185" t="str">
        <f>_xlfn.IFNA(VLOOKUP($AH528,Programma!$F$3:$Q$1101,12,0),"")</f>
        <v>_</v>
      </c>
      <c r="AT528" s="185" t="str">
        <f>_xlfn.IFNA(VLOOKUP($AH528,Programma!$F$3:$R$1101,13,0),"")</f>
        <v>_</v>
      </c>
      <c r="AU528" s="185" t="str">
        <f>_xlfn.IFNA(VLOOKUP($AH528,Programma!$F$3:$S$1101,14,0),"")</f>
        <v>_</v>
      </c>
      <c r="AV528" s="185" t="str">
        <f>_xlfn.IFNA(VLOOKUP($AH528,Programma!$F$3:$T$1101,15,0),"")</f>
        <v>_</v>
      </c>
      <c r="AW528" s="185" t="str">
        <f>_xlfn.IFNA(VLOOKUP($AH528,Programma!$F$3:$U$1101,16,0),"")</f>
        <v>_</v>
      </c>
      <c r="AX528" s="185" t="str">
        <f>_xlfn.IFNA(VLOOKUP($AH528,Programma!$F$3:$V$1101,17,0),"")</f>
        <v>_</v>
      </c>
      <c r="AY528" s="185" t="str">
        <f>_xlfn.IFNA(VLOOKUP($AH528,Programma!$F$3:$W$1101,18,0),"")</f>
        <v>4w</v>
      </c>
      <c r="AZ528" s="185" t="str">
        <f>_xlfn.IFNA(VLOOKUP($AH528,Programma!$F$3:$X$1101,19,0),"")</f>
        <v>1w</v>
      </c>
      <c r="BA528" s="185" t="str">
        <f>_xlfn.IFNA(VLOOKUP($AH528,Programma!$F$3:$Y$1101,20,0),"")</f>
        <v>_</v>
      </c>
      <c r="BB528" s="182"/>
      <c r="BC528" s="181" t="str">
        <f>IF(Ruimtestaat[[#This Row],[Frequentie weekend]]="","",_xlfn.CONCAT(Ruimtestaat[[#This Row],[Ruimte code]],"-",Ruimtestaat[[#This Row],[Frequentie weekend]]," ",Ruimtestaat[[#This Row],[Vloer code]]))</f>
        <v/>
      </c>
      <c r="BD528" s="185" t="str">
        <f>_xlfn.IFNA(VLOOKUP($BC528,Programma!$F$3:$G$1101,2,0),"")</f>
        <v/>
      </c>
      <c r="BE528" s="185" t="str">
        <f>_xlfn.IFNA(VLOOKUP($BC528,Programma!$F$3:$H$1101,3,0),"")</f>
        <v/>
      </c>
      <c r="BF528" s="185" t="str">
        <f>_xlfn.IFNA(VLOOKUP($BC528,Programma!$F$3:$I$1101,4,0),"")</f>
        <v/>
      </c>
      <c r="BG528" s="185" t="str">
        <f>_xlfn.IFNA(VLOOKUP($BC528,Programma!$F$3:$J$1101,5,0),"")</f>
        <v/>
      </c>
      <c r="BH528" s="185" t="str">
        <f>_xlfn.IFNA(VLOOKUP($BC528,Programma!$F$3:$K$1101,6,0),"")</f>
        <v/>
      </c>
      <c r="BI528" s="185" t="str">
        <f>_xlfn.IFNA(VLOOKUP($BC528,Programma!$F$3:$L$1101,7,0),"")</f>
        <v/>
      </c>
      <c r="BJ528" s="185" t="str">
        <f>_xlfn.IFNA(VLOOKUP($BC528,Programma!$F$3:$M$1101,8,0),"")</f>
        <v/>
      </c>
      <c r="BK528" s="185" t="str">
        <f>_xlfn.IFNA(VLOOKUP($BC528,Programma!$F$3:$N$1101,9,0),"")</f>
        <v/>
      </c>
      <c r="BL528" s="185" t="str">
        <f>_xlfn.IFNA(VLOOKUP($BC528,Programma!$F$3:$O$1101,10,0),"")</f>
        <v/>
      </c>
      <c r="BM528" s="185" t="str">
        <f>_xlfn.IFNA(VLOOKUP($BC528,Programma!$F$3:$P$1101,11,0),"")</f>
        <v/>
      </c>
      <c r="BN528" s="185" t="str">
        <f>_xlfn.IFNA(VLOOKUP($BC528,Programma!$F$3:$Q$1101,12,0),"")</f>
        <v/>
      </c>
      <c r="BO528" s="185" t="str">
        <f>_xlfn.IFNA(VLOOKUP($BC528,Programma!$F$3:$R$1101,13,0),"")</f>
        <v/>
      </c>
      <c r="BP528" s="185" t="str">
        <f>_xlfn.IFNA(VLOOKUP($BC528,Programma!$F$3:$S$1101,14,0),"")</f>
        <v/>
      </c>
      <c r="BQ528" s="185" t="str">
        <f>_xlfn.IFNA(VLOOKUP($BC528,Programma!$F$3:$T$1101,15,0),"")</f>
        <v/>
      </c>
      <c r="BR528" s="185" t="str">
        <f>_xlfn.IFNA(VLOOKUP($BC528,Programma!$F$3:$U$1101,16,0),"")</f>
        <v/>
      </c>
      <c r="BS528" s="185" t="str">
        <f>_xlfn.IFNA(VLOOKUP($BC528,Programma!$F$3:$V$1101,17,0),"")</f>
        <v/>
      </c>
      <c r="BT528" s="185" t="str">
        <f>_xlfn.IFNA(VLOOKUP($BC528,Programma!$F$3:$W$1101,18,0),"")</f>
        <v/>
      </c>
      <c r="BU528" s="185" t="str">
        <f>_xlfn.IFNA(VLOOKUP($BC528,Programma!$F$3:$X$1101,19,0),"")</f>
        <v/>
      </c>
      <c r="BV528" s="185" t="str">
        <f>_xlfn.IFNA(VLOOKUP($BC528,Programma!$F$3:$Y$1101,20,0),"")</f>
        <v/>
      </c>
    </row>
    <row r="529" spans="1:74" s="78" customFormat="1" ht="15" customHeight="1">
      <c r="A529" s="99">
        <v>15</v>
      </c>
      <c r="B529" s="176" t="str">
        <f>VLOOKUP(Ruimtestaat[[#This Row],[Code]],Locaties[[Code]:[Locatie]],2,FALSE)</f>
        <v>Prinseschool Staringstraat</v>
      </c>
      <c r="C529" s="176" t="str">
        <f>VLOOKUP(Ruimtestaat[[#This Row],[Code]],Locaties[[#All],[Code]:[Adres]],4,FALSE)</f>
        <v>Staringstraat 15 </v>
      </c>
      <c r="D529" s="176" t="str">
        <f>VLOOKUP(Ruimtestaat[[#This Row],[Code]],Locaties[[#All],[Code]:[Postcode]],5,FALSE)</f>
        <v>7514 DE</v>
      </c>
      <c r="E529" s="176" t="str">
        <f>VLOOKUP(Ruimtestaat[[#This Row],[Code]],Locaties[#All],6,FALSE)</f>
        <v>Enschede</v>
      </c>
      <c r="F529" s="183"/>
      <c r="G529" s="99" t="s">
        <v>1646</v>
      </c>
      <c r="H529" s="99" t="s">
        <v>1666</v>
      </c>
      <c r="I529" s="183" t="s">
        <v>38</v>
      </c>
      <c r="J529" s="99">
        <v>7</v>
      </c>
      <c r="K529" s="183" t="str">
        <f>VLOOKUP(Ruimtestaat[[#This Row],[Ruimte code]],Ruimtegroepen[[#All],[Code]:[Ruimte omschrijving]],2,FALSE)</f>
        <v>Entree</v>
      </c>
      <c r="L529" s="99" t="s">
        <v>99</v>
      </c>
      <c r="M529" s="99" t="s">
        <v>1700</v>
      </c>
      <c r="N529" s="177">
        <v>5</v>
      </c>
      <c r="O529" s="177"/>
      <c r="P529" s="178" t="str">
        <f>VLOOKUP(Ruimtestaat[[#This Row],[Ruimte code]],Ruimtegroepen[],4,FALSE)</f>
        <v>Ve</v>
      </c>
      <c r="Q529" s="149">
        <v>40</v>
      </c>
      <c r="R529" s="149" t="s">
        <v>2</v>
      </c>
      <c r="S529" s="149">
        <f>IF(Q529&gt;0,IF(RIGHT(Ruimtestaat[[#This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29" s="149">
        <f>IF(S529&gt;0,VLOOKUP($J529,Ruimtegroepen[],3,FALSE)*VLOOKUP($L529,Vloersoorten[],3,FALSE)*VLOOKUP($R529,Frequenties[],3,FALSE)*VLOOKUP($A529,Locaties[],3,FALSE),0)</f>
        <v>0</v>
      </c>
      <c r="U529" s="149">
        <f>Ruimtestaat[[#This Row],[Uitvoeringen werkdagen]]*Ruimtestaat[[#This Row],[Oppervlak (netto)]]</f>
        <v>1000</v>
      </c>
      <c r="V529" s="179">
        <f>IF(T529&gt;0,Ruimtestaat[[#This Row],[Prest. (m2 /jaar) werkdagen]]/Ruimtestaat[[#This Row],[Norm (m2/uur) werkdagen]],0)</f>
        <v>0</v>
      </c>
      <c r="W529" s="180">
        <f>Ruimtestaat[[#This Row],[uren / jaar werkdagen]]*Tariefsopbouw!$E$35</f>
        <v>0</v>
      </c>
      <c r="X529" s="149"/>
      <c r="Y529" s="149">
        <f>IF(Ruimtestaat[[#This Row],[Frequentie weekend]]&gt;0,VALUE(LEFT(X529,1))*Q529,0)</f>
        <v>0</v>
      </c>
      <c r="Z529" s="148">
        <f>IF($Y529&gt;0,VLOOKUP($J529,Ruimtegroepen[],3,FALSE)*VLOOKUP($L529,Vloersoorten[],3,FALSE)*VLOOKUP($X529,Frequenties[],3,FALSE)*VLOOKUP(Ruimtestaat[[#This Row],[Code]],Locaties[],3,FALSE),0)</f>
        <v>0</v>
      </c>
      <c r="AA529" s="148">
        <f>Ruimtestaat[[#This Row],[Uitvoeringen weekend]]*Ruimtestaat[[#This Row],[Oppervlak (netto)]]</f>
        <v>0</v>
      </c>
      <c r="AB529" s="148">
        <f>IF(Z529&gt;0,Ruimtestaat[[#This Row],[Prest. (m2 /jaar) weekend]]/Ruimtestaat[[#This Row],[Norm (m2/uur) weekend]],0)</f>
        <v>0</v>
      </c>
      <c r="AC529" s="180">
        <f>Ruimtestaat[[#This Row],[uren / jaar weekend]]*Tariefsopbouw!$D$40</f>
        <v>0</v>
      </c>
      <c r="AD529" s="179">
        <f>Ruimtestaat[[#This Row],[Prest. (m2 /jaar) weekend]]+Ruimtestaat[[#This Row],[Prest. (m2 /jaar) werkdagen]]</f>
        <v>1000</v>
      </c>
      <c r="AE529" s="179">
        <f>Ruimtestaat[[#This Row],[uren / jaar weekend]]+Ruimtestaat[[#This Row],[uren / jaar werkdagen]]</f>
        <v>0</v>
      </c>
      <c r="AF529" s="174">
        <f>Ruimtestaat[[#This Row],[kosten / jaar weekend]]+Ruimtestaat[[#This Row],[kosten / jaar werkdagen]]</f>
        <v>0</v>
      </c>
      <c r="AG529" s="174"/>
      <c r="AH529" s="181" t="str">
        <f>IF(Ruimtestaat[[#This Row],[Frequentie werkdagen]]="","",_xlfn.CONCAT(Ruimtestaat[[#This Row],[Ruimte code]],"-",Ruimtestaat[[#This Row],[Frequentie werkdagen]]," ",Ruimtestaat[[#This Row],[Vloer code]]))</f>
        <v>7-5w T</v>
      </c>
      <c r="AI529" s="185" t="str">
        <f>_xlfn.IFNA(VLOOKUP($AH529,Programma!$F$3:$G$1101,2,0),"")</f>
        <v>_</v>
      </c>
      <c r="AJ529" s="185" t="str">
        <f>_xlfn.IFNA(VLOOKUP($AH529,Programma!$F$3:$H$1101,3,0),"")</f>
        <v>5w</v>
      </c>
      <c r="AK529" s="185" t="str">
        <f>_xlfn.IFNA(VLOOKUP($AH529,Programma!$F$3:$I$1101,4,0),"")</f>
        <v>_</v>
      </c>
      <c r="AL529" s="185" t="str">
        <f>_xlfn.IFNA(VLOOKUP($AH529,Programma!$F$3:$J$1101,5,0),"")</f>
        <v>_</v>
      </c>
      <c r="AM529" s="185" t="str">
        <f>_xlfn.IFNA(VLOOKUP($AH529,Programma!$F$3:$K$1101,6,0),"")</f>
        <v>_</v>
      </c>
      <c r="AN529" s="185" t="str">
        <f>_xlfn.IFNA(VLOOKUP($AH529,Programma!$F$3:$L$1101,7,0),"")</f>
        <v>_</v>
      </c>
      <c r="AO529" s="185" t="str">
        <f>_xlfn.IFNA(VLOOKUP($AH529,Programma!$F$3:$M$1101,8,0),"")</f>
        <v>_</v>
      </c>
      <c r="AP529" s="185" t="str">
        <f>_xlfn.IFNA(VLOOKUP($AH529,Programma!$F$3:$N$1101,9,0),"")</f>
        <v>_</v>
      </c>
      <c r="AQ529" s="185" t="str">
        <f>_xlfn.IFNA(VLOOKUP($AH529,Programma!$F$3:$O$1101,10,0),"")</f>
        <v>5w</v>
      </c>
      <c r="AR529" s="185" t="str">
        <f>_xlfn.IFNA(VLOOKUP($AH529,Programma!$F$3:$P$1101,11,0),"")</f>
        <v>5w</v>
      </c>
      <c r="AS529" s="185" t="str">
        <f>_xlfn.IFNA(VLOOKUP($AH529,Programma!$F$3:$Q$1101,12,0),"")</f>
        <v>1w</v>
      </c>
      <c r="AT529" s="185" t="str">
        <f>_xlfn.IFNA(VLOOKUP($AH529,Programma!$F$3:$R$1101,13,0),"")</f>
        <v>1w</v>
      </c>
      <c r="AU529" s="185" t="str">
        <f>_xlfn.IFNA(VLOOKUP($AH529,Programma!$F$3:$S$1101,14,0),"")</f>
        <v>1m</v>
      </c>
      <c r="AV529" s="185" t="str">
        <f>_xlfn.IFNA(VLOOKUP($AH529,Programma!$F$3:$T$1101,15,0),"")</f>
        <v>2j</v>
      </c>
      <c r="AW529" s="185" t="str">
        <f>_xlfn.IFNA(VLOOKUP($AH529,Programma!$F$3:$U$1101,16,0),"")</f>
        <v>1j</v>
      </c>
      <c r="AX529" s="185" t="str">
        <f>_xlfn.IFNA(VLOOKUP($AH529,Programma!$F$3:$V$1101,17,0),"")</f>
        <v>_</v>
      </c>
      <c r="AY529" s="185" t="str">
        <f>_xlfn.IFNA(VLOOKUP($AH529,Programma!$F$3:$W$1101,18,0),"")</f>
        <v>_</v>
      </c>
      <c r="AZ529" s="185" t="str">
        <f>_xlfn.IFNA(VLOOKUP($AH529,Programma!$F$3:$X$1101,19,0),"")</f>
        <v>_</v>
      </c>
      <c r="BA529" s="185" t="str">
        <f>_xlfn.IFNA(VLOOKUP($AH529,Programma!$F$3:$Y$1101,20,0),"")</f>
        <v>_</v>
      </c>
      <c r="BB529" s="182"/>
      <c r="BC529" s="181" t="str">
        <f>IF(Ruimtestaat[[#This Row],[Frequentie weekend]]="","",_xlfn.CONCAT(Ruimtestaat[[#This Row],[Ruimte code]],"-",Ruimtestaat[[#This Row],[Frequentie weekend]]," ",Ruimtestaat[[#This Row],[Vloer code]]))</f>
        <v/>
      </c>
      <c r="BD529" s="185" t="str">
        <f>_xlfn.IFNA(VLOOKUP($BC529,Programma!$F$3:$G$1101,2,0),"")</f>
        <v/>
      </c>
      <c r="BE529" s="185" t="str">
        <f>_xlfn.IFNA(VLOOKUP($BC529,Programma!$F$3:$H$1101,3,0),"")</f>
        <v/>
      </c>
      <c r="BF529" s="185" t="str">
        <f>_xlfn.IFNA(VLOOKUP($BC529,Programma!$F$3:$I$1101,4,0),"")</f>
        <v/>
      </c>
      <c r="BG529" s="185" t="str">
        <f>_xlfn.IFNA(VLOOKUP($BC529,Programma!$F$3:$J$1101,5,0),"")</f>
        <v/>
      </c>
      <c r="BH529" s="185" t="str">
        <f>_xlfn.IFNA(VLOOKUP($BC529,Programma!$F$3:$K$1101,6,0),"")</f>
        <v/>
      </c>
      <c r="BI529" s="185" t="str">
        <f>_xlfn.IFNA(VLOOKUP($BC529,Programma!$F$3:$L$1101,7,0),"")</f>
        <v/>
      </c>
      <c r="BJ529" s="185" t="str">
        <f>_xlfn.IFNA(VLOOKUP($BC529,Programma!$F$3:$M$1101,8,0),"")</f>
        <v/>
      </c>
      <c r="BK529" s="185" t="str">
        <f>_xlfn.IFNA(VLOOKUP($BC529,Programma!$F$3:$N$1101,9,0),"")</f>
        <v/>
      </c>
      <c r="BL529" s="185" t="str">
        <f>_xlfn.IFNA(VLOOKUP($BC529,Programma!$F$3:$O$1101,10,0),"")</f>
        <v/>
      </c>
      <c r="BM529" s="185" t="str">
        <f>_xlfn.IFNA(VLOOKUP($BC529,Programma!$F$3:$P$1101,11,0),"")</f>
        <v/>
      </c>
      <c r="BN529" s="185" t="str">
        <f>_xlfn.IFNA(VLOOKUP($BC529,Programma!$F$3:$Q$1101,12,0),"")</f>
        <v/>
      </c>
      <c r="BO529" s="185" t="str">
        <f>_xlfn.IFNA(VLOOKUP($BC529,Programma!$F$3:$R$1101,13,0),"")</f>
        <v/>
      </c>
      <c r="BP529" s="185" t="str">
        <f>_xlfn.IFNA(VLOOKUP($BC529,Programma!$F$3:$S$1101,14,0),"")</f>
        <v/>
      </c>
      <c r="BQ529" s="185" t="str">
        <f>_xlfn.IFNA(VLOOKUP($BC529,Programma!$F$3:$T$1101,15,0),"")</f>
        <v/>
      </c>
      <c r="BR529" s="185" t="str">
        <f>_xlfn.IFNA(VLOOKUP($BC529,Programma!$F$3:$U$1101,16,0),"")</f>
        <v/>
      </c>
      <c r="BS529" s="185" t="str">
        <f>_xlfn.IFNA(VLOOKUP($BC529,Programma!$F$3:$V$1101,17,0),"")</f>
        <v/>
      </c>
      <c r="BT529" s="185" t="str">
        <f>_xlfn.IFNA(VLOOKUP($BC529,Programma!$F$3:$W$1101,18,0),"")</f>
        <v/>
      </c>
      <c r="BU529" s="185" t="str">
        <f>_xlfn.IFNA(VLOOKUP($BC529,Programma!$F$3:$X$1101,19,0),"")</f>
        <v/>
      </c>
      <c r="BV529" s="185" t="str">
        <f>_xlfn.IFNA(VLOOKUP($BC529,Programma!$F$3:$Y$1101,20,0),"")</f>
        <v/>
      </c>
    </row>
    <row r="530" spans="1:74" s="78" customFormat="1" ht="15" customHeight="1">
      <c r="A530" s="99">
        <v>15</v>
      </c>
      <c r="B530" s="176" t="str">
        <f>VLOOKUP(Ruimtestaat[[#This Row],[Code]],Locaties[[Code]:[Locatie]],2,FALSE)</f>
        <v>Prinseschool Staringstraat</v>
      </c>
      <c r="C530" s="176" t="str">
        <f>VLOOKUP(Ruimtestaat[[#This Row],[Code]],Locaties[[#All],[Code]:[Adres]],4,FALSE)</f>
        <v>Staringstraat 15 </v>
      </c>
      <c r="D530" s="176" t="str">
        <f>VLOOKUP(Ruimtestaat[[#This Row],[Code]],Locaties[[#All],[Code]:[Postcode]],5,FALSE)</f>
        <v>7514 DE</v>
      </c>
      <c r="E530" s="176" t="str">
        <f>VLOOKUP(Ruimtestaat[[#This Row],[Code]],Locaties[#All],6,FALSE)</f>
        <v>Enschede</v>
      </c>
      <c r="F530" s="183"/>
      <c r="G530" s="99" t="s">
        <v>1646</v>
      </c>
      <c r="H530" s="99" t="s">
        <v>1668</v>
      </c>
      <c r="I530" s="183" t="s">
        <v>1655</v>
      </c>
      <c r="J530" s="99">
        <v>5</v>
      </c>
      <c r="K530" s="183" t="str">
        <f>VLOOKUP(Ruimtestaat[[#This Row],[Ruimte code]],Ruimtegroepen[[#All],[Code]:[Ruimte omschrijving]],2,FALSE)</f>
        <v>Sanitair</v>
      </c>
      <c r="L530" s="99" t="s">
        <v>101</v>
      </c>
      <c r="M530" s="99" t="s">
        <v>1682</v>
      </c>
      <c r="N530" s="177">
        <v>8</v>
      </c>
      <c r="O530" s="177"/>
      <c r="P530" s="178" t="str">
        <f>VLOOKUP(Ruimtestaat[[#This Row],[Ruimte code]],Ruimtegroepen[],4,FALSE)</f>
        <v>Sa</v>
      </c>
      <c r="Q530" s="149">
        <v>40</v>
      </c>
      <c r="R530" s="149" t="s">
        <v>2</v>
      </c>
      <c r="S530" s="149">
        <f>IF(Q530&gt;0,IF(RIGHT(Ruimtestaat[[#This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0" s="149">
        <f>IF(S530&gt;0,VLOOKUP($J530,Ruimtegroepen[],3,FALSE)*VLOOKUP($L530,Vloersoorten[],3,FALSE)*VLOOKUP($R530,Frequenties[],3,FALSE)*VLOOKUP($A530,Locaties[],3,FALSE),0)</f>
        <v>0</v>
      </c>
      <c r="U530" s="149">
        <f>Ruimtestaat[[#This Row],[Uitvoeringen werkdagen]]*Ruimtestaat[[#This Row],[Oppervlak (netto)]]</f>
        <v>1600</v>
      </c>
      <c r="V530" s="179">
        <f>IF(T530&gt;0,Ruimtestaat[[#This Row],[Prest. (m2 /jaar) werkdagen]]/Ruimtestaat[[#This Row],[Norm (m2/uur) werkdagen]],0)</f>
        <v>0</v>
      </c>
      <c r="W530" s="180">
        <f>Ruimtestaat[[#This Row],[uren / jaar werkdagen]]*Tariefsopbouw!$E$35</f>
        <v>0</v>
      </c>
      <c r="X530" s="149"/>
      <c r="Y530" s="149">
        <f>IF(Ruimtestaat[[#This Row],[Frequentie weekend]]&gt;0,VALUE(LEFT(X530,1))*Q530,0)</f>
        <v>0</v>
      </c>
      <c r="Z530" s="148">
        <f>IF($Y530&gt;0,VLOOKUP($J530,Ruimtegroepen[],3,FALSE)*VLOOKUP($L530,Vloersoorten[],3,FALSE)*VLOOKUP($X530,Frequenties[],3,FALSE)*VLOOKUP(Ruimtestaat[[#This Row],[Code]],Locaties[],3,FALSE),0)</f>
        <v>0</v>
      </c>
      <c r="AA530" s="148">
        <f>Ruimtestaat[[#This Row],[Uitvoeringen weekend]]*Ruimtestaat[[#This Row],[Oppervlak (netto)]]</f>
        <v>0</v>
      </c>
      <c r="AB530" s="148">
        <f>IF(Z530&gt;0,Ruimtestaat[[#This Row],[Prest. (m2 /jaar) weekend]]/Ruimtestaat[[#This Row],[Norm (m2/uur) weekend]],0)</f>
        <v>0</v>
      </c>
      <c r="AC530" s="180">
        <f>Ruimtestaat[[#This Row],[uren / jaar weekend]]*Tariefsopbouw!$D$40</f>
        <v>0</v>
      </c>
      <c r="AD530" s="179">
        <f>Ruimtestaat[[#This Row],[Prest. (m2 /jaar) weekend]]+Ruimtestaat[[#This Row],[Prest. (m2 /jaar) werkdagen]]</f>
        <v>1600</v>
      </c>
      <c r="AE530" s="179">
        <f>Ruimtestaat[[#This Row],[uren / jaar weekend]]+Ruimtestaat[[#This Row],[uren / jaar werkdagen]]</f>
        <v>0</v>
      </c>
      <c r="AF530" s="174">
        <f>Ruimtestaat[[#This Row],[kosten / jaar weekend]]+Ruimtestaat[[#This Row],[kosten / jaar werkdagen]]</f>
        <v>0</v>
      </c>
      <c r="AG530" s="174"/>
      <c r="AH530" s="181" t="str">
        <f>IF(Ruimtestaat[[#This Row],[Frequentie werkdagen]]="","",_xlfn.CONCAT(Ruimtestaat[[#This Row],[Ruimte code]],"-",Ruimtestaat[[#This Row],[Frequentie werkdagen]]," ",Ruimtestaat[[#This Row],[Vloer code]]))</f>
        <v>5-5w S</v>
      </c>
      <c r="AI530" s="185" t="str">
        <f>_xlfn.IFNA(VLOOKUP($AH530,Programma!$F$3:$G$1101,2,0),"")</f>
        <v>_</v>
      </c>
      <c r="AJ530" s="185" t="str">
        <f>_xlfn.IFNA(VLOOKUP($AH530,Programma!$F$3:$H$1101,3,0),"")</f>
        <v>_</v>
      </c>
      <c r="AK530" s="185" t="str">
        <f>_xlfn.IFNA(VLOOKUP($AH530,Programma!$F$3:$I$1101,4,0),"")</f>
        <v>_</v>
      </c>
      <c r="AL530" s="185" t="str">
        <f>_xlfn.IFNA(VLOOKUP($AH530,Programma!$F$3:$J$1101,5,0),"")</f>
        <v>4w</v>
      </c>
      <c r="AM530" s="185" t="str">
        <f>_xlfn.IFNA(VLOOKUP($AH530,Programma!$F$3:$K$1101,6,0),"")</f>
        <v>1w</v>
      </c>
      <c r="AN530" s="185" t="str">
        <f>_xlfn.IFNA(VLOOKUP($AH530,Programma!$F$3:$L$1101,7,0),"")</f>
        <v>_</v>
      </c>
      <c r="AO530" s="185" t="str">
        <f>_xlfn.IFNA(VLOOKUP($AH530,Programma!$F$3:$M$1101,8,0),"")</f>
        <v>_</v>
      </c>
      <c r="AP530" s="185" t="str">
        <f>_xlfn.IFNA(VLOOKUP($AH530,Programma!$F$3:$N$1101,9,0),"")</f>
        <v>_</v>
      </c>
      <c r="AQ530" s="185" t="str">
        <f>_xlfn.IFNA(VLOOKUP($AH530,Programma!$F$3:$O$1101,10,0),"")</f>
        <v>_</v>
      </c>
      <c r="AR530" s="185" t="str">
        <f>_xlfn.IFNA(VLOOKUP($AH530,Programma!$F$3:$P$1101,11,0),"")</f>
        <v>_</v>
      </c>
      <c r="AS530" s="185" t="str">
        <f>_xlfn.IFNA(VLOOKUP($AH530,Programma!$F$3:$Q$1101,12,0),"")</f>
        <v>_</v>
      </c>
      <c r="AT530" s="185" t="str">
        <f>_xlfn.IFNA(VLOOKUP($AH530,Programma!$F$3:$R$1101,13,0),"")</f>
        <v>_</v>
      </c>
      <c r="AU530" s="185" t="str">
        <f>_xlfn.IFNA(VLOOKUP($AH530,Programma!$F$3:$S$1101,14,0),"")</f>
        <v>_</v>
      </c>
      <c r="AV530" s="185" t="str">
        <f>_xlfn.IFNA(VLOOKUP($AH530,Programma!$F$3:$T$1101,15,0),"")</f>
        <v>_</v>
      </c>
      <c r="AW530" s="185" t="str">
        <f>_xlfn.IFNA(VLOOKUP($AH530,Programma!$F$3:$U$1101,16,0),"")</f>
        <v>_</v>
      </c>
      <c r="AX530" s="185" t="str">
        <f>_xlfn.IFNA(VLOOKUP($AH530,Programma!$F$3:$V$1101,17,0),"")</f>
        <v>_</v>
      </c>
      <c r="AY530" s="185" t="str">
        <f>_xlfn.IFNA(VLOOKUP($AH530,Programma!$F$3:$W$1101,18,0),"")</f>
        <v>4w</v>
      </c>
      <c r="AZ530" s="185" t="str">
        <f>_xlfn.IFNA(VLOOKUP($AH530,Programma!$F$3:$X$1101,19,0),"")</f>
        <v>1w</v>
      </c>
      <c r="BA530" s="185" t="str">
        <f>_xlfn.IFNA(VLOOKUP($AH530,Programma!$F$3:$Y$1101,20,0),"")</f>
        <v>_</v>
      </c>
      <c r="BB530" s="182"/>
      <c r="BC530" s="181" t="str">
        <f>IF(Ruimtestaat[[#This Row],[Frequentie weekend]]="","",_xlfn.CONCAT(Ruimtestaat[[#This Row],[Ruimte code]],"-",Ruimtestaat[[#This Row],[Frequentie weekend]]," ",Ruimtestaat[[#This Row],[Vloer code]]))</f>
        <v/>
      </c>
      <c r="BD530" s="185" t="str">
        <f>_xlfn.IFNA(VLOOKUP($BC530,Programma!$F$3:$G$1101,2,0),"")</f>
        <v/>
      </c>
      <c r="BE530" s="185" t="str">
        <f>_xlfn.IFNA(VLOOKUP($BC530,Programma!$F$3:$H$1101,3,0),"")</f>
        <v/>
      </c>
      <c r="BF530" s="185" t="str">
        <f>_xlfn.IFNA(VLOOKUP($BC530,Programma!$F$3:$I$1101,4,0),"")</f>
        <v/>
      </c>
      <c r="BG530" s="185" t="str">
        <f>_xlfn.IFNA(VLOOKUP($BC530,Programma!$F$3:$J$1101,5,0),"")</f>
        <v/>
      </c>
      <c r="BH530" s="185" t="str">
        <f>_xlfn.IFNA(VLOOKUP($BC530,Programma!$F$3:$K$1101,6,0),"")</f>
        <v/>
      </c>
      <c r="BI530" s="185" t="str">
        <f>_xlfn.IFNA(VLOOKUP($BC530,Programma!$F$3:$L$1101,7,0),"")</f>
        <v/>
      </c>
      <c r="BJ530" s="185" t="str">
        <f>_xlfn.IFNA(VLOOKUP($BC530,Programma!$F$3:$M$1101,8,0),"")</f>
        <v/>
      </c>
      <c r="BK530" s="185" t="str">
        <f>_xlfn.IFNA(VLOOKUP($BC530,Programma!$F$3:$N$1101,9,0),"")</f>
        <v/>
      </c>
      <c r="BL530" s="185" t="str">
        <f>_xlfn.IFNA(VLOOKUP($BC530,Programma!$F$3:$O$1101,10,0),"")</f>
        <v/>
      </c>
      <c r="BM530" s="185" t="str">
        <f>_xlfn.IFNA(VLOOKUP($BC530,Programma!$F$3:$P$1101,11,0),"")</f>
        <v/>
      </c>
      <c r="BN530" s="185" t="str">
        <f>_xlfn.IFNA(VLOOKUP($BC530,Programma!$F$3:$Q$1101,12,0),"")</f>
        <v/>
      </c>
      <c r="BO530" s="185" t="str">
        <f>_xlfn.IFNA(VLOOKUP($BC530,Programma!$F$3:$R$1101,13,0),"")</f>
        <v/>
      </c>
      <c r="BP530" s="185" t="str">
        <f>_xlfn.IFNA(VLOOKUP($BC530,Programma!$F$3:$S$1101,14,0),"")</f>
        <v/>
      </c>
      <c r="BQ530" s="185" t="str">
        <f>_xlfn.IFNA(VLOOKUP($BC530,Programma!$F$3:$T$1101,15,0),"")</f>
        <v/>
      </c>
      <c r="BR530" s="185" t="str">
        <f>_xlfn.IFNA(VLOOKUP($BC530,Programma!$F$3:$U$1101,16,0),"")</f>
        <v/>
      </c>
      <c r="BS530" s="185" t="str">
        <f>_xlfn.IFNA(VLOOKUP($BC530,Programma!$F$3:$V$1101,17,0),"")</f>
        <v/>
      </c>
      <c r="BT530" s="185" t="str">
        <f>_xlfn.IFNA(VLOOKUP($BC530,Programma!$F$3:$W$1101,18,0),"")</f>
        <v/>
      </c>
      <c r="BU530" s="185" t="str">
        <f>_xlfn.IFNA(VLOOKUP($BC530,Programma!$F$3:$X$1101,19,0),"")</f>
        <v/>
      </c>
      <c r="BV530" s="185" t="str">
        <f>_xlfn.IFNA(VLOOKUP($BC530,Programma!$F$3:$Y$1101,20,0),"")</f>
        <v/>
      </c>
    </row>
    <row r="531" spans="1:74" s="78" customFormat="1" ht="15" customHeight="1">
      <c r="A531" s="99">
        <v>15</v>
      </c>
      <c r="B531" s="176" t="str">
        <f>VLOOKUP(Ruimtestaat[[#This Row],[Code]],Locaties[[Code]:[Locatie]],2,FALSE)</f>
        <v>Prinseschool Staringstraat</v>
      </c>
      <c r="C531" s="176" t="str">
        <f>VLOOKUP(Ruimtestaat[[#This Row],[Code]],Locaties[[#All],[Code]:[Adres]],4,FALSE)</f>
        <v>Staringstraat 15 </v>
      </c>
      <c r="D531" s="176" t="str">
        <f>VLOOKUP(Ruimtestaat[[#This Row],[Code]],Locaties[[#All],[Code]:[Postcode]],5,FALSE)</f>
        <v>7514 DE</v>
      </c>
      <c r="E531" s="176" t="str">
        <f>VLOOKUP(Ruimtestaat[[#This Row],[Code]],Locaties[#All],6,FALSE)</f>
        <v>Enschede</v>
      </c>
      <c r="F531" s="183"/>
      <c r="G531" s="99" t="s">
        <v>1646</v>
      </c>
      <c r="H531" s="99" t="s">
        <v>1669</v>
      </c>
      <c r="I531" s="183" t="s">
        <v>1651</v>
      </c>
      <c r="J531" s="99">
        <v>16</v>
      </c>
      <c r="K531" s="183" t="str">
        <f>VLOOKUP(Ruimtestaat[[#This Row],[Ruimte code]],Ruimtegroepen[[#All],[Code]:[Ruimte omschrijving]],2,FALSE)</f>
        <v>Leslokalen</v>
      </c>
      <c r="L531" s="99" t="s">
        <v>100</v>
      </c>
      <c r="M531" s="99" t="s">
        <v>1697</v>
      </c>
      <c r="N531" s="177">
        <v>54.8</v>
      </c>
      <c r="O531" s="177"/>
      <c r="P531" s="178" t="str">
        <f>VLOOKUP(Ruimtestaat[[#This Row],[Ruimte code]],Ruimtegroepen[],4,FALSE)</f>
        <v>Le</v>
      </c>
      <c r="Q531" s="149">
        <v>40</v>
      </c>
      <c r="R531" s="149" t="s">
        <v>2</v>
      </c>
      <c r="S531" s="149">
        <f>IF(Q531&gt;0,IF(RIGHT(Ruimtestaat[[#This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1" s="149">
        <f>IF(S531&gt;0,VLOOKUP($J531,Ruimtegroepen[],3,FALSE)*VLOOKUP($L531,Vloersoorten[],3,FALSE)*VLOOKUP($R531,Frequenties[],3,FALSE)*VLOOKUP($A531,Locaties[],3,FALSE),0)</f>
        <v>0</v>
      </c>
      <c r="U531" s="149">
        <f>Ruimtestaat[[#This Row],[Uitvoeringen werkdagen]]*Ruimtestaat[[#This Row],[Oppervlak (netto)]]</f>
        <v>10960</v>
      </c>
      <c r="V531" s="179">
        <f>IF(T531&gt;0,Ruimtestaat[[#This Row],[Prest. (m2 /jaar) werkdagen]]/Ruimtestaat[[#This Row],[Norm (m2/uur) werkdagen]],0)</f>
        <v>0</v>
      </c>
      <c r="W531" s="180">
        <f>Ruimtestaat[[#This Row],[uren / jaar werkdagen]]*Tariefsopbouw!$E$35</f>
        <v>0</v>
      </c>
      <c r="X531" s="149"/>
      <c r="Y531" s="149">
        <f>IF(Ruimtestaat[[#This Row],[Frequentie weekend]]&gt;0,VALUE(LEFT(X531,1))*Q531,0)</f>
        <v>0</v>
      </c>
      <c r="Z531" s="148">
        <f>IF($Y531&gt;0,VLOOKUP($J531,Ruimtegroepen[],3,FALSE)*VLOOKUP($L531,Vloersoorten[],3,FALSE)*VLOOKUP($X531,Frequenties[],3,FALSE)*VLOOKUP(Ruimtestaat[[#This Row],[Code]],Locaties[],3,FALSE),0)</f>
        <v>0</v>
      </c>
      <c r="AA531" s="148">
        <f>Ruimtestaat[[#This Row],[Uitvoeringen weekend]]*Ruimtestaat[[#This Row],[Oppervlak (netto)]]</f>
        <v>0</v>
      </c>
      <c r="AB531" s="148">
        <f>IF(Z531&gt;0,Ruimtestaat[[#This Row],[Prest. (m2 /jaar) weekend]]/Ruimtestaat[[#This Row],[Norm (m2/uur) weekend]],0)</f>
        <v>0</v>
      </c>
      <c r="AC531" s="180">
        <f>Ruimtestaat[[#This Row],[uren / jaar weekend]]*Tariefsopbouw!$D$40</f>
        <v>0</v>
      </c>
      <c r="AD531" s="179">
        <f>Ruimtestaat[[#This Row],[Prest. (m2 /jaar) weekend]]+Ruimtestaat[[#This Row],[Prest. (m2 /jaar) werkdagen]]</f>
        <v>10960</v>
      </c>
      <c r="AE531" s="179">
        <f>Ruimtestaat[[#This Row],[uren / jaar weekend]]+Ruimtestaat[[#This Row],[uren / jaar werkdagen]]</f>
        <v>0</v>
      </c>
      <c r="AF531" s="174">
        <f>Ruimtestaat[[#This Row],[kosten / jaar weekend]]+Ruimtestaat[[#This Row],[kosten / jaar werkdagen]]</f>
        <v>0</v>
      </c>
      <c r="AG531" s="174"/>
      <c r="AH531" s="181" t="str">
        <f>IF(Ruimtestaat[[#This Row],[Frequentie werkdagen]]="","",_xlfn.CONCAT(Ruimtestaat[[#This Row],[Ruimte code]],"-",Ruimtestaat[[#This Row],[Frequentie werkdagen]]," ",Ruimtestaat[[#This Row],[Vloer code]]))</f>
        <v>16-5w L</v>
      </c>
      <c r="AI531" s="185" t="str">
        <f>_xlfn.IFNA(VLOOKUP($AH531,Programma!$F$3:$G$1101,2,0),"")</f>
        <v>_</v>
      </c>
      <c r="AJ531" s="185" t="str">
        <f>_xlfn.IFNA(VLOOKUP($AH531,Programma!$F$3:$H$1101,3,0),"")</f>
        <v>_</v>
      </c>
      <c r="AK531" s="185" t="str">
        <f>_xlfn.IFNA(VLOOKUP($AH531,Programma!$F$3:$I$1101,4,0),"")</f>
        <v>4w</v>
      </c>
      <c r="AL531" s="185" t="str">
        <f>_xlfn.IFNA(VLOOKUP($AH531,Programma!$F$3:$J$1101,5,0),"")</f>
        <v>1w</v>
      </c>
      <c r="AM531" s="185" t="str">
        <f>_xlfn.IFNA(VLOOKUP($AH531,Programma!$F$3:$K$1101,6,0),"")</f>
        <v>_</v>
      </c>
      <c r="AN531" s="185" t="str">
        <f>_xlfn.IFNA(VLOOKUP($AH531,Programma!$F$3:$L$1101,7,0),"")</f>
        <v>_</v>
      </c>
      <c r="AO531" s="185" t="str">
        <f>_xlfn.IFNA(VLOOKUP($AH531,Programma!$F$3:$M$1101,8,0),"")</f>
        <v>_</v>
      </c>
      <c r="AP531" s="185" t="str">
        <f>_xlfn.IFNA(VLOOKUP($AH531,Programma!$F$3:$N$1101,9,0),"")</f>
        <v>_</v>
      </c>
      <c r="AQ531" s="185" t="str">
        <f>_xlfn.IFNA(VLOOKUP($AH531,Programma!$F$3:$O$1101,10,0),"")</f>
        <v>5w</v>
      </c>
      <c r="AR531" s="185" t="str">
        <f>_xlfn.IFNA(VLOOKUP($AH531,Programma!$F$3:$P$1101,11,0),"")</f>
        <v>5w</v>
      </c>
      <c r="AS531" s="185" t="str">
        <f>_xlfn.IFNA(VLOOKUP($AH531,Programma!$F$3:$Q$1101,12,0),"")</f>
        <v>1w</v>
      </c>
      <c r="AT531" s="185" t="str">
        <f>_xlfn.IFNA(VLOOKUP($AH531,Programma!$F$3:$R$1101,13,0),"")</f>
        <v>1w</v>
      </c>
      <c r="AU531" s="185" t="str">
        <f>_xlfn.IFNA(VLOOKUP($AH531,Programma!$F$3:$S$1101,14,0),"")</f>
        <v>1m</v>
      </c>
      <c r="AV531" s="185" t="str">
        <f>_xlfn.IFNA(VLOOKUP($AH531,Programma!$F$3:$T$1101,15,0),"")</f>
        <v>2j</v>
      </c>
      <c r="AW531" s="185" t="str">
        <f>_xlfn.IFNA(VLOOKUP($AH531,Programma!$F$3:$U$1101,16,0),"")</f>
        <v>1j</v>
      </c>
      <c r="AX531" s="185" t="str">
        <f>_xlfn.IFNA(VLOOKUP($AH531,Programma!$F$3:$V$1101,17,0),"")</f>
        <v>_</v>
      </c>
      <c r="AY531" s="185" t="str">
        <f>_xlfn.IFNA(VLOOKUP($AH531,Programma!$F$3:$W$1101,18,0),"")</f>
        <v>_</v>
      </c>
      <c r="AZ531" s="185" t="str">
        <f>_xlfn.IFNA(VLOOKUP($AH531,Programma!$F$3:$X$1101,19,0),"")</f>
        <v>_</v>
      </c>
      <c r="BA531" s="185" t="str">
        <f>_xlfn.IFNA(VLOOKUP($AH531,Programma!$F$3:$Y$1101,20,0),"")</f>
        <v>_</v>
      </c>
      <c r="BB531" s="182"/>
      <c r="BC531" s="181" t="str">
        <f>IF(Ruimtestaat[[#This Row],[Frequentie weekend]]="","",_xlfn.CONCAT(Ruimtestaat[[#This Row],[Ruimte code]],"-",Ruimtestaat[[#This Row],[Frequentie weekend]]," ",Ruimtestaat[[#This Row],[Vloer code]]))</f>
        <v/>
      </c>
      <c r="BD531" s="185" t="str">
        <f>_xlfn.IFNA(VLOOKUP($BC531,Programma!$F$3:$G$1101,2,0),"")</f>
        <v/>
      </c>
      <c r="BE531" s="185" t="str">
        <f>_xlfn.IFNA(VLOOKUP($BC531,Programma!$F$3:$H$1101,3,0),"")</f>
        <v/>
      </c>
      <c r="BF531" s="185" t="str">
        <f>_xlfn.IFNA(VLOOKUP($BC531,Programma!$F$3:$I$1101,4,0),"")</f>
        <v/>
      </c>
      <c r="BG531" s="185" t="str">
        <f>_xlfn.IFNA(VLOOKUP($BC531,Programma!$F$3:$J$1101,5,0),"")</f>
        <v/>
      </c>
      <c r="BH531" s="185" t="str">
        <f>_xlfn.IFNA(VLOOKUP($BC531,Programma!$F$3:$K$1101,6,0),"")</f>
        <v/>
      </c>
      <c r="BI531" s="185" t="str">
        <f>_xlfn.IFNA(VLOOKUP($BC531,Programma!$F$3:$L$1101,7,0),"")</f>
        <v/>
      </c>
      <c r="BJ531" s="185" t="str">
        <f>_xlfn.IFNA(VLOOKUP($BC531,Programma!$F$3:$M$1101,8,0),"")</f>
        <v/>
      </c>
      <c r="BK531" s="185" t="str">
        <f>_xlfn.IFNA(VLOOKUP($BC531,Programma!$F$3:$N$1101,9,0),"")</f>
        <v/>
      </c>
      <c r="BL531" s="185" t="str">
        <f>_xlfn.IFNA(VLOOKUP($BC531,Programma!$F$3:$O$1101,10,0),"")</f>
        <v/>
      </c>
      <c r="BM531" s="185" t="str">
        <f>_xlfn.IFNA(VLOOKUP($BC531,Programma!$F$3:$P$1101,11,0),"")</f>
        <v/>
      </c>
      <c r="BN531" s="185" t="str">
        <f>_xlfn.IFNA(VLOOKUP($BC531,Programma!$F$3:$Q$1101,12,0),"")</f>
        <v/>
      </c>
      <c r="BO531" s="185" t="str">
        <f>_xlfn.IFNA(VLOOKUP($BC531,Programma!$F$3:$R$1101,13,0),"")</f>
        <v/>
      </c>
      <c r="BP531" s="185" t="str">
        <f>_xlfn.IFNA(VLOOKUP($BC531,Programma!$F$3:$S$1101,14,0),"")</f>
        <v/>
      </c>
      <c r="BQ531" s="185" t="str">
        <f>_xlfn.IFNA(VLOOKUP($BC531,Programma!$F$3:$T$1101,15,0),"")</f>
        <v/>
      </c>
      <c r="BR531" s="185" t="str">
        <f>_xlfn.IFNA(VLOOKUP($BC531,Programma!$F$3:$U$1101,16,0),"")</f>
        <v/>
      </c>
      <c r="BS531" s="185" t="str">
        <f>_xlfn.IFNA(VLOOKUP($BC531,Programma!$F$3:$V$1101,17,0),"")</f>
        <v/>
      </c>
      <c r="BT531" s="185" t="str">
        <f>_xlfn.IFNA(VLOOKUP($BC531,Programma!$F$3:$W$1101,18,0),"")</f>
        <v/>
      </c>
      <c r="BU531" s="185" t="str">
        <f>_xlfn.IFNA(VLOOKUP($BC531,Programma!$F$3:$X$1101,19,0),"")</f>
        <v/>
      </c>
      <c r="BV531" s="185" t="str">
        <f>_xlfn.IFNA(VLOOKUP($BC531,Programma!$F$3:$Y$1101,20,0),"")</f>
        <v/>
      </c>
    </row>
    <row r="532" spans="1:74" s="78" customFormat="1" ht="15" customHeight="1">
      <c r="A532" s="99">
        <v>15</v>
      </c>
      <c r="B532" s="176" t="str">
        <f>VLOOKUP(Ruimtestaat[[#This Row],[Code]],Locaties[[Code]:[Locatie]],2,FALSE)</f>
        <v>Prinseschool Staringstraat</v>
      </c>
      <c r="C532" s="176" t="str">
        <f>VLOOKUP(Ruimtestaat[[#This Row],[Code]],Locaties[[#All],[Code]:[Adres]],4,FALSE)</f>
        <v>Staringstraat 15 </v>
      </c>
      <c r="D532" s="176" t="str">
        <f>VLOOKUP(Ruimtestaat[[#This Row],[Code]],Locaties[[#All],[Code]:[Postcode]],5,FALSE)</f>
        <v>7514 DE</v>
      </c>
      <c r="E532" s="176" t="str">
        <f>VLOOKUP(Ruimtestaat[[#This Row],[Code]],Locaties[#All],6,FALSE)</f>
        <v>Enschede</v>
      </c>
      <c r="F532" s="183"/>
      <c r="G532" s="99" t="s">
        <v>1646</v>
      </c>
      <c r="H532" s="99" t="s">
        <v>1670</v>
      </c>
      <c r="I532" s="183" t="s">
        <v>1272</v>
      </c>
      <c r="J532" s="99">
        <v>18</v>
      </c>
      <c r="K532" s="183" t="str">
        <f>VLOOKUP(Ruimtestaat[[#This Row],[Ruimte code]],Ruimtegroepen[[#All],[Code]:[Ruimte omschrijving]],2,FALSE)</f>
        <v>Gymzaal</v>
      </c>
      <c r="L532" s="99" t="s">
        <v>100</v>
      </c>
      <c r="M532" s="99" t="s">
        <v>1697</v>
      </c>
      <c r="N532" s="177">
        <v>80</v>
      </c>
      <c r="O532" s="177"/>
      <c r="P532" s="178" t="str">
        <f>VLOOKUP(Ruimtestaat[[#This Row],[Ruimte code]],Ruimtegroepen[],4,FALSE)</f>
        <v>Sp</v>
      </c>
      <c r="Q532" s="149">
        <v>40</v>
      </c>
      <c r="R532" s="149" t="s">
        <v>2</v>
      </c>
      <c r="S532" s="149">
        <f>IF(Q532&gt;0,IF(RIGHT(Ruimtestaat[[#This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2" s="149">
        <f>IF(S532&gt;0,VLOOKUP($J532,Ruimtegroepen[],3,FALSE)*VLOOKUP($L532,Vloersoorten[],3,FALSE)*VLOOKUP($R532,Frequenties[],3,FALSE)*VLOOKUP($A532,Locaties[],3,FALSE),0)</f>
        <v>0</v>
      </c>
      <c r="U532" s="149">
        <f>Ruimtestaat[[#This Row],[Uitvoeringen werkdagen]]*Ruimtestaat[[#This Row],[Oppervlak (netto)]]</f>
        <v>16000</v>
      </c>
      <c r="V532" s="179">
        <f>IF(T532&gt;0,Ruimtestaat[[#This Row],[Prest. (m2 /jaar) werkdagen]]/Ruimtestaat[[#This Row],[Norm (m2/uur) werkdagen]],0)</f>
        <v>0</v>
      </c>
      <c r="W532" s="180">
        <f>Ruimtestaat[[#This Row],[uren / jaar werkdagen]]*Tariefsopbouw!$E$35</f>
        <v>0</v>
      </c>
      <c r="X532" s="149"/>
      <c r="Y532" s="149">
        <f>IF(Ruimtestaat[[#This Row],[Frequentie weekend]]&gt;0,VALUE(LEFT(X532,1))*Q532,0)</f>
        <v>0</v>
      </c>
      <c r="Z532" s="148">
        <f>IF($Y532&gt;0,VLOOKUP($J532,Ruimtegroepen[],3,FALSE)*VLOOKUP($L532,Vloersoorten[],3,FALSE)*VLOOKUP($X532,Frequenties[],3,FALSE)*VLOOKUP(Ruimtestaat[[#This Row],[Code]],Locaties[],3,FALSE),0)</f>
        <v>0</v>
      </c>
      <c r="AA532" s="148">
        <f>Ruimtestaat[[#This Row],[Uitvoeringen weekend]]*Ruimtestaat[[#This Row],[Oppervlak (netto)]]</f>
        <v>0</v>
      </c>
      <c r="AB532" s="148">
        <f>IF(Z532&gt;0,Ruimtestaat[[#This Row],[Prest. (m2 /jaar) weekend]]/Ruimtestaat[[#This Row],[Norm (m2/uur) weekend]],0)</f>
        <v>0</v>
      </c>
      <c r="AC532" s="180">
        <f>Ruimtestaat[[#This Row],[uren / jaar weekend]]*Tariefsopbouw!$D$40</f>
        <v>0</v>
      </c>
      <c r="AD532" s="179">
        <f>Ruimtestaat[[#This Row],[Prest. (m2 /jaar) weekend]]+Ruimtestaat[[#This Row],[Prest. (m2 /jaar) werkdagen]]</f>
        <v>16000</v>
      </c>
      <c r="AE532" s="179">
        <f>Ruimtestaat[[#This Row],[uren / jaar weekend]]+Ruimtestaat[[#This Row],[uren / jaar werkdagen]]</f>
        <v>0</v>
      </c>
      <c r="AF532" s="174">
        <f>Ruimtestaat[[#This Row],[kosten / jaar weekend]]+Ruimtestaat[[#This Row],[kosten / jaar werkdagen]]</f>
        <v>0</v>
      </c>
      <c r="AG532" s="174"/>
      <c r="AH532" s="181" t="str">
        <f>IF(Ruimtestaat[[#This Row],[Frequentie werkdagen]]="","",_xlfn.CONCAT(Ruimtestaat[[#This Row],[Ruimte code]],"-",Ruimtestaat[[#This Row],[Frequentie werkdagen]]," ",Ruimtestaat[[#This Row],[Vloer code]]))</f>
        <v>18-5w L</v>
      </c>
      <c r="AI532" s="185" t="str">
        <f>_xlfn.IFNA(VLOOKUP($AH532,Programma!$F$3:$G$1101,2,0),"")</f>
        <v>_</v>
      </c>
      <c r="AJ532" s="185" t="str">
        <f>_xlfn.IFNA(VLOOKUP($AH532,Programma!$F$3:$H$1101,3,0),"")</f>
        <v>_</v>
      </c>
      <c r="AK532" s="185" t="str">
        <f>_xlfn.IFNA(VLOOKUP($AH532,Programma!$F$3:$I$1101,4,0),"")</f>
        <v>4w</v>
      </c>
      <c r="AL532" s="185" t="str">
        <f>_xlfn.IFNA(VLOOKUP($AH532,Programma!$F$3:$J$1101,5,0),"")</f>
        <v>1w</v>
      </c>
      <c r="AM532" s="185" t="str">
        <f>_xlfn.IFNA(VLOOKUP($AH532,Programma!$F$3:$K$1101,6,0),"")</f>
        <v>_</v>
      </c>
      <c r="AN532" s="185" t="str">
        <f>_xlfn.IFNA(VLOOKUP($AH532,Programma!$F$3:$L$1101,7,0),"")</f>
        <v>_</v>
      </c>
      <c r="AO532" s="185" t="str">
        <f>_xlfn.IFNA(VLOOKUP($AH532,Programma!$F$3:$M$1101,8,0),"")</f>
        <v>_</v>
      </c>
      <c r="AP532" s="185" t="str">
        <f>_xlfn.IFNA(VLOOKUP($AH532,Programma!$F$3:$N$1101,9,0),"")</f>
        <v>_</v>
      </c>
      <c r="AQ532" s="185" t="str">
        <f>_xlfn.IFNA(VLOOKUP($AH532,Programma!$F$3:$O$1101,10,0),"")</f>
        <v>5w</v>
      </c>
      <c r="AR532" s="185" t="str">
        <f>_xlfn.IFNA(VLOOKUP($AH532,Programma!$F$3:$P$1101,11,0),"")</f>
        <v>5w</v>
      </c>
      <c r="AS532" s="185" t="str">
        <f>_xlfn.IFNA(VLOOKUP($AH532,Programma!$F$3:$Q$1101,12,0),"")</f>
        <v>5w</v>
      </c>
      <c r="AT532" s="185" t="str">
        <f>_xlfn.IFNA(VLOOKUP($AH532,Programma!$F$3:$R$1101,13,0),"")</f>
        <v>5w</v>
      </c>
      <c r="AU532" s="185" t="str">
        <f>_xlfn.IFNA(VLOOKUP($AH532,Programma!$F$3:$S$1101,14,0),"")</f>
        <v>1m</v>
      </c>
      <c r="AV532" s="185" t="str">
        <f>_xlfn.IFNA(VLOOKUP($AH532,Programma!$F$3:$T$1101,15,0),"")</f>
        <v>2j</v>
      </c>
      <c r="AW532" s="185" t="str">
        <f>_xlfn.IFNA(VLOOKUP($AH532,Programma!$F$3:$U$1101,16,0),"")</f>
        <v>1j</v>
      </c>
      <c r="AX532" s="185" t="str">
        <f>_xlfn.IFNA(VLOOKUP($AH532,Programma!$F$3:$V$1101,17,0),"")</f>
        <v>_</v>
      </c>
      <c r="AY532" s="185" t="str">
        <f>_xlfn.IFNA(VLOOKUP($AH532,Programma!$F$3:$W$1101,18,0),"")</f>
        <v>_</v>
      </c>
      <c r="AZ532" s="185" t="str">
        <f>_xlfn.IFNA(VLOOKUP($AH532,Programma!$F$3:$X$1101,19,0),"")</f>
        <v>_</v>
      </c>
      <c r="BA532" s="185" t="str">
        <f>_xlfn.IFNA(VLOOKUP($AH532,Programma!$F$3:$Y$1101,20,0),"")</f>
        <v>_</v>
      </c>
      <c r="BB532" s="182"/>
      <c r="BC532" s="181" t="str">
        <f>IF(Ruimtestaat[[#This Row],[Frequentie weekend]]="","",_xlfn.CONCAT(Ruimtestaat[[#This Row],[Ruimte code]],"-",Ruimtestaat[[#This Row],[Frequentie weekend]]," ",Ruimtestaat[[#This Row],[Vloer code]]))</f>
        <v/>
      </c>
      <c r="BD532" s="185" t="str">
        <f>_xlfn.IFNA(VLOOKUP($BC532,Programma!$F$3:$G$1101,2,0),"")</f>
        <v/>
      </c>
      <c r="BE532" s="185" t="str">
        <f>_xlfn.IFNA(VLOOKUP($BC532,Programma!$F$3:$H$1101,3,0),"")</f>
        <v/>
      </c>
      <c r="BF532" s="185" t="str">
        <f>_xlfn.IFNA(VLOOKUP($BC532,Programma!$F$3:$I$1101,4,0),"")</f>
        <v/>
      </c>
      <c r="BG532" s="185" t="str">
        <f>_xlfn.IFNA(VLOOKUP($BC532,Programma!$F$3:$J$1101,5,0),"")</f>
        <v/>
      </c>
      <c r="BH532" s="185" t="str">
        <f>_xlfn.IFNA(VLOOKUP($BC532,Programma!$F$3:$K$1101,6,0),"")</f>
        <v/>
      </c>
      <c r="BI532" s="185" t="str">
        <f>_xlfn.IFNA(VLOOKUP($BC532,Programma!$F$3:$L$1101,7,0),"")</f>
        <v/>
      </c>
      <c r="BJ532" s="185" t="str">
        <f>_xlfn.IFNA(VLOOKUP($BC532,Programma!$F$3:$M$1101,8,0),"")</f>
        <v/>
      </c>
      <c r="BK532" s="185" t="str">
        <f>_xlfn.IFNA(VLOOKUP($BC532,Programma!$F$3:$N$1101,9,0),"")</f>
        <v/>
      </c>
      <c r="BL532" s="185" t="str">
        <f>_xlfn.IFNA(VLOOKUP($BC532,Programma!$F$3:$O$1101,10,0),"")</f>
        <v/>
      </c>
      <c r="BM532" s="185" t="str">
        <f>_xlfn.IFNA(VLOOKUP($BC532,Programma!$F$3:$P$1101,11,0),"")</f>
        <v/>
      </c>
      <c r="BN532" s="185" t="str">
        <f>_xlfn.IFNA(VLOOKUP($BC532,Programma!$F$3:$Q$1101,12,0),"")</f>
        <v/>
      </c>
      <c r="BO532" s="185" t="str">
        <f>_xlfn.IFNA(VLOOKUP($BC532,Programma!$F$3:$R$1101,13,0),"")</f>
        <v/>
      </c>
      <c r="BP532" s="185" t="str">
        <f>_xlfn.IFNA(VLOOKUP($BC532,Programma!$F$3:$S$1101,14,0),"")</f>
        <v/>
      </c>
      <c r="BQ532" s="185" t="str">
        <f>_xlfn.IFNA(VLOOKUP($BC532,Programma!$F$3:$T$1101,15,0),"")</f>
        <v/>
      </c>
      <c r="BR532" s="185" t="str">
        <f>_xlfn.IFNA(VLOOKUP($BC532,Programma!$F$3:$U$1101,16,0),"")</f>
        <v/>
      </c>
      <c r="BS532" s="185" t="str">
        <f>_xlfn.IFNA(VLOOKUP($BC532,Programma!$F$3:$V$1101,17,0),"")</f>
        <v/>
      </c>
      <c r="BT532" s="185" t="str">
        <f>_xlfn.IFNA(VLOOKUP($BC532,Programma!$F$3:$W$1101,18,0),"")</f>
        <v/>
      </c>
      <c r="BU532" s="185" t="str">
        <f>_xlfn.IFNA(VLOOKUP($BC532,Programma!$F$3:$X$1101,19,0),"")</f>
        <v/>
      </c>
      <c r="BV532" s="185" t="str">
        <f>_xlfn.IFNA(VLOOKUP($BC532,Programma!$F$3:$Y$1101,20,0),"")</f>
        <v/>
      </c>
    </row>
    <row r="533" spans="1:74" s="78" customFormat="1" ht="15" customHeight="1">
      <c r="A533" s="99">
        <v>15</v>
      </c>
      <c r="B533" s="176" t="str">
        <f>VLOOKUP(Ruimtestaat[[#This Row],[Code]],Locaties[[Code]:[Locatie]],2,FALSE)</f>
        <v>Prinseschool Staringstraat</v>
      </c>
      <c r="C533" s="176" t="str">
        <f>VLOOKUP(Ruimtestaat[[#This Row],[Code]],Locaties[[#All],[Code]:[Adres]],4,FALSE)</f>
        <v>Staringstraat 15 </v>
      </c>
      <c r="D533" s="176" t="str">
        <f>VLOOKUP(Ruimtestaat[[#This Row],[Code]],Locaties[[#All],[Code]:[Postcode]],5,FALSE)</f>
        <v>7514 DE</v>
      </c>
      <c r="E533" s="176" t="str">
        <f>VLOOKUP(Ruimtestaat[[#This Row],[Code]],Locaties[#All],6,FALSE)</f>
        <v>Enschede</v>
      </c>
      <c r="F533" s="183"/>
      <c r="G533" s="99" t="s">
        <v>1646</v>
      </c>
      <c r="H533" s="99" t="s">
        <v>1671</v>
      </c>
      <c r="I533" s="183" t="s">
        <v>1651</v>
      </c>
      <c r="J533" s="99">
        <v>16</v>
      </c>
      <c r="K533" s="183" t="str">
        <f>VLOOKUP(Ruimtestaat[[#This Row],[Ruimte code]],Ruimtegroepen[[#All],[Code]:[Ruimte omschrijving]],2,FALSE)</f>
        <v>Leslokalen</v>
      </c>
      <c r="L533" s="99" t="s">
        <v>100</v>
      </c>
      <c r="M533" s="99" t="s">
        <v>1697</v>
      </c>
      <c r="N533" s="177">
        <v>55.3</v>
      </c>
      <c r="O533" s="177"/>
      <c r="P533" s="178" t="str">
        <f>VLOOKUP(Ruimtestaat[[#This Row],[Ruimte code]],Ruimtegroepen[],4,FALSE)</f>
        <v>Le</v>
      </c>
      <c r="Q533" s="149">
        <v>40</v>
      </c>
      <c r="R533" s="149" t="s">
        <v>2</v>
      </c>
      <c r="S533" s="149">
        <f>IF(Q533&gt;0,IF(RIGHT(Ruimtestaat[[#This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3" s="149">
        <f>IF(S533&gt;0,VLOOKUP($J533,Ruimtegroepen[],3,FALSE)*VLOOKUP($L533,Vloersoorten[],3,FALSE)*VLOOKUP($R533,Frequenties[],3,FALSE)*VLOOKUP($A533,Locaties[],3,FALSE),0)</f>
        <v>0</v>
      </c>
      <c r="U533" s="149">
        <f>Ruimtestaat[[#This Row],[Uitvoeringen werkdagen]]*Ruimtestaat[[#This Row],[Oppervlak (netto)]]</f>
        <v>11060</v>
      </c>
      <c r="V533" s="179">
        <f>IF(T533&gt;0,Ruimtestaat[[#This Row],[Prest. (m2 /jaar) werkdagen]]/Ruimtestaat[[#This Row],[Norm (m2/uur) werkdagen]],0)</f>
        <v>0</v>
      </c>
      <c r="W533" s="180">
        <f>Ruimtestaat[[#This Row],[uren / jaar werkdagen]]*Tariefsopbouw!$E$35</f>
        <v>0</v>
      </c>
      <c r="X533" s="149"/>
      <c r="Y533" s="149">
        <f>IF(Ruimtestaat[[#This Row],[Frequentie weekend]]&gt;0,VALUE(LEFT(X533,1))*Q533,0)</f>
        <v>0</v>
      </c>
      <c r="Z533" s="148">
        <f>IF($Y533&gt;0,VLOOKUP($J533,Ruimtegroepen[],3,FALSE)*VLOOKUP($L533,Vloersoorten[],3,FALSE)*VLOOKUP($X533,Frequenties[],3,FALSE)*VLOOKUP(Ruimtestaat[[#This Row],[Code]],Locaties[],3,FALSE),0)</f>
        <v>0</v>
      </c>
      <c r="AA533" s="148">
        <f>Ruimtestaat[[#This Row],[Uitvoeringen weekend]]*Ruimtestaat[[#This Row],[Oppervlak (netto)]]</f>
        <v>0</v>
      </c>
      <c r="AB533" s="148">
        <f>IF(Z533&gt;0,Ruimtestaat[[#This Row],[Prest. (m2 /jaar) weekend]]/Ruimtestaat[[#This Row],[Norm (m2/uur) weekend]],0)</f>
        <v>0</v>
      </c>
      <c r="AC533" s="180">
        <f>Ruimtestaat[[#This Row],[uren / jaar weekend]]*Tariefsopbouw!$D$40</f>
        <v>0</v>
      </c>
      <c r="AD533" s="179">
        <f>Ruimtestaat[[#This Row],[Prest. (m2 /jaar) weekend]]+Ruimtestaat[[#This Row],[Prest. (m2 /jaar) werkdagen]]</f>
        <v>11060</v>
      </c>
      <c r="AE533" s="179">
        <f>Ruimtestaat[[#This Row],[uren / jaar weekend]]+Ruimtestaat[[#This Row],[uren / jaar werkdagen]]</f>
        <v>0</v>
      </c>
      <c r="AF533" s="174">
        <f>Ruimtestaat[[#This Row],[kosten / jaar weekend]]+Ruimtestaat[[#This Row],[kosten / jaar werkdagen]]</f>
        <v>0</v>
      </c>
      <c r="AG533" s="174"/>
      <c r="AH533" s="181" t="str">
        <f>IF(Ruimtestaat[[#This Row],[Frequentie werkdagen]]="","",_xlfn.CONCAT(Ruimtestaat[[#This Row],[Ruimte code]],"-",Ruimtestaat[[#This Row],[Frequentie werkdagen]]," ",Ruimtestaat[[#This Row],[Vloer code]]))</f>
        <v>16-5w L</v>
      </c>
      <c r="AI533" s="185" t="str">
        <f>_xlfn.IFNA(VLOOKUP($AH533,Programma!$F$3:$G$1101,2,0),"")</f>
        <v>_</v>
      </c>
      <c r="AJ533" s="185" t="str">
        <f>_xlfn.IFNA(VLOOKUP($AH533,Programma!$F$3:$H$1101,3,0),"")</f>
        <v>_</v>
      </c>
      <c r="AK533" s="185" t="str">
        <f>_xlfn.IFNA(VLOOKUP($AH533,Programma!$F$3:$I$1101,4,0),"")</f>
        <v>4w</v>
      </c>
      <c r="AL533" s="185" t="str">
        <f>_xlfn.IFNA(VLOOKUP($AH533,Programma!$F$3:$J$1101,5,0),"")</f>
        <v>1w</v>
      </c>
      <c r="AM533" s="185" t="str">
        <f>_xlfn.IFNA(VLOOKUP($AH533,Programma!$F$3:$K$1101,6,0),"")</f>
        <v>_</v>
      </c>
      <c r="AN533" s="185" t="str">
        <f>_xlfn.IFNA(VLOOKUP($AH533,Programma!$F$3:$L$1101,7,0),"")</f>
        <v>_</v>
      </c>
      <c r="AO533" s="185" t="str">
        <f>_xlfn.IFNA(VLOOKUP($AH533,Programma!$F$3:$M$1101,8,0),"")</f>
        <v>_</v>
      </c>
      <c r="AP533" s="185" t="str">
        <f>_xlfn.IFNA(VLOOKUP($AH533,Programma!$F$3:$N$1101,9,0),"")</f>
        <v>_</v>
      </c>
      <c r="AQ533" s="185" t="str">
        <f>_xlfn.IFNA(VLOOKUP($AH533,Programma!$F$3:$O$1101,10,0),"")</f>
        <v>5w</v>
      </c>
      <c r="AR533" s="185" t="str">
        <f>_xlfn.IFNA(VLOOKUP($AH533,Programma!$F$3:$P$1101,11,0),"")</f>
        <v>5w</v>
      </c>
      <c r="AS533" s="185" t="str">
        <f>_xlfn.IFNA(VLOOKUP($AH533,Programma!$F$3:$Q$1101,12,0),"")</f>
        <v>1w</v>
      </c>
      <c r="AT533" s="185" t="str">
        <f>_xlfn.IFNA(VLOOKUP($AH533,Programma!$F$3:$R$1101,13,0),"")</f>
        <v>1w</v>
      </c>
      <c r="AU533" s="185" t="str">
        <f>_xlfn.IFNA(VLOOKUP($AH533,Programma!$F$3:$S$1101,14,0),"")</f>
        <v>1m</v>
      </c>
      <c r="AV533" s="185" t="str">
        <f>_xlfn.IFNA(VLOOKUP($AH533,Programma!$F$3:$T$1101,15,0),"")</f>
        <v>2j</v>
      </c>
      <c r="AW533" s="185" t="str">
        <f>_xlfn.IFNA(VLOOKUP($AH533,Programma!$F$3:$U$1101,16,0),"")</f>
        <v>1j</v>
      </c>
      <c r="AX533" s="185" t="str">
        <f>_xlfn.IFNA(VLOOKUP($AH533,Programma!$F$3:$V$1101,17,0),"")</f>
        <v>_</v>
      </c>
      <c r="AY533" s="185" t="str">
        <f>_xlfn.IFNA(VLOOKUP($AH533,Programma!$F$3:$W$1101,18,0),"")</f>
        <v>_</v>
      </c>
      <c r="AZ533" s="185" t="str">
        <f>_xlfn.IFNA(VLOOKUP($AH533,Programma!$F$3:$X$1101,19,0),"")</f>
        <v>_</v>
      </c>
      <c r="BA533" s="185" t="str">
        <f>_xlfn.IFNA(VLOOKUP($AH533,Programma!$F$3:$Y$1101,20,0),"")</f>
        <v>_</v>
      </c>
      <c r="BB533" s="182"/>
      <c r="BC533" s="181" t="str">
        <f>IF(Ruimtestaat[[#This Row],[Frequentie weekend]]="","",_xlfn.CONCAT(Ruimtestaat[[#This Row],[Ruimte code]],"-",Ruimtestaat[[#This Row],[Frequentie weekend]]," ",Ruimtestaat[[#This Row],[Vloer code]]))</f>
        <v/>
      </c>
      <c r="BD533" s="185" t="str">
        <f>_xlfn.IFNA(VLOOKUP($BC533,Programma!$F$3:$G$1101,2,0),"")</f>
        <v/>
      </c>
      <c r="BE533" s="185" t="str">
        <f>_xlfn.IFNA(VLOOKUP($BC533,Programma!$F$3:$H$1101,3,0),"")</f>
        <v/>
      </c>
      <c r="BF533" s="185" t="str">
        <f>_xlfn.IFNA(VLOOKUP($BC533,Programma!$F$3:$I$1101,4,0),"")</f>
        <v/>
      </c>
      <c r="BG533" s="185" t="str">
        <f>_xlfn.IFNA(VLOOKUP($BC533,Programma!$F$3:$J$1101,5,0),"")</f>
        <v/>
      </c>
      <c r="BH533" s="185" t="str">
        <f>_xlfn.IFNA(VLOOKUP($BC533,Programma!$F$3:$K$1101,6,0),"")</f>
        <v/>
      </c>
      <c r="BI533" s="185" t="str">
        <f>_xlfn.IFNA(VLOOKUP($BC533,Programma!$F$3:$L$1101,7,0),"")</f>
        <v/>
      </c>
      <c r="BJ533" s="185" t="str">
        <f>_xlfn.IFNA(VLOOKUP($BC533,Programma!$F$3:$M$1101,8,0),"")</f>
        <v/>
      </c>
      <c r="BK533" s="185" t="str">
        <f>_xlfn.IFNA(VLOOKUP($BC533,Programma!$F$3:$N$1101,9,0),"")</f>
        <v/>
      </c>
      <c r="BL533" s="185" t="str">
        <f>_xlfn.IFNA(VLOOKUP($BC533,Programma!$F$3:$O$1101,10,0),"")</f>
        <v/>
      </c>
      <c r="BM533" s="185" t="str">
        <f>_xlfn.IFNA(VLOOKUP($BC533,Programma!$F$3:$P$1101,11,0),"")</f>
        <v/>
      </c>
      <c r="BN533" s="185" t="str">
        <f>_xlfn.IFNA(VLOOKUP($BC533,Programma!$F$3:$Q$1101,12,0),"")</f>
        <v/>
      </c>
      <c r="BO533" s="185" t="str">
        <f>_xlfn.IFNA(VLOOKUP($BC533,Programma!$F$3:$R$1101,13,0),"")</f>
        <v/>
      </c>
      <c r="BP533" s="185" t="str">
        <f>_xlfn.IFNA(VLOOKUP($BC533,Programma!$F$3:$S$1101,14,0),"")</f>
        <v/>
      </c>
      <c r="BQ533" s="185" t="str">
        <f>_xlfn.IFNA(VLOOKUP($BC533,Programma!$F$3:$T$1101,15,0),"")</f>
        <v/>
      </c>
      <c r="BR533" s="185" t="str">
        <f>_xlfn.IFNA(VLOOKUP($BC533,Programma!$F$3:$U$1101,16,0),"")</f>
        <v/>
      </c>
      <c r="BS533" s="185" t="str">
        <f>_xlfn.IFNA(VLOOKUP($BC533,Programma!$F$3:$V$1101,17,0),"")</f>
        <v/>
      </c>
      <c r="BT533" s="185" t="str">
        <f>_xlfn.IFNA(VLOOKUP($BC533,Programma!$F$3:$W$1101,18,0),"")</f>
        <v/>
      </c>
      <c r="BU533" s="185" t="str">
        <f>_xlfn.IFNA(VLOOKUP($BC533,Programma!$F$3:$X$1101,19,0),"")</f>
        <v/>
      </c>
      <c r="BV533" s="185" t="str">
        <f>_xlfn.IFNA(VLOOKUP($BC533,Programma!$F$3:$Y$1101,20,0),"")</f>
        <v/>
      </c>
    </row>
    <row r="534" spans="1:74" s="78" customFormat="1" ht="15" customHeight="1">
      <c r="A534" s="99">
        <v>15</v>
      </c>
      <c r="B534" s="176" t="str">
        <f>VLOOKUP(Ruimtestaat[[#This Row],[Code]],Locaties[[Code]:[Locatie]],2,FALSE)</f>
        <v>Prinseschool Staringstraat</v>
      </c>
      <c r="C534" s="176" t="str">
        <f>VLOOKUP(Ruimtestaat[[#This Row],[Code]],Locaties[[#All],[Code]:[Adres]],4,FALSE)</f>
        <v>Staringstraat 15 </v>
      </c>
      <c r="D534" s="176" t="str">
        <f>VLOOKUP(Ruimtestaat[[#This Row],[Code]],Locaties[[#All],[Code]:[Postcode]],5,FALSE)</f>
        <v>7514 DE</v>
      </c>
      <c r="E534" s="176" t="str">
        <f>VLOOKUP(Ruimtestaat[[#This Row],[Code]],Locaties[#All],6,FALSE)</f>
        <v>Enschede</v>
      </c>
      <c r="F534" s="183"/>
      <c r="G534" s="99" t="s">
        <v>1646</v>
      </c>
      <c r="H534" s="99" t="s">
        <v>1672</v>
      </c>
      <c r="I534" s="183" t="s">
        <v>1651</v>
      </c>
      <c r="J534" s="99">
        <v>16</v>
      </c>
      <c r="K534" s="183" t="str">
        <f>VLOOKUP(Ruimtestaat[[#This Row],[Ruimte code]],Ruimtegroepen[[#All],[Code]:[Ruimte omschrijving]],2,FALSE)</f>
        <v>Leslokalen</v>
      </c>
      <c r="L534" s="99" t="s">
        <v>100</v>
      </c>
      <c r="M534" s="99" t="s">
        <v>1697</v>
      </c>
      <c r="N534" s="177">
        <v>55.3</v>
      </c>
      <c r="O534" s="177"/>
      <c r="P534" s="178" t="str">
        <f>VLOOKUP(Ruimtestaat[[#This Row],[Ruimte code]],Ruimtegroepen[],4,FALSE)</f>
        <v>Le</v>
      </c>
      <c r="Q534" s="149">
        <v>40</v>
      </c>
      <c r="R534" s="149" t="s">
        <v>2</v>
      </c>
      <c r="S534" s="149">
        <f>IF(Q534&gt;0,IF(RIGHT(Ruimtestaat[[#This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4" s="149">
        <f>IF(S534&gt;0,VLOOKUP($J534,Ruimtegroepen[],3,FALSE)*VLOOKUP($L534,Vloersoorten[],3,FALSE)*VLOOKUP($R534,Frequenties[],3,FALSE)*VLOOKUP($A534,Locaties[],3,FALSE),0)</f>
        <v>0</v>
      </c>
      <c r="U534" s="149">
        <f>Ruimtestaat[[#This Row],[Uitvoeringen werkdagen]]*Ruimtestaat[[#This Row],[Oppervlak (netto)]]</f>
        <v>11060</v>
      </c>
      <c r="V534" s="179">
        <f>IF(T534&gt;0,Ruimtestaat[[#This Row],[Prest. (m2 /jaar) werkdagen]]/Ruimtestaat[[#This Row],[Norm (m2/uur) werkdagen]],0)</f>
        <v>0</v>
      </c>
      <c r="W534" s="180">
        <f>Ruimtestaat[[#This Row],[uren / jaar werkdagen]]*Tariefsopbouw!$E$35</f>
        <v>0</v>
      </c>
      <c r="X534" s="149"/>
      <c r="Y534" s="149">
        <f>IF(Ruimtestaat[[#This Row],[Frequentie weekend]]&gt;0,VALUE(LEFT(X534,1))*Q534,0)</f>
        <v>0</v>
      </c>
      <c r="Z534" s="148">
        <f>IF($Y534&gt;0,VLOOKUP($J534,Ruimtegroepen[],3,FALSE)*VLOOKUP($L534,Vloersoorten[],3,FALSE)*VLOOKUP($X534,Frequenties[],3,FALSE)*VLOOKUP(Ruimtestaat[[#This Row],[Code]],Locaties[],3,FALSE),0)</f>
        <v>0</v>
      </c>
      <c r="AA534" s="148">
        <f>Ruimtestaat[[#This Row],[Uitvoeringen weekend]]*Ruimtestaat[[#This Row],[Oppervlak (netto)]]</f>
        <v>0</v>
      </c>
      <c r="AB534" s="148">
        <f>IF(Z534&gt;0,Ruimtestaat[[#This Row],[Prest. (m2 /jaar) weekend]]/Ruimtestaat[[#This Row],[Norm (m2/uur) weekend]],0)</f>
        <v>0</v>
      </c>
      <c r="AC534" s="180">
        <f>Ruimtestaat[[#This Row],[uren / jaar weekend]]*Tariefsopbouw!$D$40</f>
        <v>0</v>
      </c>
      <c r="AD534" s="179">
        <f>Ruimtestaat[[#This Row],[Prest. (m2 /jaar) weekend]]+Ruimtestaat[[#This Row],[Prest. (m2 /jaar) werkdagen]]</f>
        <v>11060</v>
      </c>
      <c r="AE534" s="179">
        <f>Ruimtestaat[[#This Row],[uren / jaar weekend]]+Ruimtestaat[[#This Row],[uren / jaar werkdagen]]</f>
        <v>0</v>
      </c>
      <c r="AF534" s="174">
        <f>Ruimtestaat[[#This Row],[kosten / jaar weekend]]+Ruimtestaat[[#This Row],[kosten / jaar werkdagen]]</f>
        <v>0</v>
      </c>
      <c r="AG534" s="174"/>
      <c r="AH534" s="181" t="str">
        <f>IF(Ruimtestaat[[#This Row],[Frequentie werkdagen]]="","",_xlfn.CONCAT(Ruimtestaat[[#This Row],[Ruimte code]],"-",Ruimtestaat[[#This Row],[Frequentie werkdagen]]," ",Ruimtestaat[[#This Row],[Vloer code]]))</f>
        <v>16-5w L</v>
      </c>
      <c r="AI534" s="185" t="str">
        <f>_xlfn.IFNA(VLOOKUP($AH534,Programma!$F$3:$G$1101,2,0),"")</f>
        <v>_</v>
      </c>
      <c r="AJ534" s="185" t="str">
        <f>_xlfn.IFNA(VLOOKUP($AH534,Programma!$F$3:$H$1101,3,0),"")</f>
        <v>_</v>
      </c>
      <c r="AK534" s="185" t="str">
        <f>_xlfn.IFNA(VLOOKUP($AH534,Programma!$F$3:$I$1101,4,0),"")</f>
        <v>4w</v>
      </c>
      <c r="AL534" s="185" t="str">
        <f>_xlfn.IFNA(VLOOKUP($AH534,Programma!$F$3:$J$1101,5,0),"")</f>
        <v>1w</v>
      </c>
      <c r="AM534" s="185" t="str">
        <f>_xlfn.IFNA(VLOOKUP($AH534,Programma!$F$3:$K$1101,6,0),"")</f>
        <v>_</v>
      </c>
      <c r="AN534" s="185" t="str">
        <f>_xlfn.IFNA(VLOOKUP($AH534,Programma!$F$3:$L$1101,7,0),"")</f>
        <v>_</v>
      </c>
      <c r="AO534" s="185" t="str">
        <f>_xlfn.IFNA(VLOOKUP($AH534,Programma!$F$3:$M$1101,8,0),"")</f>
        <v>_</v>
      </c>
      <c r="AP534" s="185" t="str">
        <f>_xlfn.IFNA(VLOOKUP($AH534,Programma!$F$3:$N$1101,9,0),"")</f>
        <v>_</v>
      </c>
      <c r="AQ534" s="185" t="str">
        <f>_xlfn.IFNA(VLOOKUP($AH534,Programma!$F$3:$O$1101,10,0),"")</f>
        <v>5w</v>
      </c>
      <c r="AR534" s="185" t="str">
        <f>_xlfn.IFNA(VLOOKUP($AH534,Programma!$F$3:$P$1101,11,0),"")</f>
        <v>5w</v>
      </c>
      <c r="AS534" s="185" t="str">
        <f>_xlfn.IFNA(VLOOKUP($AH534,Programma!$F$3:$Q$1101,12,0),"")</f>
        <v>1w</v>
      </c>
      <c r="AT534" s="185" t="str">
        <f>_xlfn.IFNA(VLOOKUP($AH534,Programma!$F$3:$R$1101,13,0),"")</f>
        <v>1w</v>
      </c>
      <c r="AU534" s="185" t="str">
        <f>_xlfn.IFNA(VLOOKUP($AH534,Programma!$F$3:$S$1101,14,0),"")</f>
        <v>1m</v>
      </c>
      <c r="AV534" s="185" t="str">
        <f>_xlfn.IFNA(VLOOKUP($AH534,Programma!$F$3:$T$1101,15,0),"")</f>
        <v>2j</v>
      </c>
      <c r="AW534" s="185" t="str">
        <f>_xlfn.IFNA(VLOOKUP($AH534,Programma!$F$3:$U$1101,16,0),"")</f>
        <v>1j</v>
      </c>
      <c r="AX534" s="185" t="str">
        <f>_xlfn.IFNA(VLOOKUP($AH534,Programma!$F$3:$V$1101,17,0),"")</f>
        <v>_</v>
      </c>
      <c r="AY534" s="185" t="str">
        <f>_xlfn.IFNA(VLOOKUP($AH534,Programma!$F$3:$W$1101,18,0),"")</f>
        <v>_</v>
      </c>
      <c r="AZ534" s="185" t="str">
        <f>_xlfn.IFNA(VLOOKUP($AH534,Programma!$F$3:$X$1101,19,0),"")</f>
        <v>_</v>
      </c>
      <c r="BA534" s="185" t="str">
        <f>_xlfn.IFNA(VLOOKUP($AH534,Programma!$F$3:$Y$1101,20,0),"")</f>
        <v>_</v>
      </c>
      <c r="BB534" s="182"/>
      <c r="BC534" s="181" t="str">
        <f>IF(Ruimtestaat[[#This Row],[Frequentie weekend]]="","",_xlfn.CONCAT(Ruimtestaat[[#This Row],[Ruimte code]],"-",Ruimtestaat[[#This Row],[Frequentie weekend]]," ",Ruimtestaat[[#This Row],[Vloer code]]))</f>
        <v/>
      </c>
      <c r="BD534" s="185" t="str">
        <f>_xlfn.IFNA(VLOOKUP($BC534,Programma!$F$3:$G$1101,2,0),"")</f>
        <v/>
      </c>
      <c r="BE534" s="185" t="str">
        <f>_xlfn.IFNA(VLOOKUP($BC534,Programma!$F$3:$H$1101,3,0),"")</f>
        <v/>
      </c>
      <c r="BF534" s="185" t="str">
        <f>_xlfn.IFNA(VLOOKUP($BC534,Programma!$F$3:$I$1101,4,0),"")</f>
        <v/>
      </c>
      <c r="BG534" s="185" t="str">
        <f>_xlfn.IFNA(VLOOKUP($BC534,Programma!$F$3:$J$1101,5,0),"")</f>
        <v/>
      </c>
      <c r="BH534" s="185" t="str">
        <f>_xlfn.IFNA(VLOOKUP($BC534,Programma!$F$3:$K$1101,6,0),"")</f>
        <v/>
      </c>
      <c r="BI534" s="185" t="str">
        <f>_xlfn.IFNA(VLOOKUP($BC534,Programma!$F$3:$L$1101,7,0),"")</f>
        <v/>
      </c>
      <c r="BJ534" s="185" t="str">
        <f>_xlfn.IFNA(VLOOKUP($BC534,Programma!$F$3:$M$1101,8,0),"")</f>
        <v/>
      </c>
      <c r="BK534" s="185" t="str">
        <f>_xlfn.IFNA(VLOOKUP($BC534,Programma!$F$3:$N$1101,9,0),"")</f>
        <v/>
      </c>
      <c r="BL534" s="185" t="str">
        <f>_xlfn.IFNA(VLOOKUP($BC534,Programma!$F$3:$O$1101,10,0),"")</f>
        <v/>
      </c>
      <c r="BM534" s="185" t="str">
        <f>_xlfn.IFNA(VLOOKUP($BC534,Programma!$F$3:$P$1101,11,0),"")</f>
        <v/>
      </c>
      <c r="BN534" s="185" t="str">
        <f>_xlfn.IFNA(VLOOKUP($BC534,Programma!$F$3:$Q$1101,12,0),"")</f>
        <v/>
      </c>
      <c r="BO534" s="185" t="str">
        <f>_xlfn.IFNA(VLOOKUP($BC534,Programma!$F$3:$R$1101,13,0),"")</f>
        <v/>
      </c>
      <c r="BP534" s="185" t="str">
        <f>_xlfn.IFNA(VLOOKUP($BC534,Programma!$F$3:$S$1101,14,0),"")</f>
        <v/>
      </c>
      <c r="BQ534" s="185" t="str">
        <f>_xlfn.IFNA(VLOOKUP($BC534,Programma!$F$3:$T$1101,15,0),"")</f>
        <v/>
      </c>
      <c r="BR534" s="185" t="str">
        <f>_xlfn.IFNA(VLOOKUP($BC534,Programma!$F$3:$U$1101,16,0),"")</f>
        <v/>
      </c>
      <c r="BS534" s="185" t="str">
        <f>_xlfn.IFNA(VLOOKUP($BC534,Programma!$F$3:$V$1101,17,0),"")</f>
        <v/>
      </c>
      <c r="BT534" s="185" t="str">
        <f>_xlfn.IFNA(VLOOKUP($BC534,Programma!$F$3:$W$1101,18,0),"")</f>
        <v/>
      </c>
      <c r="BU534" s="185" t="str">
        <f>_xlfn.IFNA(VLOOKUP($BC534,Programma!$F$3:$X$1101,19,0),"")</f>
        <v/>
      </c>
      <c r="BV534" s="185" t="str">
        <f>_xlfn.IFNA(VLOOKUP($BC534,Programma!$F$3:$Y$1101,20,0),"")</f>
        <v/>
      </c>
    </row>
    <row r="535" spans="1:74" s="78" customFormat="1" ht="15" customHeight="1">
      <c r="A535" s="99">
        <v>15</v>
      </c>
      <c r="B535" s="176" t="str">
        <f>VLOOKUP(Ruimtestaat[[#This Row],[Code]],Locaties[[Code]:[Locatie]],2,FALSE)</f>
        <v>Prinseschool Staringstraat</v>
      </c>
      <c r="C535" s="176" t="str">
        <f>VLOOKUP(Ruimtestaat[[#This Row],[Code]],Locaties[[#All],[Code]:[Adres]],4,FALSE)</f>
        <v>Staringstraat 15 </v>
      </c>
      <c r="D535" s="176" t="str">
        <f>VLOOKUP(Ruimtestaat[[#This Row],[Code]],Locaties[[#All],[Code]:[Postcode]],5,FALSE)</f>
        <v>7514 DE</v>
      </c>
      <c r="E535" s="176" t="str">
        <f>VLOOKUP(Ruimtestaat[[#This Row],[Code]],Locaties[#All],6,FALSE)</f>
        <v>Enschede</v>
      </c>
      <c r="F535" s="183"/>
      <c r="G535" s="99" t="s">
        <v>1646</v>
      </c>
      <c r="H535" s="99" t="s">
        <v>1673</v>
      </c>
      <c r="I535" s="183" t="s">
        <v>1651</v>
      </c>
      <c r="J535" s="99">
        <v>16</v>
      </c>
      <c r="K535" s="183" t="str">
        <f>VLOOKUP(Ruimtestaat[[#This Row],[Ruimte code]],Ruimtegroepen[[#All],[Code]:[Ruimte omschrijving]],2,FALSE)</f>
        <v>Leslokalen</v>
      </c>
      <c r="L535" s="99" t="s">
        <v>100</v>
      </c>
      <c r="M535" s="99" t="s">
        <v>1697</v>
      </c>
      <c r="N535" s="177">
        <v>55.2</v>
      </c>
      <c r="O535" s="177"/>
      <c r="P535" s="178" t="str">
        <f>VLOOKUP(Ruimtestaat[[#This Row],[Ruimte code]],Ruimtegroepen[],4,FALSE)</f>
        <v>Le</v>
      </c>
      <c r="Q535" s="149">
        <v>40</v>
      </c>
      <c r="R535" s="149" t="s">
        <v>2</v>
      </c>
      <c r="S535" s="149">
        <f>IF(Q535&gt;0,IF(RIGHT(Ruimtestaat[[#This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5" s="149">
        <f>IF(S535&gt;0,VLOOKUP($J535,Ruimtegroepen[],3,FALSE)*VLOOKUP($L535,Vloersoorten[],3,FALSE)*VLOOKUP($R535,Frequenties[],3,FALSE)*VLOOKUP($A535,Locaties[],3,FALSE),0)</f>
        <v>0</v>
      </c>
      <c r="U535" s="149">
        <f>Ruimtestaat[[#This Row],[Uitvoeringen werkdagen]]*Ruimtestaat[[#This Row],[Oppervlak (netto)]]</f>
        <v>11040</v>
      </c>
      <c r="V535" s="179">
        <f>IF(T535&gt;0,Ruimtestaat[[#This Row],[Prest. (m2 /jaar) werkdagen]]/Ruimtestaat[[#This Row],[Norm (m2/uur) werkdagen]],0)</f>
        <v>0</v>
      </c>
      <c r="W535" s="180">
        <f>Ruimtestaat[[#This Row],[uren / jaar werkdagen]]*Tariefsopbouw!$E$35</f>
        <v>0</v>
      </c>
      <c r="X535" s="149"/>
      <c r="Y535" s="149">
        <f>IF(Ruimtestaat[[#This Row],[Frequentie weekend]]&gt;0,VALUE(LEFT(X535,1))*Q535,0)</f>
        <v>0</v>
      </c>
      <c r="Z535" s="148">
        <f>IF($Y535&gt;0,VLOOKUP($J535,Ruimtegroepen[],3,FALSE)*VLOOKUP($L535,Vloersoorten[],3,FALSE)*VLOOKUP($X535,Frequenties[],3,FALSE)*VLOOKUP(Ruimtestaat[[#This Row],[Code]],Locaties[],3,FALSE),0)</f>
        <v>0</v>
      </c>
      <c r="AA535" s="148">
        <f>Ruimtestaat[[#This Row],[Uitvoeringen weekend]]*Ruimtestaat[[#This Row],[Oppervlak (netto)]]</f>
        <v>0</v>
      </c>
      <c r="AB535" s="148">
        <f>IF(Z535&gt;0,Ruimtestaat[[#This Row],[Prest. (m2 /jaar) weekend]]/Ruimtestaat[[#This Row],[Norm (m2/uur) weekend]],0)</f>
        <v>0</v>
      </c>
      <c r="AC535" s="180">
        <f>Ruimtestaat[[#This Row],[uren / jaar weekend]]*Tariefsopbouw!$D$40</f>
        <v>0</v>
      </c>
      <c r="AD535" s="179">
        <f>Ruimtestaat[[#This Row],[Prest. (m2 /jaar) weekend]]+Ruimtestaat[[#This Row],[Prest. (m2 /jaar) werkdagen]]</f>
        <v>11040</v>
      </c>
      <c r="AE535" s="179">
        <f>Ruimtestaat[[#This Row],[uren / jaar weekend]]+Ruimtestaat[[#This Row],[uren / jaar werkdagen]]</f>
        <v>0</v>
      </c>
      <c r="AF535" s="174">
        <f>Ruimtestaat[[#This Row],[kosten / jaar weekend]]+Ruimtestaat[[#This Row],[kosten / jaar werkdagen]]</f>
        <v>0</v>
      </c>
      <c r="AG535" s="174"/>
      <c r="AH535" s="181" t="str">
        <f>IF(Ruimtestaat[[#This Row],[Frequentie werkdagen]]="","",_xlfn.CONCAT(Ruimtestaat[[#This Row],[Ruimte code]],"-",Ruimtestaat[[#This Row],[Frequentie werkdagen]]," ",Ruimtestaat[[#This Row],[Vloer code]]))</f>
        <v>16-5w L</v>
      </c>
      <c r="AI535" s="185" t="str">
        <f>_xlfn.IFNA(VLOOKUP($AH535,Programma!$F$3:$G$1101,2,0),"")</f>
        <v>_</v>
      </c>
      <c r="AJ535" s="185" t="str">
        <f>_xlfn.IFNA(VLOOKUP($AH535,Programma!$F$3:$H$1101,3,0),"")</f>
        <v>_</v>
      </c>
      <c r="AK535" s="185" t="str">
        <f>_xlfn.IFNA(VLOOKUP($AH535,Programma!$F$3:$I$1101,4,0),"")</f>
        <v>4w</v>
      </c>
      <c r="AL535" s="185" t="str">
        <f>_xlfn.IFNA(VLOOKUP($AH535,Programma!$F$3:$J$1101,5,0),"")</f>
        <v>1w</v>
      </c>
      <c r="AM535" s="185" t="str">
        <f>_xlfn.IFNA(VLOOKUP($AH535,Programma!$F$3:$K$1101,6,0),"")</f>
        <v>_</v>
      </c>
      <c r="AN535" s="185" t="str">
        <f>_xlfn.IFNA(VLOOKUP($AH535,Programma!$F$3:$L$1101,7,0),"")</f>
        <v>_</v>
      </c>
      <c r="AO535" s="185" t="str">
        <f>_xlfn.IFNA(VLOOKUP($AH535,Programma!$F$3:$M$1101,8,0),"")</f>
        <v>_</v>
      </c>
      <c r="AP535" s="185" t="str">
        <f>_xlfn.IFNA(VLOOKUP($AH535,Programma!$F$3:$N$1101,9,0),"")</f>
        <v>_</v>
      </c>
      <c r="AQ535" s="185" t="str">
        <f>_xlfn.IFNA(VLOOKUP($AH535,Programma!$F$3:$O$1101,10,0),"")</f>
        <v>5w</v>
      </c>
      <c r="AR535" s="185" t="str">
        <f>_xlfn.IFNA(VLOOKUP($AH535,Programma!$F$3:$P$1101,11,0),"")</f>
        <v>5w</v>
      </c>
      <c r="AS535" s="185" t="str">
        <f>_xlfn.IFNA(VLOOKUP($AH535,Programma!$F$3:$Q$1101,12,0),"")</f>
        <v>1w</v>
      </c>
      <c r="AT535" s="185" t="str">
        <f>_xlfn.IFNA(VLOOKUP($AH535,Programma!$F$3:$R$1101,13,0),"")</f>
        <v>1w</v>
      </c>
      <c r="AU535" s="185" t="str">
        <f>_xlfn.IFNA(VLOOKUP($AH535,Programma!$F$3:$S$1101,14,0),"")</f>
        <v>1m</v>
      </c>
      <c r="AV535" s="185" t="str">
        <f>_xlfn.IFNA(VLOOKUP($AH535,Programma!$F$3:$T$1101,15,0),"")</f>
        <v>2j</v>
      </c>
      <c r="AW535" s="185" t="str">
        <f>_xlfn.IFNA(VLOOKUP($AH535,Programma!$F$3:$U$1101,16,0),"")</f>
        <v>1j</v>
      </c>
      <c r="AX535" s="185" t="str">
        <f>_xlfn.IFNA(VLOOKUP($AH535,Programma!$F$3:$V$1101,17,0),"")</f>
        <v>_</v>
      </c>
      <c r="AY535" s="185" t="str">
        <f>_xlfn.IFNA(VLOOKUP($AH535,Programma!$F$3:$W$1101,18,0),"")</f>
        <v>_</v>
      </c>
      <c r="AZ535" s="185" t="str">
        <f>_xlfn.IFNA(VLOOKUP($AH535,Programma!$F$3:$X$1101,19,0),"")</f>
        <v>_</v>
      </c>
      <c r="BA535" s="185" t="str">
        <f>_xlfn.IFNA(VLOOKUP($AH535,Programma!$F$3:$Y$1101,20,0),"")</f>
        <v>_</v>
      </c>
      <c r="BB535" s="182"/>
      <c r="BC535" s="181" t="str">
        <f>IF(Ruimtestaat[[#This Row],[Frequentie weekend]]="","",_xlfn.CONCAT(Ruimtestaat[[#This Row],[Ruimte code]],"-",Ruimtestaat[[#This Row],[Frequentie weekend]]," ",Ruimtestaat[[#This Row],[Vloer code]]))</f>
        <v/>
      </c>
      <c r="BD535" s="185" t="str">
        <f>_xlfn.IFNA(VLOOKUP($BC535,Programma!$F$3:$G$1101,2,0),"")</f>
        <v/>
      </c>
      <c r="BE535" s="185" t="str">
        <f>_xlfn.IFNA(VLOOKUP($BC535,Programma!$F$3:$H$1101,3,0),"")</f>
        <v/>
      </c>
      <c r="BF535" s="185" t="str">
        <f>_xlfn.IFNA(VLOOKUP($BC535,Programma!$F$3:$I$1101,4,0),"")</f>
        <v/>
      </c>
      <c r="BG535" s="185" t="str">
        <f>_xlfn.IFNA(VLOOKUP($BC535,Programma!$F$3:$J$1101,5,0),"")</f>
        <v/>
      </c>
      <c r="BH535" s="185" t="str">
        <f>_xlfn.IFNA(VLOOKUP($BC535,Programma!$F$3:$K$1101,6,0),"")</f>
        <v/>
      </c>
      <c r="BI535" s="185" t="str">
        <f>_xlfn.IFNA(VLOOKUP($BC535,Programma!$F$3:$L$1101,7,0),"")</f>
        <v/>
      </c>
      <c r="BJ535" s="185" t="str">
        <f>_xlfn.IFNA(VLOOKUP($BC535,Programma!$F$3:$M$1101,8,0),"")</f>
        <v/>
      </c>
      <c r="BK535" s="185" t="str">
        <f>_xlfn.IFNA(VLOOKUP($BC535,Programma!$F$3:$N$1101,9,0),"")</f>
        <v/>
      </c>
      <c r="BL535" s="185" t="str">
        <f>_xlfn.IFNA(VLOOKUP($BC535,Programma!$F$3:$O$1101,10,0),"")</f>
        <v/>
      </c>
      <c r="BM535" s="185" t="str">
        <f>_xlfn.IFNA(VLOOKUP($BC535,Programma!$F$3:$P$1101,11,0),"")</f>
        <v/>
      </c>
      <c r="BN535" s="185" t="str">
        <f>_xlfn.IFNA(VLOOKUP($BC535,Programma!$F$3:$Q$1101,12,0),"")</f>
        <v/>
      </c>
      <c r="BO535" s="185" t="str">
        <f>_xlfn.IFNA(VLOOKUP($BC535,Programma!$F$3:$R$1101,13,0),"")</f>
        <v/>
      </c>
      <c r="BP535" s="185" t="str">
        <f>_xlfn.IFNA(VLOOKUP($BC535,Programma!$F$3:$S$1101,14,0),"")</f>
        <v/>
      </c>
      <c r="BQ535" s="185" t="str">
        <f>_xlfn.IFNA(VLOOKUP($BC535,Programma!$F$3:$T$1101,15,0),"")</f>
        <v/>
      </c>
      <c r="BR535" s="185" t="str">
        <f>_xlfn.IFNA(VLOOKUP($BC535,Programma!$F$3:$U$1101,16,0),"")</f>
        <v/>
      </c>
      <c r="BS535" s="185" t="str">
        <f>_xlfn.IFNA(VLOOKUP($BC535,Programma!$F$3:$V$1101,17,0),"")</f>
        <v/>
      </c>
      <c r="BT535" s="185" t="str">
        <f>_xlfn.IFNA(VLOOKUP($BC535,Programma!$F$3:$W$1101,18,0),"")</f>
        <v/>
      </c>
      <c r="BU535" s="185" t="str">
        <f>_xlfn.IFNA(VLOOKUP($BC535,Programma!$F$3:$X$1101,19,0),"")</f>
        <v/>
      </c>
      <c r="BV535" s="185" t="str">
        <f>_xlfn.IFNA(VLOOKUP($BC535,Programma!$F$3:$Y$1101,20,0),"")</f>
        <v/>
      </c>
    </row>
    <row r="536" spans="1:74" s="78" customFormat="1" ht="15" customHeight="1">
      <c r="A536" s="99">
        <v>15</v>
      </c>
      <c r="B536" s="176" t="str">
        <f>VLOOKUP(Ruimtestaat[[#This Row],[Code]],Locaties[[Code]:[Locatie]],2,FALSE)</f>
        <v>Prinseschool Staringstraat</v>
      </c>
      <c r="C536" s="176" t="str">
        <f>VLOOKUP(Ruimtestaat[[#This Row],[Code]],Locaties[[#All],[Code]:[Adres]],4,FALSE)</f>
        <v>Staringstraat 15 </v>
      </c>
      <c r="D536" s="176" t="str">
        <f>VLOOKUP(Ruimtestaat[[#This Row],[Code]],Locaties[[#All],[Code]:[Postcode]],5,FALSE)</f>
        <v>7514 DE</v>
      </c>
      <c r="E536" s="176" t="str">
        <f>VLOOKUP(Ruimtestaat[[#This Row],[Code]],Locaties[#All],6,FALSE)</f>
        <v>Enschede</v>
      </c>
      <c r="F536" s="183"/>
      <c r="G536" s="99" t="s">
        <v>1646</v>
      </c>
      <c r="H536" s="99" t="s">
        <v>1674</v>
      </c>
      <c r="I536" s="183" t="s">
        <v>1679</v>
      </c>
      <c r="J536" s="99">
        <v>15</v>
      </c>
      <c r="K536" s="183" t="str">
        <f>VLOOKUP(Ruimtestaat[[#This Row],[Ruimte code]],Ruimtegroepen[[#All],[Code]:[Ruimte omschrijving]],2,FALSE)</f>
        <v>Keuken/pantry</v>
      </c>
      <c r="L536" s="99" t="s">
        <v>1309</v>
      </c>
      <c r="M536" s="99" t="s">
        <v>248</v>
      </c>
      <c r="N536" s="177">
        <v>21.7</v>
      </c>
      <c r="O536" s="177"/>
      <c r="P536" s="178" t="str">
        <f>VLOOKUP(Ruimtestaat[[#This Row],[Ruimte code]],Ruimtegroepen[],4,FALSE)</f>
        <v>Ve</v>
      </c>
      <c r="Q536" s="149">
        <v>40</v>
      </c>
      <c r="R536" s="149" t="s">
        <v>2</v>
      </c>
      <c r="S536" s="149">
        <f>IF(Q536&gt;0,IF(RIGHT(Ruimtestaat[[#This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6" s="149">
        <f>IF(S536&gt;0,VLOOKUP($J536,Ruimtegroepen[],3,FALSE)*VLOOKUP($L536,Vloersoorten[],3,FALSE)*VLOOKUP($R536,Frequenties[],3,FALSE)*VLOOKUP($A536,Locaties[],3,FALSE),0)</f>
        <v>0</v>
      </c>
      <c r="U536" s="149">
        <f>Ruimtestaat[[#This Row],[Uitvoeringen werkdagen]]*Ruimtestaat[[#This Row],[Oppervlak (netto)]]</f>
        <v>4340</v>
      </c>
      <c r="V536" s="179">
        <f>IF(T536&gt;0,Ruimtestaat[[#This Row],[Prest. (m2 /jaar) werkdagen]]/Ruimtestaat[[#This Row],[Norm (m2/uur) werkdagen]],0)</f>
        <v>0</v>
      </c>
      <c r="W536" s="180">
        <f>Ruimtestaat[[#This Row],[uren / jaar werkdagen]]*Tariefsopbouw!$E$35</f>
        <v>0</v>
      </c>
      <c r="X536" s="149"/>
      <c r="Y536" s="149">
        <f>IF(Ruimtestaat[[#This Row],[Frequentie weekend]]&gt;0,VALUE(LEFT(X536,1))*Q536,0)</f>
        <v>0</v>
      </c>
      <c r="Z536" s="148">
        <f>IF($Y536&gt;0,VLOOKUP($J536,Ruimtegroepen[],3,FALSE)*VLOOKUP($L536,Vloersoorten[],3,FALSE)*VLOOKUP($X536,Frequenties[],3,FALSE)*VLOOKUP(Ruimtestaat[[#This Row],[Code]],Locaties[],3,FALSE),0)</f>
        <v>0</v>
      </c>
      <c r="AA536" s="148">
        <f>Ruimtestaat[[#This Row],[Uitvoeringen weekend]]*Ruimtestaat[[#This Row],[Oppervlak (netto)]]</f>
        <v>0</v>
      </c>
      <c r="AB536" s="148">
        <f>IF(Z536&gt;0,Ruimtestaat[[#This Row],[Prest. (m2 /jaar) weekend]]/Ruimtestaat[[#This Row],[Norm (m2/uur) weekend]],0)</f>
        <v>0</v>
      </c>
      <c r="AC536" s="180">
        <f>Ruimtestaat[[#This Row],[uren / jaar weekend]]*Tariefsopbouw!$D$40</f>
        <v>0</v>
      </c>
      <c r="AD536" s="179">
        <f>Ruimtestaat[[#This Row],[Prest. (m2 /jaar) weekend]]+Ruimtestaat[[#This Row],[Prest. (m2 /jaar) werkdagen]]</f>
        <v>4340</v>
      </c>
      <c r="AE536" s="179">
        <f>Ruimtestaat[[#This Row],[uren / jaar weekend]]+Ruimtestaat[[#This Row],[uren / jaar werkdagen]]</f>
        <v>0</v>
      </c>
      <c r="AF536" s="174">
        <f>Ruimtestaat[[#This Row],[kosten / jaar weekend]]+Ruimtestaat[[#This Row],[kosten / jaar werkdagen]]</f>
        <v>0</v>
      </c>
      <c r="AG536" s="174"/>
      <c r="AH536" s="181" t="str">
        <f>IF(Ruimtestaat[[#This Row],[Frequentie werkdagen]]="","",_xlfn.CONCAT(Ruimtestaat[[#This Row],[Ruimte code]],"-",Ruimtestaat[[#This Row],[Frequentie werkdagen]]," ",Ruimtestaat[[#This Row],[Vloer code]]))</f>
        <v>15-5w H</v>
      </c>
      <c r="AI536" s="185" t="str">
        <f>_xlfn.IFNA(VLOOKUP($AH536,Programma!$F$3:$G$1101,2,0),"")</f>
        <v>_</v>
      </c>
      <c r="AJ536" s="185" t="str">
        <f>_xlfn.IFNA(VLOOKUP($AH536,Programma!$F$3:$H$1101,3,0),"")</f>
        <v>_</v>
      </c>
      <c r="AK536" s="185" t="str">
        <f>_xlfn.IFNA(VLOOKUP($AH536,Programma!$F$3:$I$1101,4,0),"")</f>
        <v>5w</v>
      </c>
      <c r="AL536" s="185" t="str">
        <f>_xlfn.IFNA(VLOOKUP($AH536,Programma!$F$3:$J$1101,5,0),"")</f>
        <v>_</v>
      </c>
      <c r="AM536" s="185" t="str">
        <f>_xlfn.IFNA(VLOOKUP($AH536,Programma!$F$3:$K$1101,6,0),"")</f>
        <v>5w</v>
      </c>
      <c r="AN536" s="185" t="str">
        <f>_xlfn.IFNA(VLOOKUP($AH536,Programma!$F$3:$L$1101,7,0),"")</f>
        <v>_</v>
      </c>
      <c r="AO536" s="185" t="str">
        <f>_xlfn.IFNA(VLOOKUP($AH536,Programma!$F$3:$M$1101,8,0),"")</f>
        <v>_</v>
      </c>
      <c r="AP536" s="185" t="str">
        <f>_xlfn.IFNA(VLOOKUP($AH536,Programma!$F$3:$N$1101,9,0),"")</f>
        <v>_</v>
      </c>
      <c r="AQ536" s="185" t="str">
        <f>_xlfn.IFNA(VLOOKUP($AH536,Programma!$F$3:$O$1101,10,0),"")</f>
        <v>5w</v>
      </c>
      <c r="AR536" s="185" t="str">
        <f>_xlfn.IFNA(VLOOKUP($AH536,Programma!$F$3:$P$1101,11,0),"")</f>
        <v>5w</v>
      </c>
      <c r="AS536" s="185" t="str">
        <f>_xlfn.IFNA(VLOOKUP($AH536,Programma!$F$3:$Q$1101,12,0),"")</f>
        <v>1w</v>
      </c>
      <c r="AT536" s="185" t="str">
        <f>_xlfn.IFNA(VLOOKUP($AH536,Programma!$F$3:$R$1101,13,0),"")</f>
        <v>1w</v>
      </c>
      <c r="AU536" s="185" t="str">
        <f>_xlfn.IFNA(VLOOKUP($AH536,Programma!$F$3:$S$1101,14,0),"")</f>
        <v>1m</v>
      </c>
      <c r="AV536" s="185" t="str">
        <f>_xlfn.IFNA(VLOOKUP($AH536,Programma!$F$3:$T$1101,15,0),"")</f>
        <v>2j</v>
      </c>
      <c r="AW536" s="185" t="str">
        <f>_xlfn.IFNA(VLOOKUP($AH536,Programma!$F$3:$U$1101,16,0),"")</f>
        <v>1j</v>
      </c>
      <c r="AX536" s="185" t="str">
        <f>_xlfn.IFNA(VLOOKUP($AH536,Programma!$F$3:$V$1101,17,0),"")</f>
        <v>_</v>
      </c>
      <c r="AY536" s="185" t="str">
        <f>_xlfn.IFNA(VLOOKUP($AH536,Programma!$F$3:$W$1101,18,0),"")</f>
        <v>_</v>
      </c>
      <c r="AZ536" s="185" t="str">
        <f>_xlfn.IFNA(VLOOKUP($AH536,Programma!$F$3:$X$1101,19,0),"")</f>
        <v>_</v>
      </c>
      <c r="BA536" s="185" t="str">
        <f>_xlfn.IFNA(VLOOKUP($AH536,Programma!$F$3:$Y$1101,20,0),"")</f>
        <v>_</v>
      </c>
      <c r="BB536" s="182"/>
      <c r="BC536" s="181" t="str">
        <f>IF(Ruimtestaat[[#This Row],[Frequentie weekend]]="","",_xlfn.CONCAT(Ruimtestaat[[#This Row],[Ruimte code]],"-",Ruimtestaat[[#This Row],[Frequentie weekend]]," ",Ruimtestaat[[#This Row],[Vloer code]]))</f>
        <v/>
      </c>
      <c r="BD536" s="185" t="str">
        <f>_xlfn.IFNA(VLOOKUP($BC536,Programma!$F$3:$G$1101,2,0),"")</f>
        <v/>
      </c>
      <c r="BE536" s="185" t="str">
        <f>_xlfn.IFNA(VLOOKUP($BC536,Programma!$F$3:$H$1101,3,0),"")</f>
        <v/>
      </c>
      <c r="BF536" s="185" t="str">
        <f>_xlfn.IFNA(VLOOKUP($BC536,Programma!$F$3:$I$1101,4,0),"")</f>
        <v/>
      </c>
      <c r="BG536" s="185" t="str">
        <f>_xlfn.IFNA(VLOOKUP($BC536,Programma!$F$3:$J$1101,5,0),"")</f>
        <v/>
      </c>
      <c r="BH536" s="185" t="str">
        <f>_xlfn.IFNA(VLOOKUP($BC536,Programma!$F$3:$K$1101,6,0),"")</f>
        <v/>
      </c>
      <c r="BI536" s="185" t="str">
        <f>_xlfn.IFNA(VLOOKUP($BC536,Programma!$F$3:$L$1101,7,0),"")</f>
        <v/>
      </c>
      <c r="BJ536" s="185" t="str">
        <f>_xlfn.IFNA(VLOOKUP($BC536,Programma!$F$3:$M$1101,8,0),"")</f>
        <v/>
      </c>
      <c r="BK536" s="185" t="str">
        <f>_xlfn.IFNA(VLOOKUP($BC536,Programma!$F$3:$N$1101,9,0),"")</f>
        <v/>
      </c>
      <c r="BL536" s="185" t="str">
        <f>_xlfn.IFNA(VLOOKUP($BC536,Programma!$F$3:$O$1101,10,0),"")</f>
        <v/>
      </c>
      <c r="BM536" s="185" t="str">
        <f>_xlfn.IFNA(VLOOKUP($BC536,Programma!$F$3:$P$1101,11,0),"")</f>
        <v/>
      </c>
      <c r="BN536" s="185" t="str">
        <f>_xlfn.IFNA(VLOOKUP($BC536,Programma!$F$3:$Q$1101,12,0),"")</f>
        <v/>
      </c>
      <c r="BO536" s="185" t="str">
        <f>_xlfn.IFNA(VLOOKUP($BC536,Programma!$F$3:$R$1101,13,0),"")</f>
        <v/>
      </c>
      <c r="BP536" s="185" t="str">
        <f>_xlfn.IFNA(VLOOKUP($BC536,Programma!$F$3:$S$1101,14,0),"")</f>
        <v/>
      </c>
      <c r="BQ536" s="185" t="str">
        <f>_xlfn.IFNA(VLOOKUP($BC536,Programma!$F$3:$T$1101,15,0),"")</f>
        <v/>
      </c>
      <c r="BR536" s="185" t="str">
        <f>_xlfn.IFNA(VLOOKUP($BC536,Programma!$F$3:$U$1101,16,0),"")</f>
        <v/>
      </c>
      <c r="BS536" s="185" t="str">
        <f>_xlfn.IFNA(VLOOKUP($BC536,Programma!$F$3:$V$1101,17,0),"")</f>
        <v/>
      </c>
      <c r="BT536" s="185" t="str">
        <f>_xlfn.IFNA(VLOOKUP($BC536,Programma!$F$3:$W$1101,18,0),"")</f>
        <v/>
      </c>
      <c r="BU536" s="185" t="str">
        <f>_xlfn.IFNA(VLOOKUP($BC536,Programma!$F$3:$X$1101,19,0),"")</f>
        <v/>
      </c>
      <c r="BV536" s="185" t="str">
        <f>_xlfn.IFNA(VLOOKUP($BC536,Programma!$F$3:$Y$1101,20,0),"")</f>
        <v/>
      </c>
    </row>
    <row r="537" spans="1:74" s="78" customFormat="1" ht="15" customHeight="1">
      <c r="A537" s="99">
        <v>15</v>
      </c>
      <c r="B537" s="176" t="str">
        <f>VLOOKUP(Ruimtestaat[[#This Row],[Code]],Locaties[[Code]:[Locatie]],2,FALSE)</f>
        <v>Prinseschool Staringstraat</v>
      </c>
      <c r="C537" s="176" t="str">
        <f>VLOOKUP(Ruimtestaat[[#This Row],[Code]],Locaties[[#All],[Code]:[Adres]],4,FALSE)</f>
        <v>Staringstraat 15 </v>
      </c>
      <c r="D537" s="176" t="str">
        <f>VLOOKUP(Ruimtestaat[[#This Row],[Code]],Locaties[[#All],[Code]:[Postcode]],5,FALSE)</f>
        <v>7514 DE</v>
      </c>
      <c r="E537" s="176" t="str">
        <f>VLOOKUP(Ruimtestaat[[#This Row],[Code]],Locaties[#All],6,FALSE)</f>
        <v>Enschede</v>
      </c>
      <c r="F537" s="183"/>
      <c r="G537" s="99" t="s">
        <v>1646</v>
      </c>
      <c r="H537" s="99" t="s">
        <v>1675</v>
      </c>
      <c r="I537" s="183" t="s">
        <v>1816</v>
      </c>
      <c r="J537" s="99">
        <v>20</v>
      </c>
      <c r="K537" s="183" t="str">
        <f>VLOOKUP(Ruimtestaat[[#This Row],[Ruimte code]],Ruimtegroepen[[#All],[Code]:[Ruimte omschrijving]],2,FALSE)</f>
        <v>Niet in Onderhoud</v>
      </c>
      <c r="L537" s="99"/>
      <c r="M537" s="99"/>
      <c r="N537" s="177"/>
      <c r="O537" s="177">
        <v>0</v>
      </c>
      <c r="P537" s="178">
        <f>VLOOKUP(Ruimtestaat[[#This Row],[Ruimte code]],Ruimtegroepen[],4,FALSE)</f>
        <v>0</v>
      </c>
      <c r="Q537" s="149"/>
      <c r="R537" s="149"/>
      <c r="S537" s="149">
        <f>IF(Q537&gt;0,IF(RIGHT(Ruimtestaat[[#This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7" s="149">
        <f>IF(S537&gt;0,VLOOKUP($J537,Ruimtegroepen[],3,FALSE)*VLOOKUP($L537,Vloersoorten[],3,FALSE)*VLOOKUP($R537,Frequenties[],3,FALSE)*VLOOKUP($A537,Locaties[],3,FALSE),0)</f>
        <v>0</v>
      </c>
      <c r="U537" s="149">
        <f>Ruimtestaat[[#This Row],[Uitvoeringen werkdagen]]*Ruimtestaat[[#This Row],[Oppervlak (netto)]]</f>
        <v>0</v>
      </c>
      <c r="V537" s="179">
        <f>IF(T537&gt;0,Ruimtestaat[[#This Row],[Prest. (m2 /jaar) werkdagen]]/Ruimtestaat[[#This Row],[Norm (m2/uur) werkdagen]],0)</f>
        <v>0</v>
      </c>
      <c r="W537" s="180">
        <f>Ruimtestaat[[#This Row],[uren / jaar werkdagen]]*Tariefsopbouw!$E$35</f>
        <v>0</v>
      </c>
      <c r="X537" s="149"/>
      <c r="Y537" s="149">
        <f>IF(Ruimtestaat[[#This Row],[Frequentie weekend]]&gt;0,VALUE(LEFT(X537,1))*Q537,0)</f>
        <v>0</v>
      </c>
      <c r="Z537" s="148">
        <f>IF($Y537&gt;0,VLOOKUP($J537,Ruimtegroepen[],3,FALSE)*VLOOKUP($L537,Vloersoorten[],3,FALSE)*VLOOKUP($X537,Frequenties[],3,FALSE)*VLOOKUP(Ruimtestaat[[#This Row],[Code]],Locaties[],3,FALSE),0)</f>
        <v>0</v>
      </c>
      <c r="AA537" s="148">
        <f>Ruimtestaat[[#This Row],[Uitvoeringen weekend]]*Ruimtestaat[[#This Row],[Oppervlak (netto)]]</f>
        <v>0</v>
      </c>
      <c r="AB537" s="148">
        <f>IF(Z537&gt;0,Ruimtestaat[[#This Row],[Prest. (m2 /jaar) weekend]]/Ruimtestaat[[#This Row],[Norm (m2/uur) weekend]],0)</f>
        <v>0</v>
      </c>
      <c r="AC537" s="180">
        <f>Ruimtestaat[[#This Row],[uren / jaar weekend]]*Tariefsopbouw!$D$40</f>
        <v>0</v>
      </c>
      <c r="AD537" s="179">
        <f>Ruimtestaat[[#This Row],[Prest. (m2 /jaar) weekend]]+Ruimtestaat[[#This Row],[Prest. (m2 /jaar) werkdagen]]</f>
        <v>0</v>
      </c>
      <c r="AE537" s="179">
        <f>Ruimtestaat[[#This Row],[uren / jaar weekend]]+Ruimtestaat[[#This Row],[uren / jaar werkdagen]]</f>
        <v>0</v>
      </c>
      <c r="AF537" s="174">
        <f>Ruimtestaat[[#This Row],[kosten / jaar weekend]]+Ruimtestaat[[#This Row],[kosten / jaar werkdagen]]</f>
        <v>0</v>
      </c>
      <c r="AG537" s="174"/>
      <c r="AH537" s="181" t="str">
        <f>IF(Ruimtestaat[[#This Row],[Frequentie werkdagen]]="","",_xlfn.CONCAT(Ruimtestaat[[#This Row],[Ruimte code]],"-",Ruimtestaat[[#This Row],[Frequentie werkdagen]]," ",Ruimtestaat[[#This Row],[Vloer code]]))</f>
        <v/>
      </c>
      <c r="AI537" s="185" t="str">
        <f>_xlfn.IFNA(VLOOKUP($AH537,Programma!$F$3:$G$1101,2,0),"")</f>
        <v/>
      </c>
      <c r="AJ537" s="185" t="str">
        <f>_xlfn.IFNA(VLOOKUP($AH537,Programma!$F$3:$H$1101,3,0),"")</f>
        <v/>
      </c>
      <c r="AK537" s="185" t="str">
        <f>_xlfn.IFNA(VLOOKUP($AH537,Programma!$F$3:$I$1101,4,0),"")</f>
        <v/>
      </c>
      <c r="AL537" s="185" t="str">
        <f>_xlfn.IFNA(VLOOKUP($AH537,Programma!$F$3:$J$1101,5,0),"")</f>
        <v/>
      </c>
      <c r="AM537" s="185" t="str">
        <f>_xlfn.IFNA(VLOOKUP($AH537,Programma!$F$3:$K$1101,6,0),"")</f>
        <v/>
      </c>
      <c r="AN537" s="185" t="str">
        <f>_xlfn.IFNA(VLOOKUP($AH537,Programma!$F$3:$L$1101,7,0),"")</f>
        <v/>
      </c>
      <c r="AO537" s="185" t="str">
        <f>_xlfn.IFNA(VLOOKUP($AH537,Programma!$F$3:$M$1101,8,0),"")</f>
        <v/>
      </c>
      <c r="AP537" s="185" t="str">
        <f>_xlfn.IFNA(VLOOKUP($AH537,Programma!$F$3:$N$1101,9,0),"")</f>
        <v/>
      </c>
      <c r="AQ537" s="185" t="str">
        <f>_xlfn.IFNA(VLOOKUP($AH537,Programma!$F$3:$O$1101,10,0),"")</f>
        <v/>
      </c>
      <c r="AR537" s="185" t="str">
        <f>_xlfn.IFNA(VLOOKUP($AH537,Programma!$F$3:$P$1101,11,0),"")</f>
        <v/>
      </c>
      <c r="AS537" s="185" t="str">
        <f>_xlfn.IFNA(VLOOKUP($AH537,Programma!$F$3:$Q$1101,12,0),"")</f>
        <v/>
      </c>
      <c r="AT537" s="185" t="str">
        <f>_xlfn.IFNA(VLOOKUP($AH537,Programma!$F$3:$R$1101,13,0),"")</f>
        <v/>
      </c>
      <c r="AU537" s="185" t="str">
        <f>_xlfn.IFNA(VLOOKUP($AH537,Programma!$F$3:$S$1101,14,0),"")</f>
        <v/>
      </c>
      <c r="AV537" s="185" t="str">
        <f>_xlfn.IFNA(VLOOKUP($AH537,Programma!$F$3:$T$1101,15,0),"")</f>
        <v/>
      </c>
      <c r="AW537" s="185" t="str">
        <f>_xlfn.IFNA(VLOOKUP($AH537,Programma!$F$3:$U$1101,16,0),"")</f>
        <v/>
      </c>
      <c r="AX537" s="185" t="str">
        <f>_xlfn.IFNA(VLOOKUP($AH537,Programma!$F$3:$V$1101,17,0),"")</f>
        <v/>
      </c>
      <c r="AY537" s="185" t="str">
        <f>_xlfn.IFNA(VLOOKUP($AH537,Programma!$F$3:$W$1101,18,0),"")</f>
        <v/>
      </c>
      <c r="AZ537" s="185" t="str">
        <f>_xlfn.IFNA(VLOOKUP($AH537,Programma!$F$3:$X$1101,19,0),"")</f>
        <v/>
      </c>
      <c r="BA537" s="185" t="str">
        <f>_xlfn.IFNA(VLOOKUP($AH537,Programma!$F$3:$Y$1101,20,0),"")</f>
        <v/>
      </c>
      <c r="BB537" s="182"/>
      <c r="BC537" s="181" t="str">
        <f>IF(Ruimtestaat[[#This Row],[Frequentie weekend]]="","",_xlfn.CONCAT(Ruimtestaat[[#This Row],[Ruimte code]],"-",Ruimtestaat[[#This Row],[Frequentie weekend]]," ",Ruimtestaat[[#This Row],[Vloer code]]))</f>
        <v/>
      </c>
      <c r="BD537" s="185" t="str">
        <f>_xlfn.IFNA(VLOOKUP($BC537,Programma!$F$3:$G$1101,2,0),"")</f>
        <v/>
      </c>
      <c r="BE537" s="185" t="str">
        <f>_xlfn.IFNA(VLOOKUP($BC537,Programma!$F$3:$H$1101,3,0),"")</f>
        <v/>
      </c>
      <c r="BF537" s="185" t="str">
        <f>_xlfn.IFNA(VLOOKUP($BC537,Programma!$F$3:$I$1101,4,0),"")</f>
        <v/>
      </c>
      <c r="BG537" s="185" t="str">
        <f>_xlfn.IFNA(VLOOKUP($BC537,Programma!$F$3:$J$1101,5,0),"")</f>
        <v/>
      </c>
      <c r="BH537" s="185" t="str">
        <f>_xlfn.IFNA(VLOOKUP($BC537,Programma!$F$3:$K$1101,6,0),"")</f>
        <v/>
      </c>
      <c r="BI537" s="185" t="str">
        <f>_xlfn.IFNA(VLOOKUP($BC537,Programma!$F$3:$L$1101,7,0),"")</f>
        <v/>
      </c>
      <c r="BJ537" s="185" t="str">
        <f>_xlfn.IFNA(VLOOKUP($BC537,Programma!$F$3:$M$1101,8,0),"")</f>
        <v/>
      </c>
      <c r="BK537" s="185" t="str">
        <f>_xlfn.IFNA(VLOOKUP($BC537,Programma!$F$3:$N$1101,9,0),"")</f>
        <v/>
      </c>
      <c r="BL537" s="185" t="str">
        <f>_xlfn.IFNA(VLOOKUP($BC537,Programma!$F$3:$O$1101,10,0),"")</f>
        <v/>
      </c>
      <c r="BM537" s="185" t="str">
        <f>_xlfn.IFNA(VLOOKUP($BC537,Programma!$F$3:$P$1101,11,0),"")</f>
        <v/>
      </c>
      <c r="BN537" s="185" t="str">
        <f>_xlfn.IFNA(VLOOKUP($BC537,Programma!$F$3:$Q$1101,12,0),"")</f>
        <v/>
      </c>
      <c r="BO537" s="185" t="str">
        <f>_xlfn.IFNA(VLOOKUP($BC537,Programma!$F$3:$R$1101,13,0),"")</f>
        <v/>
      </c>
      <c r="BP537" s="185" t="str">
        <f>_xlfn.IFNA(VLOOKUP($BC537,Programma!$F$3:$S$1101,14,0),"")</f>
        <v/>
      </c>
      <c r="BQ537" s="185" t="str">
        <f>_xlfn.IFNA(VLOOKUP($BC537,Programma!$F$3:$T$1101,15,0),"")</f>
        <v/>
      </c>
      <c r="BR537" s="185" t="str">
        <f>_xlfn.IFNA(VLOOKUP($BC537,Programma!$F$3:$U$1101,16,0),"")</f>
        <v/>
      </c>
      <c r="BS537" s="185" t="str">
        <f>_xlfn.IFNA(VLOOKUP($BC537,Programma!$F$3:$V$1101,17,0),"")</f>
        <v/>
      </c>
      <c r="BT537" s="185" t="str">
        <f>_xlfn.IFNA(VLOOKUP($BC537,Programma!$F$3:$W$1101,18,0),"")</f>
        <v/>
      </c>
      <c r="BU537" s="185" t="str">
        <f>_xlfn.IFNA(VLOOKUP($BC537,Programma!$F$3:$X$1101,19,0),"")</f>
        <v/>
      </c>
      <c r="BV537" s="185" t="str">
        <f>_xlfn.IFNA(VLOOKUP($BC537,Programma!$F$3:$Y$1101,20,0),"")</f>
        <v/>
      </c>
    </row>
    <row r="538" spans="1:74" s="78" customFormat="1" ht="15" customHeight="1">
      <c r="A538" s="99">
        <v>15</v>
      </c>
      <c r="B538" s="176" t="str">
        <f>VLOOKUP(Ruimtestaat[[#This Row],[Code]],Locaties[[Code]:[Locatie]],2,FALSE)</f>
        <v>Prinseschool Staringstraat</v>
      </c>
      <c r="C538" s="176" t="str">
        <f>VLOOKUP(Ruimtestaat[[#This Row],[Code]],Locaties[[#All],[Code]:[Adres]],4,FALSE)</f>
        <v>Staringstraat 15 </v>
      </c>
      <c r="D538" s="176" t="str">
        <f>VLOOKUP(Ruimtestaat[[#This Row],[Code]],Locaties[[#All],[Code]:[Postcode]],5,FALSE)</f>
        <v>7514 DE</v>
      </c>
      <c r="E538" s="176" t="str">
        <f>VLOOKUP(Ruimtestaat[[#This Row],[Code]],Locaties[#All],6,FALSE)</f>
        <v>Enschede</v>
      </c>
      <c r="F538" s="183"/>
      <c r="G538" s="99" t="s">
        <v>1646</v>
      </c>
      <c r="H538" s="99" t="s">
        <v>1676</v>
      </c>
      <c r="I538" s="183" t="s">
        <v>1687</v>
      </c>
      <c r="J538" s="99">
        <v>20</v>
      </c>
      <c r="K538" s="183" t="str">
        <f>VLOOKUP(Ruimtestaat[[#This Row],[Ruimte code]],Ruimtegroepen[[#All],[Code]:[Ruimte omschrijving]],2,FALSE)</f>
        <v>Niet in Onderhoud</v>
      </c>
      <c r="L538" s="99"/>
      <c r="M538" s="99"/>
      <c r="N538" s="177"/>
      <c r="O538" s="177">
        <v>0</v>
      </c>
      <c r="P538" s="178">
        <f>VLOOKUP(Ruimtestaat[[#This Row],[Ruimte code]],Ruimtegroepen[],4,FALSE)</f>
        <v>0</v>
      </c>
      <c r="Q538" s="149"/>
      <c r="R538" s="149"/>
      <c r="S538" s="149">
        <f>IF(Q538&gt;0,IF(RIGHT(Ruimtestaat[[#This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8" s="149">
        <f>IF(S538&gt;0,VLOOKUP($J538,Ruimtegroepen[],3,FALSE)*VLOOKUP($L538,Vloersoorten[],3,FALSE)*VLOOKUP($R538,Frequenties[],3,FALSE)*VLOOKUP($A538,Locaties[],3,FALSE),0)</f>
        <v>0</v>
      </c>
      <c r="U538" s="149">
        <f>Ruimtestaat[[#This Row],[Uitvoeringen werkdagen]]*Ruimtestaat[[#This Row],[Oppervlak (netto)]]</f>
        <v>0</v>
      </c>
      <c r="V538" s="179">
        <f>IF(T538&gt;0,Ruimtestaat[[#This Row],[Prest. (m2 /jaar) werkdagen]]/Ruimtestaat[[#This Row],[Norm (m2/uur) werkdagen]],0)</f>
        <v>0</v>
      </c>
      <c r="W538" s="180">
        <f>Ruimtestaat[[#This Row],[uren / jaar werkdagen]]*Tariefsopbouw!$E$35</f>
        <v>0</v>
      </c>
      <c r="X538" s="149"/>
      <c r="Y538" s="149">
        <f>IF(Ruimtestaat[[#This Row],[Frequentie weekend]]&gt;0,VALUE(LEFT(X538,1))*Q538,0)</f>
        <v>0</v>
      </c>
      <c r="Z538" s="148">
        <f>IF($Y538&gt;0,VLOOKUP($J538,Ruimtegroepen[],3,FALSE)*VLOOKUP($L538,Vloersoorten[],3,FALSE)*VLOOKUP($X538,Frequenties[],3,FALSE)*VLOOKUP(Ruimtestaat[[#This Row],[Code]],Locaties[],3,FALSE),0)</f>
        <v>0</v>
      </c>
      <c r="AA538" s="148">
        <f>Ruimtestaat[[#This Row],[Uitvoeringen weekend]]*Ruimtestaat[[#This Row],[Oppervlak (netto)]]</f>
        <v>0</v>
      </c>
      <c r="AB538" s="148">
        <f>IF(Z538&gt;0,Ruimtestaat[[#This Row],[Prest. (m2 /jaar) weekend]]/Ruimtestaat[[#This Row],[Norm (m2/uur) weekend]],0)</f>
        <v>0</v>
      </c>
      <c r="AC538" s="180">
        <f>Ruimtestaat[[#This Row],[uren / jaar weekend]]*Tariefsopbouw!$D$40</f>
        <v>0</v>
      </c>
      <c r="AD538" s="179">
        <f>Ruimtestaat[[#This Row],[Prest. (m2 /jaar) weekend]]+Ruimtestaat[[#This Row],[Prest. (m2 /jaar) werkdagen]]</f>
        <v>0</v>
      </c>
      <c r="AE538" s="179">
        <f>Ruimtestaat[[#This Row],[uren / jaar weekend]]+Ruimtestaat[[#This Row],[uren / jaar werkdagen]]</f>
        <v>0</v>
      </c>
      <c r="AF538" s="174">
        <f>Ruimtestaat[[#This Row],[kosten / jaar weekend]]+Ruimtestaat[[#This Row],[kosten / jaar werkdagen]]</f>
        <v>0</v>
      </c>
      <c r="AG538" s="174"/>
      <c r="AH538" s="181" t="str">
        <f>IF(Ruimtestaat[[#This Row],[Frequentie werkdagen]]="","",_xlfn.CONCAT(Ruimtestaat[[#This Row],[Ruimte code]],"-",Ruimtestaat[[#This Row],[Frequentie werkdagen]]," ",Ruimtestaat[[#This Row],[Vloer code]]))</f>
        <v/>
      </c>
      <c r="AI538" s="185" t="str">
        <f>_xlfn.IFNA(VLOOKUP($AH538,Programma!$F$3:$G$1101,2,0),"")</f>
        <v/>
      </c>
      <c r="AJ538" s="185" t="str">
        <f>_xlfn.IFNA(VLOOKUP($AH538,Programma!$F$3:$H$1101,3,0),"")</f>
        <v/>
      </c>
      <c r="AK538" s="185" t="str">
        <f>_xlfn.IFNA(VLOOKUP($AH538,Programma!$F$3:$I$1101,4,0),"")</f>
        <v/>
      </c>
      <c r="AL538" s="185" t="str">
        <f>_xlfn.IFNA(VLOOKUP($AH538,Programma!$F$3:$J$1101,5,0),"")</f>
        <v/>
      </c>
      <c r="AM538" s="185" t="str">
        <f>_xlfn.IFNA(VLOOKUP($AH538,Programma!$F$3:$K$1101,6,0),"")</f>
        <v/>
      </c>
      <c r="AN538" s="185" t="str">
        <f>_xlfn.IFNA(VLOOKUP($AH538,Programma!$F$3:$L$1101,7,0),"")</f>
        <v/>
      </c>
      <c r="AO538" s="185" t="str">
        <f>_xlfn.IFNA(VLOOKUP($AH538,Programma!$F$3:$M$1101,8,0),"")</f>
        <v/>
      </c>
      <c r="AP538" s="185" t="str">
        <f>_xlfn.IFNA(VLOOKUP($AH538,Programma!$F$3:$N$1101,9,0),"")</f>
        <v/>
      </c>
      <c r="AQ538" s="185" t="str">
        <f>_xlfn.IFNA(VLOOKUP($AH538,Programma!$F$3:$O$1101,10,0),"")</f>
        <v/>
      </c>
      <c r="AR538" s="185" t="str">
        <f>_xlfn.IFNA(VLOOKUP($AH538,Programma!$F$3:$P$1101,11,0),"")</f>
        <v/>
      </c>
      <c r="AS538" s="185" t="str">
        <f>_xlfn.IFNA(VLOOKUP($AH538,Programma!$F$3:$Q$1101,12,0),"")</f>
        <v/>
      </c>
      <c r="AT538" s="185" t="str">
        <f>_xlfn.IFNA(VLOOKUP($AH538,Programma!$F$3:$R$1101,13,0),"")</f>
        <v/>
      </c>
      <c r="AU538" s="185" t="str">
        <f>_xlfn.IFNA(VLOOKUP($AH538,Programma!$F$3:$S$1101,14,0),"")</f>
        <v/>
      </c>
      <c r="AV538" s="185" t="str">
        <f>_xlfn.IFNA(VLOOKUP($AH538,Programma!$F$3:$T$1101,15,0),"")</f>
        <v/>
      </c>
      <c r="AW538" s="185" t="str">
        <f>_xlfn.IFNA(VLOOKUP($AH538,Programma!$F$3:$U$1101,16,0),"")</f>
        <v/>
      </c>
      <c r="AX538" s="185" t="str">
        <f>_xlfn.IFNA(VLOOKUP($AH538,Programma!$F$3:$V$1101,17,0),"")</f>
        <v/>
      </c>
      <c r="AY538" s="185" t="str">
        <f>_xlfn.IFNA(VLOOKUP($AH538,Programma!$F$3:$W$1101,18,0),"")</f>
        <v/>
      </c>
      <c r="AZ538" s="185" t="str">
        <f>_xlfn.IFNA(VLOOKUP($AH538,Programma!$F$3:$X$1101,19,0),"")</f>
        <v/>
      </c>
      <c r="BA538" s="185" t="str">
        <f>_xlfn.IFNA(VLOOKUP($AH538,Programma!$F$3:$Y$1101,20,0),"")</f>
        <v/>
      </c>
      <c r="BB538" s="182"/>
      <c r="BC538" s="181" t="str">
        <f>IF(Ruimtestaat[[#This Row],[Frequentie weekend]]="","",_xlfn.CONCAT(Ruimtestaat[[#This Row],[Ruimte code]],"-",Ruimtestaat[[#This Row],[Frequentie weekend]]," ",Ruimtestaat[[#This Row],[Vloer code]]))</f>
        <v/>
      </c>
      <c r="BD538" s="185" t="str">
        <f>_xlfn.IFNA(VLOOKUP($BC538,Programma!$F$3:$G$1101,2,0),"")</f>
        <v/>
      </c>
      <c r="BE538" s="185" t="str">
        <f>_xlfn.IFNA(VLOOKUP($BC538,Programma!$F$3:$H$1101,3,0),"")</f>
        <v/>
      </c>
      <c r="BF538" s="185" t="str">
        <f>_xlfn.IFNA(VLOOKUP($BC538,Programma!$F$3:$I$1101,4,0),"")</f>
        <v/>
      </c>
      <c r="BG538" s="185" t="str">
        <f>_xlfn.IFNA(VLOOKUP($BC538,Programma!$F$3:$J$1101,5,0),"")</f>
        <v/>
      </c>
      <c r="BH538" s="185" t="str">
        <f>_xlfn.IFNA(VLOOKUP($BC538,Programma!$F$3:$K$1101,6,0),"")</f>
        <v/>
      </c>
      <c r="BI538" s="185" t="str">
        <f>_xlfn.IFNA(VLOOKUP($BC538,Programma!$F$3:$L$1101,7,0),"")</f>
        <v/>
      </c>
      <c r="BJ538" s="185" t="str">
        <f>_xlfn.IFNA(VLOOKUP($BC538,Programma!$F$3:$M$1101,8,0),"")</f>
        <v/>
      </c>
      <c r="BK538" s="185" t="str">
        <f>_xlfn.IFNA(VLOOKUP($BC538,Programma!$F$3:$N$1101,9,0),"")</f>
        <v/>
      </c>
      <c r="BL538" s="185" t="str">
        <f>_xlfn.IFNA(VLOOKUP($BC538,Programma!$F$3:$O$1101,10,0),"")</f>
        <v/>
      </c>
      <c r="BM538" s="185" t="str">
        <f>_xlfn.IFNA(VLOOKUP($BC538,Programma!$F$3:$P$1101,11,0),"")</f>
        <v/>
      </c>
      <c r="BN538" s="185" t="str">
        <f>_xlfn.IFNA(VLOOKUP($BC538,Programma!$F$3:$Q$1101,12,0),"")</f>
        <v/>
      </c>
      <c r="BO538" s="185" t="str">
        <f>_xlfn.IFNA(VLOOKUP($BC538,Programma!$F$3:$R$1101,13,0),"")</f>
        <v/>
      </c>
      <c r="BP538" s="185" t="str">
        <f>_xlfn.IFNA(VLOOKUP($BC538,Programma!$F$3:$S$1101,14,0),"")</f>
        <v/>
      </c>
      <c r="BQ538" s="185" t="str">
        <f>_xlfn.IFNA(VLOOKUP($BC538,Programma!$F$3:$T$1101,15,0),"")</f>
        <v/>
      </c>
      <c r="BR538" s="185" t="str">
        <f>_xlfn.IFNA(VLOOKUP($BC538,Programma!$F$3:$U$1101,16,0),"")</f>
        <v/>
      </c>
      <c r="BS538" s="185" t="str">
        <f>_xlfn.IFNA(VLOOKUP($BC538,Programma!$F$3:$V$1101,17,0),"")</f>
        <v/>
      </c>
      <c r="BT538" s="185" t="str">
        <f>_xlfn.IFNA(VLOOKUP($BC538,Programma!$F$3:$W$1101,18,0),"")</f>
        <v/>
      </c>
      <c r="BU538" s="185" t="str">
        <f>_xlfn.IFNA(VLOOKUP($BC538,Programma!$F$3:$X$1101,19,0),"")</f>
        <v/>
      </c>
      <c r="BV538" s="185" t="str">
        <f>_xlfn.IFNA(VLOOKUP($BC538,Programma!$F$3:$Y$1101,20,0),"")</f>
        <v/>
      </c>
    </row>
    <row r="539" spans="1:74" s="78" customFormat="1" ht="15" customHeight="1">
      <c r="A539" s="99">
        <v>15</v>
      </c>
      <c r="B539" s="176" t="str">
        <f>VLOOKUP(Ruimtestaat[[#This Row],[Code]],Locaties[[Code]:[Locatie]],2,FALSE)</f>
        <v>Prinseschool Staringstraat</v>
      </c>
      <c r="C539" s="176" t="str">
        <f>VLOOKUP(Ruimtestaat[[#This Row],[Code]],Locaties[[#All],[Code]:[Adres]],4,FALSE)</f>
        <v>Staringstraat 15 </v>
      </c>
      <c r="D539" s="176" t="str">
        <f>VLOOKUP(Ruimtestaat[[#This Row],[Code]],Locaties[[#All],[Code]:[Postcode]],5,FALSE)</f>
        <v>7514 DE</v>
      </c>
      <c r="E539" s="176" t="str">
        <f>VLOOKUP(Ruimtestaat[[#This Row],[Code]],Locaties[#All],6,FALSE)</f>
        <v>Enschede</v>
      </c>
      <c r="F539" s="183"/>
      <c r="G539" s="99" t="s">
        <v>1646</v>
      </c>
      <c r="H539" s="99" t="s">
        <v>1678</v>
      </c>
      <c r="I539" s="183" t="s">
        <v>1651</v>
      </c>
      <c r="J539" s="99">
        <v>16</v>
      </c>
      <c r="K539" s="183" t="str">
        <f>VLOOKUP(Ruimtestaat[[#This Row],[Ruimte code]],Ruimtegroepen[[#All],[Code]:[Ruimte omschrijving]],2,FALSE)</f>
        <v>Leslokalen</v>
      </c>
      <c r="L539" s="99" t="s">
        <v>100</v>
      </c>
      <c r="M539" s="99" t="s">
        <v>1697</v>
      </c>
      <c r="N539" s="177">
        <v>56.3</v>
      </c>
      <c r="O539" s="177"/>
      <c r="P539" s="178" t="str">
        <f>VLOOKUP(Ruimtestaat[[#This Row],[Ruimte code]],Ruimtegroepen[],4,FALSE)</f>
        <v>Le</v>
      </c>
      <c r="Q539" s="149">
        <v>40</v>
      </c>
      <c r="R539" s="149" t="s">
        <v>2</v>
      </c>
      <c r="S539" s="149">
        <f>IF(Q539&gt;0,IF(RIGHT(Ruimtestaat[[#This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39" s="149">
        <f>IF(S539&gt;0,VLOOKUP($J539,Ruimtegroepen[],3,FALSE)*VLOOKUP($L539,Vloersoorten[],3,FALSE)*VLOOKUP($R539,Frequenties[],3,FALSE)*VLOOKUP($A539,Locaties[],3,FALSE),0)</f>
        <v>0</v>
      </c>
      <c r="U539" s="149">
        <f>Ruimtestaat[[#This Row],[Uitvoeringen werkdagen]]*Ruimtestaat[[#This Row],[Oppervlak (netto)]]</f>
        <v>11260</v>
      </c>
      <c r="V539" s="179">
        <f>IF(T539&gt;0,Ruimtestaat[[#This Row],[Prest. (m2 /jaar) werkdagen]]/Ruimtestaat[[#This Row],[Norm (m2/uur) werkdagen]],0)</f>
        <v>0</v>
      </c>
      <c r="W539" s="180">
        <f>Ruimtestaat[[#This Row],[uren / jaar werkdagen]]*Tariefsopbouw!$E$35</f>
        <v>0</v>
      </c>
      <c r="X539" s="149"/>
      <c r="Y539" s="149">
        <f>IF(Ruimtestaat[[#This Row],[Frequentie weekend]]&gt;0,VALUE(LEFT(X539,1))*Q539,0)</f>
        <v>0</v>
      </c>
      <c r="Z539" s="148">
        <f>IF($Y539&gt;0,VLOOKUP($J539,Ruimtegroepen[],3,FALSE)*VLOOKUP($L539,Vloersoorten[],3,FALSE)*VLOOKUP($X539,Frequenties[],3,FALSE)*VLOOKUP(Ruimtestaat[[#This Row],[Code]],Locaties[],3,FALSE),0)</f>
        <v>0</v>
      </c>
      <c r="AA539" s="148">
        <f>Ruimtestaat[[#This Row],[Uitvoeringen weekend]]*Ruimtestaat[[#This Row],[Oppervlak (netto)]]</f>
        <v>0</v>
      </c>
      <c r="AB539" s="148">
        <f>IF(Z539&gt;0,Ruimtestaat[[#This Row],[Prest. (m2 /jaar) weekend]]/Ruimtestaat[[#This Row],[Norm (m2/uur) weekend]],0)</f>
        <v>0</v>
      </c>
      <c r="AC539" s="180">
        <f>Ruimtestaat[[#This Row],[uren / jaar weekend]]*Tariefsopbouw!$D$40</f>
        <v>0</v>
      </c>
      <c r="AD539" s="179">
        <f>Ruimtestaat[[#This Row],[Prest. (m2 /jaar) weekend]]+Ruimtestaat[[#This Row],[Prest. (m2 /jaar) werkdagen]]</f>
        <v>11260</v>
      </c>
      <c r="AE539" s="179">
        <f>Ruimtestaat[[#This Row],[uren / jaar weekend]]+Ruimtestaat[[#This Row],[uren / jaar werkdagen]]</f>
        <v>0</v>
      </c>
      <c r="AF539" s="174">
        <f>Ruimtestaat[[#This Row],[kosten / jaar weekend]]+Ruimtestaat[[#This Row],[kosten / jaar werkdagen]]</f>
        <v>0</v>
      </c>
      <c r="AG539" s="174"/>
      <c r="AH539" s="181" t="str">
        <f>IF(Ruimtestaat[[#This Row],[Frequentie werkdagen]]="","",_xlfn.CONCAT(Ruimtestaat[[#This Row],[Ruimte code]],"-",Ruimtestaat[[#This Row],[Frequentie werkdagen]]," ",Ruimtestaat[[#This Row],[Vloer code]]))</f>
        <v>16-5w L</v>
      </c>
      <c r="AI539" s="185" t="str">
        <f>_xlfn.IFNA(VLOOKUP($AH539,Programma!$F$3:$G$1101,2,0),"")</f>
        <v>_</v>
      </c>
      <c r="AJ539" s="185" t="str">
        <f>_xlfn.IFNA(VLOOKUP($AH539,Programma!$F$3:$H$1101,3,0),"")</f>
        <v>_</v>
      </c>
      <c r="AK539" s="185" t="str">
        <f>_xlfn.IFNA(VLOOKUP($AH539,Programma!$F$3:$I$1101,4,0),"")</f>
        <v>4w</v>
      </c>
      <c r="AL539" s="185" t="str">
        <f>_xlfn.IFNA(VLOOKUP($AH539,Programma!$F$3:$J$1101,5,0),"")</f>
        <v>1w</v>
      </c>
      <c r="AM539" s="185" t="str">
        <f>_xlfn.IFNA(VLOOKUP($AH539,Programma!$F$3:$K$1101,6,0),"")</f>
        <v>_</v>
      </c>
      <c r="AN539" s="185" t="str">
        <f>_xlfn.IFNA(VLOOKUP($AH539,Programma!$F$3:$L$1101,7,0),"")</f>
        <v>_</v>
      </c>
      <c r="AO539" s="185" t="str">
        <f>_xlfn.IFNA(VLOOKUP($AH539,Programma!$F$3:$M$1101,8,0),"")</f>
        <v>_</v>
      </c>
      <c r="AP539" s="185" t="str">
        <f>_xlfn.IFNA(VLOOKUP($AH539,Programma!$F$3:$N$1101,9,0),"")</f>
        <v>_</v>
      </c>
      <c r="AQ539" s="185" t="str">
        <f>_xlfn.IFNA(VLOOKUP($AH539,Programma!$F$3:$O$1101,10,0),"")</f>
        <v>5w</v>
      </c>
      <c r="AR539" s="185" t="str">
        <f>_xlfn.IFNA(VLOOKUP($AH539,Programma!$F$3:$P$1101,11,0),"")</f>
        <v>5w</v>
      </c>
      <c r="AS539" s="185" t="str">
        <f>_xlfn.IFNA(VLOOKUP($AH539,Programma!$F$3:$Q$1101,12,0),"")</f>
        <v>1w</v>
      </c>
      <c r="AT539" s="185" t="str">
        <f>_xlfn.IFNA(VLOOKUP($AH539,Programma!$F$3:$R$1101,13,0),"")</f>
        <v>1w</v>
      </c>
      <c r="AU539" s="185" t="str">
        <f>_xlfn.IFNA(VLOOKUP($AH539,Programma!$F$3:$S$1101,14,0),"")</f>
        <v>1m</v>
      </c>
      <c r="AV539" s="185" t="str">
        <f>_xlfn.IFNA(VLOOKUP($AH539,Programma!$F$3:$T$1101,15,0),"")</f>
        <v>2j</v>
      </c>
      <c r="AW539" s="185" t="str">
        <f>_xlfn.IFNA(VLOOKUP($AH539,Programma!$F$3:$U$1101,16,0),"")</f>
        <v>1j</v>
      </c>
      <c r="AX539" s="185" t="str">
        <f>_xlfn.IFNA(VLOOKUP($AH539,Programma!$F$3:$V$1101,17,0),"")</f>
        <v>_</v>
      </c>
      <c r="AY539" s="185" t="str">
        <f>_xlfn.IFNA(VLOOKUP($AH539,Programma!$F$3:$W$1101,18,0),"")</f>
        <v>_</v>
      </c>
      <c r="AZ539" s="185" t="str">
        <f>_xlfn.IFNA(VLOOKUP($AH539,Programma!$F$3:$X$1101,19,0),"")</f>
        <v>_</v>
      </c>
      <c r="BA539" s="185" t="str">
        <f>_xlfn.IFNA(VLOOKUP($AH539,Programma!$F$3:$Y$1101,20,0),"")</f>
        <v>_</v>
      </c>
      <c r="BB539" s="182"/>
      <c r="BC539" s="181" t="str">
        <f>IF(Ruimtestaat[[#This Row],[Frequentie weekend]]="","",_xlfn.CONCAT(Ruimtestaat[[#This Row],[Ruimte code]],"-",Ruimtestaat[[#This Row],[Frequentie weekend]]," ",Ruimtestaat[[#This Row],[Vloer code]]))</f>
        <v/>
      </c>
      <c r="BD539" s="185" t="str">
        <f>_xlfn.IFNA(VLOOKUP($BC539,Programma!$F$3:$G$1101,2,0),"")</f>
        <v/>
      </c>
      <c r="BE539" s="185" t="str">
        <f>_xlfn.IFNA(VLOOKUP($BC539,Programma!$F$3:$H$1101,3,0),"")</f>
        <v/>
      </c>
      <c r="BF539" s="185" t="str">
        <f>_xlfn.IFNA(VLOOKUP($BC539,Programma!$F$3:$I$1101,4,0),"")</f>
        <v/>
      </c>
      <c r="BG539" s="185" t="str">
        <f>_xlfn.IFNA(VLOOKUP($BC539,Programma!$F$3:$J$1101,5,0),"")</f>
        <v/>
      </c>
      <c r="BH539" s="185" t="str">
        <f>_xlfn.IFNA(VLOOKUP($BC539,Programma!$F$3:$K$1101,6,0),"")</f>
        <v/>
      </c>
      <c r="BI539" s="185" t="str">
        <f>_xlfn.IFNA(VLOOKUP($BC539,Programma!$F$3:$L$1101,7,0),"")</f>
        <v/>
      </c>
      <c r="BJ539" s="185" t="str">
        <f>_xlfn.IFNA(VLOOKUP($BC539,Programma!$F$3:$M$1101,8,0),"")</f>
        <v/>
      </c>
      <c r="BK539" s="185" t="str">
        <f>_xlfn.IFNA(VLOOKUP($BC539,Programma!$F$3:$N$1101,9,0),"")</f>
        <v/>
      </c>
      <c r="BL539" s="185" t="str">
        <f>_xlfn.IFNA(VLOOKUP($BC539,Programma!$F$3:$O$1101,10,0),"")</f>
        <v/>
      </c>
      <c r="BM539" s="185" t="str">
        <f>_xlfn.IFNA(VLOOKUP($BC539,Programma!$F$3:$P$1101,11,0),"")</f>
        <v/>
      </c>
      <c r="BN539" s="185" t="str">
        <f>_xlfn.IFNA(VLOOKUP($BC539,Programma!$F$3:$Q$1101,12,0),"")</f>
        <v/>
      </c>
      <c r="BO539" s="185" t="str">
        <f>_xlfn.IFNA(VLOOKUP($BC539,Programma!$F$3:$R$1101,13,0),"")</f>
        <v/>
      </c>
      <c r="BP539" s="185" t="str">
        <f>_xlfn.IFNA(VLOOKUP($BC539,Programma!$F$3:$S$1101,14,0),"")</f>
        <v/>
      </c>
      <c r="BQ539" s="185" t="str">
        <f>_xlfn.IFNA(VLOOKUP($BC539,Programma!$F$3:$T$1101,15,0),"")</f>
        <v/>
      </c>
      <c r="BR539" s="185" t="str">
        <f>_xlfn.IFNA(VLOOKUP($BC539,Programma!$F$3:$U$1101,16,0),"")</f>
        <v/>
      </c>
      <c r="BS539" s="185" t="str">
        <f>_xlfn.IFNA(VLOOKUP($BC539,Programma!$F$3:$V$1101,17,0),"")</f>
        <v/>
      </c>
      <c r="BT539" s="185" t="str">
        <f>_xlfn.IFNA(VLOOKUP($BC539,Programma!$F$3:$W$1101,18,0),"")</f>
        <v/>
      </c>
      <c r="BU539" s="185" t="str">
        <f>_xlfn.IFNA(VLOOKUP($BC539,Programma!$F$3:$X$1101,19,0),"")</f>
        <v/>
      </c>
      <c r="BV539" s="185" t="str">
        <f>_xlfn.IFNA(VLOOKUP($BC539,Programma!$F$3:$Y$1101,20,0),"")</f>
        <v/>
      </c>
    </row>
    <row r="540" spans="1:74" s="78" customFormat="1" ht="15" customHeight="1">
      <c r="A540" s="99">
        <v>15</v>
      </c>
      <c r="B540" s="176" t="str">
        <f>VLOOKUP(Ruimtestaat[[#This Row],[Code]],Locaties[[Code]:[Locatie]],2,FALSE)</f>
        <v>Prinseschool Staringstraat</v>
      </c>
      <c r="C540" s="176" t="str">
        <f>VLOOKUP(Ruimtestaat[[#This Row],[Code]],Locaties[[#All],[Code]:[Adres]],4,FALSE)</f>
        <v>Staringstraat 15 </v>
      </c>
      <c r="D540" s="176" t="str">
        <f>VLOOKUP(Ruimtestaat[[#This Row],[Code]],Locaties[[#All],[Code]:[Postcode]],5,FALSE)</f>
        <v>7514 DE</v>
      </c>
      <c r="E540" s="176" t="str">
        <f>VLOOKUP(Ruimtestaat[[#This Row],[Code]],Locaties[#All],6,FALSE)</f>
        <v>Enschede</v>
      </c>
      <c r="F540" s="183"/>
      <c r="G540" s="99" t="s">
        <v>1646</v>
      </c>
      <c r="H540" s="99" t="s">
        <v>1680</v>
      </c>
      <c r="I540" s="183" t="s">
        <v>1681</v>
      </c>
      <c r="J540" s="99">
        <v>6</v>
      </c>
      <c r="K540" s="183" t="str">
        <f>VLOOKUP(Ruimtestaat[[#This Row],[Ruimte code]],Ruimtegroepen[[#All],[Code]:[Ruimte omschrijving]],2,FALSE)</f>
        <v>Gangen/hallen</v>
      </c>
      <c r="L540" s="99" t="s">
        <v>100</v>
      </c>
      <c r="M540" s="99" t="s">
        <v>1697</v>
      </c>
      <c r="N540" s="177">
        <v>152.30000000000001</v>
      </c>
      <c r="O540" s="177"/>
      <c r="P540" s="178" t="str">
        <f>VLOOKUP(Ruimtestaat[[#This Row],[Ruimte code]],Ruimtegroepen[],4,FALSE)</f>
        <v>Ve</v>
      </c>
      <c r="Q540" s="149">
        <v>40</v>
      </c>
      <c r="R540" s="149" t="s">
        <v>2</v>
      </c>
      <c r="S540" s="149">
        <f>IF(Q540&gt;0,IF(RIGHT(Ruimtestaat[[#This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0" s="149">
        <f>IF(S540&gt;0,VLOOKUP($J540,Ruimtegroepen[],3,FALSE)*VLOOKUP($L540,Vloersoorten[],3,FALSE)*VLOOKUP($R540,Frequenties[],3,FALSE)*VLOOKUP($A540,Locaties[],3,FALSE),0)</f>
        <v>0</v>
      </c>
      <c r="U540" s="149">
        <f>Ruimtestaat[[#This Row],[Uitvoeringen werkdagen]]*Ruimtestaat[[#This Row],[Oppervlak (netto)]]</f>
        <v>30460.000000000004</v>
      </c>
      <c r="V540" s="179">
        <f>IF(T540&gt;0,Ruimtestaat[[#This Row],[Prest. (m2 /jaar) werkdagen]]/Ruimtestaat[[#This Row],[Norm (m2/uur) werkdagen]],0)</f>
        <v>0</v>
      </c>
      <c r="W540" s="180">
        <f>Ruimtestaat[[#This Row],[uren / jaar werkdagen]]*Tariefsopbouw!$E$35</f>
        <v>0</v>
      </c>
      <c r="X540" s="149"/>
      <c r="Y540" s="149">
        <f>IF(Ruimtestaat[[#This Row],[Frequentie weekend]]&gt;0,VALUE(LEFT(X540,1))*Q540,0)</f>
        <v>0</v>
      </c>
      <c r="Z540" s="148">
        <f>IF($Y540&gt;0,VLOOKUP($J540,Ruimtegroepen[],3,FALSE)*VLOOKUP($L540,Vloersoorten[],3,FALSE)*VLOOKUP($X540,Frequenties[],3,FALSE)*VLOOKUP(Ruimtestaat[[#This Row],[Code]],Locaties[],3,FALSE),0)</f>
        <v>0</v>
      </c>
      <c r="AA540" s="148">
        <f>Ruimtestaat[[#This Row],[Uitvoeringen weekend]]*Ruimtestaat[[#This Row],[Oppervlak (netto)]]</f>
        <v>0</v>
      </c>
      <c r="AB540" s="148">
        <f>IF(Z540&gt;0,Ruimtestaat[[#This Row],[Prest. (m2 /jaar) weekend]]/Ruimtestaat[[#This Row],[Norm (m2/uur) weekend]],0)</f>
        <v>0</v>
      </c>
      <c r="AC540" s="180">
        <f>Ruimtestaat[[#This Row],[uren / jaar weekend]]*Tariefsopbouw!$D$40</f>
        <v>0</v>
      </c>
      <c r="AD540" s="179">
        <f>Ruimtestaat[[#This Row],[Prest. (m2 /jaar) weekend]]+Ruimtestaat[[#This Row],[Prest. (m2 /jaar) werkdagen]]</f>
        <v>30460.000000000004</v>
      </c>
      <c r="AE540" s="179">
        <f>Ruimtestaat[[#This Row],[uren / jaar weekend]]+Ruimtestaat[[#This Row],[uren / jaar werkdagen]]</f>
        <v>0</v>
      </c>
      <c r="AF540" s="174">
        <f>Ruimtestaat[[#This Row],[kosten / jaar weekend]]+Ruimtestaat[[#This Row],[kosten / jaar werkdagen]]</f>
        <v>0</v>
      </c>
      <c r="AG540" s="174"/>
      <c r="AH540" s="181" t="str">
        <f>IF(Ruimtestaat[[#This Row],[Frequentie werkdagen]]="","",_xlfn.CONCAT(Ruimtestaat[[#This Row],[Ruimte code]],"-",Ruimtestaat[[#This Row],[Frequentie werkdagen]]," ",Ruimtestaat[[#This Row],[Vloer code]]))</f>
        <v>6-5w L</v>
      </c>
      <c r="AI540" s="185" t="str">
        <f>_xlfn.IFNA(VLOOKUP($AH540,Programma!$F$3:$G$1101,2,0),"")</f>
        <v>_</v>
      </c>
      <c r="AJ540" s="185" t="str">
        <f>_xlfn.IFNA(VLOOKUP($AH540,Programma!$F$3:$H$1101,3,0),"")</f>
        <v>_</v>
      </c>
      <c r="AK540" s="185" t="str">
        <f>_xlfn.IFNA(VLOOKUP($AH540,Programma!$F$3:$I$1101,4,0),"")</f>
        <v>_</v>
      </c>
      <c r="AL540" s="185" t="str">
        <f>_xlfn.IFNA(VLOOKUP($AH540,Programma!$F$3:$J$1101,5,0),"")</f>
        <v>5w</v>
      </c>
      <c r="AM540" s="185" t="str">
        <f>_xlfn.IFNA(VLOOKUP($AH540,Programma!$F$3:$K$1101,6,0),"")</f>
        <v>_</v>
      </c>
      <c r="AN540" s="185" t="str">
        <f>_xlfn.IFNA(VLOOKUP($AH540,Programma!$F$3:$L$1101,7,0),"")</f>
        <v>_</v>
      </c>
      <c r="AO540" s="185" t="str">
        <f>_xlfn.IFNA(VLOOKUP($AH540,Programma!$F$3:$M$1101,8,0),"")</f>
        <v>_</v>
      </c>
      <c r="AP540" s="185" t="str">
        <f>_xlfn.IFNA(VLOOKUP($AH540,Programma!$F$3:$N$1101,9,0),"")</f>
        <v>_</v>
      </c>
      <c r="AQ540" s="185" t="str">
        <f>_xlfn.IFNA(VLOOKUP($AH540,Programma!$F$3:$O$1101,10,0),"")</f>
        <v>5w</v>
      </c>
      <c r="AR540" s="185" t="str">
        <f>_xlfn.IFNA(VLOOKUP($AH540,Programma!$F$3:$P$1101,11,0),"")</f>
        <v>5w</v>
      </c>
      <c r="AS540" s="185" t="str">
        <f>_xlfn.IFNA(VLOOKUP($AH540,Programma!$F$3:$Q$1101,12,0),"")</f>
        <v>1w</v>
      </c>
      <c r="AT540" s="185" t="str">
        <f>_xlfn.IFNA(VLOOKUP($AH540,Programma!$F$3:$R$1101,13,0),"")</f>
        <v>1w</v>
      </c>
      <c r="AU540" s="185" t="str">
        <f>_xlfn.IFNA(VLOOKUP($AH540,Programma!$F$3:$S$1101,14,0),"")</f>
        <v>1m</v>
      </c>
      <c r="AV540" s="185" t="str">
        <f>_xlfn.IFNA(VLOOKUP($AH540,Programma!$F$3:$T$1101,15,0),"")</f>
        <v>2j</v>
      </c>
      <c r="AW540" s="185" t="str">
        <f>_xlfn.IFNA(VLOOKUP($AH540,Programma!$F$3:$U$1101,16,0),"")</f>
        <v>1j</v>
      </c>
      <c r="AX540" s="185" t="str">
        <f>_xlfn.IFNA(VLOOKUP($AH540,Programma!$F$3:$V$1101,17,0),"")</f>
        <v>_</v>
      </c>
      <c r="AY540" s="185" t="str">
        <f>_xlfn.IFNA(VLOOKUP($AH540,Programma!$F$3:$W$1101,18,0),"")</f>
        <v>_</v>
      </c>
      <c r="AZ540" s="185" t="str">
        <f>_xlfn.IFNA(VLOOKUP($AH540,Programma!$F$3:$X$1101,19,0),"")</f>
        <v>_</v>
      </c>
      <c r="BA540" s="185" t="str">
        <f>_xlfn.IFNA(VLOOKUP($AH540,Programma!$F$3:$Y$1101,20,0),"")</f>
        <v>_</v>
      </c>
      <c r="BB540" s="182"/>
      <c r="BC540" s="181" t="str">
        <f>IF(Ruimtestaat[[#This Row],[Frequentie weekend]]="","",_xlfn.CONCAT(Ruimtestaat[[#This Row],[Ruimte code]],"-",Ruimtestaat[[#This Row],[Frequentie weekend]]," ",Ruimtestaat[[#This Row],[Vloer code]]))</f>
        <v/>
      </c>
      <c r="BD540" s="185" t="str">
        <f>_xlfn.IFNA(VLOOKUP($BC540,Programma!$F$3:$G$1101,2,0),"")</f>
        <v/>
      </c>
      <c r="BE540" s="185" t="str">
        <f>_xlfn.IFNA(VLOOKUP($BC540,Programma!$F$3:$H$1101,3,0),"")</f>
        <v/>
      </c>
      <c r="BF540" s="185" t="str">
        <f>_xlfn.IFNA(VLOOKUP($BC540,Programma!$F$3:$I$1101,4,0),"")</f>
        <v/>
      </c>
      <c r="BG540" s="185" t="str">
        <f>_xlfn.IFNA(VLOOKUP($BC540,Programma!$F$3:$J$1101,5,0),"")</f>
        <v/>
      </c>
      <c r="BH540" s="185" t="str">
        <f>_xlfn.IFNA(VLOOKUP($BC540,Programma!$F$3:$K$1101,6,0),"")</f>
        <v/>
      </c>
      <c r="BI540" s="185" t="str">
        <f>_xlfn.IFNA(VLOOKUP($BC540,Programma!$F$3:$L$1101,7,0),"")</f>
        <v/>
      </c>
      <c r="BJ540" s="185" t="str">
        <f>_xlfn.IFNA(VLOOKUP($BC540,Programma!$F$3:$M$1101,8,0),"")</f>
        <v/>
      </c>
      <c r="BK540" s="185" t="str">
        <f>_xlfn.IFNA(VLOOKUP($BC540,Programma!$F$3:$N$1101,9,0),"")</f>
        <v/>
      </c>
      <c r="BL540" s="185" t="str">
        <f>_xlfn.IFNA(VLOOKUP($BC540,Programma!$F$3:$O$1101,10,0),"")</f>
        <v/>
      </c>
      <c r="BM540" s="185" t="str">
        <f>_xlfn.IFNA(VLOOKUP($BC540,Programma!$F$3:$P$1101,11,0),"")</f>
        <v/>
      </c>
      <c r="BN540" s="185" t="str">
        <f>_xlfn.IFNA(VLOOKUP($BC540,Programma!$F$3:$Q$1101,12,0),"")</f>
        <v/>
      </c>
      <c r="BO540" s="185" t="str">
        <f>_xlfn.IFNA(VLOOKUP($BC540,Programma!$F$3:$R$1101,13,0),"")</f>
        <v/>
      </c>
      <c r="BP540" s="185" t="str">
        <f>_xlfn.IFNA(VLOOKUP($BC540,Programma!$F$3:$S$1101,14,0),"")</f>
        <v/>
      </c>
      <c r="BQ540" s="185" t="str">
        <f>_xlfn.IFNA(VLOOKUP($BC540,Programma!$F$3:$T$1101,15,0),"")</f>
        <v/>
      </c>
      <c r="BR540" s="185" t="str">
        <f>_xlfn.IFNA(VLOOKUP($BC540,Programma!$F$3:$U$1101,16,0),"")</f>
        <v/>
      </c>
      <c r="BS540" s="185" t="str">
        <f>_xlfn.IFNA(VLOOKUP($BC540,Programma!$F$3:$V$1101,17,0),"")</f>
        <v/>
      </c>
      <c r="BT540" s="185" t="str">
        <f>_xlfn.IFNA(VLOOKUP($BC540,Programma!$F$3:$W$1101,18,0),"")</f>
        <v/>
      </c>
      <c r="BU540" s="185" t="str">
        <f>_xlfn.IFNA(VLOOKUP($BC540,Programma!$F$3:$X$1101,19,0),"")</f>
        <v/>
      </c>
      <c r="BV540" s="185" t="str">
        <f>_xlfn.IFNA(VLOOKUP($BC540,Programma!$F$3:$Y$1101,20,0),"")</f>
        <v/>
      </c>
    </row>
    <row r="541" spans="1:74" s="78" customFormat="1" ht="15" customHeight="1">
      <c r="A541" s="99">
        <v>15</v>
      </c>
      <c r="B541" s="176" t="str">
        <f>VLOOKUP(Ruimtestaat[[#This Row],[Code]],Locaties[[Code]:[Locatie]],2,FALSE)</f>
        <v>Prinseschool Staringstraat</v>
      </c>
      <c r="C541" s="176" t="str">
        <f>VLOOKUP(Ruimtestaat[[#This Row],[Code]],Locaties[[#All],[Code]:[Adres]],4,FALSE)</f>
        <v>Staringstraat 15 </v>
      </c>
      <c r="D541" s="176" t="str">
        <f>VLOOKUP(Ruimtestaat[[#This Row],[Code]],Locaties[[#All],[Code]:[Postcode]],5,FALSE)</f>
        <v>7514 DE</v>
      </c>
      <c r="E541" s="176" t="str">
        <f>VLOOKUP(Ruimtestaat[[#This Row],[Code]],Locaties[#All],6,FALSE)</f>
        <v>Enschede</v>
      </c>
      <c r="F541" s="183"/>
      <c r="G541" s="99" t="s">
        <v>1714</v>
      </c>
      <c r="H541" s="99" t="s">
        <v>1715</v>
      </c>
      <c r="I541" s="183" t="s">
        <v>1651</v>
      </c>
      <c r="J541" s="99">
        <v>16</v>
      </c>
      <c r="K541" s="183" t="str">
        <f>VLOOKUP(Ruimtestaat[[#This Row],[Ruimte code]],Ruimtegroepen[[#All],[Code]:[Ruimte omschrijving]],2,FALSE)</f>
        <v>Leslokalen</v>
      </c>
      <c r="L541" s="149" t="s">
        <v>100</v>
      </c>
      <c r="M541" s="99" t="s">
        <v>1697</v>
      </c>
      <c r="N541" s="177">
        <v>59.2</v>
      </c>
      <c r="O541" s="177"/>
      <c r="P541" s="178" t="str">
        <f>VLOOKUP(Ruimtestaat[[#This Row],[Ruimte code]],Ruimtegroepen[],4,FALSE)</f>
        <v>Le</v>
      </c>
      <c r="Q541" s="149">
        <v>40</v>
      </c>
      <c r="R541" s="149" t="s">
        <v>2</v>
      </c>
      <c r="S541" s="149">
        <f>IF(Q541&gt;0,IF(RIGHT(Ruimtestaat[[#This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1" s="149">
        <f>IF(S541&gt;0,VLOOKUP($J541,Ruimtegroepen[],3,FALSE)*VLOOKUP($L541,Vloersoorten[],3,FALSE)*VLOOKUP($R541,Frequenties[],3,FALSE)*VLOOKUP($A541,Locaties[],3,FALSE),0)</f>
        <v>0</v>
      </c>
      <c r="U541" s="149">
        <f>Ruimtestaat[[#This Row],[Uitvoeringen werkdagen]]*Ruimtestaat[[#This Row],[Oppervlak (netto)]]</f>
        <v>11840</v>
      </c>
      <c r="V541" s="179">
        <f>IF(T541&gt;0,Ruimtestaat[[#This Row],[Prest. (m2 /jaar) werkdagen]]/Ruimtestaat[[#This Row],[Norm (m2/uur) werkdagen]],0)</f>
        <v>0</v>
      </c>
      <c r="W541" s="180">
        <f>Ruimtestaat[[#This Row],[uren / jaar werkdagen]]*Tariefsopbouw!$E$35</f>
        <v>0</v>
      </c>
      <c r="X541" s="149"/>
      <c r="Y541" s="149">
        <f>IF(Ruimtestaat[[#This Row],[Frequentie weekend]]&gt;0,VALUE(LEFT(X541,1))*Q541,0)</f>
        <v>0</v>
      </c>
      <c r="Z541" s="148">
        <f>IF($Y541&gt;0,VLOOKUP($J541,Ruimtegroepen[],3,FALSE)*VLOOKUP($L541,Vloersoorten[],3,FALSE)*VLOOKUP($X541,Frequenties[],3,FALSE)*VLOOKUP(Ruimtestaat[[#This Row],[Code]],Locaties[],3,FALSE),0)</f>
        <v>0</v>
      </c>
      <c r="AA541" s="148">
        <f>Ruimtestaat[[#This Row],[Uitvoeringen weekend]]*Ruimtestaat[[#This Row],[Oppervlak (netto)]]</f>
        <v>0</v>
      </c>
      <c r="AB541" s="148">
        <f>IF(Z541&gt;0,Ruimtestaat[[#This Row],[Prest. (m2 /jaar) weekend]]/Ruimtestaat[[#This Row],[Norm (m2/uur) weekend]],0)</f>
        <v>0</v>
      </c>
      <c r="AC541" s="180">
        <f>Ruimtestaat[[#This Row],[uren / jaar weekend]]*Tariefsopbouw!$D$40</f>
        <v>0</v>
      </c>
      <c r="AD541" s="179">
        <f>Ruimtestaat[[#This Row],[Prest. (m2 /jaar) weekend]]+Ruimtestaat[[#This Row],[Prest. (m2 /jaar) werkdagen]]</f>
        <v>11840</v>
      </c>
      <c r="AE541" s="179">
        <f>Ruimtestaat[[#This Row],[uren / jaar weekend]]+Ruimtestaat[[#This Row],[uren / jaar werkdagen]]</f>
        <v>0</v>
      </c>
      <c r="AF541" s="174">
        <f>Ruimtestaat[[#This Row],[kosten / jaar weekend]]+Ruimtestaat[[#This Row],[kosten / jaar werkdagen]]</f>
        <v>0</v>
      </c>
      <c r="AG541" s="174"/>
      <c r="AH541" s="181" t="str">
        <f>IF(Ruimtestaat[[#This Row],[Frequentie werkdagen]]="","",_xlfn.CONCAT(Ruimtestaat[[#This Row],[Ruimte code]],"-",Ruimtestaat[[#This Row],[Frequentie werkdagen]]," ",Ruimtestaat[[#This Row],[Vloer code]]))</f>
        <v>16-5w L</v>
      </c>
      <c r="AI541" s="185" t="str">
        <f>_xlfn.IFNA(VLOOKUP($AH541,Programma!$F$3:$G$1101,2,0),"")</f>
        <v>_</v>
      </c>
      <c r="AJ541" s="185" t="str">
        <f>_xlfn.IFNA(VLOOKUP($AH541,Programma!$F$3:$H$1101,3,0),"")</f>
        <v>_</v>
      </c>
      <c r="AK541" s="185" t="str">
        <f>_xlfn.IFNA(VLOOKUP($AH541,Programma!$F$3:$I$1101,4,0),"")</f>
        <v>4w</v>
      </c>
      <c r="AL541" s="185" t="str">
        <f>_xlfn.IFNA(VLOOKUP($AH541,Programma!$F$3:$J$1101,5,0),"")</f>
        <v>1w</v>
      </c>
      <c r="AM541" s="185" t="str">
        <f>_xlfn.IFNA(VLOOKUP($AH541,Programma!$F$3:$K$1101,6,0),"")</f>
        <v>_</v>
      </c>
      <c r="AN541" s="185" t="str">
        <f>_xlfn.IFNA(VLOOKUP($AH541,Programma!$F$3:$L$1101,7,0),"")</f>
        <v>_</v>
      </c>
      <c r="AO541" s="185" t="str">
        <f>_xlfn.IFNA(VLOOKUP($AH541,Programma!$F$3:$M$1101,8,0),"")</f>
        <v>_</v>
      </c>
      <c r="AP541" s="185" t="str">
        <f>_xlfn.IFNA(VLOOKUP($AH541,Programma!$F$3:$N$1101,9,0),"")</f>
        <v>_</v>
      </c>
      <c r="AQ541" s="185" t="str">
        <f>_xlfn.IFNA(VLOOKUP($AH541,Programma!$F$3:$O$1101,10,0),"")</f>
        <v>5w</v>
      </c>
      <c r="AR541" s="185" t="str">
        <f>_xlfn.IFNA(VLOOKUP($AH541,Programma!$F$3:$P$1101,11,0),"")</f>
        <v>5w</v>
      </c>
      <c r="AS541" s="185" t="str">
        <f>_xlfn.IFNA(VLOOKUP($AH541,Programma!$F$3:$Q$1101,12,0),"")</f>
        <v>1w</v>
      </c>
      <c r="AT541" s="185" t="str">
        <f>_xlfn.IFNA(VLOOKUP($AH541,Programma!$F$3:$R$1101,13,0),"")</f>
        <v>1w</v>
      </c>
      <c r="AU541" s="185" t="str">
        <f>_xlfn.IFNA(VLOOKUP($AH541,Programma!$F$3:$S$1101,14,0),"")</f>
        <v>1m</v>
      </c>
      <c r="AV541" s="185" t="str">
        <f>_xlfn.IFNA(VLOOKUP($AH541,Programma!$F$3:$T$1101,15,0),"")</f>
        <v>2j</v>
      </c>
      <c r="AW541" s="185" t="str">
        <f>_xlfn.IFNA(VLOOKUP($AH541,Programma!$F$3:$U$1101,16,0),"")</f>
        <v>1j</v>
      </c>
      <c r="AX541" s="185" t="str">
        <f>_xlfn.IFNA(VLOOKUP($AH541,Programma!$F$3:$V$1101,17,0),"")</f>
        <v>_</v>
      </c>
      <c r="AY541" s="185" t="str">
        <f>_xlfn.IFNA(VLOOKUP($AH541,Programma!$F$3:$W$1101,18,0),"")</f>
        <v>_</v>
      </c>
      <c r="AZ541" s="185" t="str">
        <f>_xlfn.IFNA(VLOOKUP($AH541,Programma!$F$3:$X$1101,19,0),"")</f>
        <v>_</v>
      </c>
      <c r="BA541" s="185" t="str">
        <f>_xlfn.IFNA(VLOOKUP($AH541,Programma!$F$3:$Y$1101,20,0),"")</f>
        <v>_</v>
      </c>
      <c r="BB541" s="182"/>
      <c r="BC541" s="181" t="str">
        <f>IF(Ruimtestaat[[#This Row],[Frequentie weekend]]="","",_xlfn.CONCAT(Ruimtestaat[[#This Row],[Ruimte code]],"-",Ruimtestaat[[#This Row],[Frequentie weekend]]," ",Ruimtestaat[[#This Row],[Vloer code]]))</f>
        <v/>
      </c>
      <c r="BD541" s="185" t="str">
        <f>_xlfn.IFNA(VLOOKUP($BC541,Programma!$F$3:$G$1101,2,0),"")</f>
        <v/>
      </c>
      <c r="BE541" s="185" t="str">
        <f>_xlfn.IFNA(VLOOKUP($BC541,Programma!$F$3:$H$1101,3,0),"")</f>
        <v/>
      </c>
      <c r="BF541" s="185" t="str">
        <f>_xlfn.IFNA(VLOOKUP($BC541,Programma!$F$3:$I$1101,4,0),"")</f>
        <v/>
      </c>
      <c r="BG541" s="185" t="str">
        <f>_xlfn.IFNA(VLOOKUP($BC541,Programma!$F$3:$J$1101,5,0),"")</f>
        <v/>
      </c>
      <c r="BH541" s="185" t="str">
        <f>_xlfn.IFNA(VLOOKUP($BC541,Programma!$F$3:$K$1101,6,0),"")</f>
        <v/>
      </c>
      <c r="BI541" s="185" t="str">
        <f>_xlfn.IFNA(VLOOKUP($BC541,Programma!$F$3:$L$1101,7,0),"")</f>
        <v/>
      </c>
      <c r="BJ541" s="185" t="str">
        <f>_xlfn.IFNA(VLOOKUP($BC541,Programma!$F$3:$M$1101,8,0),"")</f>
        <v/>
      </c>
      <c r="BK541" s="185" t="str">
        <f>_xlfn.IFNA(VLOOKUP($BC541,Programma!$F$3:$N$1101,9,0),"")</f>
        <v/>
      </c>
      <c r="BL541" s="185" t="str">
        <f>_xlfn.IFNA(VLOOKUP($BC541,Programma!$F$3:$O$1101,10,0),"")</f>
        <v/>
      </c>
      <c r="BM541" s="185" t="str">
        <f>_xlfn.IFNA(VLOOKUP($BC541,Programma!$F$3:$P$1101,11,0),"")</f>
        <v/>
      </c>
      <c r="BN541" s="185" t="str">
        <f>_xlfn.IFNA(VLOOKUP($BC541,Programma!$F$3:$Q$1101,12,0),"")</f>
        <v/>
      </c>
      <c r="BO541" s="185" t="str">
        <f>_xlfn.IFNA(VLOOKUP($BC541,Programma!$F$3:$R$1101,13,0),"")</f>
        <v/>
      </c>
      <c r="BP541" s="185" t="str">
        <f>_xlfn.IFNA(VLOOKUP($BC541,Programma!$F$3:$S$1101,14,0),"")</f>
        <v/>
      </c>
      <c r="BQ541" s="185" t="str">
        <f>_xlfn.IFNA(VLOOKUP($BC541,Programma!$F$3:$T$1101,15,0),"")</f>
        <v/>
      </c>
      <c r="BR541" s="185" t="str">
        <f>_xlfn.IFNA(VLOOKUP($BC541,Programma!$F$3:$U$1101,16,0),"")</f>
        <v/>
      </c>
      <c r="BS541" s="185" t="str">
        <f>_xlfn.IFNA(VLOOKUP($BC541,Programma!$F$3:$V$1101,17,0),"")</f>
        <v/>
      </c>
      <c r="BT541" s="185" t="str">
        <f>_xlfn.IFNA(VLOOKUP($BC541,Programma!$F$3:$W$1101,18,0),"")</f>
        <v/>
      </c>
      <c r="BU541" s="185" t="str">
        <f>_xlfn.IFNA(VLOOKUP($BC541,Programma!$F$3:$X$1101,19,0),"")</f>
        <v/>
      </c>
      <c r="BV541" s="185" t="str">
        <f>_xlfn.IFNA(VLOOKUP($BC541,Programma!$F$3:$Y$1101,20,0),"")</f>
        <v/>
      </c>
    </row>
    <row r="542" spans="1:74" s="78" customFormat="1" ht="15" customHeight="1">
      <c r="A542" s="99">
        <v>15</v>
      </c>
      <c r="B542" s="176" t="str">
        <f>VLOOKUP(Ruimtestaat[[#This Row],[Code]],Locaties[[Code]:[Locatie]],2,FALSE)</f>
        <v>Prinseschool Staringstraat</v>
      </c>
      <c r="C542" s="176" t="str">
        <f>VLOOKUP(Ruimtestaat[[#This Row],[Code]],Locaties[[#All],[Code]:[Adres]],4,FALSE)</f>
        <v>Staringstraat 15 </v>
      </c>
      <c r="D542" s="176" t="str">
        <f>VLOOKUP(Ruimtestaat[[#This Row],[Code]],Locaties[[#All],[Code]:[Postcode]],5,FALSE)</f>
        <v>7514 DE</v>
      </c>
      <c r="E542" s="176" t="str">
        <f>VLOOKUP(Ruimtestaat[[#This Row],[Code]],Locaties[#All],6,FALSE)</f>
        <v>Enschede</v>
      </c>
      <c r="F542" s="183"/>
      <c r="G542" s="99" t="s">
        <v>1714</v>
      </c>
      <c r="H542" s="99" t="s">
        <v>1716</v>
      </c>
      <c r="I542" s="183" t="s">
        <v>1649</v>
      </c>
      <c r="J542" s="99">
        <v>2</v>
      </c>
      <c r="K542" s="183" t="str">
        <f>VLOOKUP(Ruimtestaat[[#This Row],[Ruimte code]],Ruimtegroepen[[#All],[Code]:[Ruimte omschrijving]],2,FALSE)</f>
        <v>Kantoren</v>
      </c>
      <c r="L542" s="149" t="s">
        <v>100</v>
      </c>
      <c r="M542" s="99" t="s">
        <v>1697</v>
      </c>
      <c r="N542" s="177">
        <v>10.199999999999999</v>
      </c>
      <c r="O542" s="177"/>
      <c r="P542" s="178" t="str">
        <f>VLOOKUP(Ruimtestaat[[#This Row],[Ruimte code]],Ruimtegroepen[],4,FALSE)</f>
        <v>Bu</v>
      </c>
      <c r="Q542" s="149">
        <v>40</v>
      </c>
      <c r="R542" s="149" t="s">
        <v>18</v>
      </c>
      <c r="S542" s="149">
        <f>IF(Q542&gt;0,IF(RIGHT(Ruimtestaat[[#This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42" s="149">
        <f>IF(S542&gt;0,VLOOKUP($J542,Ruimtegroepen[],3,FALSE)*VLOOKUP($L542,Vloersoorten[],3,FALSE)*VLOOKUP($R542,Frequenties[],3,FALSE)*VLOOKUP($A542,Locaties[],3,FALSE),0)</f>
        <v>0</v>
      </c>
      <c r="U542" s="149">
        <f>Ruimtestaat[[#This Row],[Uitvoeringen werkdagen]]*Ruimtestaat[[#This Row],[Oppervlak (netto)]]</f>
        <v>1224</v>
      </c>
      <c r="V542" s="179">
        <f>IF(T542&gt;0,Ruimtestaat[[#This Row],[Prest. (m2 /jaar) werkdagen]]/Ruimtestaat[[#This Row],[Norm (m2/uur) werkdagen]],0)</f>
        <v>0</v>
      </c>
      <c r="W542" s="180">
        <f>Ruimtestaat[[#This Row],[uren / jaar werkdagen]]*Tariefsopbouw!$E$35</f>
        <v>0</v>
      </c>
      <c r="X542" s="149"/>
      <c r="Y542" s="149">
        <f>IF(Ruimtestaat[[#This Row],[Frequentie weekend]]&gt;0,VALUE(LEFT(X542,1))*Q542,0)</f>
        <v>0</v>
      </c>
      <c r="Z542" s="148">
        <f>IF($Y542&gt;0,VLOOKUP($J542,Ruimtegroepen[],3,FALSE)*VLOOKUP($L542,Vloersoorten[],3,FALSE)*VLOOKUP($X542,Frequenties[],3,FALSE)*VLOOKUP(Ruimtestaat[[#This Row],[Code]],Locaties[],3,FALSE),0)</f>
        <v>0</v>
      </c>
      <c r="AA542" s="148">
        <f>Ruimtestaat[[#This Row],[Uitvoeringen weekend]]*Ruimtestaat[[#This Row],[Oppervlak (netto)]]</f>
        <v>0</v>
      </c>
      <c r="AB542" s="148">
        <f>IF(Z542&gt;0,Ruimtestaat[[#This Row],[Prest. (m2 /jaar) weekend]]/Ruimtestaat[[#This Row],[Norm (m2/uur) weekend]],0)</f>
        <v>0</v>
      </c>
      <c r="AC542" s="180">
        <f>Ruimtestaat[[#This Row],[uren / jaar weekend]]*Tariefsopbouw!$D$40</f>
        <v>0</v>
      </c>
      <c r="AD542" s="179">
        <f>Ruimtestaat[[#This Row],[Prest. (m2 /jaar) weekend]]+Ruimtestaat[[#This Row],[Prest. (m2 /jaar) werkdagen]]</f>
        <v>1224</v>
      </c>
      <c r="AE542" s="179">
        <f>Ruimtestaat[[#This Row],[uren / jaar weekend]]+Ruimtestaat[[#This Row],[uren / jaar werkdagen]]</f>
        <v>0</v>
      </c>
      <c r="AF542" s="174">
        <f>Ruimtestaat[[#This Row],[kosten / jaar weekend]]+Ruimtestaat[[#This Row],[kosten / jaar werkdagen]]</f>
        <v>0</v>
      </c>
      <c r="AG542" s="174"/>
      <c r="AH542" s="181" t="str">
        <f>IF(Ruimtestaat[[#This Row],[Frequentie werkdagen]]="","",_xlfn.CONCAT(Ruimtestaat[[#This Row],[Ruimte code]],"-",Ruimtestaat[[#This Row],[Frequentie werkdagen]]," ",Ruimtestaat[[#This Row],[Vloer code]]))</f>
        <v>2-3w L</v>
      </c>
      <c r="AI542" s="185" t="str">
        <f>_xlfn.IFNA(VLOOKUP($AH542,Programma!$F$3:$G$1101,2,0),"")</f>
        <v>_</v>
      </c>
      <c r="AJ542" s="185" t="str">
        <f>_xlfn.IFNA(VLOOKUP($AH542,Programma!$F$3:$H$1101,3,0),"")</f>
        <v>_</v>
      </c>
      <c r="AK542" s="185" t="str">
        <f>_xlfn.IFNA(VLOOKUP($AH542,Programma!$F$3:$I$1101,4,0),"")</f>
        <v>2w</v>
      </c>
      <c r="AL542" s="185" t="str">
        <f>_xlfn.IFNA(VLOOKUP($AH542,Programma!$F$3:$J$1101,5,0),"")</f>
        <v>1w</v>
      </c>
      <c r="AM542" s="185" t="str">
        <f>_xlfn.IFNA(VLOOKUP($AH542,Programma!$F$3:$K$1101,6,0),"")</f>
        <v>_</v>
      </c>
      <c r="AN542" s="185" t="str">
        <f>_xlfn.IFNA(VLOOKUP($AH542,Programma!$F$3:$L$1101,7,0),"")</f>
        <v>_</v>
      </c>
      <c r="AO542" s="185" t="str">
        <f>_xlfn.IFNA(VLOOKUP($AH542,Programma!$F$3:$M$1101,8,0),"")</f>
        <v>_</v>
      </c>
      <c r="AP542" s="185" t="str">
        <f>_xlfn.IFNA(VLOOKUP($AH542,Programma!$F$3:$N$1101,9,0),"")</f>
        <v>_</v>
      </c>
      <c r="AQ542" s="185" t="str">
        <f>_xlfn.IFNA(VLOOKUP($AH542,Programma!$F$3:$O$1101,10,0),"")</f>
        <v>3w</v>
      </c>
      <c r="AR542" s="185" t="str">
        <f>_xlfn.IFNA(VLOOKUP($AH542,Programma!$F$3:$P$1101,11,0),"")</f>
        <v>3w</v>
      </c>
      <c r="AS542" s="185" t="str">
        <f>_xlfn.IFNA(VLOOKUP($AH542,Programma!$F$3:$Q$1101,12,0),"")</f>
        <v>1w</v>
      </c>
      <c r="AT542" s="185" t="str">
        <f>_xlfn.IFNA(VLOOKUP($AH542,Programma!$F$3:$R$1101,13,0),"")</f>
        <v>1w</v>
      </c>
      <c r="AU542" s="185" t="str">
        <f>_xlfn.IFNA(VLOOKUP($AH542,Programma!$F$3:$S$1101,14,0),"")</f>
        <v>1m</v>
      </c>
      <c r="AV542" s="185" t="str">
        <f>_xlfn.IFNA(VLOOKUP($AH542,Programma!$F$3:$T$1101,15,0),"")</f>
        <v>2j</v>
      </c>
      <c r="AW542" s="185" t="str">
        <f>_xlfn.IFNA(VLOOKUP($AH542,Programma!$F$3:$U$1101,16,0),"")</f>
        <v>1j</v>
      </c>
      <c r="AX542" s="185" t="str">
        <f>_xlfn.IFNA(VLOOKUP($AH542,Programma!$F$3:$V$1101,17,0),"")</f>
        <v>_</v>
      </c>
      <c r="AY542" s="185" t="str">
        <f>_xlfn.IFNA(VLOOKUP($AH542,Programma!$F$3:$W$1101,18,0),"")</f>
        <v>_</v>
      </c>
      <c r="AZ542" s="185" t="str">
        <f>_xlfn.IFNA(VLOOKUP($AH542,Programma!$F$3:$X$1101,19,0),"")</f>
        <v>_</v>
      </c>
      <c r="BA542" s="185" t="str">
        <f>_xlfn.IFNA(VLOOKUP($AH542,Programma!$F$3:$Y$1101,20,0),"")</f>
        <v>_</v>
      </c>
      <c r="BB542" s="182"/>
      <c r="BC542" s="181" t="str">
        <f>IF(Ruimtestaat[[#This Row],[Frequentie weekend]]="","",_xlfn.CONCAT(Ruimtestaat[[#This Row],[Ruimte code]],"-",Ruimtestaat[[#This Row],[Frequentie weekend]]," ",Ruimtestaat[[#This Row],[Vloer code]]))</f>
        <v/>
      </c>
      <c r="BD542" s="185" t="str">
        <f>_xlfn.IFNA(VLOOKUP($BC542,Programma!$F$3:$G$1101,2,0),"")</f>
        <v/>
      </c>
      <c r="BE542" s="185" t="str">
        <f>_xlfn.IFNA(VLOOKUP($BC542,Programma!$F$3:$H$1101,3,0),"")</f>
        <v/>
      </c>
      <c r="BF542" s="185" t="str">
        <f>_xlfn.IFNA(VLOOKUP($BC542,Programma!$F$3:$I$1101,4,0),"")</f>
        <v/>
      </c>
      <c r="BG542" s="185" t="str">
        <f>_xlfn.IFNA(VLOOKUP($BC542,Programma!$F$3:$J$1101,5,0),"")</f>
        <v/>
      </c>
      <c r="BH542" s="185" t="str">
        <f>_xlfn.IFNA(VLOOKUP($BC542,Programma!$F$3:$K$1101,6,0),"")</f>
        <v/>
      </c>
      <c r="BI542" s="185" t="str">
        <f>_xlfn.IFNA(VLOOKUP($BC542,Programma!$F$3:$L$1101,7,0),"")</f>
        <v/>
      </c>
      <c r="BJ542" s="185" t="str">
        <f>_xlfn.IFNA(VLOOKUP($BC542,Programma!$F$3:$M$1101,8,0),"")</f>
        <v/>
      </c>
      <c r="BK542" s="185" t="str">
        <f>_xlfn.IFNA(VLOOKUP($BC542,Programma!$F$3:$N$1101,9,0),"")</f>
        <v/>
      </c>
      <c r="BL542" s="185" t="str">
        <f>_xlfn.IFNA(VLOOKUP($BC542,Programma!$F$3:$O$1101,10,0),"")</f>
        <v/>
      </c>
      <c r="BM542" s="185" t="str">
        <f>_xlfn.IFNA(VLOOKUP($BC542,Programma!$F$3:$P$1101,11,0),"")</f>
        <v/>
      </c>
      <c r="BN542" s="185" t="str">
        <f>_xlfn.IFNA(VLOOKUP($BC542,Programma!$F$3:$Q$1101,12,0),"")</f>
        <v/>
      </c>
      <c r="BO542" s="185" t="str">
        <f>_xlfn.IFNA(VLOOKUP($BC542,Programma!$F$3:$R$1101,13,0),"")</f>
        <v/>
      </c>
      <c r="BP542" s="185" t="str">
        <f>_xlfn.IFNA(VLOOKUP($BC542,Programma!$F$3:$S$1101,14,0),"")</f>
        <v/>
      </c>
      <c r="BQ542" s="185" t="str">
        <f>_xlfn.IFNA(VLOOKUP($BC542,Programma!$F$3:$T$1101,15,0),"")</f>
        <v/>
      </c>
      <c r="BR542" s="185" t="str">
        <f>_xlfn.IFNA(VLOOKUP($BC542,Programma!$F$3:$U$1101,16,0),"")</f>
        <v/>
      </c>
      <c r="BS542" s="185" t="str">
        <f>_xlfn.IFNA(VLOOKUP($BC542,Programma!$F$3:$V$1101,17,0),"")</f>
        <v/>
      </c>
      <c r="BT542" s="185" t="str">
        <f>_xlfn.IFNA(VLOOKUP($BC542,Programma!$F$3:$W$1101,18,0),"")</f>
        <v/>
      </c>
      <c r="BU542" s="185" t="str">
        <f>_xlfn.IFNA(VLOOKUP($BC542,Programma!$F$3:$X$1101,19,0),"")</f>
        <v/>
      </c>
      <c r="BV542" s="185" t="str">
        <f>_xlfn.IFNA(VLOOKUP($BC542,Programma!$F$3:$Y$1101,20,0),"")</f>
        <v/>
      </c>
    </row>
    <row r="543" spans="1:74" s="78" customFormat="1" ht="15" customHeight="1">
      <c r="A543" s="99">
        <v>15</v>
      </c>
      <c r="B543" s="176" t="str">
        <f>VLOOKUP(Ruimtestaat[[#This Row],[Code]],Locaties[[Code]:[Locatie]],2,FALSE)</f>
        <v>Prinseschool Staringstraat</v>
      </c>
      <c r="C543" s="176" t="str">
        <f>VLOOKUP(Ruimtestaat[[#This Row],[Code]],Locaties[[#All],[Code]:[Adres]],4,FALSE)</f>
        <v>Staringstraat 15 </v>
      </c>
      <c r="D543" s="176" t="str">
        <f>VLOOKUP(Ruimtestaat[[#This Row],[Code]],Locaties[[#All],[Code]:[Postcode]],5,FALSE)</f>
        <v>7514 DE</v>
      </c>
      <c r="E543" s="176" t="str">
        <f>VLOOKUP(Ruimtestaat[[#This Row],[Code]],Locaties[#All],6,FALSE)</f>
        <v>Enschede</v>
      </c>
      <c r="F543" s="183"/>
      <c r="G543" s="99" t="s">
        <v>1714</v>
      </c>
      <c r="H543" s="99" t="s">
        <v>1717</v>
      </c>
      <c r="I543" s="183" t="s">
        <v>1651</v>
      </c>
      <c r="J543" s="99">
        <v>16</v>
      </c>
      <c r="K543" s="183" t="str">
        <f>VLOOKUP(Ruimtestaat[[#This Row],[Ruimte code]],Ruimtegroepen[[#All],[Code]:[Ruimte omschrijving]],2,FALSE)</f>
        <v>Leslokalen</v>
      </c>
      <c r="L543" s="149" t="s">
        <v>100</v>
      </c>
      <c r="M543" s="99" t="s">
        <v>1697</v>
      </c>
      <c r="N543" s="177">
        <v>56.3</v>
      </c>
      <c r="O543" s="177"/>
      <c r="P543" s="178" t="str">
        <f>VLOOKUP(Ruimtestaat[[#This Row],[Ruimte code]],Ruimtegroepen[],4,FALSE)</f>
        <v>Le</v>
      </c>
      <c r="Q543" s="149">
        <v>40</v>
      </c>
      <c r="R543" s="149" t="s">
        <v>2</v>
      </c>
      <c r="S543" s="149">
        <f>IF(Q543&gt;0,IF(RIGHT(Ruimtestaat[[#This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3" s="149">
        <f>IF(S543&gt;0,VLOOKUP($J543,Ruimtegroepen[],3,FALSE)*VLOOKUP($L543,Vloersoorten[],3,FALSE)*VLOOKUP($R543,Frequenties[],3,FALSE)*VLOOKUP($A543,Locaties[],3,FALSE),0)</f>
        <v>0</v>
      </c>
      <c r="U543" s="149">
        <f>Ruimtestaat[[#This Row],[Uitvoeringen werkdagen]]*Ruimtestaat[[#This Row],[Oppervlak (netto)]]</f>
        <v>11260</v>
      </c>
      <c r="V543" s="179">
        <f>IF(T543&gt;0,Ruimtestaat[[#This Row],[Prest. (m2 /jaar) werkdagen]]/Ruimtestaat[[#This Row],[Norm (m2/uur) werkdagen]],0)</f>
        <v>0</v>
      </c>
      <c r="W543" s="180">
        <f>Ruimtestaat[[#This Row],[uren / jaar werkdagen]]*Tariefsopbouw!$E$35</f>
        <v>0</v>
      </c>
      <c r="X543" s="149"/>
      <c r="Y543" s="149">
        <f>IF(Ruimtestaat[[#This Row],[Frequentie weekend]]&gt;0,VALUE(LEFT(X543,1))*Q543,0)</f>
        <v>0</v>
      </c>
      <c r="Z543" s="148">
        <f>IF($Y543&gt;0,VLOOKUP($J543,Ruimtegroepen[],3,FALSE)*VLOOKUP($L543,Vloersoorten[],3,FALSE)*VLOOKUP($X543,Frequenties[],3,FALSE)*VLOOKUP(Ruimtestaat[[#This Row],[Code]],Locaties[],3,FALSE),0)</f>
        <v>0</v>
      </c>
      <c r="AA543" s="148">
        <f>Ruimtestaat[[#This Row],[Uitvoeringen weekend]]*Ruimtestaat[[#This Row],[Oppervlak (netto)]]</f>
        <v>0</v>
      </c>
      <c r="AB543" s="148">
        <f>IF(Z543&gt;0,Ruimtestaat[[#This Row],[Prest. (m2 /jaar) weekend]]/Ruimtestaat[[#This Row],[Norm (m2/uur) weekend]],0)</f>
        <v>0</v>
      </c>
      <c r="AC543" s="180">
        <f>Ruimtestaat[[#This Row],[uren / jaar weekend]]*Tariefsopbouw!$D$40</f>
        <v>0</v>
      </c>
      <c r="AD543" s="179">
        <f>Ruimtestaat[[#This Row],[Prest. (m2 /jaar) weekend]]+Ruimtestaat[[#This Row],[Prest. (m2 /jaar) werkdagen]]</f>
        <v>11260</v>
      </c>
      <c r="AE543" s="179">
        <f>Ruimtestaat[[#This Row],[uren / jaar weekend]]+Ruimtestaat[[#This Row],[uren / jaar werkdagen]]</f>
        <v>0</v>
      </c>
      <c r="AF543" s="174">
        <f>Ruimtestaat[[#This Row],[kosten / jaar weekend]]+Ruimtestaat[[#This Row],[kosten / jaar werkdagen]]</f>
        <v>0</v>
      </c>
      <c r="AG543" s="174"/>
      <c r="AH543" s="181" t="str">
        <f>IF(Ruimtestaat[[#This Row],[Frequentie werkdagen]]="","",_xlfn.CONCAT(Ruimtestaat[[#This Row],[Ruimte code]],"-",Ruimtestaat[[#This Row],[Frequentie werkdagen]]," ",Ruimtestaat[[#This Row],[Vloer code]]))</f>
        <v>16-5w L</v>
      </c>
      <c r="AI543" s="185" t="str">
        <f>_xlfn.IFNA(VLOOKUP($AH543,Programma!$F$3:$G$1101,2,0),"")</f>
        <v>_</v>
      </c>
      <c r="AJ543" s="185" t="str">
        <f>_xlfn.IFNA(VLOOKUP($AH543,Programma!$F$3:$H$1101,3,0),"")</f>
        <v>_</v>
      </c>
      <c r="AK543" s="185" t="str">
        <f>_xlfn.IFNA(VLOOKUP($AH543,Programma!$F$3:$I$1101,4,0),"")</f>
        <v>4w</v>
      </c>
      <c r="AL543" s="185" t="str">
        <f>_xlfn.IFNA(VLOOKUP($AH543,Programma!$F$3:$J$1101,5,0),"")</f>
        <v>1w</v>
      </c>
      <c r="AM543" s="185" t="str">
        <f>_xlfn.IFNA(VLOOKUP($AH543,Programma!$F$3:$K$1101,6,0),"")</f>
        <v>_</v>
      </c>
      <c r="AN543" s="185" t="str">
        <f>_xlfn.IFNA(VLOOKUP($AH543,Programma!$F$3:$L$1101,7,0),"")</f>
        <v>_</v>
      </c>
      <c r="AO543" s="185" t="str">
        <f>_xlfn.IFNA(VLOOKUP($AH543,Programma!$F$3:$M$1101,8,0),"")</f>
        <v>_</v>
      </c>
      <c r="AP543" s="185" t="str">
        <f>_xlfn.IFNA(VLOOKUP($AH543,Programma!$F$3:$N$1101,9,0),"")</f>
        <v>_</v>
      </c>
      <c r="AQ543" s="185" t="str">
        <f>_xlfn.IFNA(VLOOKUP($AH543,Programma!$F$3:$O$1101,10,0),"")</f>
        <v>5w</v>
      </c>
      <c r="AR543" s="185" t="str">
        <f>_xlfn.IFNA(VLOOKUP($AH543,Programma!$F$3:$P$1101,11,0),"")</f>
        <v>5w</v>
      </c>
      <c r="AS543" s="185" t="str">
        <f>_xlfn.IFNA(VLOOKUP($AH543,Programma!$F$3:$Q$1101,12,0),"")</f>
        <v>1w</v>
      </c>
      <c r="AT543" s="185" t="str">
        <f>_xlfn.IFNA(VLOOKUP($AH543,Programma!$F$3:$R$1101,13,0),"")</f>
        <v>1w</v>
      </c>
      <c r="AU543" s="185" t="str">
        <f>_xlfn.IFNA(VLOOKUP($AH543,Programma!$F$3:$S$1101,14,0),"")</f>
        <v>1m</v>
      </c>
      <c r="AV543" s="185" t="str">
        <f>_xlfn.IFNA(VLOOKUP($AH543,Programma!$F$3:$T$1101,15,0),"")</f>
        <v>2j</v>
      </c>
      <c r="AW543" s="185" t="str">
        <f>_xlfn.IFNA(VLOOKUP($AH543,Programma!$F$3:$U$1101,16,0),"")</f>
        <v>1j</v>
      </c>
      <c r="AX543" s="185" t="str">
        <f>_xlfn.IFNA(VLOOKUP($AH543,Programma!$F$3:$V$1101,17,0),"")</f>
        <v>_</v>
      </c>
      <c r="AY543" s="185" t="str">
        <f>_xlfn.IFNA(VLOOKUP($AH543,Programma!$F$3:$W$1101,18,0),"")</f>
        <v>_</v>
      </c>
      <c r="AZ543" s="185" t="str">
        <f>_xlfn.IFNA(VLOOKUP($AH543,Programma!$F$3:$X$1101,19,0),"")</f>
        <v>_</v>
      </c>
      <c r="BA543" s="185" t="str">
        <f>_xlfn.IFNA(VLOOKUP($AH543,Programma!$F$3:$Y$1101,20,0),"")</f>
        <v>_</v>
      </c>
      <c r="BB543" s="182"/>
      <c r="BC543" s="181" t="str">
        <f>IF(Ruimtestaat[[#This Row],[Frequentie weekend]]="","",_xlfn.CONCAT(Ruimtestaat[[#This Row],[Ruimte code]],"-",Ruimtestaat[[#This Row],[Frequentie weekend]]," ",Ruimtestaat[[#This Row],[Vloer code]]))</f>
        <v/>
      </c>
      <c r="BD543" s="185" t="str">
        <f>_xlfn.IFNA(VLOOKUP($BC543,Programma!$F$3:$G$1101,2,0),"")</f>
        <v/>
      </c>
      <c r="BE543" s="185" t="str">
        <f>_xlfn.IFNA(VLOOKUP($BC543,Programma!$F$3:$H$1101,3,0),"")</f>
        <v/>
      </c>
      <c r="BF543" s="185" t="str">
        <f>_xlfn.IFNA(VLOOKUP($BC543,Programma!$F$3:$I$1101,4,0),"")</f>
        <v/>
      </c>
      <c r="BG543" s="185" t="str">
        <f>_xlfn.IFNA(VLOOKUP($BC543,Programma!$F$3:$J$1101,5,0),"")</f>
        <v/>
      </c>
      <c r="BH543" s="185" t="str">
        <f>_xlfn.IFNA(VLOOKUP($BC543,Programma!$F$3:$K$1101,6,0),"")</f>
        <v/>
      </c>
      <c r="BI543" s="185" t="str">
        <f>_xlfn.IFNA(VLOOKUP($BC543,Programma!$F$3:$L$1101,7,0),"")</f>
        <v/>
      </c>
      <c r="BJ543" s="185" t="str">
        <f>_xlfn.IFNA(VLOOKUP($BC543,Programma!$F$3:$M$1101,8,0),"")</f>
        <v/>
      </c>
      <c r="BK543" s="185" t="str">
        <f>_xlfn.IFNA(VLOOKUP($BC543,Programma!$F$3:$N$1101,9,0),"")</f>
        <v/>
      </c>
      <c r="BL543" s="185" t="str">
        <f>_xlfn.IFNA(VLOOKUP($BC543,Programma!$F$3:$O$1101,10,0),"")</f>
        <v/>
      </c>
      <c r="BM543" s="185" t="str">
        <f>_xlfn.IFNA(VLOOKUP($BC543,Programma!$F$3:$P$1101,11,0),"")</f>
        <v/>
      </c>
      <c r="BN543" s="185" t="str">
        <f>_xlfn.IFNA(VLOOKUP($BC543,Programma!$F$3:$Q$1101,12,0),"")</f>
        <v/>
      </c>
      <c r="BO543" s="185" t="str">
        <f>_xlfn.IFNA(VLOOKUP($BC543,Programma!$F$3:$R$1101,13,0),"")</f>
        <v/>
      </c>
      <c r="BP543" s="185" t="str">
        <f>_xlfn.IFNA(VLOOKUP($BC543,Programma!$F$3:$S$1101,14,0),"")</f>
        <v/>
      </c>
      <c r="BQ543" s="185" t="str">
        <f>_xlfn.IFNA(VLOOKUP($BC543,Programma!$F$3:$T$1101,15,0),"")</f>
        <v/>
      </c>
      <c r="BR543" s="185" t="str">
        <f>_xlfn.IFNA(VLOOKUP($BC543,Programma!$F$3:$U$1101,16,0),"")</f>
        <v/>
      </c>
      <c r="BS543" s="185" t="str">
        <f>_xlfn.IFNA(VLOOKUP($BC543,Programma!$F$3:$V$1101,17,0),"")</f>
        <v/>
      </c>
      <c r="BT543" s="185" t="str">
        <f>_xlfn.IFNA(VLOOKUP($BC543,Programma!$F$3:$W$1101,18,0),"")</f>
        <v/>
      </c>
      <c r="BU543" s="185" t="str">
        <f>_xlfn.IFNA(VLOOKUP($BC543,Programma!$F$3:$X$1101,19,0),"")</f>
        <v/>
      </c>
      <c r="BV543" s="185" t="str">
        <f>_xlfn.IFNA(VLOOKUP($BC543,Programma!$F$3:$Y$1101,20,0),"")</f>
        <v/>
      </c>
    </row>
    <row r="544" spans="1:74" s="78" customFormat="1" ht="15" customHeight="1">
      <c r="A544" s="99">
        <v>15</v>
      </c>
      <c r="B544" s="176" t="str">
        <f>VLOOKUP(Ruimtestaat[[#This Row],[Code]],Locaties[[Code]:[Locatie]],2,FALSE)</f>
        <v>Prinseschool Staringstraat</v>
      </c>
      <c r="C544" s="176" t="str">
        <f>VLOOKUP(Ruimtestaat[[#This Row],[Code]],Locaties[[#All],[Code]:[Adres]],4,FALSE)</f>
        <v>Staringstraat 15 </v>
      </c>
      <c r="D544" s="176" t="str">
        <f>VLOOKUP(Ruimtestaat[[#This Row],[Code]],Locaties[[#All],[Code]:[Postcode]],5,FALSE)</f>
        <v>7514 DE</v>
      </c>
      <c r="E544" s="176" t="str">
        <f>VLOOKUP(Ruimtestaat[[#This Row],[Code]],Locaties[#All],6,FALSE)</f>
        <v>Enschede</v>
      </c>
      <c r="F544" s="183"/>
      <c r="G544" s="99" t="s">
        <v>1714</v>
      </c>
      <c r="H544" s="99" t="s">
        <v>1718</v>
      </c>
      <c r="I544" s="183" t="s">
        <v>1649</v>
      </c>
      <c r="J544" s="99">
        <v>2</v>
      </c>
      <c r="K544" s="183" t="str">
        <f>VLOOKUP(Ruimtestaat[[#This Row],[Ruimte code]],Ruimtegroepen[[#All],[Code]:[Ruimte omschrijving]],2,FALSE)</f>
        <v>Kantoren</v>
      </c>
      <c r="L544" s="149" t="s">
        <v>101</v>
      </c>
      <c r="M544" s="99" t="s">
        <v>1698</v>
      </c>
      <c r="N544" s="177">
        <v>17.5</v>
      </c>
      <c r="O544" s="177"/>
      <c r="P544" s="178" t="str">
        <f>VLOOKUP(Ruimtestaat[[#This Row],[Ruimte code]],Ruimtegroepen[],4,FALSE)</f>
        <v>Bu</v>
      </c>
      <c r="Q544" s="149">
        <v>40</v>
      </c>
      <c r="R544" s="149" t="s">
        <v>18</v>
      </c>
      <c r="S544" s="149">
        <f>IF(Q544&gt;0,IF(RIGHT(Ruimtestaat[[#This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44" s="149">
        <f>IF(S544&gt;0,VLOOKUP($J544,Ruimtegroepen[],3,FALSE)*VLOOKUP($L544,Vloersoorten[],3,FALSE)*VLOOKUP($R544,Frequenties[],3,FALSE)*VLOOKUP($A544,Locaties[],3,FALSE),0)</f>
        <v>0</v>
      </c>
      <c r="U544" s="149">
        <f>Ruimtestaat[[#This Row],[Uitvoeringen werkdagen]]*Ruimtestaat[[#This Row],[Oppervlak (netto)]]</f>
        <v>2100</v>
      </c>
      <c r="V544" s="179">
        <f>IF(T544&gt;0,Ruimtestaat[[#This Row],[Prest. (m2 /jaar) werkdagen]]/Ruimtestaat[[#This Row],[Norm (m2/uur) werkdagen]],0)</f>
        <v>0</v>
      </c>
      <c r="W544" s="180">
        <f>Ruimtestaat[[#This Row],[uren / jaar werkdagen]]*Tariefsopbouw!$E$35</f>
        <v>0</v>
      </c>
      <c r="X544" s="149"/>
      <c r="Y544" s="149">
        <f>IF(Ruimtestaat[[#This Row],[Frequentie weekend]]&gt;0,VALUE(LEFT(X544,1))*Q544,0)</f>
        <v>0</v>
      </c>
      <c r="Z544" s="148">
        <f>IF($Y544&gt;0,VLOOKUP($J544,Ruimtegroepen[],3,FALSE)*VLOOKUP($L544,Vloersoorten[],3,FALSE)*VLOOKUP($X544,Frequenties[],3,FALSE)*VLOOKUP(Ruimtestaat[[#This Row],[Code]],Locaties[],3,FALSE),0)</f>
        <v>0</v>
      </c>
      <c r="AA544" s="148">
        <f>Ruimtestaat[[#This Row],[Uitvoeringen weekend]]*Ruimtestaat[[#This Row],[Oppervlak (netto)]]</f>
        <v>0</v>
      </c>
      <c r="AB544" s="148">
        <f>IF(Z544&gt;0,Ruimtestaat[[#This Row],[Prest. (m2 /jaar) weekend]]/Ruimtestaat[[#This Row],[Norm (m2/uur) weekend]],0)</f>
        <v>0</v>
      </c>
      <c r="AC544" s="180">
        <f>Ruimtestaat[[#This Row],[uren / jaar weekend]]*Tariefsopbouw!$D$40</f>
        <v>0</v>
      </c>
      <c r="AD544" s="179">
        <f>Ruimtestaat[[#This Row],[Prest. (m2 /jaar) weekend]]+Ruimtestaat[[#This Row],[Prest. (m2 /jaar) werkdagen]]</f>
        <v>2100</v>
      </c>
      <c r="AE544" s="179">
        <f>Ruimtestaat[[#This Row],[uren / jaar weekend]]+Ruimtestaat[[#This Row],[uren / jaar werkdagen]]</f>
        <v>0</v>
      </c>
      <c r="AF544" s="174">
        <f>Ruimtestaat[[#This Row],[kosten / jaar weekend]]+Ruimtestaat[[#This Row],[kosten / jaar werkdagen]]</f>
        <v>0</v>
      </c>
      <c r="AG544" s="174"/>
      <c r="AH544" s="181" t="str">
        <f>IF(Ruimtestaat[[#This Row],[Frequentie werkdagen]]="","",_xlfn.CONCAT(Ruimtestaat[[#This Row],[Ruimte code]],"-",Ruimtestaat[[#This Row],[Frequentie werkdagen]]," ",Ruimtestaat[[#This Row],[Vloer code]]))</f>
        <v>2-3w S</v>
      </c>
      <c r="AI544" s="185" t="str">
        <f>_xlfn.IFNA(VLOOKUP($AH544,Programma!$F$3:$G$1101,2,0),"")</f>
        <v>_</v>
      </c>
      <c r="AJ544" s="185" t="str">
        <f>_xlfn.IFNA(VLOOKUP($AH544,Programma!$F$3:$H$1101,3,0),"")</f>
        <v>_</v>
      </c>
      <c r="AK544" s="185" t="str">
        <f>_xlfn.IFNA(VLOOKUP($AH544,Programma!$F$3:$I$1101,4,0),"")</f>
        <v>2w</v>
      </c>
      <c r="AL544" s="185" t="str">
        <f>_xlfn.IFNA(VLOOKUP($AH544,Programma!$F$3:$J$1101,5,0),"")</f>
        <v>1w</v>
      </c>
      <c r="AM544" s="185" t="str">
        <f>_xlfn.IFNA(VLOOKUP($AH544,Programma!$F$3:$K$1101,6,0),"")</f>
        <v>1j</v>
      </c>
      <c r="AN544" s="185" t="str">
        <f>_xlfn.IFNA(VLOOKUP($AH544,Programma!$F$3:$L$1101,7,0),"")</f>
        <v>_</v>
      </c>
      <c r="AO544" s="185" t="str">
        <f>_xlfn.IFNA(VLOOKUP($AH544,Programma!$F$3:$M$1101,8,0),"")</f>
        <v>_</v>
      </c>
      <c r="AP544" s="185" t="str">
        <f>_xlfn.IFNA(VLOOKUP($AH544,Programma!$F$3:$N$1101,9,0),"")</f>
        <v>_</v>
      </c>
      <c r="AQ544" s="185" t="str">
        <f>_xlfn.IFNA(VLOOKUP($AH544,Programma!$F$3:$O$1101,10,0),"")</f>
        <v>3w</v>
      </c>
      <c r="AR544" s="185" t="str">
        <f>_xlfn.IFNA(VLOOKUP($AH544,Programma!$F$3:$P$1101,11,0),"")</f>
        <v>3w</v>
      </c>
      <c r="AS544" s="185" t="str">
        <f>_xlfn.IFNA(VLOOKUP($AH544,Programma!$F$3:$Q$1101,12,0),"")</f>
        <v>1w</v>
      </c>
      <c r="AT544" s="185" t="str">
        <f>_xlfn.IFNA(VLOOKUP($AH544,Programma!$F$3:$R$1101,13,0),"")</f>
        <v>1w</v>
      </c>
      <c r="AU544" s="185" t="str">
        <f>_xlfn.IFNA(VLOOKUP($AH544,Programma!$F$3:$S$1101,14,0),"")</f>
        <v>1m</v>
      </c>
      <c r="AV544" s="185" t="str">
        <f>_xlfn.IFNA(VLOOKUP($AH544,Programma!$F$3:$T$1101,15,0),"")</f>
        <v>2j</v>
      </c>
      <c r="AW544" s="185" t="str">
        <f>_xlfn.IFNA(VLOOKUP($AH544,Programma!$F$3:$U$1101,16,0),"")</f>
        <v>1j</v>
      </c>
      <c r="AX544" s="185" t="str">
        <f>_xlfn.IFNA(VLOOKUP($AH544,Programma!$F$3:$V$1101,17,0),"")</f>
        <v>_</v>
      </c>
      <c r="AY544" s="185" t="str">
        <f>_xlfn.IFNA(VLOOKUP($AH544,Programma!$F$3:$W$1101,18,0),"")</f>
        <v>_</v>
      </c>
      <c r="AZ544" s="185" t="str">
        <f>_xlfn.IFNA(VLOOKUP($AH544,Programma!$F$3:$X$1101,19,0),"")</f>
        <v>_</v>
      </c>
      <c r="BA544" s="185" t="str">
        <f>_xlfn.IFNA(VLOOKUP($AH544,Programma!$F$3:$Y$1101,20,0),"")</f>
        <v>_</v>
      </c>
      <c r="BB544" s="182"/>
      <c r="BC544" s="181" t="str">
        <f>IF(Ruimtestaat[[#This Row],[Frequentie weekend]]="","",_xlfn.CONCAT(Ruimtestaat[[#This Row],[Ruimte code]],"-",Ruimtestaat[[#This Row],[Frequentie weekend]]," ",Ruimtestaat[[#This Row],[Vloer code]]))</f>
        <v/>
      </c>
      <c r="BD544" s="185" t="str">
        <f>_xlfn.IFNA(VLOOKUP($BC544,Programma!$F$3:$G$1101,2,0),"")</f>
        <v/>
      </c>
      <c r="BE544" s="185" t="str">
        <f>_xlfn.IFNA(VLOOKUP($BC544,Programma!$F$3:$H$1101,3,0),"")</f>
        <v/>
      </c>
      <c r="BF544" s="185" t="str">
        <f>_xlfn.IFNA(VLOOKUP($BC544,Programma!$F$3:$I$1101,4,0),"")</f>
        <v/>
      </c>
      <c r="BG544" s="185" t="str">
        <f>_xlfn.IFNA(VLOOKUP($BC544,Programma!$F$3:$J$1101,5,0),"")</f>
        <v/>
      </c>
      <c r="BH544" s="185" t="str">
        <f>_xlfn.IFNA(VLOOKUP($BC544,Programma!$F$3:$K$1101,6,0),"")</f>
        <v/>
      </c>
      <c r="BI544" s="185" t="str">
        <f>_xlfn.IFNA(VLOOKUP($BC544,Programma!$F$3:$L$1101,7,0),"")</f>
        <v/>
      </c>
      <c r="BJ544" s="185" t="str">
        <f>_xlfn.IFNA(VLOOKUP($BC544,Programma!$F$3:$M$1101,8,0),"")</f>
        <v/>
      </c>
      <c r="BK544" s="185" t="str">
        <f>_xlfn.IFNA(VLOOKUP($BC544,Programma!$F$3:$N$1101,9,0),"")</f>
        <v/>
      </c>
      <c r="BL544" s="185" t="str">
        <f>_xlfn.IFNA(VLOOKUP($BC544,Programma!$F$3:$O$1101,10,0),"")</f>
        <v/>
      </c>
      <c r="BM544" s="185" t="str">
        <f>_xlfn.IFNA(VLOOKUP($BC544,Programma!$F$3:$P$1101,11,0),"")</f>
        <v/>
      </c>
      <c r="BN544" s="185" t="str">
        <f>_xlfn.IFNA(VLOOKUP($BC544,Programma!$F$3:$Q$1101,12,0),"")</f>
        <v/>
      </c>
      <c r="BO544" s="185" t="str">
        <f>_xlfn.IFNA(VLOOKUP($BC544,Programma!$F$3:$R$1101,13,0),"")</f>
        <v/>
      </c>
      <c r="BP544" s="185" t="str">
        <f>_xlfn.IFNA(VLOOKUP($BC544,Programma!$F$3:$S$1101,14,0),"")</f>
        <v/>
      </c>
      <c r="BQ544" s="185" t="str">
        <f>_xlfn.IFNA(VLOOKUP($BC544,Programma!$F$3:$T$1101,15,0),"")</f>
        <v/>
      </c>
      <c r="BR544" s="185" t="str">
        <f>_xlfn.IFNA(VLOOKUP($BC544,Programma!$F$3:$U$1101,16,0),"")</f>
        <v/>
      </c>
      <c r="BS544" s="185" t="str">
        <f>_xlfn.IFNA(VLOOKUP($BC544,Programma!$F$3:$V$1101,17,0),"")</f>
        <v/>
      </c>
      <c r="BT544" s="185" t="str">
        <f>_xlfn.IFNA(VLOOKUP($BC544,Programma!$F$3:$W$1101,18,0),"")</f>
        <v/>
      </c>
      <c r="BU544" s="185" t="str">
        <f>_xlfn.IFNA(VLOOKUP($BC544,Programma!$F$3:$X$1101,19,0),"")</f>
        <v/>
      </c>
      <c r="BV544" s="185" t="str">
        <f>_xlfn.IFNA(VLOOKUP($BC544,Programma!$F$3:$Y$1101,20,0),"")</f>
        <v/>
      </c>
    </row>
    <row r="545" spans="1:219" ht="15" customHeight="1">
      <c r="A545" s="99">
        <v>15</v>
      </c>
      <c r="B545" s="176" t="str">
        <f>VLOOKUP(Ruimtestaat[[#This Row],[Code]],Locaties[[Code]:[Locatie]],2,FALSE)</f>
        <v>Prinseschool Staringstraat</v>
      </c>
      <c r="C545" s="176" t="str">
        <f>VLOOKUP(Ruimtestaat[[#This Row],[Code]],Locaties[[#All],[Code]:[Adres]],4,FALSE)</f>
        <v>Staringstraat 15 </v>
      </c>
      <c r="D545" s="176" t="str">
        <f>VLOOKUP(Ruimtestaat[[#This Row],[Code]],Locaties[[#All],[Code]:[Postcode]],5,FALSE)</f>
        <v>7514 DE</v>
      </c>
      <c r="E545" s="176" t="str">
        <f>VLOOKUP(Ruimtestaat[[#This Row],[Code]],Locaties[#All],6,FALSE)</f>
        <v>Enschede</v>
      </c>
      <c r="F545" s="183"/>
      <c r="G545" s="99" t="s">
        <v>1714</v>
      </c>
      <c r="H545" s="99" t="s">
        <v>1733</v>
      </c>
      <c r="I545" s="183" t="s">
        <v>1685</v>
      </c>
      <c r="J545" s="99">
        <v>20</v>
      </c>
      <c r="K545" s="183" t="str">
        <f>VLOOKUP(Ruimtestaat[[#This Row],[Ruimte code]],Ruimtegroepen[[#All],[Code]:[Ruimte omschrijving]],2,FALSE)</f>
        <v>Niet in Onderhoud</v>
      </c>
      <c r="L545" s="149"/>
      <c r="M545" s="99"/>
      <c r="N545" s="177"/>
      <c r="O545" s="177">
        <v>0</v>
      </c>
      <c r="P545" s="178">
        <f>VLOOKUP(Ruimtestaat[[#This Row],[Ruimte code]],Ruimtegroepen[],4,FALSE)</f>
        <v>0</v>
      </c>
      <c r="Q545" s="149"/>
      <c r="R545" s="149"/>
      <c r="S545" s="149">
        <f>IF(Q545&gt;0,IF(RIGHT(Ruimtestaat[[#This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45" s="149">
        <f>IF(S545&gt;0,VLOOKUP($J545,Ruimtegroepen[],3,FALSE)*VLOOKUP($L545,Vloersoorten[],3,FALSE)*VLOOKUP($R545,Frequenties[],3,FALSE)*VLOOKUP($A545,Locaties[],3,FALSE),0)</f>
        <v>0</v>
      </c>
      <c r="U545" s="149">
        <f>Ruimtestaat[[#This Row],[Uitvoeringen werkdagen]]*Ruimtestaat[[#This Row],[Oppervlak (netto)]]</f>
        <v>0</v>
      </c>
      <c r="V545" s="179">
        <f>IF(T545&gt;0,Ruimtestaat[[#This Row],[Prest. (m2 /jaar) werkdagen]]/Ruimtestaat[[#This Row],[Norm (m2/uur) werkdagen]],0)</f>
        <v>0</v>
      </c>
      <c r="W545" s="180">
        <f>Ruimtestaat[[#This Row],[uren / jaar werkdagen]]*Tariefsopbouw!$E$35</f>
        <v>0</v>
      </c>
      <c r="X545" s="149"/>
      <c r="Y545" s="149">
        <f>IF(Ruimtestaat[[#This Row],[Frequentie weekend]]&gt;0,VALUE(LEFT(X545,1))*Q545,0)</f>
        <v>0</v>
      </c>
      <c r="Z545" s="148">
        <f>IF($Y545&gt;0,VLOOKUP($J545,Ruimtegroepen[],3,FALSE)*VLOOKUP($L545,Vloersoorten[],3,FALSE)*VLOOKUP($X545,Frequenties[],3,FALSE)*VLOOKUP(Ruimtestaat[[#This Row],[Code]],Locaties[],3,FALSE),0)</f>
        <v>0</v>
      </c>
      <c r="AA545" s="148">
        <f>Ruimtestaat[[#This Row],[Uitvoeringen weekend]]*Ruimtestaat[[#This Row],[Oppervlak (netto)]]</f>
        <v>0</v>
      </c>
      <c r="AB545" s="148">
        <f>IF(Z545&gt;0,Ruimtestaat[[#This Row],[Prest. (m2 /jaar) weekend]]/Ruimtestaat[[#This Row],[Norm (m2/uur) weekend]],0)</f>
        <v>0</v>
      </c>
      <c r="AC545" s="180">
        <f>Ruimtestaat[[#This Row],[uren / jaar weekend]]*Tariefsopbouw!$D$40</f>
        <v>0</v>
      </c>
      <c r="AD545" s="179">
        <f>Ruimtestaat[[#This Row],[Prest. (m2 /jaar) weekend]]+Ruimtestaat[[#This Row],[Prest. (m2 /jaar) werkdagen]]</f>
        <v>0</v>
      </c>
      <c r="AE545" s="179">
        <f>Ruimtestaat[[#This Row],[uren / jaar weekend]]+Ruimtestaat[[#This Row],[uren / jaar werkdagen]]</f>
        <v>0</v>
      </c>
      <c r="AF545" s="174">
        <f>Ruimtestaat[[#This Row],[kosten / jaar weekend]]+Ruimtestaat[[#This Row],[kosten / jaar werkdagen]]</f>
        <v>0</v>
      </c>
      <c r="AG545" s="174"/>
      <c r="AH545" s="181" t="str">
        <f>IF(Ruimtestaat[[#This Row],[Frequentie werkdagen]]="","",_xlfn.CONCAT(Ruimtestaat[[#This Row],[Ruimte code]],"-",Ruimtestaat[[#This Row],[Frequentie werkdagen]]," ",Ruimtestaat[[#This Row],[Vloer code]]))</f>
        <v/>
      </c>
      <c r="AI545" s="185" t="str">
        <f>_xlfn.IFNA(VLOOKUP($AH545,Programma!$F$3:$G$1101,2,0),"")</f>
        <v/>
      </c>
      <c r="AJ545" s="185" t="str">
        <f>_xlfn.IFNA(VLOOKUP($AH545,Programma!$F$3:$H$1101,3,0),"")</f>
        <v/>
      </c>
      <c r="AK545" s="185" t="str">
        <f>_xlfn.IFNA(VLOOKUP($AH545,Programma!$F$3:$I$1101,4,0),"")</f>
        <v/>
      </c>
      <c r="AL545" s="185" t="str">
        <f>_xlfn.IFNA(VLOOKUP($AH545,Programma!$F$3:$J$1101,5,0),"")</f>
        <v/>
      </c>
      <c r="AM545" s="185" t="str">
        <f>_xlfn.IFNA(VLOOKUP($AH545,Programma!$F$3:$K$1101,6,0),"")</f>
        <v/>
      </c>
      <c r="AN545" s="185" t="str">
        <f>_xlfn.IFNA(VLOOKUP($AH545,Programma!$F$3:$L$1101,7,0),"")</f>
        <v/>
      </c>
      <c r="AO545" s="185" t="str">
        <f>_xlfn.IFNA(VLOOKUP($AH545,Programma!$F$3:$M$1101,8,0),"")</f>
        <v/>
      </c>
      <c r="AP545" s="185" t="str">
        <f>_xlfn.IFNA(VLOOKUP($AH545,Programma!$F$3:$N$1101,9,0),"")</f>
        <v/>
      </c>
      <c r="AQ545" s="185" t="str">
        <f>_xlfn.IFNA(VLOOKUP($AH545,Programma!$F$3:$O$1101,10,0),"")</f>
        <v/>
      </c>
      <c r="AR545" s="185" t="str">
        <f>_xlfn.IFNA(VLOOKUP($AH545,Programma!$F$3:$P$1101,11,0),"")</f>
        <v/>
      </c>
      <c r="AS545" s="185" t="str">
        <f>_xlfn.IFNA(VLOOKUP($AH545,Programma!$F$3:$Q$1101,12,0),"")</f>
        <v/>
      </c>
      <c r="AT545" s="185" t="str">
        <f>_xlfn.IFNA(VLOOKUP($AH545,Programma!$F$3:$R$1101,13,0),"")</f>
        <v/>
      </c>
      <c r="AU545" s="185" t="str">
        <f>_xlfn.IFNA(VLOOKUP($AH545,Programma!$F$3:$S$1101,14,0),"")</f>
        <v/>
      </c>
      <c r="AV545" s="185" t="str">
        <f>_xlfn.IFNA(VLOOKUP($AH545,Programma!$F$3:$T$1101,15,0),"")</f>
        <v/>
      </c>
      <c r="AW545" s="185" t="str">
        <f>_xlfn.IFNA(VLOOKUP($AH545,Programma!$F$3:$U$1101,16,0),"")</f>
        <v/>
      </c>
      <c r="AX545" s="185" t="str">
        <f>_xlfn.IFNA(VLOOKUP($AH545,Programma!$F$3:$V$1101,17,0),"")</f>
        <v/>
      </c>
      <c r="AY545" s="185" t="str">
        <f>_xlfn.IFNA(VLOOKUP($AH545,Programma!$F$3:$W$1101,18,0),"")</f>
        <v/>
      </c>
      <c r="AZ545" s="185" t="str">
        <f>_xlfn.IFNA(VLOOKUP($AH545,Programma!$F$3:$X$1101,19,0),"")</f>
        <v/>
      </c>
      <c r="BA545" s="185" t="str">
        <f>_xlfn.IFNA(VLOOKUP($AH545,Programma!$F$3:$Y$1101,20,0),"")</f>
        <v/>
      </c>
      <c r="BB545" s="182"/>
      <c r="BC545" s="181" t="str">
        <f>IF(Ruimtestaat[[#This Row],[Frequentie weekend]]="","",_xlfn.CONCAT(Ruimtestaat[[#This Row],[Ruimte code]],"-",Ruimtestaat[[#This Row],[Frequentie weekend]]," ",Ruimtestaat[[#This Row],[Vloer code]]))</f>
        <v/>
      </c>
      <c r="BD545" s="185" t="str">
        <f>_xlfn.IFNA(VLOOKUP($BC545,Programma!$F$3:$G$1101,2,0),"")</f>
        <v/>
      </c>
      <c r="BE545" s="185" t="str">
        <f>_xlfn.IFNA(VLOOKUP($BC545,Programma!$F$3:$H$1101,3,0),"")</f>
        <v/>
      </c>
      <c r="BF545" s="185" t="str">
        <f>_xlfn.IFNA(VLOOKUP($BC545,Programma!$F$3:$I$1101,4,0),"")</f>
        <v/>
      </c>
      <c r="BG545" s="185" t="str">
        <f>_xlfn.IFNA(VLOOKUP($BC545,Programma!$F$3:$J$1101,5,0),"")</f>
        <v/>
      </c>
      <c r="BH545" s="185" t="str">
        <f>_xlfn.IFNA(VLOOKUP($BC545,Programma!$F$3:$K$1101,6,0),"")</f>
        <v/>
      </c>
      <c r="BI545" s="185" t="str">
        <f>_xlfn.IFNA(VLOOKUP($BC545,Programma!$F$3:$L$1101,7,0),"")</f>
        <v/>
      </c>
      <c r="BJ545" s="185" t="str">
        <f>_xlfn.IFNA(VLOOKUP($BC545,Programma!$F$3:$M$1101,8,0),"")</f>
        <v/>
      </c>
      <c r="BK545" s="185" t="str">
        <f>_xlfn.IFNA(VLOOKUP($BC545,Programma!$F$3:$N$1101,9,0),"")</f>
        <v/>
      </c>
      <c r="BL545" s="185" t="str">
        <f>_xlfn.IFNA(VLOOKUP($BC545,Programma!$F$3:$O$1101,10,0),"")</f>
        <v/>
      </c>
      <c r="BM545" s="185" t="str">
        <f>_xlfn.IFNA(VLOOKUP($BC545,Programma!$F$3:$P$1101,11,0),"")</f>
        <v/>
      </c>
      <c r="BN545" s="185" t="str">
        <f>_xlfn.IFNA(VLOOKUP($BC545,Programma!$F$3:$Q$1101,12,0),"")</f>
        <v/>
      </c>
      <c r="BO545" s="185" t="str">
        <f>_xlfn.IFNA(VLOOKUP($BC545,Programma!$F$3:$R$1101,13,0),"")</f>
        <v/>
      </c>
      <c r="BP545" s="185" t="str">
        <f>_xlfn.IFNA(VLOOKUP($BC545,Programma!$F$3:$S$1101,14,0),"")</f>
        <v/>
      </c>
      <c r="BQ545" s="185" t="str">
        <f>_xlfn.IFNA(VLOOKUP($BC545,Programma!$F$3:$T$1101,15,0),"")</f>
        <v/>
      </c>
      <c r="BR545" s="185" t="str">
        <f>_xlfn.IFNA(VLOOKUP($BC545,Programma!$F$3:$U$1101,16,0),"")</f>
        <v/>
      </c>
      <c r="BS545" s="185" t="str">
        <f>_xlfn.IFNA(VLOOKUP($BC545,Programma!$F$3:$V$1101,17,0),"")</f>
        <v/>
      </c>
      <c r="BT545" s="185" t="str">
        <f>_xlfn.IFNA(VLOOKUP($BC545,Programma!$F$3:$W$1101,18,0),"")</f>
        <v/>
      </c>
      <c r="BU545" s="185" t="str">
        <f>_xlfn.IFNA(VLOOKUP($BC545,Programma!$F$3:$X$1101,19,0),"")</f>
        <v/>
      </c>
      <c r="BV545" s="185" t="str">
        <f>_xlfn.IFNA(VLOOKUP($BC545,Programma!$F$3:$Y$1101,20,0),"")</f>
        <v/>
      </c>
      <c r="BW545" s="78"/>
      <c r="BX545" s="78"/>
      <c r="BY545" s="78"/>
      <c r="BZ545" s="78"/>
      <c r="CA545" s="78"/>
      <c r="CB545" s="78"/>
      <c r="CC545" s="78"/>
      <c r="CD545" s="78"/>
      <c r="CE545" s="78"/>
      <c r="CF545" s="78"/>
      <c r="CG545" s="78"/>
      <c r="CH545" s="78"/>
      <c r="CI545" s="78"/>
      <c r="CJ545" s="78"/>
      <c r="CK545" s="78"/>
      <c r="CL545" s="78"/>
      <c r="CM545" s="78"/>
      <c r="CN545" s="78"/>
      <c r="CO545" s="78"/>
      <c r="CP545" s="78"/>
      <c r="CQ545" s="78"/>
      <c r="CR545" s="78"/>
      <c r="CS545" s="78"/>
      <c r="CT545" s="78"/>
      <c r="CU545" s="78"/>
      <c r="CV545" s="78"/>
      <c r="CW545" s="78"/>
      <c r="CX545" s="78"/>
      <c r="CY545" s="78"/>
      <c r="CZ545" s="78"/>
      <c r="DA545" s="78"/>
      <c r="DB545" s="78"/>
      <c r="DC545" s="78"/>
      <c r="DD545" s="78"/>
      <c r="DE545" s="78"/>
      <c r="DF545" s="78"/>
      <c r="DG545" s="78"/>
      <c r="DH545" s="78"/>
      <c r="DI545" s="78"/>
      <c r="DJ545" s="78"/>
      <c r="DK545" s="78"/>
      <c r="DL545" s="78"/>
      <c r="DM545" s="78"/>
      <c r="DN545" s="78"/>
      <c r="DO545" s="78"/>
      <c r="DP545" s="78"/>
      <c r="DQ545" s="78"/>
      <c r="DR545" s="78"/>
      <c r="DS545" s="78"/>
      <c r="DT545" s="78"/>
      <c r="DU545" s="78"/>
      <c r="DV545" s="78"/>
      <c r="DW545" s="78"/>
      <c r="DX545" s="78"/>
      <c r="DY545" s="78"/>
      <c r="DZ545" s="78"/>
      <c r="EA545" s="78"/>
      <c r="EB545" s="78"/>
      <c r="EC545" s="78"/>
      <c r="ED545" s="78"/>
      <c r="EE545" s="78"/>
      <c r="EF545" s="78"/>
      <c r="EG545" s="78"/>
      <c r="EH545" s="78"/>
      <c r="EI545" s="78"/>
      <c r="EJ545" s="78"/>
      <c r="EK545" s="78"/>
      <c r="EL545" s="78"/>
      <c r="EM545" s="78"/>
      <c r="EN545" s="78"/>
      <c r="EO545" s="78"/>
      <c r="EP545" s="78"/>
      <c r="EQ545" s="78"/>
      <c r="ER545" s="78"/>
      <c r="ES545" s="78"/>
      <c r="ET545" s="78"/>
      <c r="EU545" s="78"/>
      <c r="EV545" s="78"/>
      <c r="EW545" s="78"/>
      <c r="EX545" s="78"/>
      <c r="EY545" s="78"/>
      <c r="EZ545" s="78"/>
      <c r="FA545" s="78"/>
      <c r="FB545" s="78"/>
      <c r="FC545" s="78"/>
      <c r="FD545" s="78"/>
      <c r="FE545" s="78"/>
      <c r="FF545" s="78"/>
      <c r="FG545" s="78"/>
      <c r="FH545" s="78"/>
      <c r="FI545" s="78"/>
      <c r="FJ545" s="78"/>
      <c r="FK545" s="78"/>
      <c r="FL545" s="78"/>
      <c r="FM545" s="78"/>
      <c r="FN545" s="78"/>
      <c r="FO545" s="78"/>
      <c r="FP545" s="78"/>
      <c r="FQ545" s="78"/>
      <c r="FR545" s="78"/>
      <c r="FS545" s="78"/>
      <c r="FT545" s="78"/>
      <c r="FU545" s="78"/>
      <c r="FV545" s="78"/>
      <c r="FW545" s="78"/>
      <c r="FX545" s="78"/>
      <c r="FY545" s="78"/>
      <c r="FZ545" s="78"/>
      <c r="GA545" s="78"/>
      <c r="GB545" s="78"/>
      <c r="GC545" s="78"/>
      <c r="GD545" s="78"/>
      <c r="GE545" s="78"/>
      <c r="GF545" s="78"/>
      <c r="GG545" s="78"/>
      <c r="GH545" s="78"/>
      <c r="GI545" s="78"/>
      <c r="GJ545" s="78"/>
      <c r="GK545" s="78"/>
      <c r="GL545" s="78"/>
      <c r="GM545" s="78"/>
      <c r="GN545" s="78"/>
      <c r="GO545" s="78"/>
      <c r="GP545" s="78"/>
      <c r="GQ545" s="78"/>
      <c r="GR545" s="78"/>
      <c r="GS545" s="78"/>
      <c r="GT545" s="78"/>
      <c r="GU545" s="78"/>
      <c r="GV545" s="78"/>
      <c r="GW545" s="78"/>
      <c r="GX545" s="78"/>
      <c r="GY545" s="78"/>
      <c r="GZ545" s="78"/>
      <c r="HA545" s="78"/>
      <c r="HB545" s="78"/>
      <c r="HC545" s="78"/>
      <c r="HD545" s="78"/>
      <c r="HE545" s="78"/>
      <c r="HF545" s="78"/>
      <c r="HG545" s="78"/>
      <c r="HH545" s="78"/>
      <c r="HI545" s="78"/>
      <c r="HJ545" s="78"/>
      <c r="HK545" s="78"/>
    </row>
    <row r="546" spans="1:219" ht="15" customHeight="1">
      <c r="A546" s="99">
        <v>15</v>
      </c>
      <c r="B546" s="176" t="str">
        <f>VLOOKUP(Ruimtestaat[[#This Row],[Code]],Locaties[[Code]:[Locatie]],2,FALSE)</f>
        <v>Prinseschool Staringstraat</v>
      </c>
      <c r="C546" s="176" t="str">
        <f>VLOOKUP(Ruimtestaat[[#This Row],[Code]],Locaties[[#All],[Code]:[Adres]],4,FALSE)</f>
        <v>Staringstraat 15 </v>
      </c>
      <c r="D546" s="176" t="str">
        <f>VLOOKUP(Ruimtestaat[[#This Row],[Code]],Locaties[[#All],[Code]:[Postcode]],5,FALSE)</f>
        <v>7514 DE</v>
      </c>
      <c r="E546" s="176" t="str">
        <f>VLOOKUP(Ruimtestaat[[#This Row],[Code]],Locaties[#All],6,FALSE)</f>
        <v>Enschede</v>
      </c>
      <c r="F546" s="183"/>
      <c r="G546" s="99" t="s">
        <v>1714</v>
      </c>
      <c r="H546" s="99" t="s">
        <v>1734</v>
      </c>
      <c r="I546" s="183" t="s">
        <v>1655</v>
      </c>
      <c r="J546" s="99">
        <v>5</v>
      </c>
      <c r="K546" s="183" t="str">
        <f>VLOOKUP(Ruimtestaat[[#This Row],[Ruimte code]],Ruimtegroepen[[#All],[Code]:[Ruimte omschrijving]],2,FALSE)</f>
        <v>Sanitair</v>
      </c>
      <c r="L546" s="149" t="s">
        <v>101</v>
      </c>
      <c r="M546" s="99" t="s">
        <v>1682</v>
      </c>
      <c r="N546" s="177">
        <v>1.1000000000000001</v>
      </c>
      <c r="O546" s="177"/>
      <c r="P546" s="178" t="str">
        <f>VLOOKUP(Ruimtestaat[[#This Row],[Ruimte code]],Ruimtegroepen[],4,FALSE)</f>
        <v>Sa</v>
      </c>
      <c r="Q546" s="149">
        <v>40</v>
      </c>
      <c r="R546" s="149" t="s">
        <v>2</v>
      </c>
      <c r="S546" s="149">
        <f>IF(Q546&gt;0,IF(RIGHT(Ruimtestaat[[#This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6" s="149">
        <f>IF(S546&gt;0,VLOOKUP($J546,Ruimtegroepen[],3,FALSE)*VLOOKUP($L546,Vloersoorten[],3,FALSE)*VLOOKUP($R546,Frequenties[],3,FALSE)*VLOOKUP($A546,Locaties[],3,FALSE),0)</f>
        <v>0</v>
      </c>
      <c r="U546" s="149">
        <f>Ruimtestaat[[#This Row],[Uitvoeringen werkdagen]]*Ruimtestaat[[#This Row],[Oppervlak (netto)]]</f>
        <v>220.00000000000003</v>
      </c>
      <c r="V546" s="179">
        <f>IF(T546&gt;0,Ruimtestaat[[#This Row],[Prest. (m2 /jaar) werkdagen]]/Ruimtestaat[[#This Row],[Norm (m2/uur) werkdagen]],0)</f>
        <v>0</v>
      </c>
      <c r="W546" s="180">
        <f>Ruimtestaat[[#This Row],[uren / jaar werkdagen]]*Tariefsopbouw!$E$35</f>
        <v>0</v>
      </c>
      <c r="X546" s="149"/>
      <c r="Y546" s="149">
        <f>IF(Ruimtestaat[[#This Row],[Frequentie weekend]]&gt;0,VALUE(LEFT(X546,1))*Q546,0)</f>
        <v>0</v>
      </c>
      <c r="Z546" s="148">
        <f>IF($Y546&gt;0,VLOOKUP($J546,Ruimtegroepen[],3,FALSE)*VLOOKUP($L546,Vloersoorten[],3,FALSE)*VLOOKUP($X546,Frequenties[],3,FALSE)*VLOOKUP(Ruimtestaat[[#This Row],[Code]],Locaties[],3,FALSE),0)</f>
        <v>0</v>
      </c>
      <c r="AA546" s="148">
        <f>Ruimtestaat[[#This Row],[Uitvoeringen weekend]]*Ruimtestaat[[#This Row],[Oppervlak (netto)]]</f>
        <v>0</v>
      </c>
      <c r="AB546" s="148">
        <f>IF(Z546&gt;0,Ruimtestaat[[#This Row],[Prest. (m2 /jaar) weekend]]/Ruimtestaat[[#This Row],[Norm (m2/uur) weekend]],0)</f>
        <v>0</v>
      </c>
      <c r="AC546" s="180">
        <f>Ruimtestaat[[#This Row],[uren / jaar weekend]]*Tariefsopbouw!$D$40</f>
        <v>0</v>
      </c>
      <c r="AD546" s="179">
        <f>Ruimtestaat[[#This Row],[Prest. (m2 /jaar) weekend]]+Ruimtestaat[[#This Row],[Prest. (m2 /jaar) werkdagen]]</f>
        <v>220.00000000000003</v>
      </c>
      <c r="AE546" s="179">
        <f>Ruimtestaat[[#This Row],[uren / jaar weekend]]+Ruimtestaat[[#This Row],[uren / jaar werkdagen]]</f>
        <v>0</v>
      </c>
      <c r="AF546" s="174">
        <f>Ruimtestaat[[#This Row],[kosten / jaar weekend]]+Ruimtestaat[[#This Row],[kosten / jaar werkdagen]]</f>
        <v>0</v>
      </c>
      <c r="AG546" s="174"/>
      <c r="AH546" s="181" t="str">
        <f>IF(Ruimtestaat[[#This Row],[Frequentie werkdagen]]="","",_xlfn.CONCAT(Ruimtestaat[[#This Row],[Ruimte code]],"-",Ruimtestaat[[#This Row],[Frequentie werkdagen]]," ",Ruimtestaat[[#This Row],[Vloer code]]))</f>
        <v>5-5w S</v>
      </c>
      <c r="AI546" s="185" t="str">
        <f>_xlfn.IFNA(VLOOKUP($AH546,Programma!$F$3:$G$1101,2,0),"")</f>
        <v>_</v>
      </c>
      <c r="AJ546" s="185" t="str">
        <f>_xlfn.IFNA(VLOOKUP($AH546,Programma!$F$3:$H$1101,3,0),"")</f>
        <v>_</v>
      </c>
      <c r="AK546" s="185" t="str">
        <f>_xlfn.IFNA(VLOOKUP($AH546,Programma!$F$3:$I$1101,4,0),"")</f>
        <v>_</v>
      </c>
      <c r="AL546" s="185" t="str">
        <f>_xlfn.IFNA(VLOOKUP($AH546,Programma!$F$3:$J$1101,5,0),"")</f>
        <v>4w</v>
      </c>
      <c r="AM546" s="185" t="str">
        <f>_xlfn.IFNA(VLOOKUP($AH546,Programma!$F$3:$K$1101,6,0),"")</f>
        <v>1w</v>
      </c>
      <c r="AN546" s="185" t="str">
        <f>_xlfn.IFNA(VLOOKUP($AH546,Programma!$F$3:$L$1101,7,0),"")</f>
        <v>_</v>
      </c>
      <c r="AO546" s="185" t="str">
        <f>_xlfn.IFNA(VLOOKUP($AH546,Programma!$F$3:$M$1101,8,0),"")</f>
        <v>_</v>
      </c>
      <c r="AP546" s="185" t="str">
        <f>_xlfn.IFNA(VLOOKUP($AH546,Programma!$F$3:$N$1101,9,0),"")</f>
        <v>_</v>
      </c>
      <c r="AQ546" s="185" t="str">
        <f>_xlfn.IFNA(VLOOKUP($AH546,Programma!$F$3:$O$1101,10,0),"")</f>
        <v>_</v>
      </c>
      <c r="AR546" s="185" t="str">
        <f>_xlfn.IFNA(VLOOKUP($AH546,Programma!$F$3:$P$1101,11,0),"")</f>
        <v>_</v>
      </c>
      <c r="AS546" s="185" t="str">
        <f>_xlfn.IFNA(VLOOKUP($AH546,Programma!$F$3:$Q$1101,12,0),"")</f>
        <v>_</v>
      </c>
      <c r="AT546" s="185" t="str">
        <f>_xlfn.IFNA(VLOOKUP($AH546,Programma!$F$3:$R$1101,13,0),"")</f>
        <v>_</v>
      </c>
      <c r="AU546" s="185" t="str">
        <f>_xlfn.IFNA(VLOOKUP($AH546,Programma!$F$3:$S$1101,14,0),"")</f>
        <v>_</v>
      </c>
      <c r="AV546" s="185" t="str">
        <f>_xlfn.IFNA(VLOOKUP($AH546,Programma!$F$3:$T$1101,15,0),"")</f>
        <v>_</v>
      </c>
      <c r="AW546" s="185" t="str">
        <f>_xlfn.IFNA(VLOOKUP($AH546,Programma!$F$3:$U$1101,16,0),"")</f>
        <v>_</v>
      </c>
      <c r="AX546" s="185" t="str">
        <f>_xlfn.IFNA(VLOOKUP($AH546,Programma!$F$3:$V$1101,17,0),"")</f>
        <v>_</v>
      </c>
      <c r="AY546" s="185" t="str">
        <f>_xlfn.IFNA(VLOOKUP($AH546,Programma!$F$3:$W$1101,18,0),"")</f>
        <v>4w</v>
      </c>
      <c r="AZ546" s="185" t="str">
        <f>_xlfn.IFNA(VLOOKUP($AH546,Programma!$F$3:$X$1101,19,0),"")</f>
        <v>1w</v>
      </c>
      <c r="BA546" s="185" t="str">
        <f>_xlfn.IFNA(VLOOKUP($AH546,Programma!$F$3:$Y$1101,20,0),"")</f>
        <v>_</v>
      </c>
      <c r="BB546" s="182"/>
      <c r="BC546" s="181" t="str">
        <f>IF(Ruimtestaat[[#This Row],[Frequentie weekend]]="","",_xlfn.CONCAT(Ruimtestaat[[#This Row],[Ruimte code]],"-",Ruimtestaat[[#This Row],[Frequentie weekend]]," ",Ruimtestaat[[#This Row],[Vloer code]]))</f>
        <v/>
      </c>
      <c r="BD546" s="185" t="str">
        <f>_xlfn.IFNA(VLOOKUP($BC546,Programma!$F$3:$G$1101,2,0),"")</f>
        <v/>
      </c>
      <c r="BE546" s="185" t="str">
        <f>_xlfn.IFNA(VLOOKUP($BC546,Programma!$F$3:$H$1101,3,0),"")</f>
        <v/>
      </c>
      <c r="BF546" s="185" t="str">
        <f>_xlfn.IFNA(VLOOKUP($BC546,Programma!$F$3:$I$1101,4,0),"")</f>
        <v/>
      </c>
      <c r="BG546" s="185" t="str">
        <f>_xlfn.IFNA(VLOOKUP($BC546,Programma!$F$3:$J$1101,5,0),"")</f>
        <v/>
      </c>
      <c r="BH546" s="185" t="str">
        <f>_xlfn.IFNA(VLOOKUP($BC546,Programma!$F$3:$K$1101,6,0),"")</f>
        <v/>
      </c>
      <c r="BI546" s="185" t="str">
        <f>_xlfn.IFNA(VLOOKUP($BC546,Programma!$F$3:$L$1101,7,0),"")</f>
        <v/>
      </c>
      <c r="BJ546" s="185" t="str">
        <f>_xlfn.IFNA(VLOOKUP($BC546,Programma!$F$3:$M$1101,8,0),"")</f>
        <v/>
      </c>
      <c r="BK546" s="185" t="str">
        <f>_xlfn.IFNA(VLOOKUP($BC546,Programma!$F$3:$N$1101,9,0),"")</f>
        <v/>
      </c>
      <c r="BL546" s="185" t="str">
        <f>_xlfn.IFNA(VLOOKUP($BC546,Programma!$F$3:$O$1101,10,0),"")</f>
        <v/>
      </c>
      <c r="BM546" s="185" t="str">
        <f>_xlfn.IFNA(VLOOKUP($BC546,Programma!$F$3:$P$1101,11,0),"")</f>
        <v/>
      </c>
      <c r="BN546" s="185" t="str">
        <f>_xlfn.IFNA(VLOOKUP($BC546,Programma!$F$3:$Q$1101,12,0),"")</f>
        <v/>
      </c>
      <c r="BO546" s="185" t="str">
        <f>_xlfn.IFNA(VLOOKUP($BC546,Programma!$F$3:$R$1101,13,0),"")</f>
        <v/>
      </c>
      <c r="BP546" s="185" t="str">
        <f>_xlfn.IFNA(VLOOKUP($BC546,Programma!$F$3:$S$1101,14,0),"")</f>
        <v/>
      </c>
      <c r="BQ546" s="185" t="str">
        <f>_xlfn.IFNA(VLOOKUP($BC546,Programma!$F$3:$T$1101,15,0),"")</f>
        <v/>
      </c>
      <c r="BR546" s="185" t="str">
        <f>_xlfn.IFNA(VLOOKUP($BC546,Programma!$F$3:$U$1101,16,0),"")</f>
        <v/>
      </c>
      <c r="BS546" s="185" t="str">
        <f>_xlfn.IFNA(VLOOKUP($BC546,Programma!$F$3:$V$1101,17,0),"")</f>
        <v/>
      </c>
      <c r="BT546" s="185" t="str">
        <f>_xlfn.IFNA(VLOOKUP($BC546,Programma!$F$3:$W$1101,18,0),"")</f>
        <v/>
      </c>
      <c r="BU546" s="185" t="str">
        <f>_xlfn.IFNA(VLOOKUP($BC546,Programma!$F$3:$X$1101,19,0),"")</f>
        <v/>
      </c>
      <c r="BV546" s="185" t="str">
        <f>_xlfn.IFNA(VLOOKUP($BC546,Programma!$F$3:$Y$1101,20,0),"")</f>
        <v/>
      </c>
      <c r="BW546" s="78"/>
      <c r="BX546" s="78"/>
      <c r="BY546" s="78"/>
      <c r="BZ546" s="78"/>
      <c r="CA546" s="78"/>
      <c r="CB546" s="78"/>
      <c r="CC546" s="78"/>
      <c r="CD546" s="78"/>
      <c r="CE546" s="78"/>
      <c r="CF546" s="78"/>
      <c r="CG546" s="78"/>
      <c r="CH546" s="78"/>
      <c r="CI546" s="78"/>
      <c r="CJ546" s="78"/>
      <c r="CK546" s="78"/>
      <c r="CL546" s="78"/>
      <c r="CM546" s="78"/>
      <c r="CN546" s="78"/>
      <c r="CO546" s="78"/>
      <c r="CP546" s="78"/>
      <c r="CQ546" s="78"/>
      <c r="CR546" s="78"/>
      <c r="CS546" s="78"/>
      <c r="CT546" s="78"/>
      <c r="CU546" s="78"/>
      <c r="CV546" s="78"/>
      <c r="CW546" s="78"/>
      <c r="CX546" s="78"/>
      <c r="CY546" s="78"/>
      <c r="CZ546" s="78"/>
      <c r="DA546" s="78"/>
      <c r="DB546" s="78"/>
      <c r="DC546" s="78"/>
      <c r="DD546" s="78"/>
      <c r="DE546" s="78"/>
      <c r="DF546" s="78"/>
      <c r="DG546" s="78"/>
      <c r="DH546" s="78"/>
      <c r="DI546" s="78"/>
      <c r="DJ546" s="78"/>
      <c r="DK546" s="78"/>
      <c r="DL546" s="78"/>
      <c r="DM546" s="78"/>
      <c r="DN546" s="78"/>
      <c r="DO546" s="78"/>
      <c r="DP546" s="78"/>
      <c r="DQ546" s="78"/>
      <c r="DR546" s="78"/>
      <c r="DS546" s="78"/>
      <c r="DT546" s="78"/>
      <c r="DU546" s="78"/>
      <c r="DV546" s="78"/>
      <c r="DW546" s="78"/>
      <c r="DX546" s="78"/>
      <c r="DY546" s="78"/>
      <c r="DZ546" s="78"/>
      <c r="EA546" s="78"/>
      <c r="EB546" s="78"/>
      <c r="EC546" s="78"/>
      <c r="ED546" s="78"/>
      <c r="EE546" s="78"/>
      <c r="EF546" s="78"/>
      <c r="EG546" s="78"/>
      <c r="EH546" s="78"/>
      <c r="EI546" s="78"/>
      <c r="EJ546" s="78"/>
      <c r="EK546" s="78"/>
      <c r="EL546" s="78"/>
      <c r="EM546" s="78"/>
      <c r="EN546" s="78"/>
      <c r="EO546" s="78"/>
      <c r="EP546" s="78"/>
      <c r="EQ546" s="78"/>
      <c r="ER546" s="78"/>
      <c r="ES546" s="78"/>
      <c r="ET546" s="78"/>
      <c r="EU546" s="78"/>
      <c r="EV546" s="78"/>
      <c r="EW546" s="78"/>
      <c r="EX546" s="78"/>
      <c r="EY546" s="78"/>
      <c r="EZ546" s="78"/>
      <c r="FA546" s="78"/>
      <c r="FB546" s="78"/>
      <c r="FC546" s="78"/>
      <c r="FD546" s="78"/>
      <c r="FE546" s="78"/>
      <c r="FF546" s="78"/>
      <c r="FG546" s="78"/>
      <c r="FH546" s="78"/>
      <c r="FI546" s="78"/>
      <c r="FJ546" s="78"/>
      <c r="FK546" s="78"/>
      <c r="FL546" s="78"/>
      <c r="FM546" s="78"/>
      <c r="FN546" s="78"/>
      <c r="FO546" s="78"/>
      <c r="FP546" s="78"/>
      <c r="FQ546" s="78"/>
      <c r="FR546" s="78"/>
      <c r="FS546" s="78"/>
      <c r="FT546" s="78"/>
      <c r="FU546" s="78"/>
      <c r="FV546" s="78"/>
      <c r="FW546" s="78"/>
      <c r="FX546" s="78"/>
      <c r="FY546" s="78"/>
      <c r="FZ546" s="78"/>
      <c r="GA546" s="78"/>
      <c r="GB546" s="78"/>
      <c r="GC546" s="78"/>
      <c r="GD546" s="78"/>
      <c r="GE546" s="78"/>
      <c r="GF546" s="78"/>
      <c r="GG546" s="78"/>
      <c r="GH546" s="78"/>
      <c r="GI546" s="78"/>
      <c r="GJ546" s="78"/>
      <c r="GK546" s="78"/>
      <c r="GL546" s="78"/>
      <c r="GM546" s="78"/>
      <c r="GN546" s="78"/>
      <c r="GO546" s="78"/>
      <c r="GP546" s="78"/>
      <c r="GQ546" s="78"/>
      <c r="GR546" s="78"/>
      <c r="GS546" s="78"/>
      <c r="GT546" s="78"/>
      <c r="GU546" s="78"/>
      <c r="GV546" s="78"/>
      <c r="GW546" s="78"/>
      <c r="GX546" s="78"/>
      <c r="GY546" s="78"/>
      <c r="GZ546" s="78"/>
      <c r="HA546" s="78"/>
      <c r="HB546" s="78"/>
      <c r="HC546" s="78"/>
      <c r="HD546" s="78"/>
      <c r="HE546" s="78"/>
      <c r="HF546" s="78"/>
      <c r="HG546" s="78"/>
      <c r="HH546" s="78"/>
      <c r="HI546" s="78"/>
      <c r="HJ546" s="78"/>
      <c r="HK546" s="78"/>
    </row>
    <row r="547" spans="1:219" ht="15" customHeight="1">
      <c r="A547" s="99">
        <v>15</v>
      </c>
      <c r="B547" s="176" t="str">
        <f>VLOOKUP(Ruimtestaat[[#This Row],[Code]],Locaties[[Code]:[Locatie]],2,FALSE)</f>
        <v>Prinseschool Staringstraat</v>
      </c>
      <c r="C547" s="176" t="str">
        <f>VLOOKUP(Ruimtestaat[[#This Row],[Code]],Locaties[[#All],[Code]:[Adres]],4,FALSE)</f>
        <v>Staringstraat 15 </v>
      </c>
      <c r="D547" s="176" t="str">
        <f>VLOOKUP(Ruimtestaat[[#This Row],[Code]],Locaties[[#All],[Code]:[Postcode]],5,FALSE)</f>
        <v>7514 DE</v>
      </c>
      <c r="E547" s="176" t="str">
        <f>VLOOKUP(Ruimtestaat[[#This Row],[Code]],Locaties[#All],6,FALSE)</f>
        <v>Enschede</v>
      </c>
      <c r="F547" s="183"/>
      <c r="G547" s="99" t="s">
        <v>1714</v>
      </c>
      <c r="H547" s="99" t="s">
        <v>1735</v>
      </c>
      <c r="I547" s="183" t="s">
        <v>1655</v>
      </c>
      <c r="J547" s="99">
        <v>5</v>
      </c>
      <c r="K547" s="183" t="str">
        <f>VLOOKUP(Ruimtestaat[[#This Row],[Ruimte code]],Ruimtegroepen[[#All],[Code]:[Ruimte omschrijving]],2,FALSE)</f>
        <v>Sanitair</v>
      </c>
      <c r="L547" s="149" t="s">
        <v>101</v>
      </c>
      <c r="M547" s="99" t="s">
        <v>1682</v>
      </c>
      <c r="N547" s="177">
        <v>1.1000000000000001</v>
      </c>
      <c r="O547" s="177"/>
      <c r="P547" s="178" t="str">
        <f>VLOOKUP(Ruimtestaat[[#This Row],[Ruimte code]],Ruimtegroepen[],4,FALSE)</f>
        <v>Sa</v>
      </c>
      <c r="Q547" s="149">
        <v>40</v>
      </c>
      <c r="R547" s="149" t="s">
        <v>2</v>
      </c>
      <c r="S547" s="149">
        <f>IF(Q547&gt;0,IF(RIGHT(Ruimtestaat[[#This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7" s="149">
        <f>IF(S547&gt;0,VLOOKUP($J547,Ruimtegroepen[],3,FALSE)*VLOOKUP($L547,Vloersoorten[],3,FALSE)*VLOOKUP($R547,Frequenties[],3,FALSE)*VLOOKUP($A547,Locaties[],3,FALSE),0)</f>
        <v>0</v>
      </c>
      <c r="U547" s="149">
        <f>Ruimtestaat[[#This Row],[Uitvoeringen werkdagen]]*Ruimtestaat[[#This Row],[Oppervlak (netto)]]</f>
        <v>220.00000000000003</v>
      </c>
      <c r="V547" s="179">
        <f>IF(T547&gt;0,Ruimtestaat[[#This Row],[Prest. (m2 /jaar) werkdagen]]/Ruimtestaat[[#This Row],[Norm (m2/uur) werkdagen]],0)</f>
        <v>0</v>
      </c>
      <c r="W547" s="180">
        <f>Ruimtestaat[[#This Row],[uren / jaar werkdagen]]*Tariefsopbouw!$E$35</f>
        <v>0</v>
      </c>
      <c r="X547" s="149"/>
      <c r="Y547" s="149">
        <f>IF(Ruimtestaat[[#This Row],[Frequentie weekend]]&gt;0,VALUE(LEFT(X547,1))*Q547,0)</f>
        <v>0</v>
      </c>
      <c r="Z547" s="148">
        <f>IF($Y547&gt;0,VLOOKUP($J547,Ruimtegroepen[],3,FALSE)*VLOOKUP($L547,Vloersoorten[],3,FALSE)*VLOOKUP($X547,Frequenties[],3,FALSE)*VLOOKUP(Ruimtestaat[[#This Row],[Code]],Locaties[],3,FALSE),0)</f>
        <v>0</v>
      </c>
      <c r="AA547" s="148">
        <f>Ruimtestaat[[#This Row],[Uitvoeringen weekend]]*Ruimtestaat[[#This Row],[Oppervlak (netto)]]</f>
        <v>0</v>
      </c>
      <c r="AB547" s="148">
        <f>IF(Z547&gt;0,Ruimtestaat[[#This Row],[Prest. (m2 /jaar) weekend]]/Ruimtestaat[[#This Row],[Norm (m2/uur) weekend]],0)</f>
        <v>0</v>
      </c>
      <c r="AC547" s="180">
        <f>Ruimtestaat[[#This Row],[uren / jaar weekend]]*Tariefsopbouw!$D$40</f>
        <v>0</v>
      </c>
      <c r="AD547" s="179">
        <f>Ruimtestaat[[#This Row],[Prest. (m2 /jaar) weekend]]+Ruimtestaat[[#This Row],[Prest. (m2 /jaar) werkdagen]]</f>
        <v>220.00000000000003</v>
      </c>
      <c r="AE547" s="179">
        <f>Ruimtestaat[[#This Row],[uren / jaar weekend]]+Ruimtestaat[[#This Row],[uren / jaar werkdagen]]</f>
        <v>0</v>
      </c>
      <c r="AF547" s="174">
        <f>Ruimtestaat[[#This Row],[kosten / jaar weekend]]+Ruimtestaat[[#This Row],[kosten / jaar werkdagen]]</f>
        <v>0</v>
      </c>
      <c r="AG547" s="174"/>
      <c r="AH547" s="181" t="str">
        <f>IF(Ruimtestaat[[#This Row],[Frequentie werkdagen]]="","",_xlfn.CONCAT(Ruimtestaat[[#This Row],[Ruimte code]],"-",Ruimtestaat[[#This Row],[Frequentie werkdagen]]," ",Ruimtestaat[[#This Row],[Vloer code]]))</f>
        <v>5-5w S</v>
      </c>
      <c r="AI547" s="185" t="str">
        <f>_xlfn.IFNA(VLOOKUP($AH547,Programma!$F$3:$G$1101,2,0),"")</f>
        <v>_</v>
      </c>
      <c r="AJ547" s="185" t="str">
        <f>_xlfn.IFNA(VLOOKUP($AH547,Programma!$F$3:$H$1101,3,0),"")</f>
        <v>_</v>
      </c>
      <c r="AK547" s="185" t="str">
        <f>_xlfn.IFNA(VLOOKUP($AH547,Programma!$F$3:$I$1101,4,0),"")</f>
        <v>_</v>
      </c>
      <c r="AL547" s="185" t="str">
        <f>_xlfn.IFNA(VLOOKUP($AH547,Programma!$F$3:$J$1101,5,0),"")</f>
        <v>4w</v>
      </c>
      <c r="AM547" s="185" t="str">
        <f>_xlfn.IFNA(VLOOKUP($AH547,Programma!$F$3:$K$1101,6,0),"")</f>
        <v>1w</v>
      </c>
      <c r="AN547" s="185" t="str">
        <f>_xlfn.IFNA(VLOOKUP($AH547,Programma!$F$3:$L$1101,7,0),"")</f>
        <v>_</v>
      </c>
      <c r="AO547" s="185" t="str">
        <f>_xlfn.IFNA(VLOOKUP($AH547,Programma!$F$3:$M$1101,8,0),"")</f>
        <v>_</v>
      </c>
      <c r="AP547" s="185" t="str">
        <f>_xlfn.IFNA(VLOOKUP($AH547,Programma!$F$3:$N$1101,9,0),"")</f>
        <v>_</v>
      </c>
      <c r="AQ547" s="185" t="str">
        <f>_xlfn.IFNA(VLOOKUP($AH547,Programma!$F$3:$O$1101,10,0),"")</f>
        <v>_</v>
      </c>
      <c r="AR547" s="185" t="str">
        <f>_xlfn.IFNA(VLOOKUP($AH547,Programma!$F$3:$P$1101,11,0),"")</f>
        <v>_</v>
      </c>
      <c r="AS547" s="185" t="str">
        <f>_xlfn.IFNA(VLOOKUP($AH547,Programma!$F$3:$Q$1101,12,0),"")</f>
        <v>_</v>
      </c>
      <c r="AT547" s="185" t="str">
        <f>_xlfn.IFNA(VLOOKUP($AH547,Programma!$F$3:$R$1101,13,0),"")</f>
        <v>_</v>
      </c>
      <c r="AU547" s="185" t="str">
        <f>_xlfn.IFNA(VLOOKUP($AH547,Programma!$F$3:$S$1101,14,0),"")</f>
        <v>_</v>
      </c>
      <c r="AV547" s="185" t="str">
        <f>_xlfn.IFNA(VLOOKUP($AH547,Programma!$F$3:$T$1101,15,0),"")</f>
        <v>_</v>
      </c>
      <c r="AW547" s="185" t="str">
        <f>_xlfn.IFNA(VLOOKUP($AH547,Programma!$F$3:$U$1101,16,0),"")</f>
        <v>_</v>
      </c>
      <c r="AX547" s="185" t="str">
        <f>_xlfn.IFNA(VLOOKUP($AH547,Programma!$F$3:$V$1101,17,0),"")</f>
        <v>_</v>
      </c>
      <c r="AY547" s="185" t="str">
        <f>_xlfn.IFNA(VLOOKUP($AH547,Programma!$F$3:$W$1101,18,0),"")</f>
        <v>4w</v>
      </c>
      <c r="AZ547" s="185" t="str">
        <f>_xlfn.IFNA(VLOOKUP($AH547,Programma!$F$3:$X$1101,19,0),"")</f>
        <v>1w</v>
      </c>
      <c r="BA547" s="185" t="str">
        <f>_xlfn.IFNA(VLOOKUP($AH547,Programma!$F$3:$Y$1101,20,0),"")</f>
        <v>_</v>
      </c>
      <c r="BB547" s="182"/>
      <c r="BC547" s="181" t="str">
        <f>IF(Ruimtestaat[[#This Row],[Frequentie weekend]]="","",_xlfn.CONCAT(Ruimtestaat[[#This Row],[Ruimte code]],"-",Ruimtestaat[[#This Row],[Frequentie weekend]]," ",Ruimtestaat[[#This Row],[Vloer code]]))</f>
        <v/>
      </c>
      <c r="BD547" s="185" t="str">
        <f>_xlfn.IFNA(VLOOKUP($BC547,Programma!$F$3:$G$1101,2,0),"")</f>
        <v/>
      </c>
      <c r="BE547" s="185" t="str">
        <f>_xlfn.IFNA(VLOOKUP($BC547,Programma!$F$3:$H$1101,3,0),"")</f>
        <v/>
      </c>
      <c r="BF547" s="185" t="str">
        <f>_xlfn.IFNA(VLOOKUP($BC547,Programma!$F$3:$I$1101,4,0),"")</f>
        <v/>
      </c>
      <c r="BG547" s="185" t="str">
        <f>_xlfn.IFNA(VLOOKUP($BC547,Programma!$F$3:$J$1101,5,0),"")</f>
        <v/>
      </c>
      <c r="BH547" s="185" t="str">
        <f>_xlfn.IFNA(VLOOKUP($BC547,Programma!$F$3:$K$1101,6,0),"")</f>
        <v/>
      </c>
      <c r="BI547" s="185" t="str">
        <f>_xlfn.IFNA(VLOOKUP($BC547,Programma!$F$3:$L$1101,7,0),"")</f>
        <v/>
      </c>
      <c r="BJ547" s="185" t="str">
        <f>_xlfn.IFNA(VLOOKUP($BC547,Programma!$F$3:$M$1101,8,0),"")</f>
        <v/>
      </c>
      <c r="BK547" s="185" t="str">
        <f>_xlfn.IFNA(VLOOKUP($BC547,Programma!$F$3:$N$1101,9,0),"")</f>
        <v/>
      </c>
      <c r="BL547" s="185" t="str">
        <f>_xlfn.IFNA(VLOOKUP($BC547,Programma!$F$3:$O$1101,10,0),"")</f>
        <v/>
      </c>
      <c r="BM547" s="185" t="str">
        <f>_xlfn.IFNA(VLOOKUP($BC547,Programma!$F$3:$P$1101,11,0),"")</f>
        <v/>
      </c>
      <c r="BN547" s="185" t="str">
        <f>_xlfn.IFNA(VLOOKUP($BC547,Programma!$F$3:$Q$1101,12,0),"")</f>
        <v/>
      </c>
      <c r="BO547" s="185" t="str">
        <f>_xlfn.IFNA(VLOOKUP($BC547,Programma!$F$3:$R$1101,13,0),"")</f>
        <v/>
      </c>
      <c r="BP547" s="185" t="str">
        <f>_xlfn.IFNA(VLOOKUP($BC547,Programma!$F$3:$S$1101,14,0),"")</f>
        <v/>
      </c>
      <c r="BQ547" s="185" t="str">
        <f>_xlfn.IFNA(VLOOKUP($BC547,Programma!$F$3:$T$1101,15,0),"")</f>
        <v/>
      </c>
      <c r="BR547" s="185" t="str">
        <f>_xlfn.IFNA(VLOOKUP($BC547,Programma!$F$3:$U$1101,16,0),"")</f>
        <v/>
      </c>
      <c r="BS547" s="185" t="str">
        <f>_xlfn.IFNA(VLOOKUP($BC547,Programma!$F$3:$V$1101,17,0),"")</f>
        <v/>
      </c>
      <c r="BT547" s="185" t="str">
        <f>_xlfn.IFNA(VLOOKUP($BC547,Programma!$F$3:$W$1101,18,0),"")</f>
        <v/>
      </c>
      <c r="BU547" s="185" t="str">
        <f>_xlfn.IFNA(VLOOKUP($BC547,Programma!$F$3:$X$1101,19,0),"")</f>
        <v/>
      </c>
      <c r="BV547" s="185" t="str">
        <f>_xlfn.IFNA(VLOOKUP($BC547,Programma!$F$3:$Y$1101,20,0),"")</f>
        <v/>
      </c>
      <c r="BW547" s="78"/>
      <c r="BX547" s="78"/>
      <c r="BY547" s="78"/>
      <c r="BZ547" s="78"/>
      <c r="CA547" s="78"/>
      <c r="CB547" s="78"/>
      <c r="CC547" s="78"/>
      <c r="CD547" s="78"/>
      <c r="CE547" s="78"/>
      <c r="CF547" s="78"/>
      <c r="CG547" s="78"/>
      <c r="CH547" s="78"/>
      <c r="CI547" s="78"/>
      <c r="CJ547" s="78"/>
      <c r="CK547" s="78"/>
      <c r="CL547" s="78"/>
      <c r="CM547" s="78"/>
      <c r="CN547" s="78"/>
      <c r="CO547" s="78"/>
      <c r="CP547" s="78"/>
      <c r="CQ547" s="78"/>
      <c r="CR547" s="78"/>
      <c r="CS547" s="78"/>
      <c r="CT547" s="78"/>
      <c r="CU547" s="78"/>
      <c r="CV547" s="78"/>
      <c r="CW547" s="78"/>
      <c r="CX547" s="78"/>
      <c r="CY547" s="78"/>
      <c r="CZ547" s="78"/>
      <c r="DA547" s="78"/>
      <c r="DB547" s="78"/>
      <c r="DC547" s="78"/>
      <c r="DD547" s="78"/>
      <c r="DE547" s="78"/>
      <c r="DF547" s="78"/>
      <c r="DG547" s="78"/>
      <c r="DH547" s="78"/>
      <c r="DI547" s="78"/>
      <c r="DJ547" s="78"/>
      <c r="DK547" s="78"/>
      <c r="DL547" s="78"/>
      <c r="DM547" s="78"/>
      <c r="DN547" s="78"/>
      <c r="DO547" s="78"/>
      <c r="DP547" s="78"/>
      <c r="DQ547" s="78"/>
      <c r="DR547" s="78"/>
      <c r="DS547" s="78"/>
      <c r="DT547" s="78"/>
      <c r="DU547" s="78"/>
      <c r="DV547" s="78"/>
      <c r="DW547" s="78"/>
      <c r="DX547" s="78"/>
      <c r="DY547" s="78"/>
      <c r="DZ547" s="78"/>
      <c r="EA547" s="78"/>
      <c r="EB547" s="78"/>
      <c r="EC547" s="78"/>
      <c r="ED547" s="78"/>
      <c r="EE547" s="78"/>
      <c r="EF547" s="78"/>
      <c r="EG547" s="78"/>
      <c r="EH547" s="78"/>
      <c r="EI547" s="78"/>
      <c r="EJ547" s="78"/>
      <c r="EK547" s="78"/>
      <c r="EL547" s="78"/>
      <c r="EM547" s="78"/>
      <c r="EN547" s="78"/>
      <c r="EO547" s="78"/>
      <c r="EP547" s="78"/>
      <c r="EQ547" s="78"/>
      <c r="ER547" s="78"/>
      <c r="ES547" s="78"/>
      <c r="ET547" s="78"/>
      <c r="EU547" s="78"/>
      <c r="EV547" s="78"/>
      <c r="EW547" s="78"/>
      <c r="EX547" s="78"/>
      <c r="EY547" s="78"/>
      <c r="EZ547" s="78"/>
      <c r="FA547" s="78"/>
      <c r="FB547" s="78"/>
      <c r="FC547" s="78"/>
      <c r="FD547" s="78"/>
      <c r="FE547" s="78"/>
      <c r="FF547" s="78"/>
      <c r="FG547" s="78"/>
      <c r="FH547" s="78"/>
      <c r="FI547" s="78"/>
      <c r="FJ547" s="78"/>
      <c r="FK547" s="78"/>
      <c r="FL547" s="78"/>
      <c r="FM547" s="78"/>
      <c r="FN547" s="78"/>
      <c r="FO547" s="78"/>
      <c r="FP547" s="78"/>
      <c r="FQ547" s="78"/>
      <c r="FR547" s="78"/>
      <c r="FS547" s="78"/>
      <c r="FT547" s="78"/>
      <c r="FU547" s="78"/>
      <c r="FV547" s="78"/>
      <c r="FW547" s="78"/>
      <c r="FX547" s="78"/>
      <c r="FY547" s="78"/>
      <c r="FZ547" s="78"/>
      <c r="GA547" s="78"/>
      <c r="GB547" s="78"/>
      <c r="GC547" s="78"/>
      <c r="GD547" s="78"/>
      <c r="GE547" s="78"/>
      <c r="GF547" s="78"/>
      <c r="GG547" s="78"/>
      <c r="GH547" s="78"/>
      <c r="GI547" s="78"/>
      <c r="GJ547" s="78"/>
      <c r="GK547" s="78"/>
      <c r="GL547" s="78"/>
      <c r="GM547" s="78"/>
      <c r="GN547" s="78"/>
      <c r="GO547" s="78"/>
      <c r="GP547" s="78"/>
      <c r="GQ547" s="78"/>
      <c r="GR547" s="78"/>
      <c r="GS547" s="78"/>
      <c r="GT547" s="78"/>
      <c r="GU547" s="78"/>
      <c r="GV547" s="78"/>
      <c r="GW547" s="78"/>
      <c r="GX547" s="78"/>
      <c r="GY547" s="78"/>
      <c r="GZ547" s="78"/>
      <c r="HA547" s="78"/>
      <c r="HB547" s="78"/>
      <c r="HC547" s="78"/>
      <c r="HD547" s="78"/>
      <c r="HE547" s="78"/>
      <c r="HF547" s="78"/>
      <c r="HG547" s="78"/>
      <c r="HH547" s="78"/>
      <c r="HI547" s="78"/>
      <c r="HJ547" s="78"/>
      <c r="HK547" s="78"/>
    </row>
    <row r="548" spans="1:219" ht="15" customHeight="1">
      <c r="A548" s="99">
        <v>15</v>
      </c>
      <c r="B548" s="176" t="str">
        <f>VLOOKUP(Ruimtestaat[[#This Row],[Code]],Locaties[[Code]:[Locatie]],2,FALSE)</f>
        <v>Prinseschool Staringstraat</v>
      </c>
      <c r="C548" s="176" t="str">
        <f>VLOOKUP(Ruimtestaat[[#This Row],[Code]],Locaties[[#All],[Code]:[Adres]],4,FALSE)</f>
        <v>Staringstraat 15 </v>
      </c>
      <c r="D548" s="176" t="str">
        <f>VLOOKUP(Ruimtestaat[[#This Row],[Code]],Locaties[[#All],[Code]:[Postcode]],5,FALSE)</f>
        <v>7514 DE</v>
      </c>
      <c r="E548" s="176" t="str">
        <f>VLOOKUP(Ruimtestaat[[#This Row],[Code]],Locaties[#All],6,FALSE)</f>
        <v>Enschede</v>
      </c>
      <c r="F548" s="183"/>
      <c r="G548" s="99" t="s">
        <v>1714</v>
      </c>
      <c r="H548" s="99" t="s">
        <v>1736</v>
      </c>
      <c r="I548" s="183" t="s">
        <v>1681</v>
      </c>
      <c r="J548" s="99">
        <v>6</v>
      </c>
      <c r="K548" s="183" t="str">
        <f>VLOOKUP(Ruimtestaat[[#This Row],[Ruimte code]],Ruimtegroepen[[#All],[Code]:[Ruimte omschrijving]],2,FALSE)</f>
        <v>Gangen/hallen</v>
      </c>
      <c r="L548" s="149" t="s">
        <v>101</v>
      </c>
      <c r="M548" s="99" t="s">
        <v>1698</v>
      </c>
      <c r="N548" s="177">
        <v>32.200000000000003</v>
      </c>
      <c r="O548" s="177"/>
      <c r="P548" s="178" t="str">
        <f>VLOOKUP(Ruimtestaat[[#This Row],[Ruimte code]],Ruimtegroepen[],4,FALSE)</f>
        <v>Ve</v>
      </c>
      <c r="Q548" s="149">
        <v>40</v>
      </c>
      <c r="R548" s="149" t="s">
        <v>2</v>
      </c>
      <c r="S548" s="149">
        <f>IF(Q548&gt;0,IF(RIGHT(Ruimtestaat[[#This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8" s="149">
        <f>IF(S548&gt;0,VLOOKUP($J548,Ruimtegroepen[],3,FALSE)*VLOOKUP($L548,Vloersoorten[],3,FALSE)*VLOOKUP($R548,Frequenties[],3,FALSE)*VLOOKUP($A548,Locaties[],3,FALSE),0)</f>
        <v>0</v>
      </c>
      <c r="U548" s="149">
        <f>Ruimtestaat[[#This Row],[Uitvoeringen werkdagen]]*Ruimtestaat[[#This Row],[Oppervlak (netto)]]</f>
        <v>6440.0000000000009</v>
      </c>
      <c r="V548" s="179">
        <f>IF(T548&gt;0,Ruimtestaat[[#This Row],[Prest. (m2 /jaar) werkdagen]]/Ruimtestaat[[#This Row],[Norm (m2/uur) werkdagen]],0)</f>
        <v>0</v>
      </c>
      <c r="W548" s="180">
        <f>Ruimtestaat[[#This Row],[uren / jaar werkdagen]]*Tariefsopbouw!$E$35</f>
        <v>0</v>
      </c>
      <c r="X548" s="149"/>
      <c r="Y548" s="149">
        <f>IF(Ruimtestaat[[#This Row],[Frequentie weekend]]&gt;0,VALUE(LEFT(X548,1))*Q548,0)</f>
        <v>0</v>
      </c>
      <c r="Z548" s="148">
        <f>IF($Y548&gt;0,VLOOKUP($J548,Ruimtegroepen[],3,FALSE)*VLOOKUP($L548,Vloersoorten[],3,FALSE)*VLOOKUP($X548,Frequenties[],3,FALSE)*VLOOKUP(Ruimtestaat[[#This Row],[Code]],Locaties[],3,FALSE),0)</f>
        <v>0</v>
      </c>
      <c r="AA548" s="148">
        <f>Ruimtestaat[[#This Row],[Uitvoeringen weekend]]*Ruimtestaat[[#This Row],[Oppervlak (netto)]]</f>
        <v>0</v>
      </c>
      <c r="AB548" s="148">
        <f>IF(Z548&gt;0,Ruimtestaat[[#This Row],[Prest. (m2 /jaar) weekend]]/Ruimtestaat[[#This Row],[Norm (m2/uur) weekend]],0)</f>
        <v>0</v>
      </c>
      <c r="AC548" s="180">
        <f>Ruimtestaat[[#This Row],[uren / jaar weekend]]*Tariefsopbouw!$D$40</f>
        <v>0</v>
      </c>
      <c r="AD548" s="179">
        <f>Ruimtestaat[[#This Row],[Prest. (m2 /jaar) weekend]]+Ruimtestaat[[#This Row],[Prest. (m2 /jaar) werkdagen]]</f>
        <v>6440.0000000000009</v>
      </c>
      <c r="AE548" s="179">
        <f>Ruimtestaat[[#This Row],[uren / jaar weekend]]+Ruimtestaat[[#This Row],[uren / jaar werkdagen]]</f>
        <v>0</v>
      </c>
      <c r="AF548" s="174">
        <f>Ruimtestaat[[#This Row],[kosten / jaar weekend]]+Ruimtestaat[[#This Row],[kosten / jaar werkdagen]]</f>
        <v>0</v>
      </c>
      <c r="AG548" s="174"/>
      <c r="AH548" s="181" t="str">
        <f>IF(Ruimtestaat[[#This Row],[Frequentie werkdagen]]="","",_xlfn.CONCAT(Ruimtestaat[[#This Row],[Ruimte code]],"-",Ruimtestaat[[#This Row],[Frequentie werkdagen]]," ",Ruimtestaat[[#This Row],[Vloer code]]))</f>
        <v>6-5w S</v>
      </c>
      <c r="AI548" s="185" t="str">
        <f>_xlfn.IFNA(VLOOKUP($AH548,Programma!$F$3:$G$1101,2,0),"")</f>
        <v>_</v>
      </c>
      <c r="AJ548" s="185" t="str">
        <f>_xlfn.IFNA(VLOOKUP($AH548,Programma!$F$3:$H$1101,3,0),"")</f>
        <v>_</v>
      </c>
      <c r="AK548" s="185" t="str">
        <f>_xlfn.IFNA(VLOOKUP($AH548,Programma!$F$3:$I$1101,4,0),"")</f>
        <v>5w</v>
      </c>
      <c r="AL548" s="185" t="str">
        <f>_xlfn.IFNA(VLOOKUP($AH548,Programma!$F$3:$J$1101,5,0),"")</f>
        <v>_</v>
      </c>
      <c r="AM548" s="185" t="str">
        <f>_xlfn.IFNA(VLOOKUP($AH548,Programma!$F$3:$K$1101,6,0),"")</f>
        <v>5w</v>
      </c>
      <c r="AN548" s="185" t="str">
        <f>_xlfn.IFNA(VLOOKUP($AH548,Programma!$F$3:$L$1101,7,0),"")</f>
        <v>_</v>
      </c>
      <c r="AO548" s="185" t="str">
        <f>_xlfn.IFNA(VLOOKUP($AH548,Programma!$F$3:$M$1101,8,0),"")</f>
        <v>_</v>
      </c>
      <c r="AP548" s="185" t="str">
        <f>_xlfn.IFNA(VLOOKUP($AH548,Programma!$F$3:$N$1101,9,0),"")</f>
        <v>_</v>
      </c>
      <c r="AQ548" s="185" t="str">
        <f>_xlfn.IFNA(VLOOKUP($AH548,Programma!$F$3:$O$1101,10,0),"")</f>
        <v>5w</v>
      </c>
      <c r="AR548" s="185" t="str">
        <f>_xlfn.IFNA(VLOOKUP($AH548,Programma!$F$3:$P$1101,11,0),"")</f>
        <v>5w</v>
      </c>
      <c r="AS548" s="185" t="str">
        <f>_xlfn.IFNA(VLOOKUP($AH548,Programma!$F$3:$Q$1101,12,0),"")</f>
        <v>1w</v>
      </c>
      <c r="AT548" s="185" t="str">
        <f>_xlfn.IFNA(VLOOKUP($AH548,Programma!$F$3:$R$1101,13,0),"")</f>
        <v>1w</v>
      </c>
      <c r="AU548" s="185" t="str">
        <f>_xlfn.IFNA(VLOOKUP($AH548,Programma!$F$3:$S$1101,14,0),"")</f>
        <v>1m</v>
      </c>
      <c r="AV548" s="185" t="str">
        <f>_xlfn.IFNA(VLOOKUP($AH548,Programma!$F$3:$T$1101,15,0),"")</f>
        <v>2j</v>
      </c>
      <c r="AW548" s="185" t="str">
        <f>_xlfn.IFNA(VLOOKUP($AH548,Programma!$F$3:$U$1101,16,0),"")</f>
        <v>1j</v>
      </c>
      <c r="AX548" s="185" t="str">
        <f>_xlfn.IFNA(VLOOKUP($AH548,Programma!$F$3:$V$1101,17,0),"")</f>
        <v>_</v>
      </c>
      <c r="AY548" s="185" t="str">
        <f>_xlfn.IFNA(VLOOKUP($AH548,Programma!$F$3:$W$1101,18,0),"")</f>
        <v>_</v>
      </c>
      <c r="AZ548" s="185" t="str">
        <f>_xlfn.IFNA(VLOOKUP($AH548,Programma!$F$3:$X$1101,19,0),"")</f>
        <v>_</v>
      </c>
      <c r="BA548" s="185" t="str">
        <f>_xlfn.IFNA(VLOOKUP($AH548,Programma!$F$3:$Y$1101,20,0),"")</f>
        <v>_</v>
      </c>
      <c r="BB548" s="182"/>
      <c r="BC548" s="181" t="str">
        <f>IF(Ruimtestaat[[#This Row],[Frequentie weekend]]="","",_xlfn.CONCAT(Ruimtestaat[[#This Row],[Ruimte code]],"-",Ruimtestaat[[#This Row],[Frequentie weekend]]," ",Ruimtestaat[[#This Row],[Vloer code]]))</f>
        <v/>
      </c>
      <c r="BD548" s="185" t="str">
        <f>_xlfn.IFNA(VLOOKUP($BC548,Programma!$F$3:$G$1101,2,0),"")</f>
        <v/>
      </c>
      <c r="BE548" s="185" t="str">
        <f>_xlfn.IFNA(VLOOKUP($BC548,Programma!$F$3:$H$1101,3,0),"")</f>
        <v/>
      </c>
      <c r="BF548" s="185" t="str">
        <f>_xlfn.IFNA(VLOOKUP($BC548,Programma!$F$3:$I$1101,4,0),"")</f>
        <v/>
      </c>
      <c r="BG548" s="185" t="str">
        <f>_xlfn.IFNA(VLOOKUP($BC548,Programma!$F$3:$J$1101,5,0),"")</f>
        <v/>
      </c>
      <c r="BH548" s="185" t="str">
        <f>_xlfn.IFNA(VLOOKUP($BC548,Programma!$F$3:$K$1101,6,0),"")</f>
        <v/>
      </c>
      <c r="BI548" s="185" t="str">
        <f>_xlfn.IFNA(VLOOKUP($BC548,Programma!$F$3:$L$1101,7,0),"")</f>
        <v/>
      </c>
      <c r="BJ548" s="185" t="str">
        <f>_xlfn.IFNA(VLOOKUP($BC548,Programma!$F$3:$M$1101,8,0),"")</f>
        <v/>
      </c>
      <c r="BK548" s="185" t="str">
        <f>_xlfn.IFNA(VLOOKUP($BC548,Programma!$F$3:$N$1101,9,0),"")</f>
        <v/>
      </c>
      <c r="BL548" s="185" t="str">
        <f>_xlfn.IFNA(VLOOKUP($BC548,Programma!$F$3:$O$1101,10,0),"")</f>
        <v/>
      </c>
      <c r="BM548" s="185" t="str">
        <f>_xlfn.IFNA(VLOOKUP($BC548,Programma!$F$3:$P$1101,11,0),"")</f>
        <v/>
      </c>
      <c r="BN548" s="185" t="str">
        <f>_xlfn.IFNA(VLOOKUP($BC548,Programma!$F$3:$Q$1101,12,0),"")</f>
        <v/>
      </c>
      <c r="BO548" s="185" t="str">
        <f>_xlfn.IFNA(VLOOKUP($BC548,Programma!$F$3:$R$1101,13,0),"")</f>
        <v/>
      </c>
      <c r="BP548" s="185" t="str">
        <f>_xlfn.IFNA(VLOOKUP($BC548,Programma!$F$3:$S$1101,14,0),"")</f>
        <v/>
      </c>
      <c r="BQ548" s="185" t="str">
        <f>_xlfn.IFNA(VLOOKUP($BC548,Programma!$F$3:$T$1101,15,0),"")</f>
        <v/>
      </c>
      <c r="BR548" s="185" t="str">
        <f>_xlfn.IFNA(VLOOKUP($BC548,Programma!$F$3:$U$1101,16,0),"")</f>
        <v/>
      </c>
      <c r="BS548" s="185" t="str">
        <f>_xlfn.IFNA(VLOOKUP($BC548,Programma!$F$3:$V$1101,17,0),"")</f>
        <v/>
      </c>
      <c r="BT548" s="185" t="str">
        <f>_xlfn.IFNA(VLOOKUP($BC548,Programma!$F$3:$W$1101,18,0),"")</f>
        <v/>
      </c>
      <c r="BU548" s="185" t="str">
        <f>_xlfn.IFNA(VLOOKUP($BC548,Programma!$F$3:$X$1101,19,0),"")</f>
        <v/>
      </c>
      <c r="BV548" s="185" t="str">
        <f>_xlfn.IFNA(VLOOKUP($BC548,Programma!$F$3:$Y$1101,20,0),"")</f>
        <v/>
      </c>
      <c r="BW548" s="78"/>
      <c r="BX548" s="78"/>
      <c r="BY548" s="78"/>
      <c r="BZ548" s="78"/>
      <c r="CA548" s="78"/>
      <c r="CB548" s="78"/>
      <c r="CC548" s="78"/>
      <c r="CD548" s="78"/>
      <c r="CE548" s="78"/>
      <c r="CF548" s="78"/>
      <c r="CG548" s="78"/>
      <c r="CH548" s="78"/>
      <c r="CI548" s="78"/>
      <c r="CJ548" s="78"/>
      <c r="CK548" s="78"/>
      <c r="CL548" s="78"/>
      <c r="CM548" s="78"/>
      <c r="CN548" s="78"/>
      <c r="CO548" s="78"/>
      <c r="CP548" s="78"/>
      <c r="CQ548" s="78"/>
      <c r="CR548" s="78"/>
      <c r="CS548" s="78"/>
      <c r="CT548" s="78"/>
      <c r="CU548" s="78"/>
      <c r="CV548" s="78"/>
      <c r="CW548" s="78"/>
      <c r="CX548" s="78"/>
      <c r="CY548" s="78"/>
      <c r="CZ548" s="78"/>
      <c r="DA548" s="78"/>
      <c r="DB548" s="78"/>
      <c r="DC548" s="78"/>
      <c r="DD548" s="78"/>
      <c r="DE548" s="78"/>
      <c r="DF548" s="78"/>
      <c r="DG548" s="78"/>
      <c r="DH548" s="78"/>
      <c r="DI548" s="78"/>
      <c r="DJ548" s="78"/>
      <c r="DK548" s="78"/>
      <c r="DL548" s="78"/>
      <c r="DM548" s="78"/>
      <c r="DN548" s="78"/>
      <c r="DO548" s="78"/>
      <c r="DP548" s="78"/>
      <c r="DQ548" s="78"/>
      <c r="DR548" s="78"/>
      <c r="DS548" s="78"/>
      <c r="DT548" s="78"/>
      <c r="DU548" s="78"/>
      <c r="DV548" s="78"/>
      <c r="DW548" s="78"/>
      <c r="DX548" s="78"/>
      <c r="DY548" s="78"/>
      <c r="DZ548" s="78"/>
      <c r="EA548" s="78"/>
      <c r="EB548" s="78"/>
      <c r="EC548" s="78"/>
      <c r="ED548" s="78"/>
      <c r="EE548" s="78"/>
      <c r="EF548" s="78"/>
      <c r="EG548" s="78"/>
      <c r="EH548" s="78"/>
      <c r="EI548" s="78"/>
      <c r="EJ548" s="78"/>
      <c r="EK548" s="78"/>
      <c r="EL548" s="78"/>
      <c r="EM548" s="78"/>
      <c r="EN548" s="78"/>
      <c r="EO548" s="78"/>
      <c r="EP548" s="78"/>
      <c r="EQ548" s="78"/>
      <c r="ER548" s="78"/>
      <c r="ES548" s="78"/>
      <c r="ET548" s="78"/>
      <c r="EU548" s="78"/>
      <c r="EV548" s="78"/>
      <c r="EW548" s="78"/>
      <c r="EX548" s="78"/>
      <c r="EY548" s="78"/>
      <c r="EZ548" s="78"/>
      <c r="FA548" s="78"/>
      <c r="FB548" s="78"/>
      <c r="FC548" s="78"/>
      <c r="FD548" s="78"/>
      <c r="FE548" s="78"/>
      <c r="FF548" s="78"/>
      <c r="FG548" s="78"/>
      <c r="FH548" s="78"/>
      <c r="FI548" s="78"/>
      <c r="FJ548" s="78"/>
      <c r="FK548" s="78"/>
      <c r="FL548" s="78"/>
      <c r="FM548" s="78"/>
      <c r="FN548" s="78"/>
      <c r="FO548" s="78"/>
      <c r="FP548" s="78"/>
      <c r="FQ548" s="78"/>
      <c r="FR548" s="78"/>
      <c r="FS548" s="78"/>
      <c r="FT548" s="78"/>
      <c r="FU548" s="78"/>
      <c r="FV548" s="78"/>
      <c r="FW548" s="78"/>
      <c r="FX548" s="78"/>
      <c r="FY548" s="78"/>
      <c r="FZ548" s="78"/>
      <c r="GA548" s="78"/>
      <c r="GB548" s="78"/>
      <c r="GC548" s="78"/>
      <c r="GD548" s="78"/>
      <c r="GE548" s="78"/>
      <c r="GF548" s="78"/>
      <c r="GG548" s="78"/>
      <c r="GH548" s="78"/>
      <c r="GI548" s="78"/>
      <c r="GJ548" s="78"/>
      <c r="GK548" s="78"/>
      <c r="GL548" s="78"/>
      <c r="GM548" s="78"/>
      <c r="GN548" s="78"/>
      <c r="GO548" s="78"/>
      <c r="GP548" s="78"/>
      <c r="GQ548" s="78"/>
      <c r="GR548" s="78"/>
      <c r="GS548" s="78"/>
      <c r="GT548" s="78"/>
      <c r="GU548" s="78"/>
      <c r="GV548" s="78"/>
      <c r="GW548" s="78"/>
      <c r="GX548" s="78"/>
      <c r="GY548" s="78"/>
      <c r="GZ548" s="78"/>
      <c r="HA548" s="78"/>
      <c r="HB548" s="78"/>
      <c r="HC548" s="78"/>
      <c r="HD548" s="78"/>
      <c r="HE548" s="78"/>
      <c r="HF548" s="78"/>
      <c r="HG548" s="78"/>
      <c r="HH548" s="78"/>
      <c r="HI548" s="78"/>
      <c r="HJ548" s="78"/>
      <c r="HK548" s="78"/>
    </row>
    <row r="549" spans="1:219" ht="15" customHeight="1">
      <c r="A549" s="99">
        <v>15</v>
      </c>
      <c r="B549" s="176" t="str">
        <f>VLOOKUP(Ruimtestaat[[#This Row],[Code]],Locaties[[Code]:[Locatie]],2,FALSE)</f>
        <v>Prinseschool Staringstraat</v>
      </c>
      <c r="C549" s="176" t="str">
        <f>VLOOKUP(Ruimtestaat[[#This Row],[Code]],Locaties[[#All],[Code]:[Adres]],4,FALSE)</f>
        <v>Staringstraat 15 </v>
      </c>
      <c r="D549" s="176" t="str">
        <f>VLOOKUP(Ruimtestaat[[#This Row],[Code]],Locaties[[#All],[Code]:[Postcode]],5,FALSE)</f>
        <v>7514 DE</v>
      </c>
      <c r="E549" s="176" t="str">
        <f>VLOOKUP(Ruimtestaat[[#This Row],[Code]],Locaties[#All],6,FALSE)</f>
        <v>Enschede</v>
      </c>
      <c r="F549" s="183"/>
      <c r="G549" s="99" t="s">
        <v>1714</v>
      </c>
      <c r="H549" s="99" t="s">
        <v>1737</v>
      </c>
      <c r="I549" s="183" t="s">
        <v>1702</v>
      </c>
      <c r="J549" s="99">
        <v>10</v>
      </c>
      <c r="K549" s="183" t="str">
        <f>VLOOKUP(Ruimtestaat[[#This Row],[Ruimte code]],Ruimtegroepen[[#All],[Code]:[Ruimte omschrijving]],2,FALSE)</f>
        <v>Trappenhuizen/lift</v>
      </c>
      <c r="L549" s="149" t="s">
        <v>100</v>
      </c>
      <c r="M549" s="99" t="s">
        <v>1697</v>
      </c>
      <c r="N549" s="177">
        <v>13.9</v>
      </c>
      <c r="O549" s="177"/>
      <c r="P549" s="178" t="str">
        <f>VLOOKUP(Ruimtestaat[[#This Row],[Ruimte code]],Ruimtegroepen[],4,FALSE)</f>
        <v>Ve</v>
      </c>
      <c r="Q549" s="149">
        <v>40</v>
      </c>
      <c r="R549" s="149" t="s">
        <v>2</v>
      </c>
      <c r="S549" s="149">
        <f>IF(Q549&gt;0,IF(RIGHT(Ruimtestaat[[#This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9" s="149">
        <f>IF(S549&gt;0,VLOOKUP($J549,Ruimtegroepen[],3,FALSE)*VLOOKUP($L549,Vloersoorten[],3,FALSE)*VLOOKUP($R549,Frequenties[],3,FALSE)*VLOOKUP($A549,Locaties[],3,FALSE),0)</f>
        <v>0</v>
      </c>
      <c r="U549" s="149">
        <f>Ruimtestaat[[#This Row],[Uitvoeringen werkdagen]]*Ruimtestaat[[#This Row],[Oppervlak (netto)]]</f>
        <v>2780</v>
      </c>
      <c r="V549" s="179">
        <f>IF(T549&gt;0,Ruimtestaat[[#This Row],[Prest. (m2 /jaar) werkdagen]]/Ruimtestaat[[#This Row],[Norm (m2/uur) werkdagen]],0)</f>
        <v>0</v>
      </c>
      <c r="W549" s="180">
        <f>Ruimtestaat[[#This Row],[uren / jaar werkdagen]]*Tariefsopbouw!$E$35</f>
        <v>0</v>
      </c>
      <c r="X549" s="149"/>
      <c r="Y549" s="149">
        <f>IF(Ruimtestaat[[#This Row],[Frequentie weekend]]&gt;0,VALUE(LEFT(X549,1))*Q549,0)</f>
        <v>0</v>
      </c>
      <c r="Z549" s="148">
        <f>IF($Y549&gt;0,VLOOKUP($J549,Ruimtegroepen[],3,FALSE)*VLOOKUP($L549,Vloersoorten[],3,FALSE)*VLOOKUP($X549,Frequenties[],3,FALSE)*VLOOKUP(Ruimtestaat[[#This Row],[Code]],Locaties[],3,FALSE),0)</f>
        <v>0</v>
      </c>
      <c r="AA549" s="148">
        <f>Ruimtestaat[[#This Row],[Uitvoeringen weekend]]*Ruimtestaat[[#This Row],[Oppervlak (netto)]]</f>
        <v>0</v>
      </c>
      <c r="AB549" s="148">
        <f>IF(Z549&gt;0,Ruimtestaat[[#This Row],[Prest. (m2 /jaar) weekend]]/Ruimtestaat[[#This Row],[Norm (m2/uur) weekend]],0)</f>
        <v>0</v>
      </c>
      <c r="AC549" s="180">
        <f>Ruimtestaat[[#This Row],[uren / jaar weekend]]*Tariefsopbouw!$D$40</f>
        <v>0</v>
      </c>
      <c r="AD549" s="179">
        <f>Ruimtestaat[[#This Row],[Prest. (m2 /jaar) weekend]]+Ruimtestaat[[#This Row],[Prest. (m2 /jaar) werkdagen]]</f>
        <v>2780</v>
      </c>
      <c r="AE549" s="179">
        <f>Ruimtestaat[[#This Row],[uren / jaar weekend]]+Ruimtestaat[[#This Row],[uren / jaar werkdagen]]</f>
        <v>0</v>
      </c>
      <c r="AF549" s="174">
        <f>Ruimtestaat[[#This Row],[kosten / jaar weekend]]+Ruimtestaat[[#This Row],[kosten / jaar werkdagen]]</f>
        <v>0</v>
      </c>
      <c r="AG549" s="174"/>
      <c r="AH549" s="181" t="str">
        <f>IF(Ruimtestaat[[#This Row],[Frequentie werkdagen]]="","",_xlfn.CONCAT(Ruimtestaat[[#This Row],[Ruimte code]],"-",Ruimtestaat[[#This Row],[Frequentie werkdagen]]," ",Ruimtestaat[[#This Row],[Vloer code]]))</f>
        <v>10-5w L</v>
      </c>
      <c r="AI549" s="185" t="str">
        <f>_xlfn.IFNA(VLOOKUP($AH549,Programma!$F$3:$G$1101,2,0),"")</f>
        <v>_</v>
      </c>
      <c r="AJ549" s="185" t="str">
        <f>_xlfn.IFNA(VLOOKUP($AH549,Programma!$F$3:$H$1101,3,0),"")</f>
        <v>_</v>
      </c>
      <c r="AK549" s="185" t="str">
        <f>_xlfn.IFNA(VLOOKUP($AH549,Programma!$F$3:$I$1101,4,0),"")</f>
        <v>4w</v>
      </c>
      <c r="AL549" s="185" t="str">
        <f>_xlfn.IFNA(VLOOKUP($AH549,Programma!$F$3:$J$1101,5,0),"")</f>
        <v>1w</v>
      </c>
      <c r="AM549" s="185" t="str">
        <f>_xlfn.IFNA(VLOOKUP($AH549,Programma!$F$3:$K$1101,6,0),"")</f>
        <v>_</v>
      </c>
      <c r="AN549" s="185" t="str">
        <f>_xlfn.IFNA(VLOOKUP($AH549,Programma!$F$3:$L$1101,7,0),"")</f>
        <v>_</v>
      </c>
      <c r="AO549" s="185" t="str">
        <f>_xlfn.IFNA(VLOOKUP($AH549,Programma!$F$3:$M$1101,8,0),"")</f>
        <v>_</v>
      </c>
      <c r="AP549" s="185" t="str">
        <f>_xlfn.IFNA(VLOOKUP($AH549,Programma!$F$3:$N$1101,9,0),"")</f>
        <v>_</v>
      </c>
      <c r="AQ549" s="185" t="str">
        <f>_xlfn.IFNA(VLOOKUP($AH549,Programma!$F$3:$O$1101,10,0),"")</f>
        <v>5w</v>
      </c>
      <c r="AR549" s="185" t="str">
        <f>_xlfn.IFNA(VLOOKUP($AH549,Programma!$F$3:$P$1101,11,0),"")</f>
        <v>5w</v>
      </c>
      <c r="AS549" s="185" t="str">
        <f>_xlfn.IFNA(VLOOKUP($AH549,Programma!$F$3:$Q$1101,12,0),"")</f>
        <v>1w</v>
      </c>
      <c r="AT549" s="185" t="str">
        <f>_xlfn.IFNA(VLOOKUP($AH549,Programma!$F$3:$R$1101,13,0),"")</f>
        <v>1w</v>
      </c>
      <c r="AU549" s="185" t="str">
        <f>_xlfn.IFNA(VLOOKUP($AH549,Programma!$F$3:$S$1101,14,0),"")</f>
        <v>1m</v>
      </c>
      <c r="AV549" s="185" t="str">
        <f>_xlfn.IFNA(VLOOKUP($AH549,Programma!$F$3:$T$1101,15,0),"")</f>
        <v>2j</v>
      </c>
      <c r="AW549" s="185" t="str">
        <f>_xlfn.IFNA(VLOOKUP($AH549,Programma!$F$3:$U$1101,16,0),"")</f>
        <v>1j</v>
      </c>
      <c r="AX549" s="185" t="str">
        <f>_xlfn.IFNA(VLOOKUP($AH549,Programma!$F$3:$V$1101,17,0),"")</f>
        <v>_</v>
      </c>
      <c r="AY549" s="185" t="str">
        <f>_xlfn.IFNA(VLOOKUP($AH549,Programma!$F$3:$W$1101,18,0),"")</f>
        <v>_</v>
      </c>
      <c r="AZ549" s="185" t="str">
        <f>_xlfn.IFNA(VLOOKUP($AH549,Programma!$F$3:$X$1101,19,0),"")</f>
        <v>_</v>
      </c>
      <c r="BA549" s="185" t="str">
        <f>_xlfn.IFNA(VLOOKUP($AH549,Programma!$F$3:$Y$1101,20,0),"")</f>
        <v>_</v>
      </c>
      <c r="BB549" s="182"/>
      <c r="BC549" s="181" t="str">
        <f>IF(Ruimtestaat[[#This Row],[Frequentie weekend]]="","",_xlfn.CONCAT(Ruimtestaat[[#This Row],[Ruimte code]],"-",Ruimtestaat[[#This Row],[Frequentie weekend]]," ",Ruimtestaat[[#This Row],[Vloer code]]))</f>
        <v/>
      </c>
      <c r="BD549" s="185" t="str">
        <f>_xlfn.IFNA(VLOOKUP($BC549,Programma!$F$3:$G$1101,2,0),"")</f>
        <v/>
      </c>
      <c r="BE549" s="185" t="str">
        <f>_xlfn.IFNA(VLOOKUP($BC549,Programma!$F$3:$H$1101,3,0),"")</f>
        <v/>
      </c>
      <c r="BF549" s="185" t="str">
        <f>_xlfn.IFNA(VLOOKUP($BC549,Programma!$F$3:$I$1101,4,0),"")</f>
        <v/>
      </c>
      <c r="BG549" s="185" t="str">
        <f>_xlfn.IFNA(VLOOKUP($BC549,Programma!$F$3:$J$1101,5,0),"")</f>
        <v/>
      </c>
      <c r="BH549" s="185" t="str">
        <f>_xlfn.IFNA(VLOOKUP($BC549,Programma!$F$3:$K$1101,6,0),"")</f>
        <v/>
      </c>
      <c r="BI549" s="185" t="str">
        <f>_xlfn.IFNA(VLOOKUP($BC549,Programma!$F$3:$L$1101,7,0),"")</f>
        <v/>
      </c>
      <c r="BJ549" s="185" t="str">
        <f>_xlfn.IFNA(VLOOKUP($BC549,Programma!$F$3:$M$1101,8,0),"")</f>
        <v/>
      </c>
      <c r="BK549" s="185" t="str">
        <f>_xlfn.IFNA(VLOOKUP($BC549,Programma!$F$3:$N$1101,9,0),"")</f>
        <v/>
      </c>
      <c r="BL549" s="185" t="str">
        <f>_xlfn.IFNA(VLOOKUP($BC549,Programma!$F$3:$O$1101,10,0),"")</f>
        <v/>
      </c>
      <c r="BM549" s="185" t="str">
        <f>_xlfn.IFNA(VLOOKUP($BC549,Programma!$F$3:$P$1101,11,0),"")</f>
        <v/>
      </c>
      <c r="BN549" s="185" t="str">
        <f>_xlfn.IFNA(VLOOKUP($BC549,Programma!$F$3:$Q$1101,12,0),"")</f>
        <v/>
      </c>
      <c r="BO549" s="185" t="str">
        <f>_xlfn.IFNA(VLOOKUP($BC549,Programma!$F$3:$R$1101,13,0),"")</f>
        <v/>
      </c>
      <c r="BP549" s="185" t="str">
        <f>_xlfn.IFNA(VLOOKUP($BC549,Programma!$F$3:$S$1101,14,0),"")</f>
        <v/>
      </c>
      <c r="BQ549" s="185" t="str">
        <f>_xlfn.IFNA(VLOOKUP($BC549,Programma!$F$3:$T$1101,15,0),"")</f>
        <v/>
      </c>
      <c r="BR549" s="185" t="str">
        <f>_xlfn.IFNA(VLOOKUP($BC549,Programma!$F$3:$U$1101,16,0),"")</f>
        <v/>
      </c>
      <c r="BS549" s="185" t="str">
        <f>_xlfn.IFNA(VLOOKUP($BC549,Programma!$F$3:$V$1101,17,0),"")</f>
        <v/>
      </c>
      <c r="BT549" s="185" t="str">
        <f>_xlfn.IFNA(VLOOKUP($BC549,Programma!$F$3:$W$1101,18,0),"")</f>
        <v/>
      </c>
      <c r="BU549" s="185" t="str">
        <f>_xlfn.IFNA(VLOOKUP($BC549,Programma!$F$3:$X$1101,19,0),"")</f>
        <v/>
      </c>
      <c r="BV549" s="185" t="str">
        <f>_xlfn.IFNA(VLOOKUP($BC549,Programma!$F$3:$Y$1101,20,0),"")</f>
        <v/>
      </c>
      <c r="BW549" s="78"/>
      <c r="BX549" s="78"/>
      <c r="BY549" s="78"/>
      <c r="BZ549" s="78"/>
      <c r="CA549" s="78"/>
      <c r="CB549" s="78"/>
      <c r="CC549" s="78"/>
      <c r="CD549" s="78"/>
      <c r="CE549" s="78"/>
      <c r="CF549" s="78"/>
      <c r="CG549" s="78"/>
      <c r="CH549" s="78"/>
      <c r="CI549" s="78"/>
      <c r="CJ549" s="78"/>
      <c r="CK549" s="78"/>
      <c r="CL549" s="78"/>
      <c r="CM549" s="78"/>
      <c r="CN549" s="78"/>
      <c r="CO549" s="78"/>
      <c r="CP549" s="78"/>
      <c r="CQ549" s="78"/>
      <c r="CR549" s="78"/>
      <c r="CS549" s="78"/>
      <c r="CT549" s="78"/>
      <c r="CU549" s="78"/>
      <c r="CV549" s="78"/>
      <c r="CW549" s="78"/>
      <c r="CX549" s="78"/>
      <c r="CY549" s="78"/>
      <c r="CZ549" s="78"/>
      <c r="DA549" s="78"/>
      <c r="DB549" s="78"/>
      <c r="DC549" s="78"/>
      <c r="DD549" s="78"/>
      <c r="DE549" s="78"/>
      <c r="DF549" s="78"/>
      <c r="DG549" s="78"/>
      <c r="DH549" s="78"/>
      <c r="DI549" s="78"/>
      <c r="DJ549" s="78"/>
      <c r="DK549" s="78"/>
      <c r="DL549" s="78"/>
      <c r="DM549" s="78"/>
      <c r="DN549" s="78"/>
      <c r="DO549" s="78"/>
      <c r="DP549" s="78"/>
      <c r="DQ549" s="78"/>
      <c r="DR549" s="78"/>
      <c r="DS549" s="78"/>
      <c r="DT549" s="78"/>
      <c r="DU549" s="78"/>
      <c r="DV549" s="78"/>
      <c r="DW549" s="78"/>
      <c r="DX549" s="78"/>
      <c r="DY549" s="78"/>
      <c r="DZ549" s="78"/>
      <c r="EA549" s="78"/>
      <c r="EB549" s="78"/>
      <c r="EC549" s="78"/>
      <c r="ED549" s="78"/>
      <c r="EE549" s="78"/>
      <c r="EF549" s="78"/>
      <c r="EG549" s="78"/>
      <c r="EH549" s="78"/>
      <c r="EI549" s="78"/>
      <c r="EJ549" s="78"/>
      <c r="EK549" s="78"/>
      <c r="EL549" s="78"/>
      <c r="EM549" s="78"/>
      <c r="EN549" s="78"/>
      <c r="EO549" s="78"/>
      <c r="EP549" s="78"/>
      <c r="EQ549" s="78"/>
      <c r="ER549" s="78"/>
      <c r="ES549" s="78"/>
      <c r="ET549" s="78"/>
      <c r="EU549" s="78"/>
      <c r="EV549" s="78"/>
      <c r="EW549" s="78"/>
      <c r="EX549" s="78"/>
      <c r="EY549" s="78"/>
      <c r="EZ549" s="78"/>
      <c r="FA549" s="78"/>
      <c r="FB549" s="78"/>
      <c r="FC549" s="78"/>
      <c r="FD549" s="78"/>
      <c r="FE549" s="78"/>
      <c r="FF549" s="78"/>
      <c r="FG549" s="78"/>
      <c r="FH549" s="78"/>
      <c r="FI549" s="78"/>
      <c r="FJ549" s="78"/>
      <c r="FK549" s="78"/>
      <c r="FL549" s="78"/>
      <c r="FM549" s="78"/>
      <c r="FN549" s="78"/>
      <c r="FO549" s="78"/>
      <c r="FP549" s="78"/>
      <c r="FQ549" s="78"/>
      <c r="FR549" s="78"/>
      <c r="FS549" s="78"/>
      <c r="FT549" s="78"/>
      <c r="FU549" s="78"/>
      <c r="FV549" s="78"/>
      <c r="FW549" s="78"/>
      <c r="FX549" s="78"/>
      <c r="FY549" s="78"/>
      <c r="FZ549" s="78"/>
      <c r="GA549" s="78"/>
      <c r="GB549" s="78"/>
      <c r="GC549" s="78"/>
      <c r="GD549" s="78"/>
      <c r="GE549" s="78"/>
      <c r="GF549" s="78"/>
      <c r="GG549" s="78"/>
      <c r="GH549" s="78"/>
      <c r="GI549" s="78"/>
      <c r="GJ549" s="78"/>
      <c r="GK549" s="78"/>
      <c r="GL549" s="78"/>
      <c r="GM549" s="78"/>
      <c r="GN549" s="78"/>
      <c r="GO549" s="78"/>
      <c r="GP549" s="78"/>
      <c r="GQ549" s="78"/>
      <c r="GR549" s="78"/>
      <c r="GS549" s="78"/>
      <c r="GT549" s="78"/>
      <c r="GU549" s="78"/>
      <c r="GV549" s="78"/>
      <c r="GW549" s="78"/>
      <c r="GX549" s="78"/>
      <c r="GY549" s="78"/>
      <c r="GZ549" s="78"/>
      <c r="HA549" s="78"/>
      <c r="HB549" s="78"/>
      <c r="HC549" s="78"/>
      <c r="HD549" s="78"/>
      <c r="HE549" s="78"/>
      <c r="HF549" s="78"/>
      <c r="HG549" s="78"/>
      <c r="HH549" s="78"/>
      <c r="HI549" s="78"/>
      <c r="HJ549" s="78"/>
      <c r="HK549" s="78"/>
    </row>
    <row r="550" spans="1:219" ht="15" customHeight="1">
      <c r="A550" s="99">
        <v>16</v>
      </c>
      <c r="B550" s="176" t="str">
        <f>VLOOKUP(Ruimtestaat[[#This Row],[Code]],Locaties[[Code]:[Locatie]],2,FALSE)</f>
        <v>SBO Het Pontem (College)</v>
      </c>
      <c r="C550" s="176" t="str">
        <f>VLOOKUP(Ruimtestaat[[#This Row],[Code]],Locaties[[#All],[Code]:[Adres]],4,FALSE)</f>
        <v>Poolmansweg 245</v>
      </c>
      <c r="D550" s="176" t="str">
        <f>VLOOKUP(Ruimtestaat[[#This Row],[Code]],Locaties[[#All],[Code]:[Postcode]],5,FALSE)</f>
        <v>7545 LR</v>
      </c>
      <c r="E550" s="176" t="str">
        <f>VLOOKUP(Ruimtestaat[[#This Row],[Code]],Locaties[#All],6,FALSE)</f>
        <v>Enschede</v>
      </c>
      <c r="F550" s="183"/>
      <c r="G550" s="99" t="s">
        <v>1646</v>
      </c>
      <c r="H550" s="99" t="s">
        <v>1647</v>
      </c>
      <c r="I550" s="183" t="s">
        <v>38</v>
      </c>
      <c r="J550" s="99">
        <v>7</v>
      </c>
      <c r="K550" s="183" t="str">
        <f>VLOOKUP(Ruimtestaat[[#This Row],[Ruimte code]],Ruimtegroepen[[#All],[Code]:[Ruimte omschrijving]],2,FALSE)</f>
        <v>Entree</v>
      </c>
      <c r="L550" s="149" t="s">
        <v>99</v>
      </c>
      <c r="M550" s="99" t="s">
        <v>1700</v>
      </c>
      <c r="N550" s="177">
        <v>19.7</v>
      </c>
      <c r="O550" s="177"/>
      <c r="P550" s="178" t="str">
        <f>VLOOKUP(Ruimtestaat[[#This Row],[Ruimte code]],Ruimtegroepen[],4,FALSE)</f>
        <v>Ve</v>
      </c>
      <c r="Q550" s="149">
        <v>40</v>
      </c>
      <c r="R550" s="149" t="s">
        <v>2</v>
      </c>
      <c r="S550" s="149">
        <f>IF(Q550&gt;0,IF(RIGHT(Ruimtestaat[[#This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0" s="149">
        <f>IF(S550&gt;0,VLOOKUP($J550,Ruimtegroepen[],3,FALSE)*VLOOKUP($L550,Vloersoorten[],3,FALSE)*VLOOKUP($R550,Frequenties[],3,FALSE)*VLOOKUP($A550,Locaties[],3,FALSE),0)</f>
        <v>0</v>
      </c>
      <c r="U550" s="149">
        <f>Ruimtestaat[[#This Row],[Uitvoeringen werkdagen]]*Ruimtestaat[[#This Row],[Oppervlak (netto)]]</f>
        <v>3940</v>
      </c>
      <c r="V550" s="179">
        <f>IF(T550&gt;0,Ruimtestaat[[#This Row],[Prest. (m2 /jaar) werkdagen]]/Ruimtestaat[[#This Row],[Norm (m2/uur) werkdagen]],0)</f>
        <v>0</v>
      </c>
      <c r="W550" s="180">
        <f>Ruimtestaat[[#This Row],[uren / jaar werkdagen]]*Tariefsopbouw!$E$35</f>
        <v>0</v>
      </c>
      <c r="X550" s="149"/>
      <c r="Y550" s="149">
        <f>IF(Ruimtestaat[[#This Row],[Frequentie weekend]]&gt;0,VALUE(LEFT(X550,1))*Q550,0)</f>
        <v>0</v>
      </c>
      <c r="Z550" s="148">
        <f>IF($Y550&gt;0,VLOOKUP($J550,Ruimtegroepen[],3,FALSE)*VLOOKUP($L550,Vloersoorten[],3,FALSE)*VLOOKUP($X550,Frequenties[],3,FALSE)*VLOOKUP(Ruimtestaat[[#This Row],[Code]],Locaties[],3,FALSE),0)</f>
        <v>0</v>
      </c>
      <c r="AA550" s="148">
        <f>Ruimtestaat[[#This Row],[Uitvoeringen weekend]]*Ruimtestaat[[#This Row],[Oppervlak (netto)]]</f>
        <v>0</v>
      </c>
      <c r="AB550" s="148">
        <f>IF(Z550&gt;0,Ruimtestaat[[#This Row],[Prest. (m2 /jaar) weekend]]/Ruimtestaat[[#This Row],[Norm (m2/uur) weekend]],0)</f>
        <v>0</v>
      </c>
      <c r="AC550" s="180">
        <f>Ruimtestaat[[#This Row],[uren / jaar weekend]]*Tariefsopbouw!$D$40</f>
        <v>0</v>
      </c>
      <c r="AD550" s="179">
        <f>Ruimtestaat[[#This Row],[Prest. (m2 /jaar) weekend]]+Ruimtestaat[[#This Row],[Prest. (m2 /jaar) werkdagen]]</f>
        <v>3940</v>
      </c>
      <c r="AE550" s="179">
        <f>Ruimtestaat[[#This Row],[uren / jaar weekend]]+Ruimtestaat[[#This Row],[uren / jaar werkdagen]]</f>
        <v>0</v>
      </c>
      <c r="AF550" s="174">
        <f>Ruimtestaat[[#This Row],[kosten / jaar weekend]]+Ruimtestaat[[#This Row],[kosten / jaar werkdagen]]</f>
        <v>0</v>
      </c>
      <c r="AG550" s="174"/>
      <c r="AH550" s="181" t="str">
        <f>IF(Ruimtestaat[[#This Row],[Frequentie werkdagen]]="","",_xlfn.CONCAT(Ruimtestaat[[#This Row],[Ruimte code]],"-",Ruimtestaat[[#This Row],[Frequentie werkdagen]]," ",Ruimtestaat[[#This Row],[Vloer code]]))</f>
        <v>7-5w T</v>
      </c>
      <c r="AI550" s="185" t="str">
        <f>_xlfn.IFNA(VLOOKUP($AH550,Programma!$F$3:$G$1101,2,0),"")</f>
        <v>_</v>
      </c>
      <c r="AJ550" s="185" t="str">
        <f>_xlfn.IFNA(VLOOKUP($AH550,Programma!$F$3:$H$1101,3,0),"")</f>
        <v>5w</v>
      </c>
      <c r="AK550" s="185" t="str">
        <f>_xlfn.IFNA(VLOOKUP($AH550,Programma!$F$3:$I$1101,4,0),"")</f>
        <v>_</v>
      </c>
      <c r="AL550" s="185" t="str">
        <f>_xlfn.IFNA(VLOOKUP($AH550,Programma!$F$3:$J$1101,5,0),"")</f>
        <v>_</v>
      </c>
      <c r="AM550" s="185" t="str">
        <f>_xlfn.IFNA(VLOOKUP($AH550,Programma!$F$3:$K$1101,6,0),"")</f>
        <v>_</v>
      </c>
      <c r="AN550" s="185" t="str">
        <f>_xlfn.IFNA(VLOOKUP($AH550,Programma!$F$3:$L$1101,7,0),"")</f>
        <v>_</v>
      </c>
      <c r="AO550" s="185" t="str">
        <f>_xlfn.IFNA(VLOOKUP($AH550,Programma!$F$3:$M$1101,8,0),"")</f>
        <v>_</v>
      </c>
      <c r="AP550" s="185" t="str">
        <f>_xlfn.IFNA(VLOOKUP($AH550,Programma!$F$3:$N$1101,9,0),"")</f>
        <v>_</v>
      </c>
      <c r="AQ550" s="185" t="str">
        <f>_xlfn.IFNA(VLOOKUP($AH550,Programma!$F$3:$O$1101,10,0),"")</f>
        <v>5w</v>
      </c>
      <c r="AR550" s="185" t="str">
        <f>_xlfn.IFNA(VLOOKUP($AH550,Programma!$F$3:$P$1101,11,0),"")</f>
        <v>5w</v>
      </c>
      <c r="AS550" s="185" t="str">
        <f>_xlfn.IFNA(VLOOKUP($AH550,Programma!$F$3:$Q$1101,12,0),"")</f>
        <v>1w</v>
      </c>
      <c r="AT550" s="185" t="str">
        <f>_xlfn.IFNA(VLOOKUP($AH550,Programma!$F$3:$R$1101,13,0),"")</f>
        <v>1w</v>
      </c>
      <c r="AU550" s="185" t="str">
        <f>_xlfn.IFNA(VLOOKUP($AH550,Programma!$F$3:$S$1101,14,0),"")</f>
        <v>1m</v>
      </c>
      <c r="AV550" s="185" t="str">
        <f>_xlfn.IFNA(VLOOKUP($AH550,Programma!$F$3:$T$1101,15,0),"")</f>
        <v>2j</v>
      </c>
      <c r="AW550" s="185" t="str">
        <f>_xlfn.IFNA(VLOOKUP($AH550,Programma!$F$3:$U$1101,16,0),"")</f>
        <v>1j</v>
      </c>
      <c r="AX550" s="185" t="str">
        <f>_xlfn.IFNA(VLOOKUP($AH550,Programma!$F$3:$V$1101,17,0),"")</f>
        <v>_</v>
      </c>
      <c r="AY550" s="185" t="str">
        <f>_xlfn.IFNA(VLOOKUP($AH550,Programma!$F$3:$W$1101,18,0),"")</f>
        <v>_</v>
      </c>
      <c r="AZ550" s="185" t="str">
        <f>_xlfn.IFNA(VLOOKUP($AH550,Programma!$F$3:$X$1101,19,0),"")</f>
        <v>_</v>
      </c>
      <c r="BA550" s="185" t="str">
        <f>_xlfn.IFNA(VLOOKUP($AH550,Programma!$F$3:$Y$1101,20,0),"")</f>
        <v>_</v>
      </c>
      <c r="BB550" s="182"/>
      <c r="BC550" s="181" t="str">
        <f>IF(Ruimtestaat[[#This Row],[Frequentie weekend]]="","",_xlfn.CONCAT(Ruimtestaat[[#This Row],[Ruimte code]],"-",Ruimtestaat[[#This Row],[Frequentie weekend]]," ",Ruimtestaat[[#This Row],[Vloer code]]))</f>
        <v/>
      </c>
      <c r="BD550" s="185" t="str">
        <f>_xlfn.IFNA(VLOOKUP($BC550,Programma!$F$3:$G$1101,2,0),"")</f>
        <v/>
      </c>
      <c r="BE550" s="185" t="str">
        <f>_xlfn.IFNA(VLOOKUP($BC550,Programma!$F$3:$H$1101,3,0),"")</f>
        <v/>
      </c>
      <c r="BF550" s="185" t="str">
        <f>_xlfn.IFNA(VLOOKUP($BC550,Programma!$F$3:$I$1101,4,0),"")</f>
        <v/>
      </c>
      <c r="BG550" s="185" t="str">
        <f>_xlfn.IFNA(VLOOKUP($BC550,Programma!$F$3:$J$1101,5,0),"")</f>
        <v/>
      </c>
      <c r="BH550" s="185" t="str">
        <f>_xlfn.IFNA(VLOOKUP($BC550,Programma!$F$3:$K$1101,6,0),"")</f>
        <v/>
      </c>
      <c r="BI550" s="185" t="str">
        <f>_xlfn.IFNA(VLOOKUP($BC550,Programma!$F$3:$L$1101,7,0),"")</f>
        <v/>
      </c>
      <c r="BJ550" s="185" t="str">
        <f>_xlfn.IFNA(VLOOKUP($BC550,Programma!$F$3:$M$1101,8,0),"")</f>
        <v/>
      </c>
      <c r="BK550" s="185" t="str">
        <f>_xlfn.IFNA(VLOOKUP($BC550,Programma!$F$3:$N$1101,9,0),"")</f>
        <v/>
      </c>
      <c r="BL550" s="185" t="str">
        <f>_xlfn.IFNA(VLOOKUP($BC550,Programma!$F$3:$O$1101,10,0),"")</f>
        <v/>
      </c>
      <c r="BM550" s="185" t="str">
        <f>_xlfn.IFNA(VLOOKUP($BC550,Programma!$F$3:$P$1101,11,0),"")</f>
        <v/>
      </c>
      <c r="BN550" s="185" t="str">
        <f>_xlfn.IFNA(VLOOKUP($BC550,Programma!$F$3:$Q$1101,12,0),"")</f>
        <v/>
      </c>
      <c r="BO550" s="185" t="str">
        <f>_xlfn.IFNA(VLOOKUP($BC550,Programma!$F$3:$R$1101,13,0),"")</f>
        <v/>
      </c>
      <c r="BP550" s="185" t="str">
        <f>_xlfn.IFNA(VLOOKUP($BC550,Programma!$F$3:$S$1101,14,0),"")</f>
        <v/>
      </c>
      <c r="BQ550" s="185" t="str">
        <f>_xlfn.IFNA(VLOOKUP($BC550,Programma!$F$3:$T$1101,15,0),"")</f>
        <v/>
      </c>
      <c r="BR550" s="185" t="str">
        <f>_xlfn.IFNA(VLOOKUP($BC550,Programma!$F$3:$U$1101,16,0),"")</f>
        <v/>
      </c>
      <c r="BS550" s="185" t="str">
        <f>_xlfn.IFNA(VLOOKUP($BC550,Programma!$F$3:$V$1101,17,0),"")</f>
        <v/>
      </c>
      <c r="BT550" s="185" t="str">
        <f>_xlfn.IFNA(VLOOKUP($BC550,Programma!$F$3:$W$1101,18,0),"")</f>
        <v/>
      </c>
      <c r="BU550" s="185" t="str">
        <f>_xlfn.IFNA(VLOOKUP($BC550,Programma!$F$3:$X$1101,19,0),"")</f>
        <v/>
      </c>
      <c r="BV550" s="185" t="str">
        <f>_xlfn.IFNA(VLOOKUP($BC550,Programma!$F$3:$Y$1101,20,0),"")</f>
        <v/>
      </c>
      <c r="BW550" s="78"/>
      <c r="BX550" s="78"/>
      <c r="BY550" s="78"/>
      <c r="BZ550" s="78"/>
      <c r="CA550" s="78"/>
      <c r="CB550" s="78"/>
      <c r="CC550" s="78"/>
      <c r="CD550" s="78"/>
      <c r="CE550" s="78"/>
      <c r="CF550" s="78"/>
      <c r="CG550" s="78"/>
      <c r="CH550" s="78"/>
      <c r="CI550" s="78"/>
      <c r="CJ550" s="78"/>
      <c r="CK550" s="78"/>
      <c r="CL550" s="78"/>
      <c r="CM550" s="78"/>
      <c r="CN550" s="78"/>
      <c r="CO550" s="78"/>
      <c r="CP550" s="78"/>
      <c r="CQ550" s="78"/>
      <c r="CR550" s="78"/>
      <c r="CS550" s="78"/>
      <c r="CT550" s="78"/>
      <c r="CU550" s="78"/>
      <c r="CV550" s="78"/>
      <c r="CW550" s="78"/>
      <c r="CX550" s="78"/>
      <c r="CY550" s="78"/>
      <c r="CZ550" s="78"/>
      <c r="DA550" s="78"/>
      <c r="DB550" s="78"/>
      <c r="DC550" s="78"/>
      <c r="DD550" s="78"/>
      <c r="DE550" s="78"/>
      <c r="DF550" s="78"/>
      <c r="DG550" s="78"/>
      <c r="DH550" s="78"/>
      <c r="DI550" s="78"/>
      <c r="DJ550" s="78"/>
      <c r="DK550" s="78"/>
      <c r="DL550" s="78"/>
      <c r="DM550" s="78"/>
      <c r="DN550" s="78"/>
      <c r="DO550" s="78"/>
      <c r="DP550" s="78"/>
      <c r="DQ550" s="78"/>
      <c r="DR550" s="78"/>
      <c r="DS550" s="78"/>
      <c r="DT550" s="78"/>
      <c r="DU550" s="78"/>
      <c r="DV550" s="78"/>
      <c r="DW550" s="78"/>
      <c r="DX550" s="78"/>
      <c r="DY550" s="78"/>
      <c r="DZ550" s="78"/>
      <c r="EA550" s="78"/>
      <c r="EB550" s="78"/>
      <c r="EC550" s="78"/>
      <c r="ED550" s="78"/>
      <c r="EE550" s="78"/>
      <c r="EF550" s="78"/>
      <c r="EG550" s="78"/>
      <c r="EH550" s="78"/>
      <c r="EI550" s="78"/>
      <c r="EJ550" s="78"/>
      <c r="EK550" s="78"/>
      <c r="EL550" s="78"/>
      <c r="EM550" s="78"/>
      <c r="EN550" s="78"/>
      <c r="EO550" s="78"/>
      <c r="EP550" s="78"/>
      <c r="EQ550" s="78"/>
      <c r="ER550" s="78"/>
      <c r="ES550" s="78"/>
      <c r="ET550" s="78"/>
      <c r="EU550" s="78"/>
      <c r="EV550" s="78"/>
      <c r="EW550" s="78"/>
      <c r="EX550" s="78"/>
      <c r="EY550" s="78"/>
      <c r="EZ550" s="78"/>
      <c r="FA550" s="78"/>
      <c r="FB550" s="78"/>
      <c r="FC550" s="78"/>
      <c r="FD550" s="78"/>
      <c r="FE550" s="78"/>
      <c r="FF550" s="78"/>
      <c r="FG550" s="78"/>
      <c r="FH550" s="78"/>
      <c r="FI550" s="78"/>
      <c r="FJ550" s="78"/>
      <c r="FK550" s="78"/>
      <c r="FL550" s="78"/>
      <c r="FM550" s="78"/>
      <c r="FN550" s="78"/>
      <c r="FO550" s="78"/>
      <c r="FP550" s="78"/>
      <c r="FQ550" s="78"/>
      <c r="FR550" s="78"/>
      <c r="FS550" s="78"/>
      <c r="FT550" s="78"/>
      <c r="FU550" s="78"/>
      <c r="FV550" s="78"/>
      <c r="FW550" s="78"/>
      <c r="FX550" s="78"/>
      <c r="FY550" s="78"/>
      <c r="FZ550" s="78"/>
      <c r="GA550" s="78"/>
      <c r="GB550" s="78"/>
      <c r="GC550" s="78"/>
      <c r="GD550" s="78"/>
      <c r="GE550" s="78"/>
      <c r="GF550" s="78"/>
      <c r="GG550" s="78"/>
      <c r="GH550" s="78"/>
      <c r="GI550" s="78"/>
      <c r="GJ550" s="78"/>
      <c r="GK550" s="78"/>
      <c r="GL550" s="78"/>
      <c r="GM550" s="78"/>
      <c r="GN550" s="78"/>
      <c r="GO550" s="78"/>
      <c r="GP550" s="78"/>
      <c r="GQ550" s="78"/>
      <c r="GR550" s="78"/>
      <c r="GS550" s="78"/>
      <c r="GT550" s="78"/>
      <c r="GU550" s="78"/>
      <c r="GV550" s="78"/>
      <c r="GW550" s="78"/>
      <c r="GX550" s="78"/>
      <c r="GY550" s="78"/>
      <c r="GZ550" s="78"/>
      <c r="HA550" s="78"/>
      <c r="HB550" s="78"/>
      <c r="HC550" s="78"/>
      <c r="HD550" s="78"/>
      <c r="HE550" s="78"/>
      <c r="HF550" s="78"/>
      <c r="HG550" s="78"/>
      <c r="HH550" s="78"/>
      <c r="HI550" s="78"/>
      <c r="HJ550" s="78"/>
      <c r="HK550" s="78"/>
    </row>
    <row r="551" spans="1:219" ht="15" customHeight="1">
      <c r="A551" s="99">
        <v>16</v>
      </c>
      <c r="B551" s="176" t="str">
        <f>VLOOKUP(Ruimtestaat[[#This Row],[Code]],Locaties[[Code]:[Locatie]],2,FALSE)</f>
        <v>SBO Het Pontem (College)</v>
      </c>
      <c r="C551" s="176" t="str">
        <f>VLOOKUP(Ruimtestaat[[#This Row],[Code]],Locaties[[#All],[Code]:[Adres]],4,FALSE)</f>
        <v>Poolmansweg 245</v>
      </c>
      <c r="D551" s="176" t="str">
        <f>VLOOKUP(Ruimtestaat[[#This Row],[Code]],Locaties[[#All],[Code]:[Postcode]],5,FALSE)</f>
        <v>7545 LR</v>
      </c>
      <c r="E551" s="176" t="str">
        <f>VLOOKUP(Ruimtestaat[[#This Row],[Code]],Locaties[#All],6,FALSE)</f>
        <v>Enschede</v>
      </c>
      <c r="F551" s="183"/>
      <c r="G551" s="99" t="s">
        <v>1646</v>
      </c>
      <c r="H551" s="99" t="s">
        <v>1648</v>
      </c>
      <c r="I551" s="183" t="s">
        <v>1651</v>
      </c>
      <c r="J551" s="99">
        <v>16</v>
      </c>
      <c r="K551" s="183" t="str">
        <f>VLOOKUP(Ruimtestaat[[#This Row],[Ruimte code]],Ruimtegroepen[[#All],[Code]:[Ruimte omschrijving]],2,FALSE)</f>
        <v>Leslokalen</v>
      </c>
      <c r="L551" s="149" t="s">
        <v>100</v>
      </c>
      <c r="M551" s="99" t="s">
        <v>1697</v>
      </c>
      <c r="N551" s="177">
        <v>58.4</v>
      </c>
      <c r="O551" s="177"/>
      <c r="P551" s="178" t="str">
        <f>VLOOKUP(Ruimtestaat[[#This Row],[Ruimte code]],Ruimtegroepen[],4,FALSE)</f>
        <v>Le</v>
      </c>
      <c r="Q551" s="149">
        <v>40</v>
      </c>
      <c r="R551" s="149" t="s">
        <v>2</v>
      </c>
      <c r="S551" s="149">
        <f>IF(Q551&gt;0,IF(RIGHT(Ruimtestaat[[#This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1" s="149">
        <f>IF(S551&gt;0,VLOOKUP($J551,Ruimtegroepen[],3,FALSE)*VLOOKUP($L551,Vloersoorten[],3,FALSE)*VLOOKUP($R551,Frequenties[],3,FALSE)*VLOOKUP($A551,Locaties[],3,FALSE),0)</f>
        <v>0</v>
      </c>
      <c r="U551" s="149">
        <f>Ruimtestaat[[#This Row],[Uitvoeringen werkdagen]]*Ruimtestaat[[#This Row],[Oppervlak (netto)]]</f>
        <v>11680</v>
      </c>
      <c r="V551" s="179">
        <f>IF(T551&gt;0,Ruimtestaat[[#This Row],[Prest. (m2 /jaar) werkdagen]]/Ruimtestaat[[#This Row],[Norm (m2/uur) werkdagen]],0)</f>
        <v>0</v>
      </c>
      <c r="W551" s="180">
        <f>Ruimtestaat[[#This Row],[uren / jaar werkdagen]]*Tariefsopbouw!$E$35</f>
        <v>0</v>
      </c>
      <c r="X551" s="149"/>
      <c r="Y551" s="149">
        <f>IF(Ruimtestaat[[#This Row],[Frequentie weekend]]&gt;0,VALUE(LEFT(X551,1))*Q551,0)</f>
        <v>0</v>
      </c>
      <c r="Z551" s="148">
        <f>IF($Y551&gt;0,VLOOKUP($J551,Ruimtegroepen[],3,FALSE)*VLOOKUP($L551,Vloersoorten[],3,FALSE)*VLOOKUP($X551,Frequenties[],3,FALSE)*VLOOKUP(Ruimtestaat[[#This Row],[Code]],Locaties[],3,FALSE),0)</f>
        <v>0</v>
      </c>
      <c r="AA551" s="148">
        <f>Ruimtestaat[[#This Row],[Uitvoeringen weekend]]*Ruimtestaat[[#This Row],[Oppervlak (netto)]]</f>
        <v>0</v>
      </c>
      <c r="AB551" s="148">
        <f>IF(Z551&gt;0,Ruimtestaat[[#This Row],[Prest. (m2 /jaar) weekend]]/Ruimtestaat[[#This Row],[Norm (m2/uur) weekend]],0)</f>
        <v>0</v>
      </c>
      <c r="AC551" s="180">
        <f>Ruimtestaat[[#This Row],[uren / jaar weekend]]*Tariefsopbouw!$D$40</f>
        <v>0</v>
      </c>
      <c r="AD551" s="179">
        <f>Ruimtestaat[[#This Row],[Prest. (m2 /jaar) weekend]]+Ruimtestaat[[#This Row],[Prest. (m2 /jaar) werkdagen]]</f>
        <v>11680</v>
      </c>
      <c r="AE551" s="179">
        <f>Ruimtestaat[[#This Row],[uren / jaar weekend]]+Ruimtestaat[[#This Row],[uren / jaar werkdagen]]</f>
        <v>0</v>
      </c>
      <c r="AF551" s="174">
        <f>Ruimtestaat[[#This Row],[kosten / jaar weekend]]+Ruimtestaat[[#This Row],[kosten / jaar werkdagen]]</f>
        <v>0</v>
      </c>
      <c r="AG551" s="174"/>
      <c r="AH551" s="181" t="str">
        <f>IF(Ruimtestaat[[#This Row],[Frequentie werkdagen]]="","",_xlfn.CONCAT(Ruimtestaat[[#This Row],[Ruimte code]],"-",Ruimtestaat[[#This Row],[Frequentie werkdagen]]," ",Ruimtestaat[[#This Row],[Vloer code]]))</f>
        <v>16-5w L</v>
      </c>
      <c r="AI551" s="185" t="str">
        <f>_xlfn.IFNA(VLOOKUP($AH551,Programma!$F$3:$G$1101,2,0),"")</f>
        <v>_</v>
      </c>
      <c r="AJ551" s="185" t="str">
        <f>_xlfn.IFNA(VLOOKUP($AH551,Programma!$F$3:$H$1101,3,0),"")</f>
        <v>_</v>
      </c>
      <c r="AK551" s="185" t="str">
        <f>_xlfn.IFNA(VLOOKUP($AH551,Programma!$F$3:$I$1101,4,0),"")</f>
        <v>4w</v>
      </c>
      <c r="AL551" s="185" t="str">
        <f>_xlfn.IFNA(VLOOKUP($AH551,Programma!$F$3:$J$1101,5,0),"")</f>
        <v>1w</v>
      </c>
      <c r="AM551" s="185" t="str">
        <f>_xlfn.IFNA(VLOOKUP($AH551,Programma!$F$3:$K$1101,6,0),"")</f>
        <v>_</v>
      </c>
      <c r="AN551" s="185" t="str">
        <f>_xlfn.IFNA(VLOOKUP($AH551,Programma!$F$3:$L$1101,7,0),"")</f>
        <v>_</v>
      </c>
      <c r="AO551" s="185" t="str">
        <f>_xlfn.IFNA(VLOOKUP($AH551,Programma!$F$3:$M$1101,8,0),"")</f>
        <v>_</v>
      </c>
      <c r="AP551" s="185" t="str">
        <f>_xlfn.IFNA(VLOOKUP($AH551,Programma!$F$3:$N$1101,9,0),"")</f>
        <v>_</v>
      </c>
      <c r="AQ551" s="185" t="str">
        <f>_xlfn.IFNA(VLOOKUP($AH551,Programma!$F$3:$O$1101,10,0),"")</f>
        <v>5w</v>
      </c>
      <c r="AR551" s="185" t="str">
        <f>_xlfn.IFNA(VLOOKUP($AH551,Programma!$F$3:$P$1101,11,0),"")</f>
        <v>5w</v>
      </c>
      <c r="AS551" s="185" t="str">
        <f>_xlfn.IFNA(VLOOKUP($AH551,Programma!$F$3:$Q$1101,12,0),"")</f>
        <v>1w</v>
      </c>
      <c r="AT551" s="185" t="str">
        <f>_xlfn.IFNA(VLOOKUP($AH551,Programma!$F$3:$R$1101,13,0),"")</f>
        <v>1w</v>
      </c>
      <c r="AU551" s="185" t="str">
        <f>_xlfn.IFNA(VLOOKUP($AH551,Programma!$F$3:$S$1101,14,0),"")</f>
        <v>1m</v>
      </c>
      <c r="AV551" s="185" t="str">
        <f>_xlfn.IFNA(VLOOKUP($AH551,Programma!$F$3:$T$1101,15,0),"")</f>
        <v>2j</v>
      </c>
      <c r="AW551" s="185" t="str">
        <f>_xlfn.IFNA(VLOOKUP($AH551,Programma!$F$3:$U$1101,16,0),"")</f>
        <v>1j</v>
      </c>
      <c r="AX551" s="185" t="str">
        <f>_xlfn.IFNA(VLOOKUP($AH551,Programma!$F$3:$V$1101,17,0),"")</f>
        <v>_</v>
      </c>
      <c r="AY551" s="185" t="str">
        <f>_xlfn.IFNA(VLOOKUP($AH551,Programma!$F$3:$W$1101,18,0),"")</f>
        <v>_</v>
      </c>
      <c r="AZ551" s="185" t="str">
        <f>_xlfn.IFNA(VLOOKUP($AH551,Programma!$F$3:$X$1101,19,0),"")</f>
        <v>_</v>
      </c>
      <c r="BA551" s="185" t="str">
        <f>_xlfn.IFNA(VLOOKUP($AH551,Programma!$F$3:$Y$1101,20,0),"")</f>
        <v>_</v>
      </c>
      <c r="BB551" s="182"/>
      <c r="BC551" s="181" t="str">
        <f>IF(Ruimtestaat[[#This Row],[Frequentie weekend]]="","",_xlfn.CONCAT(Ruimtestaat[[#This Row],[Ruimte code]],"-",Ruimtestaat[[#This Row],[Frequentie weekend]]," ",Ruimtestaat[[#This Row],[Vloer code]]))</f>
        <v/>
      </c>
      <c r="BD551" s="185" t="str">
        <f>_xlfn.IFNA(VLOOKUP($BC551,Programma!$F$3:$G$1101,2,0),"")</f>
        <v/>
      </c>
      <c r="BE551" s="185" t="str">
        <f>_xlfn.IFNA(VLOOKUP($BC551,Programma!$F$3:$H$1101,3,0),"")</f>
        <v/>
      </c>
      <c r="BF551" s="185" t="str">
        <f>_xlfn.IFNA(VLOOKUP($BC551,Programma!$F$3:$I$1101,4,0),"")</f>
        <v/>
      </c>
      <c r="BG551" s="185" t="str">
        <f>_xlfn.IFNA(VLOOKUP($BC551,Programma!$F$3:$J$1101,5,0),"")</f>
        <v/>
      </c>
      <c r="BH551" s="185" t="str">
        <f>_xlfn.IFNA(VLOOKUP($BC551,Programma!$F$3:$K$1101,6,0),"")</f>
        <v/>
      </c>
      <c r="BI551" s="185" t="str">
        <f>_xlfn.IFNA(VLOOKUP($BC551,Programma!$F$3:$L$1101,7,0),"")</f>
        <v/>
      </c>
      <c r="BJ551" s="185" t="str">
        <f>_xlfn.IFNA(VLOOKUP($BC551,Programma!$F$3:$M$1101,8,0),"")</f>
        <v/>
      </c>
      <c r="BK551" s="185" t="str">
        <f>_xlfn.IFNA(VLOOKUP($BC551,Programma!$F$3:$N$1101,9,0),"")</f>
        <v/>
      </c>
      <c r="BL551" s="185" t="str">
        <f>_xlfn.IFNA(VLOOKUP($BC551,Programma!$F$3:$O$1101,10,0),"")</f>
        <v/>
      </c>
      <c r="BM551" s="185" t="str">
        <f>_xlfn.IFNA(VLOOKUP($BC551,Programma!$F$3:$P$1101,11,0),"")</f>
        <v/>
      </c>
      <c r="BN551" s="185" t="str">
        <f>_xlfn.IFNA(VLOOKUP($BC551,Programma!$F$3:$Q$1101,12,0),"")</f>
        <v/>
      </c>
      <c r="BO551" s="185" t="str">
        <f>_xlfn.IFNA(VLOOKUP($BC551,Programma!$F$3:$R$1101,13,0),"")</f>
        <v/>
      </c>
      <c r="BP551" s="185" t="str">
        <f>_xlfn.IFNA(VLOOKUP($BC551,Programma!$F$3:$S$1101,14,0),"")</f>
        <v/>
      </c>
      <c r="BQ551" s="185" t="str">
        <f>_xlfn.IFNA(VLOOKUP($BC551,Programma!$F$3:$T$1101,15,0),"")</f>
        <v/>
      </c>
      <c r="BR551" s="185" t="str">
        <f>_xlfn.IFNA(VLOOKUP($BC551,Programma!$F$3:$U$1101,16,0),"")</f>
        <v/>
      </c>
      <c r="BS551" s="185" t="str">
        <f>_xlfn.IFNA(VLOOKUP($BC551,Programma!$F$3:$V$1101,17,0),"")</f>
        <v/>
      </c>
      <c r="BT551" s="185" t="str">
        <f>_xlfn.IFNA(VLOOKUP($BC551,Programma!$F$3:$W$1101,18,0),"")</f>
        <v/>
      </c>
      <c r="BU551" s="185" t="str">
        <f>_xlfn.IFNA(VLOOKUP($BC551,Programma!$F$3:$X$1101,19,0),"")</f>
        <v/>
      </c>
      <c r="BV551" s="185" t="str">
        <f>_xlfn.IFNA(VLOOKUP($BC551,Programma!$F$3:$Y$1101,20,0),"")</f>
        <v/>
      </c>
      <c r="BW551" s="78"/>
      <c r="BX551" s="78"/>
      <c r="BY551" s="78"/>
      <c r="BZ551" s="78"/>
      <c r="CA551" s="78"/>
      <c r="CB551" s="78"/>
      <c r="CC551" s="78"/>
      <c r="CD551" s="78"/>
      <c r="CE551" s="78"/>
      <c r="CF551" s="78"/>
      <c r="CG551" s="78"/>
      <c r="CH551" s="78"/>
      <c r="CI551" s="78"/>
      <c r="CJ551" s="78"/>
      <c r="CK551" s="78"/>
      <c r="CL551" s="78"/>
      <c r="CM551" s="78"/>
      <c r="CN551" s="78"/>
      <c r="CO551" s="78"/>
      <c r="CP551" s="78"/>
      <c r="CQ551" s="78"/>
      <c r="CR551" s="78"/>
      <c r="CS551" s="78"/>
      <c r="CT551" s="78"/>
      <c r="CU551" s="78"/>
      <c r="CV551" s="78"/>
      <c r="CW551" s="78"/>
      <c r="CX551" s="78"/>
      <c r="CY551" s="78"/>
      <c r="CZ551" s="78"/>
      <c r="DA551" s="78"/>
      <c r="DB551" s="78"/>
      <c r="DC551" s="78"/>
      <c r="DD551" s="78"/>
      <c r="DE551" s="78"/>
      <c r="DF551" s="78"/>
      <c r="DG551" s="78"/>
      <c r="DH551" s="78"/>
      <c r="DI551" s="78"/>
      <c r="DJ551" s="78"/>
      <c r="DK551" s="78"/>
      <c r="DL551" s="78"/>
      <c r="DM551" s="78"/>
      <c r="DN551" s="78"/>
      <c r="DO551" s="78"/>
      <c r="DP551" s="78"/>
      <c r="DQ551" s="78"/>
      <c r="DR551" s="78"/>
      <c r="DS551" s="78"/>
      <c r="DT551" s="78"/>
      <c r="DU551" s="78"/>
      <c r="DV551" s="78"/>
      <c r="DW551" s="78"/>
      <c r="DX551" s="78"/>
      <c r="DY551" s="78"/>
      <c r="DZ551" s="78"/>
      <c r="EA551" s="78"/>
      <c r="EB551" s="78"/>
      <c r="EC551" s="78"/>
      <c r="ED551" s="78"/>
      <c r="EE551" s="78"/>
      <c r="EF551" s="78"/>
      <c r="EG551" s="78"/>
      <c r="EH551" s="78"/>
      <c r="EI551" s="78"/>
      <c r="EJ551" s="78"/>
      <c r="EK551" s="78"/>
      <c r="EL551" s="78"/>
      <c r="EM551" s="78"/>
      <c r="EN551" s="78"/>
      <c r="EO551" s="78"/>
      <c r="EP551" s="78"/>
      <c r="EQ551" s="78"/>
      <c r="ER551" s="78"/>
      <c r="ES551" s="78"/>
      <c r="ET551" s="78"/>
      <c r="EU551" s="78"/>
      <c r="EV551" s="78"/>
      <c r="EW551" s="78"/>
      <c r="EX551" s="78"/>
      <c r="EY551" s="78"/>
      <c r="EZ551" s="78"/>
      <c r="FA551" s="78"/>
      <c r="FB551" s="78"/>
      <c r="FC551" s="78"/>
      <c r="FD551" s="78"/>
      <c r="FE551" s="78"/>
      <c r="FF551" s="78"/>
      <c r="FG551" s="78"/>
      <c r="FH551" s="78"/>
      <c r="FI551" s="78"/>
      <c r="FJ551" s="78"/>
      <c r="FK551" s="78"/>
      <c r="FL551" s="78"/>
      <c r="FM551" s="78"/>
      <c r="FN551" s="78"/>
      <c r="FO551" s="78"/>
      <c r="FP551" s="78"/>
      <c r="FQ551" s="78"/>
      <c r="FR551" s="78"/>
      <c r="FS551" s="78"/>
      <c r="FT551" s="78"/>
      <c r="FU551" s="78"/>
      <c r="FV551" s="78"/>
      <c r="FW551" s="78"/>
      <c r="FX551" s="78"/>
      <c r="FY551" s="78"/>
      <c r="FZ551" s="78"/>
      <c r="GA551" s="78"/>
      <c r="GB551" s="78"/>
      <c r="GC551" s="78"/>
      <c r="GD551" s="78"/>
      <c r="GE551" s="78"/>
      <c r="GF551" s="78"/>
      <c r="GG551" s="78"/>
      <c r="GH551" s="78"/>
      <c r="GI551" s="78"/>
      <c r="GJ551" s="78"/>
      <c r="GK551" s="78"/>
      <c r="GL551" s="78"/>
      <c r="GM551" s="78"/>
      <c r="GN551" s="78"/>
      <c r="GO551" s="78"/>
      <c r="GP551" s="78"/>
      <c r="GQ551" s="78"/>
      <c r="GR551" s="78"/>
      <c r="GS551" s="78"/>
      <c r="GT551" s="78"/>
      <c r="GU551" s="78"/>
      <c r="GV551" s="78"/>
      <c r="GW551" s="78"/>
      <c r="GX551" s="78"/>
      <c r="GY551" s="78"/>
      <c r="GZ551" s="78"/>
      <c r="HA551" s="78"/>
      <c r="HB551" s="78"/>
      <c r="HC551" s="78"/>
      <c r="HD551" s="78"/>
      <c r="HE551" s="78"/>
      <c r="HF551" s="78"/>
      <c r="HG551" s="78"/>
      <c r="HH551" s="78"/>
      <c r="HI551" s="78"/>
      <c r="HJ551" s="78"/>
      <c r="HK551" s="78"/>
    </row>
    <row r="552" spans="1:219" ht="15" customHeight="1">
      <c r="A552" s="99">
        <v>16</v>
      </c>
      <c r="B552" s="176" t="str">
        <f>VLOOKUP(Ruimtestaat[[#This Row],[Code]],Locaties[[Code]:[Locatie]],2,FALSE)</f>
        <v>SBO Het Pontem (College)</v>
      </c>
      <c r="C552" s="176" t="str">
        <f>VLOOKUP(Ruimtestaat[[#This Row],[Code]],Locaties[[#All],[Code]:[Adres]],4,FALSE)</f>
        <v>Poolmansweg 245</v>
      </c>
      <c r="D552" s="176" t="str">
        <f>VLOOKUP(Ruimtestaat[[#This Row],[Code]],Locaties[[#All],[Code]:[Postcode]],5,FALSE)</f>
        <v>7545 LR</v>
      </c>
      <c r="E552" s="176" t="str">
        <f>VLOOKUP(Ruimtestaat[[#This Row],[Code]],Locaties[#All],6,FALSE)</f>
        <v>Enschede</v>
      </c>
      <c r="F552" s="183"/>
      <c r="G552" s="99" t="s">
        <v>1646</v>
      </c>
      <c r="H552" s="99" t="s">
        <v>1650</v>
      </c>
      <c r="I552" s="183" t="s">
        <v>1585</v>
      </c>
      <c r="J552" s="99">
        <v>13</v>
      </c>
      <c r="K552" s="183" t="str">
        <f>VLOOKUP(Ruimtestaat[[#This Row],[Ruimte code]],Ruimtegroepen[[#All],[Code]:[Ruimte omschrijving]],2,FALSE)</f>
        <v>Personeelskamer</v>
      </c>
      <c r="L552" s="149" t="s">
        <v>100</v>
      </c>
      <c r="M552" s="99" t="s">
        <v>1697</v>
      </c>
      <c r="N552" s="177">
        <v>49.6</v>
      </c>
      <c r="O552" s="177"/>
      <c r="P552" s="178" t="str">
        <f>VLOOKUP(Ruimtestaat[[#This Row],[Ruimte code]],Ruimtegroepen[],4,FALSE)</f>
        <v>Ve</v>
      </c>
      <c r="Q552" s="149">
        <v>40</v>
      </c>
      <c r="R552" s="149" t="s">
        <v>18</v>
      </c>
      <c r="S552" s="149">
        <f>IF(Q552&gt;0,IF(RIGHT(Ruimtestaat[[#This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52" s="149">
        <f>IF(S552&gt;0,VLOOKUP($J552,Ruimtegroepen[],3,FALSE)*VLOOKUP($L552,Vloersoorten[],3,FALSE)*VLOOKUP($R552,Frequenties[],3,FALSE)*VLOOKUP($A552,Locaties[],3,FALSE),0)</f>
        <v>0</v>
      </c>
      <c r="U552" s="149">
        <f>Ruimtestaat[[#This Row],[Uitvoeringen werkdagen]]*Ruimtestaat[[#This Row],[Oppervlak (netto)]]</f>
        <v>5952</v>
      </c>
      <c r="V552" s="179">
        <f>IF(T552&gt;0,Ruimtestaat[[#This Row],[Prest. (m2 /jaar) werkdagen]]/Ruimtestaat[[#This Row],[Norm (m2/uur) werkdagen]],0)</f>
        <v>0</v>
      </c>
      <c r="W552" s="180">
        <f>Ruimtestaat[[#This Row],[uren / jaar werkdagen]]*Tariefsopbouw!$E$35</f>
        <v>0</v>
      </c>
      <c r="X552" s="149"/>
      <c r="Y552" s="149">
        <f>IF(Ruimtestaat[[#This Row],[Frequentie weekend]]&gt;0,VALUE(LEFT(X552,1))*Q552,0)</f>
        <v>0</v>
      </c>
      <c r="Z552" s="148">
        <f>IF($Y552&gt;0,VLOOKUP($J552,Ruimtegroepen[],3,FALSE)*VLOOKUP($L552,Vloersoorten[],3,FALSE)*VLOOKUP($X552,Frequenties[],3,FALSE)*VLOOKUP(Ruimtestaat[[#This Row],[Code]],Locaties[],3,FALSE),0)</f>
        <v>0</v>
      </c>
      <c r="AA552" s="148">
        <f>Ruimtestaat[[#This Row],[Uitvoeringen weekend]]*Ruimtestaat[[#This Row],[Oppervlak (netto)]]</f>
        <v>0</v>
      </c>
      <c r="AB552" s="148">
        <f>IF(Z552&gt;0,Ruimtestaat[[#This Row],[Prest. (m2 /jaar) weekend]]/Ruimtestaat[[#This Row],[Norm (m2/uur) weekend]],0)</f>
        <v>0</v>
      </c>
      <c r="AC552" s="180">
        <f>Ruimtestaat[[#This Row],[uren / jaar weekend]]*Tariefsopbouw!$D$40</f>
        <v>0</v>
      </c>
      <c r="AD552" s="179">
        <f>Ruimtestaat[[#This Row],[Prest. (m2 /jaar) weekend]]+Ruimtestaat[[#This Row],[Prest. (m2 /jaar) werkdagen]]</f>
        <v>5952</v>
      </c>
      <c r="AE552" s="179">
        <f>Ruimtestaat[[#This Row],[uren / jaar weekend]]+Ruimtestaat[[#This Row],[uren / jaar werkdagen]]</f>
        <v>0</v>
      </c>
      <c r="AF552" s="174">
        <f>Ruimtestaat[[#This Row],[kosten / jaar weekend]]+Ruimtestaat[[#This Row],[kosten / jaar werkdagen]]</f>
        <v>0</v>
      </c>
      <c r="AG552" s="174"/>
      <c r="AH552" s="181" t="str">
        <f>IF(Ruimtestaat[[#This Row],[Frequentie werkdagen]]="","",_xlfn.CONCAT(Ruimtestaat[[#This Row],[Ruimte code]],"-",Ruimtestaat[[#This Row],[Frequentie werkdagen]]," ",Ruimtestaat[[#This Row],[Vloer code]]))</f>
        <v>13-3w L</v>
      </c>
      <c r="AI552" s="185" t="str">
        <f>_xlfn.IFNA(VLOOKUP($AH552,Programma!$F$3:$G$1101,2,0),"")</f>
        <v>_</v>
      </c>
      <c r="AJ552" s="185" t="str">
        <f>_xlfn.IFNA(VLOOKUP($AH552,Programma!$F$3:$H$1101,3,0),"")</f>
        <v>_</v>
      </c>
      <c r="AK552" s="185" t="str">
        <f>_xlfn.IFNA(VLOOKUP($AH552,Programma!$F$3:$I$1101,4,0),"")</f>
        <v>2w</v>
      </c>
      <c r="AL552" s="185" t="str">
        <f>_xlfn.IFNA(VLOOKUP($AH552,Programma!$F$3:$J$1101,5,0),"")</f>
        <v>1w</v>
      </c>
      <c r="AM552" s="185" t="str">
        <f>_xlfn.IFNA(VLOOKUP($AH552,Programma!$F$3:$K$1101,6,0),"")</f>
        <v>_</v>
      </c>
      <c r="AN552" s="185" t="str">
        <f>_xlfn.IFNA(VLOOKUP($AH552,Programma!$F$3:$L$1101,7,0),"")</f>
        <v>_</v>
      </c>
      <c r="AO552" s="185" t="str">
        <f>_xlfn.IFNA(VLOOKUP($AH552,Programma!$F$3:$M$1101,8,0),"")</f>
        <v>_</v>
      </c>
      <c r="AP552" s="185" t="str">
        <f>_xlfn.IFNA(VLOOKUP($AH552,Programma!$F$3:$N$1101,9,0),"")</f>
        <v>_</v>
      </c>
      <c r="AQ552" s="185" t="str">
        <f>_xlfn.IFNA(VLOOKUP($AH552,Programma!$F$3:$O$1101,10,0),"")</f>
        <v>3w</v>
      </c>
      <c r="AR552" s="185" t="str">
        <f>_xlfn.IFNA(VLOOKUP($AH552,Programma!$F$3:$P$1101,11,0),"")</f>
        <v>3w</v>
      </c>
      <c r="AS552" s="185" t="str">
        <f>_xlfn.IFNA(VLOOKUP($AH552,Programma!$F$3:$Q$1101,12,0),"")</f>
        <v>1w</v>
      </c>
      <c r="AT552" s="185" t="str">
        <f>_xlfn.IFNA(VLOOKUP($AH552,Programma!$F$3:$R$1101,13,0),"")</f>
        <v>1w</v>
      </c>
      <c r="AU552" s="185" t="str">
        <f>_xlfn.IFNA(VLOOKUP($AH552,Programma!$F$3:$S$1101,14,0),"")</f>
        <v>1m</v>
      </c>
      <c r="AV552" s="185" t="str">
        <f>_xlfn.IFNA(VLOOKUP($AH552,Programma!$F$3:$T$1101,15,0),"")</f>
        <v>2j</v>
      </c>
      <c r="AW552" s="185" t="str">
        <f>_xlfn.IFNA(VLOOKUP($AH552,Programma!$F$3:$U$1101,16,0),"")</f>
        <v>1j</v>
      </c>
      <c r="AX552" s="185" t="str">
        <f>_xlfn.IFNA(VLOOKUP($AH552,Programma!$F$3:$V$1101,17,0),"")</f>
        <v>_</v>
      </c>
      <c r="AY552" s="185" t="str">
        <f>_xlfn.IFNA(VLOOKUP($AH552,Programma!$F$3:$W$1101,18,0),"")</f>
        <v>_</v>
      </c>
      <c r="AZ552" s="185" t="str">
        <f>_xlfn.IFNA(VLOOKUP($AH552,Programma!$F$3:$X$1101,19,0),"")</f>
        <v>_</v>
      </c>
      <c r="BA552" s="185" t="str">
        <f>_xlfn.IFNA(VLOOKUP($AH552,Programma!$F$3:$Y$1101,20,0),"")</f>
        <v>_</v>
      </c>
      <c r="BB552" s="182"/>
      <c r="BC552" s="181" t="str">
        <f>IF(Ruimtestaat[[#This Row],[Frequentie weekend]]="","",_xlfn.CONCAT(Ruimtestaat[[#This Row],[Ruimte code]],"-",Ruimtestaat[[#This Row],[Frequentie weekend]]," ",Ruimtestaat[[#This Row],[Vloer code]]))</f>
        <v/>
      </c>
      <c r="BD552" s="185" t="str">
        <f>_xlfn.IFNA(VLOOKUP($BC552,Programma!$F$3:$G$1101,2,0),"")</f>
        <v/>
      </c>
      <c r="BE552" s="185" t="str">
        <f>_xlfn.IFNA(VLOOKUP($BC552,Programma!$F$3:$H$1101,3,0),"")</f>
        <v/>
      </c>
      <c r="BF552" s="185" t="str">
        <f>_xlfn.IFNA(VLOOKUP($BC552,Programma!$F$3:$I$1101,4,0),"")</f>
        <v/>
      </c>
      <c r="BG552" s="185" t="str">
        <f>_xlfn.IFNA(VLOOKUP($BC552,Programma!$F$3:$J$1101,5,0),"")</f>
        <v/>
      </c>
      <c r="BH552" s="185" t="str">
        <f>_xlfn.IFNA(VLOOKUP($BC552,Programma!$F$3:$K$1101,6,0),"")</f>
        <v/>
      </c>
      <c r="BI552" s="185" t="str">
        <f>_xlfn.IFNA(VLOOKUP($BC552,Programma!$F$3:$L$1101,7,0),"")</f>
        <v/>
      </c>
      <c r="BJ552" s="185" t="str">
        <f>_xlfn.IFNA(VLOOKUP($BC552,Programma!$F$3:$M$1101,8,0),"")</f>
        <v/>
      </c>
      <c r="BK552" s="185" t="str">
        <f>_xlfn.IFNA(VLOOKUP($BC552,Programma!$F$3:$N$1101,9,0),"")</f>
        <v/>
      </c>
      <c r="BL552" s="185" t="str">
        <f>_xlfn.IFNA(VLOOKUP($BC552,Programma!$F$3:$O$1101,10,0),"")</f>
        <v/>
      </c>
      <c r="BM552" s="185" t="str">
        <f>_xlfn.IFNA(VLOOKUP($BC552,Programma!$F$3:$P$1101,11,0),"")</f>
        <v/>
      </c>
      <c r="BN552" s="185" t="str">
        <f>_xlfn.IFNA(VLOOKUP($BC552,Programma!$F$3:$Q$1101,12,0),"")</f>
        <v/>
      </c>
      <c r="BO552" s="185" t="str">
        <f>_xlfn.IFNA(VLOOKUP($BC552,Programma!$F$3:$R$1101,13,0),"")</f>
        <v/>
      </c>
      <c r="BP552" s="185" t="str">
        <f>_xlfn.IFNA(VLOOKUP($BC552,Programma!$F$3:$S$1101,14,0),"")</f>
        <v/>
      </c>
      <c r="BQ552" s="185" t="str">
        <f>_xlfn.IFNA(VLOOKUP($BC552,Programma!$F$3:$T$1101,15,0),"")</f>
        <v/>
      </c>
      <c r="BR552" s="185" t="str">
        <f>_xlfn.IFNA(VLOOKUP($BC552,Programma!$F$3:$U$1101,16,0),"")</f>
        <v/>
      </c>
      <c r="BS552" s="185" t="str">
        <f>_xlfn.IFNA(VLOOKUP($BC552,Programma!$F$3:$V$1101,17,0),"")</f>
        <v/>
      </c>
      <c r="BT552" s="185" t="str">
        <f>_xlfn.IFNA(VLOOKUP($BC552,Programma!$F$3:$W$1101,18,0),"")</f>
        <v/>
      </c>
      <c r="BU552" s="185" t="str">
        <f>_xlfn.IFNA(VLOOKUP($BC552,Programma!$F$3:$X$1101,19,0),"")</f>
        <v/>
      </c>
      <c r="BV552" s="185" t="str">
        <f>_xlfn.IFNA(VLOOKUP($BC552,Programma!$F$3:$Y$1101,20,0),"")</f>
        <v/>
      </c>
      <c r="BW552" s="78"/>
      <c r="BX552" s="78"/>
      <c r="BY552" s="78"/>
      <c r="BZ552" s="78"/>
      <c r="CA552" s="78"/>
      <c r="CB552" s="78"/>
      <c r="CC552" s="78"/>
      <c r="CD552" s="78"/>
      <c r="CE552" s="78"/>
      <c r="CF552" s="78"/>
      <c r="CG552" s="78"/>
      <c r="CH552" s="78"/>
      <c r="CI552" s="78"/>
      <c r="CJ552" s="78"/>
      <c r="CK552" s="78"/>
      <c r="CL552" s="78"/>
      <c r="CM552" s="78"/>
      <c r="CN552" s="78"/>
      <c r="CO552" s="78"/>
      <c r="CP552" s="78"/>
      <c r="CQ552" s="78"/>
      <c r="CR552" s="78"/>
      <c r="CS552" s="78"/>
      <c r="CT552" s="78"/>
      <c r="CU552" s="78"/>
      <c r="CV552" s="78"/>
      <c r="CW552" s="78"/>
      <c r="CX552" s="78"/>
      <c r="CY552" s="78"/>
      <c r="CZ552" s="78"/>
      <c r="DA552" s="78"/>
      <c r="DB552" s="78"/>
      <c r="DC552" s="78"/>
      <c r="DD552" s="78"/>
      <c r="DE552" s="78"/>
      <c r="DF552" s="78"/>
      <c r="DG552" s="78"/>
      <c r="DH552" s="78"/>
      <c r="DI552" s="78"/>
      <c r="DJ552" s="78"/>
      <c r="DK552" s="78"/>
      <c r="DL552" s="78"/>
      <c r="DM552" s="78"/>
      <c r="DN552" s="78"/>
      <c r="DO552" s="78"/>
      <c r="DP552" s="78"/>
      <c r="DQ552" s="78"/>
      <c r="DR552" s="78"/>
      <c r="DS552" s="78"/>
      <c r="DT552" s="78"/>
      <c r="DU552" s="78"/>
      <c r="DV552" s="78"/>
      <c r="DW552" s="78"/>
      <c r="DX552" s="78"/>
      <c r="DY552" s="78"/>
      <c r="DZ552" s="78"/>
      <c r="EA552" s="78"/>
      <c r="EB552" s="78"/>
      <c r="EC552" s="78"/>
      <c r="ED552" s="78"/>
      <c r="EE552" s="78"/>
      <c r="EF552" s="78"/>
      <c r="EG552" s="78"/>
      <c r="EH552" s="78"/>
      <c r="EI552" s="78"/>
      <c r="EJ552" s="78"/>
      <c r="EK552" s="78"/>
      <c r="EL552" s="78"/>
      <c r="EM552" s="78"/>
      <c r="EN552" s="78"/>
      <c r="EO552" s="78"/>
      <c r="EP552" s="78"/>
      <c r="EQ552" s="78"/>
      <c r="ER552" s="78"/>
      <c r="ES552" s="78"/>
      <c r="ET552" s="78"/>
      <c r="EU552" s="78"/>
      <c r="EV552" s="78"/>
      <c r="EW552" s="78"/>
      <c r="EX552" s="78"/>
      <c r="EY552" s="78"/>
      <c r="EZ552" s="78"/>
      <c r="FA552" s="78"/>
      <c r="FB552" s="78"/>
      <c r="FC552" s="78"/>
      <c r="FD552" s="78"/>
      <c r="FE552" s="78"/>
      <c r="FF552" s="78"/>
      <c r="FG552" s="78"/>
      <c r="FH552" s="78"/>
      <c r="FI552" s="78"/>
      <c r="FJ552" s="78"/>
      <c r="FK552" s="78"/>
      <c r="FL552" s="78"/>
      <c r="FM552" s="78"/>
      <c r="FN552" s="78"/>
      <c r="FO552" s="78"/>
      <c r="FP552" s="78"/>
      <c r="FQ552" s="78"/>
      <c r="FR552" s="78"/>
      <c r="FS552" s="78"/>
      <c r="FT552" s="78"/>
      <c r="FU552" s="78"/>
      <c r="FV552" s="78"/>
      <c r="FW552" s="78"/>
      <c r="FX552" s="78"/>
      <c r="FY552" s="78"/>
      <c r="FZ552" s="78"/>
      <c r="GA552" s="78"/>
      <c r="GB552" s="78"/>
      <c r="GC552" s="78"/>
      <c r="GD552" s="78"/>
      <c r="GE552" s="78"/>
      <c r="GF552" s="78"/>
      <c r="GG552" s="78"/>
      <c r="GH552" s="78"/>
      <c r="GI552" s="78"/>
      <c r="GJ552" s="78"/>
      <c r="GK552" s="78"/>
      <c r="GL552" s="78"/>
      <c r="GM552" s="78"/>
      <c r="GN552" s="78"/>
      <c r="GO552" s="78"/>
      <c r="GP552" s="78"/>
      <c r="GQ552" s="78"/>
      <c r="GR552" s="78"/>
      <c r="GS552" s="78"/>
      <c r="GT552" s="78"/>
      <c r="GU552" s="78"/>
      <c r="GV552" s="78"/>
      <c r="GW552" s="78"/>
      <c r="GX552" s="78"/>
      <c r="GY552" s="78"/>
      <c r="GZ552" s="78"/>
      <c r="HA552" s="78"/>
      <c r="HB552" s="78"/>
      <c r="HC552" s="78"/>
      <c r="HD552" s="78"/>
      <c r="HE552" s="78"/>
      <c r="HF552" s="78"/>
      <c r="HG552" s="78"/>
      <c r="HH552" s="78"/>
      <c r="HI552" s="78"/>
      <c r="HJ552" s="78"/>
      <c r="HK552" s="78"/>
    </row>
    <row r="553" spans="1:219" ht="15" customHeight="1">
      <c r="A553" s="99">
        <v>16</v>
      </c>
      <c r="B553" s="176" t="str">
        <f>VLOOKUP(Ruimtestaat[[#This Row],[Code]],Locaties[[Code]:[Locatie]],2,FALSE)</f>
        <v>SBO Het Pontem (College)</v>
      </c>
      <c r="C553" s="176" t="str">
        <f>VLOOKUP(Ruimtestaat[[#This Row],[Code]],Locaties[[#All],[Code]:[Adres]],4,FALSE)</f>
        <v>Poolmansweg 245</v>
      </c>
      <c r="D553" s="176" t="str">
        <f>VLOOKUP(Ruimtestaat[[#This Row],[Code]],Locaties[[#All],[Code]:[Postcode]],5,FALSE)</f>
        <v>7545 LR</v>
      </c>
      <c r="E553" s="176" t="str">
        <f>VLOOKUP(Ruimtestaat[[#This Row],[Code]],Locaties[#All],6,FALSE)</f>
        <v>Enschede</v>
      </c>
      <c r="F553" s="183"/>
      <c r="G553" s="99" t="s">
        <v>1646</v>
      </c>
      <c r="H553" s="149" t="s">
        <v>1652</v>
      </c>
      <c r="I553" s="173" t="s">
        <v>1817</v>
      </c>
      <c r="J553" s="99">
        <v>14</v>
      </c>
      <c r="K553" s="173" t="str">
        <f>VLOOKUP(Ruimtestaat[[#This Row],[Ruimte code]],Ruimtegroepen[[#All],[Code]:[Ruimte omschrijving]],2,FALSE)</f>
        <v>Praktijklokalen</v>
      </c>
      <c r="L553" s="149" t="s">
        <v>102</v>
      </c>
      <c r="M553" s="99" t="s">
        <v>1699</v>
      </c>
      <c r="N553" s="177">
        <v>67.8</v>
      </c>
      <c r="O553" s="177"/>
      <c r="P553" s="178" t="str">
        <f>VLOOKUP(Ruimtestaat[[#This Row],[Ruimte code]],Ruimtegroepen[],4,FALSE)</f>
        <v>Le</v>
      </c>
      <c r="Q553" s="149">
        <v>40</v>
      </c>
      <c r="R553" s="149" t="s">
        <v>2</v>
      </c>
      <c r="S553" s="149">
        <f>IF(Q553&gt;0,IF(RIGHT(Ruimtestaat[[#This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3" s="149">
        <f>IF(S553&gt;0,VLOOKUP($J553,Ruimtegroepen[],3,FALSE)*VLOOKUP($L553,Vloersoorten[],3,FALSE)*VLOOKUP($R553,Frequenties[],3,FALSE)*VLOOKUP($A553,Locaties[],3,FALSE),0)</f>
        <v>0</v>
      </c>
      <c r="U553" s="149">
        <f>Ruimtestaat[[#This Row],[Uitvoeringen werkdagen]]*Ruimtestaat[[#This Row],[Oppervlak (netto)]]</f>
        <v>13560</v>
      </c>
      <c r="V553" s="179">
        <f>IF(T553&gt;0,Ruimtestaat[[#This Row],[Prest. (m2 /jaar) werkdagen]]/Ruimtestaat[[#This Row],[Norm (m2/uur) werkdagen]],0)</f>
        <v>0</v>
      </c>
      <c r="W553" s="180">
        <f>Ruimtestaat[[#This Row],[uren / jaar werkdagen]]*Tariefsopbouw!$E$35</f>
        <v>0</v>
      </c>
      <c r="X553" s="149"/>
      <c r="Y553" s="149">
        <f>IF(Ruimtestaat[[#This Row],[Frequentie weekend]]&gt;0,VALUE(LEFT(X553,1))*Q553,0)</f>
        <v>0</v>
      </c>
      <c r="Z553" s="148">
        <f>IF($Y553&gt;0,VLOOKUP($J553,Ruimtegroepen[],3,FALSE)*VLOOKUP($L553,Vloersoorten[],3,FALSE)*VLOOKUP($X553,Frequenties[],3,FALSE)*VLOOKUP(Ruimtestaat[[#This Row],[Code]],Locaties[],3,FALSE),0)</f>
        <v>0</v>
      </c>
      <c r="AA553" s="148">
        <f>Ruimtestaat[[#This Row],[Uitvoeringen weekend]]*Ruimtestaat[[#This Row],[Oppervlak (netto)]]</f>
        <v>0</v>
      </c>
      <c r="AB553" s="148">
        <f>IF(Z553&gt;0,Ruimtestaat[[#This Row],[Prest. (m2 /jaar) weekend]]/Ruimtestaat[[#This Row],[Norm (m2/uur) weekend]],0)</f>
        <v>0</v>
      </c>
      <c r="AC553" s="180">
        <f>Ruimtestaat[[#This Row],[uren / jaar weekend]]*Tariefsopbouw!$D$40</f>
        <v>0</v>
      </c>
      <c r="AD553" s="179">
        <f>Ruimtestaat[[#This Row],[Prest. (m2 /jaar) weekend]]+Ruimtestaat[[#This Row],[Prest. (m2 /jaar) werkdagen]]</f>
        <v>13560</v>
      </c>
      <c r="AE553" s="179">
        <f>Ruimtestaat[[#This Row],[uren / jaar weekend]]+Ruimtestaat[[#This Row],[uren / jaar werkdagen]]</f>
        <v>0</v>
      </c>
      <c r="AF553" s="174">
        <f>Ruimtestaat[[#This Row],[kosten / jaar weekend]]+Ruimtestaat[[#This Row],[kosten / jaar werkdagen]]</f>
        <v>0</v>
      </c>
      <c r="AG553" s="174"/>
      <c r="AH553" s="181" t="str">
        <f>IF(Ruimtestaat[[#This Row],[Frequentie werkdagen]]="","",_xlfn.CONCAT(Ruimtestaat[[#This Row],[Ruimte code]],"-",Ruimtestaat[[#This Row],[Frequentie werkdagen]]," ",Ruimtestaat[[#This Row],[Vloer code]]))</f>
        <v>14-5w P</v>
      </c>
      <c r="AI553" s="185" t="str">
        <f>_xlfn.IFNA(VLOOKUP($AH553,Programma!$F$3:$G$1101,2,0),"")</f>
        <v>_</v>
      </c>
      <c r="AJ553" s="185" t="str">
        <f>_xlfn.IFNA(VLOOKUP($AH553,Programma!$F$3:$H$1101,3,0),"")</f>
        <v>_</v>
      </c>
      <c r="AK553" s="185" t="str">
        <f>_xlfn.IFNA(VLOOKUP($AH553,Programma!$F$3:$I$1101,4,0),"")</f>
        <v>4w</v>
      </c>
      <c r="AL553" s="185" t="str">
        <f>_xlfn.IFNA(VLOOKUP($AH553,Programma!$F$3:$J$1101,5,0),"")</f>
        <v>1w</v>
      </c>
      <c r="AM553" s="185" t="str">
        <f>_xlfn.IFNA(VLOOKUP($AH553,Programma!$F$3:$K$1101,6,0),"")</f>
        <v>1m</v>
      </c>
      <c r="AN553" s="185" t="str">
        <f>_xlfn.IFNA(VLOOKUP($AH553,Programma!$F$3:$L$1101,7,0),"")</f>
        <v>_</v>
      </c>
      <c r="AO553" s="185" t="str">
        <f>_xlfn.IFNA(VLOOKUP($AH553,Programma!$F$3:$M$1101,8,0),"")</f>
        <v>_</v>
      </c>
      <c r="AP553" s="185" t="str">
        <f>_xlfn.IFNA(VLOOKUP($AH553,Programma!$F$3:$N$1101,9,0),"")</f>
        <v>_</v>
      </c>
      <c r="AQ553" s="185" t="str">
        <f>_xlfn.IFNA(VLOOKUP($AH553,Programma!$F$3:$O$1101,10,0),"")</f>
        <v>5w</v>
      </c>
      <c r="AR553" s="185" t="str">
        <f>_xlfn.IFNA(VLOOKUP($AH553,Programma!$F$3:$P$1101,11,0),"")</f>
        <v>5w</v>
      </c>
      <c r="AS553" s="185" t="str">
        <f>_xlfn.IFNA(VLOOKUP($AH553,Programma!$F$3:$Q$1101,12,0),"")</f>
        <v>1w</v>
      </c>
      <c r="AT553" s="185" t="str">
        <f>_xlfn.IFNA(VLOOKUP($AH553,Programma!$F$3:$R$1101,13,0),"")</f>
        <v>1w</v>
      </c>
      <c r="AU553" s="185" t="str">
        <f>_xlfn.IFNA(VLOOKUP($AH553,Programma!$F$3:$S$1101,14,0),"")</f>
        <v>1m</v>
      </c>
      <c r="AV553" s="185" t="str">
        <f>_xlfn.IFNA(VLOOKUP($AH553,Programma!$F$3:$T$1101,15,0),"")</f>
        <v>2j</v>
      </c>
      <c r="AW553" s="185" t="str">
        <f>_xlfn.IFNA(VLOOKUP($AH553,Programma!$F$3:$U$1101,16,0),"")</f>
        <v>1j</v>
      </c>
      <c r="AX553" s="185" t="str">
        <f>_xlfn.IFNA(VLOOKUP($AH553,Programma!$F$3:$V$1101,17,0),"")</f>
        <v>_</v>
      </c>
      <c r="AY553" s="185" t="str">
        <f>_xlfn.IFNA(VLOOKUP($AH553,Programma!$F$3:$W$1101,18,0),"")</f>
        <v>_</v>
      </c>
      <c r="AZ553" s="185" t="str">
        <f>_xlfn.IFNA(VLOOKUP($AH553,Programma!$F$3:$X$1101,19,0),"")</f>
        <v>_</v>
      </c>
      <c r="BA553" s="185" t="str">
        <f>_xlfn.IFNA(VLOOKUP($AH553,Programma!$F$3:$Y$1101,20,0),"")</f>
        <v>_</v>
      </c>
      <c r="BB553" s="182"/>
      <c r="BC553" s="181" t="str">
        <f>IF(Ruimtestaat[[#This Row],[Frequentie weekend]]="","",_xlfn.CONCAT(Ruimtestaat[[#This Row],[Ruimte code]],"-",Ruimtestaat[[#This Row],[Frequentie weekend]]," ",Ruimtestaat[[#This Row],[Vloer code]]))</f>
        <v/>
      </c>
      <c r="BD553" s="185" t="str">
        <f>_xlfn.IFNA(VLOOKUP($BC553,Programma!$F$3:$G$1101,2,0),"")</f>
        <v/>
      </c>
      <c r="BE553" s="185" t="str">
        <f>_xlfn.IFNA(VLOOKUP($BC553,Programma!$F$3:$H$1101,3,0),"")</f>
        <v/>
      </c>
      <c r="BF553" s="185" t="str">
        <f>_xlfn.IFNA(VLOOKUP($BC553,Programma!$F$3:$I$1101,4,0),"")</f>
        <v/>
      </c>
      <c r="BG553" s="185" t="str">
        <f>_xlfn.IFNA(VLOOKUP($BC553,Programma!$F$3:$J$1101,5,0),"")</f>
        <v/>
      </c>
      <c r="BH553" s="185" t="str">
        <f>_xlfn.IFNA(VLOOKUP($BC553,Programma!$F$3:$K$1101,6,0),"")</f>
        <v/>
      </c>
      <c r="BI553" s="185" t="str">
        <f>_xlfn.IFNA(VLOOKUP($BC553,Programma!$F$3:$L$1101,7,0),"")</f>
        <v/>
      </c>
      <c r="BJ553" s="185" t="str">
        <f>_xlfn.IFNA(VLOOKUP($BC553,Programma!$F$3:$M$1101,8,0),"")</f>
        <v/>
      </c>
      <c r="BK553" s="185" t="str">
        <f>_xlfn.IFNA(VLOOKUP($BC553,Programma!$F$3:$N$1101,9,0),"")</f>
        <v/>
      </c>
      <c r="BL553" s="185" t="str">
        <f>_xlfn.IFNA(VLOOKUP($BC553,Programma!$F$3:$O$1101,10,0),"")</f>
        <v/>
      </c>
      <c r="BM553" s="185" t="str">
        <f>_xlfn.IFNA(VLOOKUP($BC553,Programma!$F$3:$P$1101,11,0),"")</f>
        <v/>
      </c>
      <c r="BN553" s="185" t="str">
        <f>_xlfn.IFNA(VLOOKUP($BC553,Programma!$F$3:$Q$1101,12,0),"")</f>
        <v/>
      </c>
      <c r="BO553" s="185" t="str">
        <f>_xlfn.IFNA(VLOOKUP($BC553,Programma!$F$3:$R$1101,13,0),"")</f>
        <v/>
      </c>
      <c r="BP553" s="185" t="str">
        <f>_xlfn.IFNA(VLOOKUP($BC553,Programma!$F$3:$S$1101,14,0),"")</f>
        <v/>
      </c>
      <c r="BQ553" s="185" t="str">
        <f>_xlfn.IFNA(VLOOKUP($BC553,Programma!$F$3:$T$1101,15,0),"")</f>
        <v/>
      </c>
      <c r="BR553" s="185" t="str">
        <f>_xlfn.IFNA(VLOOKUP($BC553,Programma!$F$3:$U$1101,16,0),"")</f>
        <v/>
      </c>
      <c r="BS553" s="185" t="str">
        <f>_xlfn.IFNA(VLOOKUP($BC553,Programma!$F$3:$V$1101,17,0),"")</f>
        <v/>
      </c>
      <c r="BT553" s="185" t="str">
        <f>_xlfn.IFNA(VLOOKUP($BC553,Programma!$F$3:$W$1101,18,0),"")</f>
        <v/>
      </c>
      <c r="BU553" s="185" t="str">
        <f>_xlfn.IFNA(VLOOKUP($BC553,Programma!$F$3:$X$1101,19,0),"")</f>
        <v/>
      </c>
      <c r="BV553" s="185" t="str">
        <f>_xlfn.IFNA(VLOOKUP($BC553,Programma!$F$3:$Y$1101,20,0),"")</f>
        <v/>
      </c>
      <c r="BW553" s="78"/>
      <c r="BX553" s="78"/>
      <c r="BY553" s="78"/>
      <c r="BZ553" s="78"/>
      <c r="CA553" s="78"/>
      <c r="CB553" s="78"/>
      <c r="CC553" s="78"/>
      <c r="CD553" s="78"/>
      <c r="CE553" s="78"/>
      <c r="CF553" s="78"/>
      <c r="CG553" s="78"/>
      <c r="CH553" s="78"/>
      <c r="CI553" s="78"/>
      <c r="CJ553" s="78"/>
      <c r="CK553" s="78"/>
      <c r="CL553" s="78"/>
      <c r="CM553" s="78"/>
      <c r="CN553" s="78"/>
      <c r="CO553" s="78"/>
      <c r="CP553" s="78"/>
      <c r="CQ553" s="78"/>
      <c r="CR553" s="78"/>
      <c r="CS553" s="78"/>
      <c r="CT553" s="78"/>
      <c r="CU553" s="78"/>
      <c r="CV553" s="78"/>
      <c r="CW553" s="78"/>
      <c r="CX553" s="78"/>
      <c r="CY553" s="78"/>
      <c r="CZ553" s="78"/>
      <c r="DA553" s="78"/>
      <c r="DB553" s="78"/>
      <c r="DC553" s="78"/>
      <c r="DD553" s="78"/>
      <c r="DE553" s="78"/>
      <c r="DF553" s="78"/>
      <c r="DG553" s="78"/>
      <c r="DH553" s="78"/>
      <c r="DI553" s="78"/>
      <c r="DJ553" s="78"/>
      <c r="DK553" s="78"/>
      <c r="DL553" s="78"/>
      <c r="DM553" s="78"/>
      <c r="DN553" s="78"/>
      <c r="DO553" s="78"/>
      <c r="DP553" s="78"/>
      <c r="DQ553" s="78"/>
      <c r="DR553" s="78"/>
      <c r="DS553" s="78"/>
      <c r="DT553" s="78"/>
      <c r="DU553" s="78"/>
      <c r="DV553" s="78"/>
      <c r="DW553" s="78"/>
      <c r="DX553" s="78"/>
      <c r="DY553" s="78"/>
      <c r="DZ553" s="78"/>
      <c r="EA553" s="78"/>
      <c r="EB553" s="78"/>
      <c r="EC553" s="78"/>
      <c r="ED553" s="78"/>
      <c r="EE553" s="78"/>
      <c r="EF553" s="78"/>
      <c r="EG553" s="78"/>
      <c r="EH553" s="78"/>
      <c r="EI553" s="78"/>
      <c r="EJ553" s="78"/>
      <c r="EK553" s="78"/>
      <c r="EL553" s="78"/>
      <c r="EM553" s="78"/>
      <c r="EN553" s="78"/>
      <c r="EO553" s="78"/>
      <c r="EP553" s="78"/>
      <c r="EQ553" s="78"/>
      <c r="ER553" s="78"/>
      <c r="ES553" s="78"/>
      <c r="ET553" s="78"/>
      <c r="EU553" s="78"/>
      <c r="EV553" s="78"/>
      <c r="EW553" s="78"/>
      <c r="EX553" s="78"/>
      <c r="EY553" s="78"/>
      <c r="EZ553" s="78"/>
      <c r="FA553" s="78"/>
      <c r="FB553" s="78"/>
      <c r="FC553" s="78"/>
      <c r="FD553" s="78"/>
      <c r="FE553" s="78"/>
      <c r="FF553" s="78"/>
      <c r="FG553" s="78"/>
      <c r="FH553" s="78"/>
      <c r="FI553" s="78"/>
      <c r="FJ553" s="78"/>
      <c r="FK553" s="78"/>
      <c r="FL553" s="78"/>
      <c r="FM553" s="78"/>
      <c r="FN553" s="78"/>
      <c r="FO553" s="78"/>
      <c r="FP553" s="78"/>
      <c r="FQ553" s="78"/>
      <c r="FR553" s="78"/>
      <c r="FS553" s="78"/>
      <c r="FT553" s="78"/>
      <c r="FU553" s="78"/>
      <c r="FV553" s="78"/>
      <c r="FW553" s="78"/>
      <c r="FX553" s="78"/>
      <c r="FY553" s="78"/>
      <c r="FZ553" s="78"/>
      <c r="GA553" s="78"/>
      <c r="GB553" s="78"/>
      <c r="GC553" s="78"/>
      <c r="GD553" s="78"/>
      <c r="GE553" s="78"/>
      <c r="GF553" s="78"/>
      <c r="GG553" s="78"/>
      <c r="GH553" s="78"/>
      <c r="GI553" s="78"/>
      <c r="GJ553" s="78"/>
      <c r="GK553" s="78"/>
      <c r="GL553" s="78"/>
      <c r="GM553" s="78"/>
      <c r="GN553" s="78"/>
      <c r="GO553" s="78"/>
      <c r="GP553" s="78"/>
      <c r="GQ553" s="78"/>
      <c r="GR553" s="78"/>
      <c r="GS553" s="78"/>
      <c r="GT553" s="78"/>
      <c r="GU553" s="78"/>
      <c r="GV553" s="78"/>
      <c r="GW553" s="78"/>
      <c r="GX553" s="78"/>
      <c r="GY553" s="78"/>
      <c r="GZ553" s="78"/>
      <c r="HA553" s="78"/>
      <c r="HB553" s="78"/>
      <c r="HC553" s="78"/>
      <c r="HD553" s="78"/>
      <c r="HE553" s="78"/>
      <c r="HF553" s="78"/>
      <c r="HG553" s="78"/>
      <c r="HH553" s="78"/>
      <c r="HI553" s="78"/>
      <c r="HJ553" s="78"/>
      <c r="HK553" s="78"/>
    </row>
    <row r="554" spans="1:219" ht="15" customHeight="1">
      <c r="A554" s="99">
        <v>16</v>
      </c>
      <c r="B554" s="176" t="str">
        <f>VLOOKUP(Ruimtestaat[[#This Row],[Code]],Locaties[[Code]:[Locatie]],2,FALSE)</f>
        <v>SBO Het Pontem (College)</v>
      </c>
      <c r="C554" s="176" t="str">
        <f>VLOOKUP(Ruimtestaat[[#This Row],[Code]],Locaties[[#All],[Code]:[Adres]],4,FALSE)</f>
        <v>Poolmansweg 245</v>
      </c>
      <c r="D554" s="176" t="str">
        <f>VLOOKUP(Ruimtestaat[[#This Row],[Code]],Locaties[[#All],[Code]:[Postcode]],5,FALSE)</f>
        <v>7545 LR</v>
      </c>
      <c r="E554" s="176" t="str">
        <f>VLOOKUP(Ruimtestaat[[#This Row],[Code]],Locaties[#All],6,FALSE)</f>
        <v>Enschede</v>
      </c>
      <c r="F554" s="183"/>
      <c r="G554" s="99" t="s">
        <v>1646</v>
      </c>
      <c r="H554" s="149" t="s">
        <v>1653</v>
      </c>
      <c r="I554" s="173" t="s">
        <v>1651</v>
      </c>
      <c r="J554" s="99">
        <v>16</v>
      </c>
      <c r="K554" s="173" t="str">
        <f>VLOOKUP(Ruimtestaat[[#This Row],[Ruimte code]],Ruimtegroepen[[#All],[Code]:[Ruimte omschrijving]],2,FALSE)</f>
        <v>Leslokalen</v>
      </c>
      <c r="L554" s="149" t="s">
        <v>101</v>
      </c>
      <c r="M554" s="99" t="s">
        <v>1698</v>
      </c>
      <c r="N554" s="177">
        <v>48.2</v>
      </c>
      <c r="O554" s="177"/>
      <c r="P554" s="178" t="str">
        <f>VLOOKUP(Ruimtestaat[[#This Row],[Ruimte code]],Ruimtegroepen[],4,FALSE)</f>
        <v>Le</v>
      </c>
      <c r="Q554" s="149">
        <v>40</v>
      </c>
      <c r="R554" s="149" t="s">
        <v>2</v>
      </c>
      <c r="S554" s="149">
        <f>IF(Q554&gt;0,IF(RIGHT(Ruimtestaat[[#This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4" s="149">
        <f>IF(S554&gt;0,VLOOKUP($J554,Ruimtegroepen[],3,FALSE)*VLOOKUP($L554,Vloersoorten[],3,FALSE)*VLOOKUP($R554,Frequenties[],3,FALSE)*VLOOKUP($A554,Locaties[],3,FALSE),0)</f>
        <v>0</v>
      </c>
      <c r="U554" s="149">
        <f>Ruimtestaat[[#This Row],[Uitvoeringen werkdagen]]*Ruimtestaat[[#This Row],[Oppervlak (netto)]]</f>
        <v>9640</v>
      </c>
      <c r="V554" s="179">
        <f>IF(T554&gt;0,Ruimtestaat[[#This Row],[Prest. (m2 /jaar) werkdagen]]/Ruimtestaat[[#This Row],[Norm (m2/uur) werkdagen]],0)</f>
        <v>0</v>
      </c>
      <c r="W554" s="180">
        <f>Ruimtestaat[[#This Row],[uren / jaar werkdagen]]*Tariefsopbouw!$E$35</f>
        <v>0</v>
      </c>
      <c r="X554" s="149"/>
      <c r="Y554" s="149">
        <f>IF(Ruimtestaat[[#This Row],[Frequentie weekend]]&gt;0,VALUE(LEFT(X554,1))*Q554,0)</f>
        <v>0</v>
      </c>
      <c r="Z554" s="148">
        <f>IF($Y554&gt;0,VLOOKUP($J554,Ruimtegroepen[],3,FALSE)*VLOOKUP($L554,Vloersoorten[],3,FALSE)*VLOOKUP($X554,Frequenties[],3,FALSE)*VLOOKUP(Ruimtestaat[[#This Row],[Code]],Locaties[],3,FALSE),0)</f>
        <v>0</v>
      </c>
      <c r="AA554" s="148">
        <f>Ruimtestaat[[#This Row],[Uitvoeringen weekend]]*Ruimtestaat[[#This Row],[Oppervlak (netto)]]</f>
        <v>0</v>
      </c>
      <c r="AB554" s="148">
        <f>IF(Z554&gt;0,Ruimtestaat[[#This Row],[Prest. (m2 /jaar) weekend]]/Ruimtestaat[[#This Row],[Norm (m2/uur) weekend]],0)</f>
        <v>0</v>
      </c>
      <c r="AC554" s="180">
        <f>Ruimtestaat[[#This Row],[uren / jaar weekend]]*Tariefsopbouw!$D$40</f>
        <v>0</v>
      </c>
      <c r="AD554" s="179">
        <f>Ruimtestaat[[#This Row],[Prest. (m2 /jaar) weekend]]+Ruimtestaat[[#This Row],[Prest. (m2 /jaar) werkdagen]]</f>
        <v>9640</v>
      </c>
      <c r="AE554" s="179">
        <f>Ruimtestaat[[#This Row],[uren / jaar weekend]]+Ruimtestaat[[#This Row],[uren / jaar werkdagen]]</f>
        <v>0</v>
      </c>
      <c r="AF554" s="174">
        <f>Ruimtestaat[[#This Row],[kosten / jaar weekend]]+Ruimtestaat[[#This Row],[kosten / jaar werkdagen]]</f>
        <v>0</v>
      </c>
      <c r="AG554" s="174"/>
      <c r="AH554" s="181" t="str">
        <f>IF(Ruimtestaat[[#This Row],[Frequentie werkdagen]]="","",_xlfn.CONCAT(Ruimtestaat[[#This Row],[Ruimte code]],"-",Ruimtestaat[[#This Row],[Frequentie werkdagen]]," ",Ruimtestaat[[#This Row],[Vloer code]]))</f>
        <v>16-5w S</v>
      </c>
      <c r="AI554" s="185" t="str">
        <f>_xlfn.IFNA(VLOOKUP($AH554,Programma!$F$3:$G$1101,2,0),"")</f>
        <v>_</v>
      </c>
      <c r="AJ554" s="185" t="str">
        <f>_xlfn.IFNA(VLOOKUP($AH554,Programma!$F$3:$H$1101,3,0),"")</f>
        <v>_</v>
      </c>
      <c r="AK554" s="185" t="str">
        <f>_xlfn.IFNA(VLOOKUP($AH554,Programma!$F$3:$I$1101,4,0),"")</f>
        <v>4w</v>
      </c>
      <c r="AL554" s="185" t="str">
        <f>_xlfn.IFNA(VLOOKUP($AH554,Programma!$F$3:$J$1101,5,0),"")</f>
        <v>1w</v>
      </c>
      <c r="AM554" s="185" t="str">
        <f>_xlfn.IFNA(VLOOKUP($AH554,Programma!$F$3:$K$1101,6,0),"")</f>
        <v>1m</v>
      </c>
      <c r="AN554" s="185" t="str">
        <f>_xlfn.IFNA(VLOOKUP($AH554,Programma!$F$3:$L$1101,7,0),"")</f>
        <v>_</v>
      </c>
      <c r="AO554" s="185" t="str">
        <f>_xlfn.IFNA(VLOOKUP($AH554,Programma!$F$3:$M$1101,8,0),"")</f>
        <v>_</v>
      </c>
      <c r="AP554" s="185" t="str">
        <f>_xlfn.IFNA(VLOOKUP($AH554,Programma!$F$3:$N$1101,9,0),"")</f>
        <v>_</v>
      </c>
      <c r="AQ554" s="185" t="str">
        <f>_xlfn.IFNA(VLOOKUP($AH554,Programma!$F$3:$O$1101,10,0),"")</f>
        <v>5w</v>
      </c>
      <c r="AR554" s="185" t="str">
        <f>_xlfn.IFNA(VLOOKUP($AH554,Programma!$F$3:$P$1101,11,0),"")</f>
        <v>5w</v>
      </c>
      <c r="AS554" s="185" t="str">
        <f>_xlfn.IFNA(VLOOKUP($AH554,Programma!$F$3:$Q$1101,12,0),"")</f>
        <v>1w</v>
      </c>
      <c r="AT554" s="185" t="str">
        <f>_xlfn.IFNA(VLOOKUP($AH554,Programma!$F$3:$R$1101,13,0),"")</f>
        <v>1w</v>
      </c>
      <c r="AU554" s="185" t="str">
        <f>_xlfn.IFNA(VLOOKUP($AH554,Programma!$F$3:$S$1101,14,0),"")</f>
        <v>1m</v>
      </c>
      <c r="AV554" s="185" t="str">
        <f>_xlfn.IFNA(VLOOKUP($AH554,Programma!$F$3:$T$1101,15,0),"")</f>
        <v>2j</v>
      </c>
      <c r="AW554" s="185" t="str">
        <f>_xlfn.IFNA(VLOOKUP($AH554,Programma!$F$3:$U$1101,16,0),"")</f>
        <v>1j</v>
      </c>
      <c r="AX554" s="185" t="str">
        <f>_xlfn.IFNA(VLOOKUP($AH554,Programma!$F$3:$V$1101,17,0),"")</f>
        <v>_</v>
      </c>
      <c r="AY554" s="185" t="str">
        <f>_xlfn.IFNA(VLOOKUP($AH554,Programma!$F$3:$W$1101,18,0),"")</f>
        <v>_</v>
      </c>
      <c r="AZ554" s="185" t="str">
        <f>_xlfn.IFNA(VLOOKUP($AH554,Programma!$F$3:$X$1101,19,0),"")</f>
        <v>_</v>
      </c>
      <c r="BA554" s="185" t="str">
        <f>_xlfn.IFNA(VLOOKUP($AH554,Programma!$F$3:$Y$1101,20,0),"")</f>
        <v>_</v>
      </c>
      <c r="BB554" s="182"/>
      <c r="BC554" s="181" t="str">
        <f>IF(Ruimtestaat[[#This Row],[Frequentie weekend]]="","",_xlfn.CONCAT(Ruimtestaat[[#This Row],[Ruimte code]],"-",Ruimtestaat[[#This Row],[Frequentie weekend]]," ",Ruimtestaat[[#This Row],[Vloer code]]))</f>
        <v/>
      </c>
      <c r="BD554" s="185" t="str">
        <f>_xlfn.IFNA(VLOOKUP($BC554,Programma!$F$3:$G$1101,2,0),"")</f>
        <v/>
      </c>
      <c r="BE554" s="185" t="str">
        <f>_xlfn.IFNA(VLOOKUP($BC554,Programma!$F$3:$H$1101,3,0),"")</f>
        <v/>
      </c>
      <c r="BF554" s="185" t="str">
        <f>_xlfn.IFNA(VLOOKUP($BC554,Programma!$F$3:$I$1101,4,0),"")</f>
        <v/>
      </c>
      <c r="BG554" s="185" t="str">
        <f>_xlfn.IFNA(VLOOKUP($BC554,Programma!$F$3:$J$1101,5,0),"")</f>
        <v/>
      </c>
      <c r="BH554" s="185" t="str">
        <f>_xlfn.IFNA(VLOOKUP($BC554,Programma!$F$3:$K$1101,6,0),"")</f>
        <v/>
      </c>
      <c r="BI554" s="185" t="str">
        <f>_xlfn.IFNA(VLOOKUP($BC554,Programma!$F$3:$L$1101,7,0),"")</f>
        <v/>
      </c>
      <c r="BJ554" s="185" t="str">
        <f>_xlfn.IFNA(VLOOKUP($BC554,Programma!$F$3:$M$1101,8,0),"")</f>
        <v/>
      </c>
      <c r="BK554" s="185" t="str">
        <f>_xlfn.IFNA(VLOOKUP($BC554,Programma!$F$3:$N$1101,9,0),"")</f>
        <v/>
      </c>
      <c r="BL554" s="185" t="str">
        <f>_xlfn.IFNA(VLOOKUP($BC554,Programma!$F$3:$O$1101,10,0),"")</f>
        <v/>
      </c>
      <c r="BM554" s="185" t="str">
        <f>_xlfn.IFNA(VLOOKUP($BC554,Programma!$F$3:$P$1101,11,0),"")</f>
        <v/>
      </c>
      <c r="BN554" s="185" t="str">
        <f>_xlfn.IFNA(VLOOKUP($BC554,Programma!$F$3:$Q$1101,12,0),"")</f>
        <v/>
      </c>
      <c r="BO554" s="185" t="str">
        <f>_xlfn.IFNA(VLOOKUP($BC554,Programma!$F$3:$R$1101,13,0),"")</f>
        <v/>
      </c>
      <c r="BP554" s="185" t="str">
        <f>_xlfn.IFNA(VLOOKUP($BC554,Programma!$F$3:$S$1101,14,0),"")</f>
        <v/>
      </c>
      <c r="BQ554" s="185" t="str">
        <f>_xlfn.IFNA(VLOOKUP($BC554,Programma!$F$3:$T$1101,15,0),"")</f>
        <v/>
      </c>
      <c r="BR554" s="185" t="str">
        <f>_xlfn.IFNA(VLOOKUP($BC554,Programma!$F$3:$U$1101,16,0),"")</f>
        <v/>
      </c>
      <c r="BS554" s="185" t="str">
        <f>_xlfn.IFNA(VLOOKUP($BC554,Programma!$F$3:$V$1101,17,0),"")</f>
        <v/>
      </c>
      <c r="BT554" s="185" t="str">
        <f>_xlfn.IFNA(VLOOKUP($BC554,Programma!$F$3:$W$1101,18,0),"")</f>
        <v/>
      </c>
      <c r="BU554" s="185" t="str">
        <f>_xlfn.IFNA(VLOOKUP($BC554,Programma!$F$3:$X$1101,19,0),"")</f>
        <v/>
      </c>
      <c r="BV554" s="185" t="str">
        <f>_xlfn.IFNA(VLOOKUP($BC554,Programma!$F$3:$Y$1101,20,0),"")</f>
        <v/>
      </c>
      <c r="BW554" s="78"/>
      <c r="BX554" s="78"/>
      <c r="BY554" s="78"/>
      <c r="BZ554" s="78"/>
      <c r="CA554" s="78"/>
      <c r="CB554" s="78"/>
      <c r="CC554" s="78"/>
      <c r="CD554" s="78"/>
      <c r="CE554" s="78"/>
      <c r="CF554" s="78"/>
      <c r="CG554" s="78"/>
      <c r="CH554" s="78"/>
      <c r="CI554" s="78"/>
      <c r="CJ554" s="78"/>
      <c r="CK554" s="78"/>
      <c r="CL554" s="78"/>
      <c r="CM554" s="78"/>
      <c r="CN554" s="78"/>
      <c r="CO554" s="78"/>
      <c r="CP554" s="78"/>
      <c r="CQ554" s="78"/>
      <c r="CR554" s="78"/>
      <c r="CS554" s="78"/>
      <c r="CT554" s="78"/>
      <c r="CU554" s="78"/>
      <c r="CV554" s="78"/>
      <c r="CW554" s="78"/>
      <c r="CX554" s="78"/>
      <c r="CY554" s="78"/>
      <c r="CZ554" s="78"/>
      <c r="DA554" s="78"/>
      <c r="DB554" s="78"/>
      <c r="DC554" s="78"/>
      <c r="DD554" s="78"/>
      <c r="DE554" s="78"/>
      <c r="DF554" s="78"/>
      <c r="DG554" s="78"/>
      <c r="DH554" s="78"/>
      <c r="DI554" s="78"/>
      <c r="DJ554" s="78"/>
      <c r="DK554" s="78"/>
      <c r="DL554" s="78"/>
      <c r="DM554" s="78"/>
      <c r="DN554" s="78"/>
      <c r="DO554" s="78"/>
      <c r="DP554" s="78"/>
      <c r="DQ554" s="78"/>
      <c r="DR554" s="78"/>
      <c r="DS554" s="78"/>
      <c r="DT554" s="78"/>
      <c r="DU554" s="78"/>
      <c r="DV554" s="78"/>
      <c r="DW554" s="78"/>
      <c r="DX554" s="78"/>
      <c r="DY554" s="78"/>
      <c r="DZ554" s="78"/>
      <c r="EA554" s="78"/>
      <c r="EB554" s="78"/>
      <c r="EC554" s="78"/>
      <c r="ED554" s="78"/>
      <c r="EE554" s="78"/>
      <c r="EF554" s="78"/>
      <c r="EG554" s="78"/>
      <c r="EH554" s="78"/>
      <c r="EI554" s="78"/>
      <c r="EJ554" s="78"/>
      <c r="EK554" s="78"/>
      <c r="EL554" s="78"/>
      <c r="EM554" s="78"/>
      <c r="EN554" s="78"/>
      <c r="EO554" s="78"/>
      <c r="EP554" s="78"/>
      <c r="EQ554" s="78"/>
      <c r="ER554" s="78"/>
      <c r="ES554" s="78"/>
      <c r="ET554" s="78"/>
      <c r="EU554" s="78"/>
      <c r="EV554" s="78"/>
      <c r="EW554" s="78"/>
      <c r="EX554" s="78"/>
      <c r="EY554" s="78"/>
      <c r="EZ554" s="78"/>
      <c r="FA554" s="78"/>
      <c r="FB554" s="78"/>
      <c r="FC554" s="78"/>
      <c r="FD554" s="78"/>
      <c r="FE554" s="78"/>
      <c r="FF554" s="78"/>
      <c r="FG554" s="78"/>
      <c r="FH554" s="78"/>
      <c r="FI554" s="78"/>
      <c r="FJ554" s="78"/>
      <c r="FK554" s="78"/>
      <c r="FL554" s="78"/>
      <c r="FM554" s="78"/>
      <c r="FN554" s="78"/>
      <c r="FO554" s="78"/>
      <c r="FP554" s="78"/>
      <c r="FQ554" s="78"/>
      <c r="FR554" s="78"/>
      <c r="FS554" s="78"/>
      <c r="FT554" s="78"/>
      <c r="FU554" s="78"/>
      <c r="FV554" s="78"/>
      <c r="FW554" s="78"/>
      <c r="FX554" s="78"/>
      <c r="FY554" s="78"/>
      <c r="FZ554" s="78"/>
      <c r="GA554" s="78"/>
      <c r="GB554" s="78"/>
      <c r="GC554" s="78"/>
      <c r="GD554" s="78"/>
      <c r="GE554" s="78"/>
      <c r="GF554" s="78"/>
      <c r="GG554" s="78"/>
      <c r="GH554" s="78"/>
      <c r="GI554" s="78"/>
      <c r="GJ554" s="78"/>
      <c r="GK554" s="78"/>
      <c r="GL554" s="78"/>
      <c r="GM554" s="78"/>
      <c r="GN554" s="78"/>
      <c r="GO554" s="78"/>
      <c r="GP554" s="78"/>
      <c r="GQ554" s="78"/>
      <c r="GR554" s="78"/>
      <c r="GS554" s="78"/>
      <c r="GT554" s="78"/>
      <c r="GU554" s="78"/>
      <c r="GV554" s="78"/>
      <c r="GW554" s="78"/>
      <c r="GX554" s="78"/>
      <c r="GY554" s="78"/>
      <c r="GZ554" s="78"/>
      <c r="HA554" s="78"/>
      <c r="HB554" s="78"/>
      <c r="HC554" s="78"/>
      <c r="HD554" s="78"/>
      <c r="HE554" s="78"/>
      <c r="HF554" s="78"/>
      <c r="HG554" s="78"/>
      <c r="HH554" s="78"/>
      <c r="HI554" s="78"/>
      <c r="HJ554" s="78"/>
      <c r="HK554" s="78"/>
    </row>
    <row r="555" spans="1:219" ht="15" customHeight="1">
      <c r="A555" s="99">
        <v>16</v>
      </c>
      <c r="B555" s="176" t="str">
        <f>VLOOKUP(Ruimtestaat[[#This Row],[Code]],Locaties[[Code]:[Locatie]],2,FALSE)</f>
        <v>SBO Het Pontem (College)</v>
      </c>
      <c r="C555" s="176" t="str">
        <f>VLOOKUP(Ruimtestaat[[#This Row],[Code]],Locaties[[#All],[Code]:[Adres]],4,FALSE)</f>
        <v>Poolmansweg 245</v>
      </c>
      <c r="D555" s="176" t="str">
        <f>VLOOKUP(Ruimtestaat[[#This Row],[Code]],Locaties[[#All],[Code]:[Postcode]],5,FALSE)</f>
        <v>7545 LR</v>
      </c>
      <c r="E555" s="176" t="str">
        <f>VLOOKUP(Ruimtestaat[[#This Row],[Code]],Locaties[#All],6,FALSE)</f>
        <v>Enschede</v>
      </c>
      <c r="F555" s="183"/>
      <c r="G555" s="99" t="s">
        <v>1646</v>
      </c>
      <c r="H555" s="99" t="s">
        <v>1654</v>
      </c>
      <c r="I555" s="183" t="s">
        <v>1651</v>
      </c>
      <c r="J555" s="99">
        <v>16</v>
      </c>
      <c r="K555" s="183" t="str">
        <f>VLOOKUP(Ruimtestaat[[#This Row],[Ruimte code]],Ruimtegroepen[[#All],[Code]:[Ruimte omschrijving]],2,FALSE)</f>
        <v>Leslokalen</v>
      </c>
      <c r="L555" s="149" t="s">
        <v>100</v>
      </c>
      <c r="M555" s="99" t="s">
        <v>1697</v>
      </c>
      <c r="N555" s="177">
        <v>48.2</v>
      </c>
      <c r="O555" s="177"/>
      <c r="P555" s="178" t="str">
        <f>VLOOKUP(Ruimtestaat[[#This Row],[Ruimte code]],Ruimtegroepen[],4,FALSE)</f>
        <v>Le</v>
      </c>
      <c r="Q555" s="149">
        <v>40</v>
      </c>
      <c r="R555" s="149" t="s">
        <v>2</v>
      </c>
      <c r="S555" s="149">
        <f>IF(Q555&gt;0,IF(RIGHT(Ruimtestaat[[#This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5" s="149">
        <f>IF(S555&gt;0,VLOOKUP($J555,Ruimtegroepen[],3,FALSE)*VLOOKUP($L555,Vloersoorten[],3,FALSE)*VLOOKUP($R555,Frequenties[],3,FALSE)*VLOOKUP($A555,Locaties[],3,FALSE),0)</f>
        <v>0</v>
      </c>
      <c r="U555" s="149">
        <f>Ruimtestaat[[#This Row],[Uitvoeringen werkdagen]]*Ruimtestaat[[#This Row],[Oppervlak (netto)]]</f>
        <v>9640</v>
      </c>
      <c r="V555" s="179">
        <f>IF(T555&gt;0,Ruimtestaat[[#This Row],[Prest. (m2 /jaar) werkdagen]]/Ruimtestaat[[#This Row],[Norm (m2/uur) werkdagen]],0)</f>
        <v>0</v>
      </c>
      <c r="W555" s="180">
        <f>Ruimtestaat[[#This Row],[uren / jaar werkdagen]]*Tariefsopbouw!$E$35</f>
        <v>0</v>
      </c>
      <c r="X555" s="149"/>
      <c r="Y555" s="149">
        <f>IF(Ruimtestaat[[#This Row],[Frequentie weekend]]&gt;0,VALUE(LEFT(X555,1))*Q555,0)</f>
        <v>0</v>
      </c>
      <c r="Z555" s="148">
        <f>IF($Y555&gt;0,VLOOKUP($J555,Ruimtegroepen[],3,FALSE)*VLOOKUP($L555,Vloersoorten[],3,FALSE)*VLOOKUP($X555,Frequenties[],3,FALSE)*VLOOKUP(Ruimtestaat[[#This Row],[Code]],Locaties[],3,FALSE),0)</f>
        <v>0</v>
      </c>
      <c r="AA555" s="148">
        <f>Ruimtestaat[[#This Row],[Uitvoeringen weekend]]*Ruimtestaat[[#This Row],[Oppervlak (netto)]]</f>
        <v>0</v>
      </c>
      <c r="AB555" s="148">
        <f>IF(Z555&gt;0,Ruimtestaat[[#This Row],[Prest. (m2 /jaar) weekend]]/Ruimtestaat[[#This Row],[Norm (m2/uur) weekend]],0)</f>
        <v>0</v>
      </c>
      <c r="AC555" s="180">
        <f>Ruimtestaat[[#This Row],[uren / jaar weekend]]*Tariefsopbouw!$D$40</f>
        <v>0</v>
      </c>
      <c r="AD555" s="179">
        <f>Ruimtestaat[[#This Row],[Prest. (m2 /jaar) weekend]]+Ruimtestaat[[#This Row],[Prest. (m2 /jaar) werkdagen]]</f>
        <v>9640</v>
      </c>
      <c r="AE555" s="179">
        <f>Ruimtestaat[[#This Row],[uren / jaar weekend]]+Ruimtestaat[[#This Row],[uren / jaar werkdagen]]</f>
        <v>0</v>
      </c>
      <c r="AF555" s="174">
        <f>Ruimtestaat[[#This Row],[kosten / jaar weekend]]+Ruimtestaat[[#This Row],[kosten / jaar werkdagen]]</f>
        <v>0</v>
      </c>
      <c r="AG555" s="174"/>
      <c r="AH555" s="181" t="str">
        <f>IF(Ruimtestaat[[#This Row],[Frequentie werkdagen]]="","",_xlfn.CONCAT(Ruimtestaat[[#This Row],[Ruimte code]],"-",Ruimtestaat[[#This Row],[Frequentie werkdagen]]," ",Ruimtestaat[[#This Row],[Vloer code]]))</f>
        <v>16-5w L</v>
      </c>
      <c r="AI555" s="185" t="str">
        <f>_xlfn.IFNA(VLOOKUP($AH555,Programma!$F$3:$G$1101,2,0),"")</f>
        <v>_</v>
      </c>
      <c r="AJ555" s="185" t="str">
        <f>_xlfn.IFNA(VLOOKUP($AH555,Programma!$F$3:$H$1101,3,0),"")</f>
        <v>_</v>
      </c>
      <c r="AK555" s="185" t="str">
        <f>_xlfn.IFNA(VLOOKUP($AH555,Programma!$F$3:$I$1101,4,0),"")</f>
        <v>4w</v>
      </c>
      <c r="AL555" s="185" t="str">
        <f>_xlfn.IFNA(VLOOKUP($AH555,Programma!$F$3:$J$1101,5,0),"")</f>
        <v>1w</v>
      </c>
      <c r="AM555" s="185" t="str">
        <f>_xlfn.IFNA(VLOOKUP($AH555,Programma!$F$3:$K$1101,6,0),"")</f>
        <v>_</v>
      </c>
      <c r="AN555" s="185" t="str">
        <f>_xlfn.IFNA(VLOOKUP($AH555,Programma!$F$3:$L$1101,7,0),"")</f>
        <v>_</v>
      </c>
      <c r="AO555" s="185" t="str">
        <f>_xlfn.IFNA(VLOOKUP($AH555,Programma!$F$3:$M$1101,8,0),"")</f>
        <v>_</v>
      </c>
      <c r="AP555" s="185" t="str">
        <f>_xlfn.IFNA(VLOOKUP($AH555,Programma!$F$3:$N$1101,9,0),"")</f>
        <v>_</v>
      </c>
      <c r="AQ555" s="185" t="str">
        <f>_xlfn.IFNA(VLOOKUP($AH555,Programma!$F$3:$O$1101,10,0),"")</f>
        <v>5w</v>
      </c>
      <c r="AR555" s="185" t="str">
        <f>_xlfn.IFNA(VLOOKUP($AH555,Programma!$F$3:$P$1101,11,0),"")</f>
        <v>5w</v>
      </c>
      <c r="AS555" s="185" t="str">
        <f>_xlfn.IFNA(VLOOKUP($AH555,Programma!$F$3:$Q$1101,12,0),"")</f>
        <v>1w</v>
      </c>
      <c r="AT555" s="185" t="str">
        <f>_xlfn.IFNA(VLOOKUP($AH555,Programma!$F$3:$R$1101,13,0),"")</f>
        <v>1w</v>
      </c>
      <c r="AU555" s="185" t="str">
        <f>_xlfn.IFNA(VLOOKUP($AH555,Programma!$F$3:$S$1101,14,0),"")</f>
        <v>1m</v>
      </c>
      <c r="AV555" s="185" t="str">
        <f>_xlfn.IFNA(VLOOKUP($AH555,Programma!$F$3:$T$1101,15,0),"")</f>
        <v>2j</v>
      </c>
      <c r="AW555" s="185" t="str">
        <f>_xlfn.IFNA(VLOOKUP($AH555,Programma!$F$3:$U$1101,16,0),"")</f>
        <v>1j</v>
      </c>
      <c r="AX555" s="185" t="str">
        <f>_xlfn.IFNA(VLOOKUP($AH555,Programma!$F$3:$V$1101,17,0),"")</f>
        <v>_</v>
      </c>
      <c r="AY555" s="185" t="str">
        <f>_xlfn.IFNA(VLOOKUP($AH555,Programma!$F$3:$W$1101,18,0),"")</f>
        <v>_</v>
      </c>
      <c r="AZ555" s="185" t="str">
        <f>_xlfn.IFNA(VLOOKUP($AH555,Programma!$F$3:$X$1101,19,0),"")</f>
        <v>_</v>
      </c>
      <c r="BA555" s="185" t="str">
        <f>_xlfn.IFNA(VLOOKUP($AH555,Programma!$F$3:$Y$1101,20,0),"")</f>
        <v>_</v>
      </c>
      <c r="BB555" s="182"/>
      <c r="BC555" s="181" t="str">
        <f>IF(Ruimtestaat[[#This Row],[Frequentie weekend]]="","",_xlfn.CONCAT(Ruimtestaat[[#This Row],[Ruimte code]],"-",Ruimtestaat[[#This Row],[Frequentie weekend]]," ",Ruimtestaat[[#This Row],[Vloer code]]))</f>
        <v/>
      </c>
      <c r="BD555" s="185" t="str">
        <f>_xlfn.IFNA(VLOOKUP($BC555,Programma!$F$3:$G$1101,2,0),"")</f>
        <v/>
      </c>
      <c r="BE555" s="185" t="str">
        <f>_xlfn.IFNA(VLOOKUP($BC555,Programma!$F$3:$H$1101,3,0),"")</f>
        <v/>
      </c>
      <c r="BF555" s="185" t="str">
        <f>_xlfn.IFNA(VLOOKUP($BC555,Programma!$F$3:$I$1101,4,0),"")</f>
        <v/>
      </c>
      <c r="BG555" s="185" t="str">
        <f>_xlfn.IFNA(VLOOKUP($BC555,Programma!$F$3:$J$1101,5,0),"")</f>
        <v/>
      </c>
      <c r="BH555" s="185" t="str">
        <f>_xlfn.IFNA(VLOOKUP($BC555,Programma!$F$3:$K$1101,6,0),"")</f>
        <v/>
      </c>
      <c r="BI555" s="185" t="str">
        <f>_xlfn.IFNA(VLOOKUP($BC555,Programma!$F$3:$L$1101,7,0),"")</f>
        <v/>
      </c>
      <c r="BJ555" s="185" t="str">
        <f>_xlfn.IFNA(VLOOKUP($BC555,Programma!$F$3:$M$1101,8,0),"")</f>
        <v/>
      </c>
      <c r="BK555" s="185" t="str">
        <f>_xlfn.IFNA(VLOOKUP($BC555,Programma!$F$3:$N$1101,9,0),"")</f>
        <v/>
      </c>
      <c r="BL555" s="185" t="str">
        <f>_xlfn.IFNA(VLOOKUP($BC555,Programma!$F$3:$O$1101,10,0),"")</f>
        <v/>
      </c>
      <c r="BM555" s="185" t="str">
        <f>_xlfn.IFNA(VLOOKUP($BC555,Programma!$F$3:$P$1101,11,0),"")</f>
        <v/>
      </c>
      <c r="BN555" s="185" t="str">
        <f>_xlfn.IFNA(VLOOKUP($BC555,Programma!$F$3:$Q$1101,12,0),"")</f>
        <v/>
      </c>
      <c r="BO555" s="185" t="str">
        <f>_xlfn.IFNA(VLOOKUP($BC555,Programma!$F$3:$R$1101,13,0),"")</f>
        <v/>
      </c>
      <c r="BP555" s="185" t="str">
        <f>_xlfn.IFNA(VLOOKUP($BC555,Programma!$F$3:$S$1101,14,0),"")</f>
        <v/>
      </c>
      <c r="BQ555" s="185" t="str">
        <f>_xlfn.IFNA(VLOOKUP($BC555,Programma!$F$3:$T$1101,15,0),"")</f>
        <v/>
      </c>
      <c r="BR555" s="185" t="str">
        <f>_xlfn.IFNA(VLOOKUP($BC555,Programma!$F$3:$U$1101,16,0),"")</f>
        <v/>
      </c>
      <c r="BS555" s="185" t="str">
        <f>_xlfn.IFNA(VLOOKUP($BC555,Programma!$F$3:$V$1101,17,0),"")</f>
        <v/>
      </c>
      <c r="BT555" s="185" t="str">
        <f>_xlfn.IFNA(VLOOKUP($BC555,Programma!$F$3:$W$1101,18,0),"")</f>
        <v/>
      </c>
      <c r="BU555" s="185" t="str">
        <f>_xlfn.IFNA(VLOOKUP($BC555,Programma!$F$3:$X$1101,19,0),"")</f>
        <v/>
      </c>
      <c r="BV555" s="185" t="str">
        <f>_xlfn.IFNA(VLOOKUP($BC555,Programma!$F$3:$Y$1101,20,0),"")</f>
        <v/>
      </c>
      <c r="BW555" s="78"/>
      <c r="BX555" s="78"/>
      <c r="BY555" s="78"/>
      <c r="BZ555" s="78"/>
      <c r="CA555" s="78"/>
      <c r="CB555" s="78"/>
      <c r="CC555" s="78"/>
      <c r="CD555" s="78"/>
      <c r="CE555" s="78"/>
      <c r="CF555" s="78"/>
      <c r="CG555" s="78"/>
      <c r="CH555" s="78"/>
      <c r="CI555" s="78"/>
      <c r="CJ555" s="78"/>
      <c r="CK555" s="78"/>
      <c r="CL555" s="78"/>
      <c r="CM555" s="78"/>
      <c r="CN555" s="78"/>
      <c r="CO555" s="78"/>
      <c r="CP555" s="78"/>
      <c r="CQ555" s="78"/>
      <c r="CR555" s="78"/>
      <c r="CS555" s="78"/>
      <c r="CT555" s="78"/>
      <c r="CU555" s="78"/>
      <c r="CV555" s="78"/>
      <c r="CW555" s="78"/>
      <c r="CX555" s="78"/>
      <c r="CY555" s="78"/>
      <c r="CZ555" s="78"/>
      <c r="DA555" s="78"/>
      <c r="DB555" s="78"/>
      <c r="DC555" s="78"/>
      <c r="DD555" s="78"/>
      <c r="DE555" s="78"/>
      <c r="DF555" s="78"/>
      <c r="DG555" s="78"/>
      <c r="DH555" s="78"/>
      <c r="DI555" s="78"/>
      <c r="DJ555" s="78"/>
      <c r="DK555" s="78"/>
      <c r="DL555" s="78"/>
      <c r="DM555" s="78"/>
      <c r="DN555" s="78"/>
      <c r="DO555" s="78"/>
      <c r="DP555" s="78"/>
      <c r="DQ555" s="78"/>
      <c r="DR555" s="78"/>
      <c r="DS555" s="78"/>
      <c r="DT555" s="78"/>
      <c r="DU555" s="78"/>
      <c r="DV555" s="78"/>
      <c r="DW555" s="78"/>
      <c r="DX555" s="78"/>
      <c r="DY555" s="78"/>
      <c r="DZ555" s="78"/>
      <c r="EA555" s="78"/>
      <c r="EB555" s="78"/>
      <c r="EC555" s="78"/>
      <c r="ED555" s="78"/>
      <c r="EE555" s="78"/>
      <c r="EF555" s="78"/>
      <c r="EG555" s="78"/>
      <c r="EH555" s="78"/>
      <c r="EI555" s="78"/>
      <c r="EJ555" s="78"/>
      <c r="EK555" s="78"/>
      <c r="EL555" s="78"/>
      <c r="EM555" s="78"/>
      <c r="EN555" s="78"/>
      <c r="EO555" s="78"/>
      <c r="EP555" s="78"/>
      <c r="EQ555" s="78"/>
      <c r="ER555" s="78"/>
      <c r="ES555" s="78"/>
      <c r="ET555" s="78"/>
      <c r="EU555" s="78"/>
      <c r="EV555" s="78"/>
      <c r="EW555" s="78"/>
      <c r="EX555" s="78"/>
      <c r="EY555" s="78"/>
      <c r="EZ555" s="78"/>
      <c r="FA555" s="78"/>
      <c r="FB555" s="78"/>
      <c r="FC555" s="78"/>
      <c r="FD555" s="78"/>
      <c r="FE555" s="78"/>
      <c r="FF555" s="78"/>
      <c r="FG555" s="78"/>
      <c r="FH555" s="78"/>
      <c r="FI555" s="78"/>
      <c r="FJ555" s="78"/>
      <c r="FK555" s="78"/>
      <c r="FL555" s="78"/>
      <c r="FM555" s="78"/>
      <c r="FN555" s="78"/>
      <c r="FO555" s="78"/>
      <c r="FP555" s="78"/>
      <c r="FQ555" s="78"/>
      <c r="FR555" s="78"/>
      <c r="FS555" s="78"/>
      <c r="FT555" s="78"/>
      <c r="FU555" s="78"/>
      <c r="FV555" s="78"/>
      <c r="FW555" s="78"/>
      <c r="FX555" s="78"/>
      <c r="FY555" s="78"/>
      <c r="FZ555" s="78"/>
      <c r="GA555" s="78"/>
      <c r="GB555" s="78"/>
      <c r="GC555" s="78"/>
      <c r="GD555" s="78"/>
      <c r="GE555" s="78"/>
      <c r="GF555" s="78"/>
      <c r="GG555" s="78"/>
      <c r="GH555" s="78"/>
      <c r="GI555" s="78"/>
      <c r="GJ555" s="78"/>
      <c r="GK555" s="78"/>
      <c r="GL555" s="78"/>
      <c r="GM555" s="78"/>
      <c r="GN555" s="78"/>
      <c r="GO555" s="78"/>
      <c r="GP555" s="78"/>
      <c r="GQ555" s="78"/>
      <c r="GR555" s="78"/>
      <c r="GS555" s="78"/>
      <c r="GT555" s="78"/>
      <c r="GU555" s="78"/>
      <c r="GV555" s="78"/>
      <c r="GW555" s="78"/>
      <c r="GX555" s="78"/>
      <c r="GY555" s="78"/>
      <c r="GZ555" s="78"/>
      <c r="HA555" s="78"/>
      <c r="HB555" s="78"/>
      <c r="HC555" s="78"/>
      <c r="HD555" s="78"/>
      <c r="HE555" s="78"/>
      <c r="HF555" s="78"/>
      <c r="HG555" s="78"/>
      <c r="HH555" s="78"/>
      <c r="HI555" s="78"/>
      <c r="HJ555" s="78"/>
      <c r="HK555" s="78"/>
    </row>
    <row r="556" spans="1:219" ht="15" customHeight="1">
      <c r="A556" s="99">
        <v>16</v>
      </c>
      <c r="B556" s="176" t="str">
        <f>VLOOKUP(Ruimtestaat[[#This Row],[Code]],Locaties[[Code]:[Locatie]],2,FALSE)</f>
        <v>SBO Het Pontem (College)</v>
      </c>
      <c r="C556" s="176" t="str">
        <f>VLOOKUP(Ruimtestaat[[#This Row],[Code]],Locaties[[#All],[Code]:[Adres]],4,FALSE)</f>
        <v>Poolmansweg 245</v>
      </c>
      <c r="D556" s="176" t="str">
        <f>VLOOKUP(Ruimtestaat[[#This Row],[Code]],Locaties[[#All],[Code]:[Postcode]],5,FALSE)</f>
        <v>7545 LR</v>
      </c>
      <c r="E556" s="176" t="str">
        <f>VLOOKUP(Ruimtestaat[[#This Row],[Code]],Locaties[#All],6,FALSE)</f>
        <v>Enschede</v>
      </c>
      <c r="F556" s="183"/>
      <c r="G556" s="99" t="s">
        <v>1646</v>
      </c>
      <c r="H556" s="99" t="s">
        <v>1656</v>
      </c>
      <c r="I556" s="183" t="s">
        <v>1655</v>
      </c>
      <c r="J556" s="99">
        <v>5</v>
      </c>
      <c r="K556" s="183" t="str">
        <f>VLOOKUP(Ruimtestaat[[#This Row],[Ruimte code]],Ruimtegroepen[[#All],[Code]:[Ruimte omschrijving]],2,FALSE)</f>
        <v>Sanitair</v>
      </c>
      <c r="L556" s="149" t="s">
        <v>101</v>
      </c>
      <c r="M556" s="99" t="s">
        <v>1682</v>
      </c>
      <c r="N556" s="177">
        <v>11.5</v>
      </c>
      <c r="O556" s="177"/>
      <c r="P556" s="178" t="str">
        <f>VLOOKUP(Ruimtestaat[[#This Row],[Ruimte code]],Ruimtegroepen[],4,FALSE)</f>
        <v>Sa</v>
      </c>
      <c r="Q556" s="149">
        <v>40</v>
      </c>
      <c r="R556" s="149" t="s">
        <v>2</v>
      </c>
      <c r="S556" s="149">
        <f>IF(Q556&gt;0,IF(RIGHT(Ruimtestaat[[#This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6" s="149">
        <f>IF(S556&gt;0,VLOOKUP($J556,Ruimtegroepen[],3,FALSE)*VLOOKUP($L556,Vloersoorten[],3,FALSE)*VLOOKUP($R556,Frequenties[],3,FALSE)*VLOOKUP($A556,Locaties[],3,FALSE),0)</f>
        <v>0</v>
      </c>
      <c r="U556" s="149">
        <f>Ruimtestaat[[#This Row],[Uitvoeringen werkdagen]]*Ruimtestaat[[#This Row],[Oppervlak (netto)]]</f>
        <v>2300</v>
      </c>
      <c r="V556" s="179">
        <f>IF(T556&gt;0,Ruimtestaat[[#This Row],[Prest. (m2 /jaar) werkdagen]]/Ruimtestaat[[#This Row],[Norm (m2/uur) werkdagen]],0)</f>
        <v>0</v>
      </c>
      <c r="W556" s="180">
        <f>Ruimtestaat[[#This Row],[uren / jaar werkdagen]]*Tariefsopbouw!$E$35</f>
        <v>0</v>
      </c>
      <c r="X556" s="149"/>
      <c r="Y556" s="149">
        <f>IF(Ruimtestaat[[#This Row],[Frequentie weekend]]&gt;0,VALUE(LEFT(X556,1))*Q556,0)</f>
        <v>0</v>
      </c>
      <c r="Z556" s="148">
        <f>IF($Y556&gt;0,VLOOKUP($J556,Ruimtegroepen[],3,FALSE)*VLOOKUP($L556,Vloersoorten[],3,FALSE)*VLOOKUP($X556,Frequenties[],3,FALSE)*VLOOKUP(Ruimtestaat[[#This Row],[Code]],Locaties[],3,FALSE),0)</f>
        <v>0</v>
      </c>
      <c r="AA556" s="148">
        <f>Ruimtestaat[[#This Row],[Uitvoeringen weekend]]*Ruimtestaat[[#This Row],[Oppervlak (netto)]]</f>
        <v>0</v>
      </c>
      <c r="AB556" s="148">
        <f>IF(Z556&gt;0,Ruimtestaat[[#This Row],[Prest. (m2 /jaar) weekend]]/Ruimtestaat[[#This Row],[Norm (m2/uur) weekend]],0)</f>
        <v>0</v>
      </c>
      <c r="AC556" s="180">
        <f>Ruimtestaat[[#This Row],[uren / jaar weekend]]*Tariefsopbouw!$D$40</f>
        <v>0</v>
      </c>
      <c r="AD556" s="179">
        <f>Ruimtestaat[[#This Row],[Prest. (m2 /jaar) weekend]]+Ruimtestaat[[#This Row],[Prest. (m2 /jaar) werkdagen]]</f>
        <v>2300</v>
      </c>
      <c r="AE556" s="179">
        <f>Ruimtestaat[[#This Row],[uren / jaar weekend]]+Ruimtestaat[[#This Row],[uren / jaar werkdagen]]</f>
        <v>0</v>
      </c>
      <c r="AF556" s="174">
        <f>Ruimtestaat[[#This Row],[kosten / jaar weekend]]+Ruimtestaat[[#This Row],[kosten / jaar werkdagen]]</f>
        <v>0</v>
      </c>
      <c r="AG556" s="174"/>
      <c r="AH556" s="181" t="str">
        <f>IF(Ruimtestaat[[#This Row],[Frequentie werkdagen]]="","",_xlfn.CONCAT(Ruimtestaat[[#This Row],[Ruimte code]],"-",Ruimtestaat[[#This Row],[Frequentie werkdagen]]," ",Ruimtestaat[[#This Row],[Vloer code]]))</f>
        <v>5-5w S</v>
      </c>
      <c r="AI556" s="185" t="str">
        <f>_xlfn.IFNA(VLOOKUP($AH556,Programma!$F$3:$G$1101,2,0),"")</f>
        <v>_</v>
      </c>
      <c r="AJ556" s="185" t="str">
        <f>_xlfn.IFNA(VLOOKUP($AH556,Programma!$F$3:$H$1101,3,0),"")</f>
        <v>_</v>
      </c>
      <c r="AK556" s="185" t="str">
        <f>_xlfn.IFNA(VLOOKUP($AH556,Programma!$F$3:$I$1101,4,0),"")</f>
        <v>_</v>
      </c>
      <c r="AL556" s="185" t="str">
        <f>_xlfn.IFNA(VLOOKUP($AH556,Programma!$F$3:$J$1101,5,0),"")</f>
        <v>4w</v>
      </c>
      <c r="AM556" s="185" t="str">
        <f>_xlfn.IFNA(VLOOKUP($AH556,Programma!$F$3:$K$1101,6,0),"")</f>
        <v>1w</v>
      </c>
      <c r="AN556" s="185" t="str">
        <f>_xlfn.IFNA(VLOOKUP($AH556,Programma!$F$3:$L$1101,7,0),"")</f>
        <v>_</v>
      </c>
      <c r="AO556" s="185" t="str">
        <f>_xlfn.IFNA(VLOOKUP($AH556,Programma!$F$3:$M$1101,8,0),"")</f>
        <v>_</v>
      </c>
      <c r="AP556" s="185" t="str">
        <f>_xlfn.IFNA(VLOOKUP($AH556,Programma!$F$3:$N$1101,9,0),"")</f>
        <v>_</v>
      </c>
      <c r="AQ556" s="185" t="str">
        <f>_xlfn.IFNA(VLOOKUP($AH556,Programma!$F$3:$O$1101,10,0),"")</f>
        <v>_</v>
      </c>
      <c r="AR556" s="185" t="str">
        <f>_xlfn.IFNA(VLOOKUP($AH556,Programma!$F$3:$P$1101,11,0),"")</f>
        <v>_</v>
      </c>
      <c r="AS556" s="185" t="str">
        <f>_xlfn.IFNA(VLOOKUP($AH556,Programma!$F$3:$Q$1101,12,0),"")</f>
        <v>_</v>
      </c>
      <c r="AT556" s="185" t="str">
        <f>_xlfn.IFNA(VLOOKUP($AH556,Programma!$F$3:$R$1101,13,0),"")</f>
        <v>_</v>
      </c>
      <c r="AU556" s="185" t="str">
        <f>_xlfn.IFNA(VLOOKUP($AH556,Programma!$F$3:$S$1101,14,0),"")</f>
        <v>_</v>
      </c>
      <c r="AV556" s="185" t="str">
        <f>_xlfn.IFNA(VLOOKUP($AH556,Programma!$F$3:$T$1101,15,0),"")</f>
        <v>_</v>
      </c>
      <c r="AW556" s="185" t="str">
        <f>_xlfn.IFNA(VLOOKUP($AH556,Programma!$F$3:$U$1101,16,0),"")</f>
        <v>_</v>
      </c>
      <c r="AX556" s="185" t="str">
        <f>_xlfn.IFNA(VLOOKUP($AH556,Programma!$F$3:$V$1101,17,0),"")</f>
        <v>_</v>
      </c>
      <c r="AY556" s="185" t="str">
        <f>_xlfn.IFNA(VLOOKUP($AH556,Programma!$F$3:$W$1101,18,0),"")</f>
        <v>4w</v>
      </c>
      <c r="AZ556" s="185" t="str">
        <f>_xlfn.IFNA(VLOOKUP($AH556,Programma!$F$3:$X$1101,19,0),"")</f>
        <v>1w</v>
      </c>
      <c r="BA556" s="185" t="str">
        <f>_xlfn.IFNA(VLOOKUP($AH556,Programma!$F$3:$Y$1101,20,0),"")</f>
        <v>_</v>
      </c>
      <c r="BB556" s="182"/>
      <c r="BC556" s="181" t="str">
        <f>IF(Ruimtestaat[[#This Row],[Frequentie weekend]]="","",_xlfn.CONCAT(Ruimtestaat[[#This Row],[Ruimte code]],"-",Ruimtestaat[[#This Row],[Frequentie weekend]]," ",Ruimtestaat[[#This Row],[Vloer code]]))</f>
        <v/>
      </c>
      <c r="BD556" s="185" t="str">
        <f>_xlfn.IFNA(VLOOKUP($BC556,Programma!$F$3:$G$1101,2,0),"")</f>
        <v/>
      </c>
      <c r="BE556" s="185" t="str">
        <f>_xlfn.IFNA(VLOOKUP($BC556,Programma!$F$3:$H$1101,3,0),"")</f>
        <v/>
      </c>
      <c r="BF556" s="185" t="str">
        <f>_xlfn.IFNA(VLOOKUP($BC556,Programma!$F$3:$I$1101,4,0),"")</f>
        <v/>
      </c>
      <c r="BG556" s="185" t="str">
        <f>_xlfn.IFNA(VLOOKUP($BC556,Programma!$F$3:$J$1101,5,0),"")</f>
        <v/>
      </c>
      <c r="BH556" s="185" t="str">
        <f>_xlfn.IFNA(VLOOKUP($BC556,Programma!$F$3:$K$1101,6,0),"")</f>
        <v/>
      </c>
      <c r="BI556" s="185" t="str">
        <f>_xlfn.IFNA(VLOOKUP($BC556,Programma!$F$3:$L$1101,7,0),"")</f>
        <v/>
      </c>
      <c r="BJ556" s="185" t="str">
        <f>_xlfn.IFNA(VLOOKUP($BC556,Programma!$F$3:$M$1101,8,0),"")</f>
        <v/>
      </c>
      <c r="BK556" s="185" t="str">
        <f>_xlfn.IFNA(VLOOKUP($BC556,Programma!$F$3:$N$1101,9,0),"")</f>
        <v/>
      </c>
      <c r="BL556" s="185" t="str">
        <f>_xlfn.IFNA(VLOOKUP($BC556,Programma!$F$3:$O$1101,10,0),"")</f>
        <v/>
      </c>
      <c r="BM556" s="185" t="str">
        <f>_xlfn.IFNA(VLOOKUP($BC556,Programma!$F$3:$P$1101,11,0),"")</f>
        <v/>
      </c>
      <c r="BN556" s="185" t="str">
        <f>_xlfn.IFNA(VLOOKUP($BC556,Programma!$F$3:$Q$1101,12,0),"")</f>
        <v/>
      </c>
      <c r="BO556" s="185" t="str">
        <f>_xlfn.IFNA(VLOOKUP($BC556,Programma!$F$3:$R$1101,13,0),"")</f>
        <v/>
      </c>
      <c r="BP556" s="185" t="str">
        <f>_xlfn.IFNA(VLOOKUP($BC556,Programma!$F$3:$S$1101,14,0),"")</f>
        <v/>
      </c>
      <c r="BQ556" s="185" t="str">
        <f>_xlfn.IFNA(VLOOKUP($BC556,Programma!$F$3:$T$1101,15,0),"")</f>
        <v/>
      </c>
      <c r="BR556" s="185" t="str">
        <f>_xlfn.IFNA(VLOOKUP($BC556,Programma!$F$3:$U$1101,16,0),"")</f>
        <v/>
      </c>
      <c r="BS556" s="185" t="str">
        <f>_xlfn.IFNA(VLOOKUP($BC556,Programma!$F$3:$V$1101,17,0),"")</f>
        <v/>
      </c>
      <c r="BT556" s="185" t="str">
        <f>_xlfn.IFNA(VLOOKUP($BC556,Programma!$F$3:$W$1101,18,0),"")</f>
        <v/>
      </c>
      <c r="BU556" s="185" t="str">
        <f>_xlfn.IFNA(VLOOKUP($BC556,Programma!$F$3:$X$1101,19,0),"")</f>
        <v/>
      </c>
      <c r="BV556" s="185" t="str">
        <f>_xlfn.IFNA(VLOOKUP($BC556,Programma!$F$3:$Y$1101,20,0),"")</f>
        <v/>
      </c>
      <c r="BW556" s="78"/>
      <c r="BX556" s="78"/>
      <c r="BY556" s="78"/>
      <c r="BZ556" s="78"/>
      <c r="CA556" s="78"/>
      <c r="CB556" s="78"/>
      <c r="CC556" s="78"/>
      <c r="CD556" s="78"/>
      <c r="CE556" s="78"/>
      <c r="CF556" s="78"/>
      <c r="CG556" s="78"/>
      <c r="CH556" s="78"/>
      <c r="CI556" s="78"/>
      <c r="CJ556" s="78"/>
      <c r="CK556" s="78"/>
      <c r="CL556" s="78"/>
      <c r="CM556" s="78"/>
      <c r="CN556" s="78"/>
      <c r="CO556" s="78"/>
      <c r="CP556" s="78"/>
      <c r="CQ556" s="78"/>
      <c r="CR556" s="78"/>
      <c r="CS556" s="78"/>
      <c r="CT556" s="78"/>
      <c r="CU556" s="78"/>
      <c r="CV556" s="78"/>
      <c r="CW556" s="78"/>
      <c r="CX556" s="78"/>
      <c r="CY556" s="78"/>
      <c r="CZ556" s="78"/>
      <c r="DA556" s="78"/>
      <c r="DB556" s="78"/>
      <c r="DC556" s="78"/>
      <c r="DD556" s="78"/>
      <c r="DE556" s="78"/>
      <c r="DF556" s="78"/>
      <c r="DG556" s="78"/>
      <c r="DH556" s="78"/>
      <c r="DI556" s="78"/>
      <c r="DJ556" s="78"/>
      <c r="DK556" s="78"/>
      <c r="DL556" s="78"/>
      <c r="DM556" s="78"/>
      <c r="DN556" s="78"/>
      <c r="DO556" s="78"/>
      <c r="DP556" s="78"/>
      <c r="DQ556" s="78"/>
      <c r="DR556" s="78"/>
      <c r="DS556" s="78"/>
      <c r="DT556" s="78"/>
      <c r="DU556" s="78"/>
      <c r="DV556" s="78"/>
      <c r="DW556" s="78"/>
      <c r="DX556" s="78"/>
      <c r="DY556" s="78"/>
      <c r="DZ556" s="78"/>
      <c r="EA556" s="78"/>
      <c r="EB556" s="78"/>
      <c r="EC556" s="78"/>
      <c r="ED556" s="78"/>
      <c r="EE556" s="78"/>
      <c r="EF556" s="78"/>
      <c r="EG556" s="78"/>
      <c r="EH556" s="78"/>
      <c r="EI556" s="78"/>
      <c r="EJ556" s="78"/>
      <c r="EK556" s="78"/>
      <c r="EL556" s="78"/>
      <c r="EM556" s="78"/>
      <c r="EN556" s="78"/>
      <c r="EO556" s="78"/>
      <c r="EP556" s="78"/>
      <c r="EQ556" s="78"/>
      <c r="ER556" s="78"/>
      <c r="ES556" s="78"/>
      <c r="ET556" s="78"/>
      <c r="EU556" s="78"/>
      <c r="EV556" s="78"/>
      <c r="EW556" s="78"/>
      <c r="EX556" s="78"/>
      <c r="EY556" s="78"/>
      <c r="EZ556" s="78"/>
      <c r="FA556" s="78"/>
      <c r="FB556" s="78"/>
      <c r="FC556" s="78"/>
      <c r="FD556" s="78"/>
      <c r="FE556" s="78"/>
      <c r="FF556" s="78"/>
      <c r="FG556" s="78"/>
      <c r="FH556" s="78"/>
      <c r="FI556" s="78"/>
      <c r="FJ556" s="78"/>
      <c r="FK556" s="78"/>
      <c r="FL556" s="78"/>
      <c r="FM556" s="78"/>
      <c r="FN556" s="78"/>
      <c r="FO556" s="78"/>
      <c r="FP556" s="78"/>
      <c r="FQ556" s="78"/>
      <c r="FR556" s="78"/>
      <c r="FS556" s="78"/>
      <c r="FT556" s="78"/>
      <c r="FU556" s="78"/>
      <c r="FV556" s="78"/>
      <c r="FW556" s="78"/>
      <c r="FX556" s="78"/>
      <c r="FY556" s="78"/>
      <c r="FZ556" s="78"/>
      <c r="GA556" s="78"/>
      <c r="GB556" s="78"/>
      <c r="GC556" s="78"/>
      <c r="GD556" s="78"/>
      <c r="GE556" s="78"/>
      <c r="GF556" s="78"/>
      <c r="GG556" s="78"/>
      <c r="GH556" s="78"/>
      <c r="GI556" s="78"/>
      <c r="GJ556" s="78"/>
      <c r="GK556" s="78"/>
      <c r="GL556" s="78"/>
      <c r="GM556" s="78"/>
      <c r="GN556" s="78"/>
      <c r="GO556" s="78"/>
      <c r="GP556" s="78"/>
      <c r="GQ556" s="78"/>
      <c r="GR556" s="78"/>
      <c r="GS556" s="78"/>
      <c r="GT556" s="78"/>
      <c r="GU556" s="78"/>
      <c r="GV556" s="78"/>
      <c r="GW556" s="78"/>
      <c r="GX556" s="78"/>
      <c r="GY556" s="78"/>
      <c r="GZ556" s="78"/>
      <c r="HA556" s="78"/>
      <c r="HB556" s="78"/>
      <c r="HC556" s="78"/>
      <c r="HD556" s="78"/>
      <c r="HE556" s="78"/>
      <c r="HF556" s="78"/>
      <c r="HG556" s="78"/>
      <c r="HH556" s="78"/>
      <c r="HI556" s="78"/>
      <c r="HJ556" s="78"/>
      <c r="HK556" s="78"/>
    </row>
    <row r="557" spans="1:219" ht="15" customHeight="1">
      <c r="A557" s="99">
        <v>16</v>
      </c>
      <c r="B557" s="176" t="str">
        <f>VLOOKUP(Ruimtestaat[[#This Row],[Code]],Locaties[[Code]:[Locatie]],2,FALSE)</f>
        <v>SBO Het Pontem (College)</v>
      </c>
      <c r="C557" s="176" t="str">
        <f>VLOOKUP(Ruimtestaat[[#This Row],[Code]],Locaties[[#All],[Code]:[Adres]],4,FALSE)</f>
        <v>Poolmansweg 245</v>
      </c>
      <c r="D557" s="176" t="str">
        <f>VLOOKUP(Ruimtestaat[[#This Row],[Code]],Locaties[[#All],[Code]:[Postcode]],5,FALSE)</f>
        <v>7545 LR</v>
      </c>
      <c r="E557" s="176" t="str">
        <f>VLOOKUP(Ruimtestaat[[#This Row],[Code]],Locaties[#All],6,FALSE)</f>
        <v>Enschede</v>
      </c>
      <c r="F557" s="183"/>
      <c r="G557" s="99" t="s">
        <v>1646</v>
      </c>
      <c r="H557" s="99" t="s">
        <v>1657</v>
      </c>
      <c r="I557" s="183" t="s">
        <v>1702</v>
      </c>
      <c r="J557" s="99">
        <v>10</v>
      </c>
      <c r="K557" s="183" t="str">
        <f>VLOOKUP(Ruimtestaat[[#This Row],[Ruimte code]],Ruimtegroepen[[#All],[Code]:[Ruimte omschrijving]],2,FALSE)</f>
        <v>Trappenhuizen/lift</v>
      </c>
      <c r="L557" s="149" t="s">
        <v>101</v>
      </c>
      <c r="M557" s="99" t="s">
        <v>119</v>
      </c>
      <c r="N557" s="177">
        <v>13.5</v>
      </c>
      <c r="O557" s="177"/>
      <c r="P557" s="178" t="str">
        <f>VLOOKUP(Ruimtestaat[[#This Row],[Ruimte code]],Ruimtegroepen[],4,FALSE)</f>
        <v>Ve</v>
      </c>
      <c r="Q557" s="149">
        <v>40</v>
      </c>
      <c r="R557" s="149" t="s">
        <v>2</v>
      </c>
      <c r="S557" s="149">
        <f>IF(Q557&gt;0,IF(RIGHT(Ruimtestaat[[#This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7" s="149">
        <f>IF(S557&gt;0,VLOOKUP($J557,Ruimtegroepen[],3,FALSE)*VLOOKUP($L557,Vloersoorten[],3,FALSE)*VLOOKUP($R557,Frequenties[],3,FALSE)*VLOOKUP($A557,Locaties[],3,FALSE),0)</f>
        <v>0</v>
      </c>
      <c r="U557" s="149">
        <f>Ruimtestaat[[#This Row],[Uitvoeringen werkdagen]]*Ruimtestaat[[#This Row],[Oppervlak (netto)]]</f>
        <v>2700</v>
      </c>
      <c r="V557" s="179">
        <f>IF(T557&gt;0,Ruimtestaat[[#This Row],[Prest. (m2 /jaar) werkdagen]]/Ruimtestaat[[#This Row],[Norm (m2/uur) werkdagen]],0)</f>
        <v>0</v>
      </c>
      <c r="W557" s="180">
        <f>Ruimtestaat[[#This Row],[uren / jaar werkdagen]]*Tariefsopbouw!$E$35</f>
        <v>0</v>
      </c>
      <c r="X557" s="149"/>
      <c r="Y557" s="149">
        <f>IF(Ruimtestaat[[#This Row],[Frequentie weekend]]&gt;0,VALUE(LEFT(X557,1))*Q557,0)</f>
        <v>0</v>
      </c>
      <c r="Z557" s="148">
        <f>IF($Y557&gt;0,VLOOKUP($J557,Ruimtegroepen[],3,FALSE)*VLOOKUP($L557,Vloersoorten[],3,FALSE)*VLOOKUP($X557,Frequenties[],3,FALSE)*VLOOKUP(Ruimtestaat[[#This Row],[Code]],Locaties[],3,FALSE),0)</f>
        <v>0</v>
      </c>
      <c r="AA557" s="148">
        <f>Ruimtestaat[[#This Row],[Uitvoeringen weekend]]*Ruimtestaat[[#This Row],[Oppervlak (netto)]]</f>
        <v>0</v>
      </c>
      <c r="AB557" s="148">
        <f>IF(Z557&gt;0,Ruimtestaat[[#This Row],[Prest. (m2 /jaar) weekend]]/Ruimtestaat[[#This Row],[Norm (m2/uur) weekend]],0)</f>
        <v>0</v>
      </c>
      <c r="AC557" s="180">
        <f>Ruimtestaat[[#This Row],[uren / jaar weekend]]*Tariefsopbouw!$D$40</f>
        <v>0</v>
      </c>
      <c r="AD557" s="179">
        <f>Ruimtestaat[[#This Row],[Prest. (m2 /jaar) weekend]]+Ruimtestaat[[#This Row],[Prest. (m2 /jaar) werkdagen]]</f>
        <v>2700</v>
      </c>
      <c r="AE557" s="179">
        <f>Ruimtestaat[[#This Row],[uren / jaar weekend]]+Ruimtestaat[[#This Row],[uren / jaar werkdagen]]</f>
        <v>0</v>
      </c>
      <c r="AF557" s="174">
        <f>Ruimtestaat[[#This Row],[kosten / jaar weekend]]+Ruimtestaat[[#This Row],[kosten / jaar werkdagen]]</f>
        <v>0</v>
      </c>
      <c r="AG557" s="174"/>
      <c r="AH557" s="181" t="str">
        <f>IF(Ruimtestaat[[#This Row],[Frequentie werkdagen]]="","",_xlfn.CONCAT(Ruimtestaat[[#This Row],[Ruimte code]],"-",Ruimtestaat[[#This Row],[Frequentie werkdagen]]," ",Ruimtestaat[[#This Row],[Vloer code]]))</f>
        <v>10-5w S</v>
      </c>
      <c r="AI557" s="185" t="str">
        <f>_xlfn.IFNA(VLOOKUP($AH557,Programma!$F$3:$G$1101,2,0),"")</f>
        <v>_</v>
      </c>
      <c r="AJ557" s="185" t="str">
        <f>_xlfn.IFNA(VLOOKUP($AH557,Programma!$F$3:$H$1101,3,0),"")</f>
        <v>_</v>
      </c>
      <c r="AK557" s="185" t="str">
        <f>_xlfn.IFNA(VLOOKUP($AH557,Programma!$F$3:$I$1101,4,0),"")</f>
        <v>4w</v>
      </c>
      <c r="AL557" s="185" t="str">
        <f>_xlfn.IFNA(VLOOKUP($AH557,Programma!$F$3:$J$1101,5,0),"")</f>
        <v>1w</v>
      </c>
      <c r="AM557" s="185" t="str">
        <f>_xlfn.IFNA(VLOOKUP($AH557,Programma!$F$3:$K$1101,6,0),"")</f>
        <v>4j</v>
      </c>
      <c r="AN557" s="185" t="str">
        <f>_xlfn.IFNA(VLOOKUP($AH557,Programma!$F$3:$L$1101,7,0),"")</f>
        <v>_</v>
      </c>
      <c r="AO557" s="185" t="str">
        <f>_xlfn.IFNA(VLOOKUP($AH557,Programma!$F$3:$M$1101,8,0),"")</f>
        <v>_</v>
      </c>
      <c r="AP557" s="185" t="str">
        <f>_xlfn.IFNA(VLOOKUP($AH557,Programma!$F$3:$N$1101,9,0),"")</f>
        <v>_</v>
      </c>
      <c r="AQ557" s="185" t="str">
        <f>_xlfn.IFNA(VLOOKUP($AH557,Programma!$F$3:$O$1101,10,0),"")</f>
        <v>5w</v>
      </c>
      <c r="AR557" s="185" t="str">
        <f>_xlfn.IFNA(VLOOKUP($AH557,Programma!$F$3:$P$1101,11,0),"")</f>
        <v>5w</v>
      </c>
      <c r="AS557" s="185" t="str">
        <f>_xlfn.IFNA(VLOOKUP($AH557,Programma!$F$3:$Q$1101,12,0),"")</f>
        <v>1w</v>
      </c>
      <c r="AT557" s="185" t="str">
        <f>_xlfn.IFNA(VLOOKUP($AH557,Programma!$F$3:$R$1101,13,0),"")</f>
        <v>1w</v>
      </c>
      <c r="AU557" s="185" t="str">
        <f>_xlfn.IFNA(VLOOKUP($AH557,Programma!$F$3:$S$1101,14,0),"")</f>
        <v>1m</v>
      </c>
      <c r="AV557" s="185" t="str">
        <f>_xlfn.IFNA(VLOOKUP($AH557,Programma!$F$3:$T$1101,15,0),"")</f>
        <v>2j</v>
      </c>
      <c r="AW557" s="185" t="str">
        <f>_xlfn.IFNA(VLOOKUP($AH557,Programma!$F$3:$U$1101,16,0),"")</f>
        <v>1j</v>
      </c>
      <c r="AX557" s="185" t="str">
        <f>_xlfn.IFNA(VLOOKUP($AH557,Programma!$F$3:$V$1101,17,0),"")</f>
        <v>_</v>
      </c>
      <c r="AY557" s="185" t="str">
        <f>_xlfn.IFNA(VLOOKUP($AH557,Programma!$F$3:$W$1101,18,0),"")</f>
        <v>_</v>
      </c>
      <c r="AZ557" s="185" t="str">
        <f>_xlfn.IFNA(VLOOKUP($AH557,Programma!$F$3:$X$1101,19,0),"")</f>
        <v>_</v>
      </c>
      <c r="BA557" s="185" t="str">
        <f>_xlfn.IFNA(VLOOKUP($AH557,Programma!$F$3:$Y$1101,20,0),"")</f>
        <v>_</v>
      </c>
      <c r="BB557" s="182"/>
      <c r="BC557" s="181" t="str">
        <f>IF(Ruimtestaat[[#This Row],[Frequentie weekend]]="","",_xlfn.CONCAT(Ruimtestaat[[#This Row],[Ruimte code]],"-",Ruimtestaat[[#This Row],[Frequentie weekend]]," ",Ruimtestaat[[#This Row],[Vloer code]]))</f>
        <v/>
      </c>
      <c r="BD557" s="185" t="str">
        <f>_xlfn.IFNA(VLOOKUP($BC557,Programma!$F$3:$G$1101,2,0),"")</f>
        <v/>
      </c>
      <c r="BE557" s="185" t="str">
        <f>_xlfn.IFNA(VLOOKUP($BC557,Programma!$F$3:$H$1101,3,0),"")</f>
        <v/>
      </c>
      <c r="BF557" s="185" t="str">
        <f>_xlfn.IFNA(VLOOKUP($BC557,Programma!$F$3:$I$1101,4,0),"")</f>
        <v/>
      </c>
      <c r="BG557" s="185" t="str">
        <f>_xlfn.IFNA(VLOOKUP($BC557,Programma!$F$3:$J$1101,5,0),"")</f>
        <v/>
      </c>
      <c r="BH557" s="185" t="str">
        <f>_xlfn.IFNA(VLOOKUP($BC557,Programma!$F$3:$K$1101,6,0),"")</f>
        <v/>
      </c>
      <c r="BI557" s="185" t="str">
        <f>_xlfn.IFNA(VLOOKUP($BC557,Programma!$F$3:$L$1101,7,0),"")</f>
        <v/>
      </c>
      <c r="BJ557" s="185" t="str">
        <f>_xlfn.IFNA(VLOOKUP($BC557,Programma!$F$3:$M$1101,8,0),"")</f>
        <v/>
      </c>
      <c r="BK557" s="185" t="str">
        <f>_xlfn.IFNA(VLOOKUP($BC557,Programma!$F$3:$N$1101,9,0),"")</f>
        <v/>
      </c>
      <c r="BL557" s="185" t="str">
        <f>_xlfn.IFNA(VLOOKUP($BC557,Programma!$F$3:$O$1101,10,0),"")</f>
        <v/>
      </c>
      <c r="BM557" s="185" t="str">
        <f>_xlfn.IFNA(VLOOKUP($BC557,Programma!$F$3:$P$1101,11,0),"")</f>
        <v/>
      </c>
      <c r="BN557" s="185" t="str">
        <f>_xlfn.IFNA(VLOOKUP($BC557,Programma!$F$3:$Q$1101,12,0),"")</f>
        <v/>
      </c>
      <c r="BO557" s="185" t="str">
        <f>_xlfn.IFNA(VLOOKUP($BC557,Programma!$F$3:$R$1101,13,0),"")</f>
        <v/>
      </c>
      <c r="BP557" s="185" t="str">
        <f>_xlfn.IFNA(VLOOKUP($BC557,Programma!$F$3:$S$1101,14,0),"")</f>
        <v/>
      </c>
      <c r="BQ557" s="185" t="str">
        <f>_xlfn.IFNA(VLOOKUP($BC557,Programma!$F$3:$T$1101,15,0),"")</f>
        <v/>
      </c>
      <c r="BR557" s="185" t="str">
        <f>_xlfn.IFNA(VLOOKUP($BC557,Programma!$F$3:$U$1101,16,0),"")</f>
        <v/>
      </c>
      <c r="BS557" s="185" t="str">
        <f>_xlfn.IFNA(VLOOKUP($BC557,Programma!$F$3:$V$1101,17,0),"")</f>
        <v/>
      </c>
      <c r="BT557" s="185" t="str">
        <f>_xlfn.IFNA(VLOOKUP($BC557,Programma!$F$3:$W$1101,18,0),"")</f>
        <v/>
      </c>
      <c r="BU557" s="185" t="str">
        <f>_xlfn.IFNA(VLOOKUP($BC557,Programma!$F$3:$X$1101,19,0),"")</f>
        <v/>
      </c>
      <c r="BV557" s="185" t="str">
        <f>_xlfn.IFNA(VLOOKUP($BC557,Programma!$F$3:$Y$1101,20,0),"")</f>
        <v/>
      </c>
      <c r="BW557" s="78"/>
      <c r="BX557" s="78"/>
      <c r="BY557" s="78"/>
      <c r="BZ557" s="78"/>
      <c r="CA557" s="78"/>
      <c r="CB557" s="78"/>
      <c r="CC557" s="78"/>
      <c r="CD557" s="78"/>
      <c r="CE557" s="78"/>
      <c r="CF557" s="78"/>
      <c r="CG557" s="78"/>
      <c r="CH557" s="78"/>
      <c r="CI557" s="78"/>
      <c r="CJ557" s="78"/>
      <c r="CK557" s="78"/>
      <c r="CL557" s="78"/>
      <c r="CM557" s="78"/>
      <c r="CN557" s="78"/>
      <c r="CO557" s="78"/>
      <c r="CP557" s="78"/>
      <c r="CQ557" s="78"/>
      <c r="CR557" s="78"/>
      <c r="CS557" s="78"/>
      <c r="CT557" s="78"/>
      <c r="CU557" s="78"/>
      <c r="CV557" s="78"/>
      <c r="CW557" s="78"/>
      <c r="CX557" s="78"/>
      <c r="CY557" s="78"/>
      <c r="CZ557" s="78"/>
      <c r="DA557" s="78"/>
      <c r="DB557" s="78"/>
      <c r="DC557" s="78"/>
      <c r="DD557" s="78"/>
      <c r="DE557" s="78"/>
      <c r="DF557" s="78"/>
      <c r="DG557" s="78"/>
      <c r="DH557" s="78"/>
      <c r="DI557" s="78"/>
      <c r="DJ557" s="78"/>
      <c r="DK557" s="78"/>
      <c r="DL557" s="78"/>
      <c r="DM557" s="78"/>
      <c r="DN557" s="78"/>
      <c r="DO557" s="78"/>
      <c r="DP557" s="78"/>
      <c r="DQ557" s="78"/>
      <c r="DR557" s="78"/>
      <c r="DS557" s="78"/>
      <c r="DT557" s="78"/>
      <c r="DU557" s="78"/>
      <c r="DV557" s="78"/>
      <c r="DW557" s="78"/>
      <c r="DX557" s="78"/>
      <c r="DY557" s="78"/>
      <c r="DZ557" s="78"/>
      <c r="EA557" s="78"/>
      <c r="EB557" s="78"/>
      <c r="EC557" s="78"/>
      <c r="ED557" s="78"/>
      <c r="EE557" s="78"/>
      <c r="EF557" s="78"/>
      <c r="EG557" s="78"/>
      <c r="EH557" s="78"/>
      <c r="EI557" s="78"/>
      <c r="EJ557" s="78"/>
      <c r="EK557" s="78"/>
      <c r="EL557" s="78"/>
      <c r="EM557" s="78"/>
      <c r="EN557" s="78"/>
      <c r="EO557" s="78"/>
      <c r="EP557" s="78"/>
      <c r="EQ557" s="78"/>
      <c r="ER557" s="78"/>
      <c r="ES557" s="78"/>
      <c r="ET557" s="78"/>
      <c r="EU557" s="78"/>
      <c r="EV557" s="78"/>
      <c r="EW557" s="78"/>
      <c r="EX557" s="78"/>
      <c r="EY557" s="78"/>
      <c r="EZ557" s="78"/>
      <c r="FA557" s="78"/>
      <c r="FB557" s="78"/>
      <c r="FC557" s="78"/>
      <c r="FD557" s="78"/>
      <c r="FE557" s="78"/>
      <c r="FF557" s="78"/>
      <c r="FG557" s="78"/>
      <c r="FH557" s="78"/>
      <c r="FI557" s="78"/>
      <c r="FJ557" s="78"/>
      <c r="FK557" s="78"/>
      <c r="FL557" s="78"/>
      <c r="FM557" s="78"/>
      <c r="FN557" s="78"/>
      <c r="FO557" s="78"/>
      <c r="FP557" s="78"/>
      <c r="FQ557" s="78"/>
      <c r="FR557" s="78"/>
      <c r="FS557" s="78"/>
      <c r="FT557" s="78"/>
      <c r="FU557" s="78"/>
      <c r="FV557" s="78"/>
      <c r="FW557" s="78"/>
      <c r="FX557" s="78"/>
      <c r="FY557" s="78"/>
      <c r="FZ557" s="78"/>
      <c r="GA557" s="78"/>
      <c r="GB557" s="78"/>
      <c r="GC557" s="78"/>
      <c r="GD557" s="78"/>
      <c r="GE557" s="78"/>
      <c r="GF557" s="78"/>
      <c r="GG557" s="78"/>
      <c r="GH557" s="78"/>
      <c r="GI557" s="78"/>
      <c r="GJ557" s="78"/>
      <c r="GK557" s="78"/>
      <c r="GL557" s="78"/>
      <c r="GM557" s="78"/>
      <c r="GN557" s="78"/>
      <c r="GO557" s="78"/>
      <c r="GP557" s="78"/>
      <c r="GQ557" s="78"/>
      <c r="GR557" s="78"/>
      <c r="GS557" s="78"/>
      <c r="GT557" s="78"/>
      <c r="GU557" s="78"/>
      <c r="GV557" s="78"/>
      <c r="GW557" s="78"/>
      <c r="GX557" s="78"/>
      <c r="GY557" s="78"/>
      <c r="GZ557" s="78"/>
      <c r="HA557" s="78"/>
      <c r="HB557" s="78"/>
      <c r="HC557" s="78"/>
      <c r="HD557" s="78"/>
      <c r="HE557" s="78"/>
      <c r="HF557" s="78"/>
      <c r="HG557" s="78"/>
      <c r="HH557" s="78"/>
      <c r="HI557" s="78"/>
      <c r="HJ557" s="78"/>
      <c r="HK557" s="78"/>
    </row>
    <row r="558" spans="1:219" ht="15" customHeight="1">
      <c r="A558" s="99">
        <v>16</v>
      </c>
      <c r="B558" s="176" t="str">
        <f>VLOOKUP(Ruimtestaat[[#This Row],[Code]],Locaties[[Code]:[Locatie]],2,FALSE)</f>
        <v>SBO Het Pontem (College)</v>
      </c>
      <c r="C558" s="176" t="str">
        <f>VLOOKUP(Ruimtestaat[[#This Row],[Code]],Locaties[[#All],[Code]:[Adres]],4,FALSE)</f>
        <v>Poolmansweg 245</v>
      </c>
      <c r="D558" s="176" t="str">
        <f>VLOOKUP(Ruimtestaat[[#This Row],[Code]],Locaties[[#All],[Code]:[Postcode]],5,FALSE)</f>
        <v>7545 LR</v>
      </c>
      <c r="E558" s="176" t="str">
        <f>VLOOKUP(Ruimtestaat[[#This Row],[Code]],Locaties[#All],6,FALSE)</f>
        <v>Enschede</v>
      </c>
      <c r="F558" s="183"/>
      <c r="G558" s="99" t="s">
        <v>1646</v>
      </c>
      <c r="H558" s="99" t="s">
        <v>1659</v>
      </c>
      <c r="I558" s="183" t="s">
        <v>1649</v>
      </c>
      <c r="J558" s="99">
        <v>2</v>
      </c>
      <c r="K558" s="183" t="str">
        <f>VLOOKUP(Ruimtestaat[[#This Row],[Ruimte code]],Ruimtegroepen[[#All],[Code]:[Ruimte omschrijving]],2,FALSE)</f>
        <v>Kantoren</v>
      </c>
      <c r="L558" s="149" t="s">
        <v>99</v>
      </c>
      <c r="M558" s="99" t="s">
        <v>36</v>
      </c>
      <c r="N558" s="177">
        <v>40.200000000000003</v>
      </c>
      <c r="O558" s="177"/>
      <c r="P558" s="178" t="str">
        <f>VLOOKUP(Ruimtestaat[[#This Row],[Ruimte code]],Ruimtegroepen[],4,FALSE)</f>
        <v>Bu</v>
      </c>
      <c r="Q558" s="149">
        <v>40</v>
      </c>
      <c r="R558" s="149" t="s">
        <v>18</v>
      </c>
      <c r="S558" s="149">
        <f>IF(Q558&gt;0,IF(RIGHT(Ruimtestaat[[#This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58" s="149">
        <f>IF(S558&gt;0,VLOOKUP($J558,Ruimtegroepen[],3,FALSE)*VLOOKUP($L558,Vloersoorten[],3,FALSE)*VLOOKUP($R558,Frequenties[],3,FALSE)*VLOOKUP($A558,Locaties[],3,FALSE),0)</f>
        <v>0</v>
      </c>
      <c r="U558" s="149">
        <f>Ruimtestaat[[#This Row],[Uitvoeringen werkdagen]]*Ruimtestaat[[#This Row],[Oppervlak (netto)]]</f>
        <v>4824</v>
      </c>
      <c r="V558" s="179">
        <f>IF(T558&gt;0,Ruimtestaat[[#This Row],[Prest. (m2 /jaar) werkdagen]]/Ruimtestaat[[#This Row],[Norm (m2/uur) werkdagen]],0)</f>
        <v>0</v>
      </c>
      <c r="W558" s="180">
        <f>Ruimtestaat[[#This Row],[uren / jaar werkdagen]]*Tariefsopbouw!$E$35</f>
        <v>0</v>
      </c>
      <c r="X558" s="149"/>
      <c r="Y558" s="149">
        <f>IF(Ruimtestaat[[#This Row],[Frequentie weekend]]&gt;0,VALUE(LEFT(X558,1))*Q558,0)</f>
        <v>0</v>
      </c>
      <c r="Z558" s="148">
        <f>IF($Y558&gt;0,VLOOKUP($J558,Ruimtegroepen[],3,FALSE)*VLOOKUP($L558,Vloersoorten[],3,FALSE)*VLOOKUP($X558,Frequenties[],3,FALSE)*VLOOKUP(Ruimtestaat[[#This Row],[Code]],Locaties[],3,FALSE),0)</f>
        <v>0</v>
      </c>
      <c r="AA558" s="148">
        <f>Ruimtestaat[[#This Row],[Uitvoeringen weekend]]*Ruimtestaat[[#This Row],[Oppervlak (netto)]]</f>
        <v>0</v>
      </c>
      <c r="AB558" s="148">
        <f>IF(Z558&gt;0,Ruimtestaat[[#This Row],[Prest. (m2 /jaar) weekend]]/Ruimtestaat[[#This Row],[Norm (m2/uur) weekend]],0)</f>
        <v>0</v>
      </c>
      <c r="AC558" s="180">
        <f>Ruimtestaat[[#This Row],[uren / jaar weekend]]*Tariefsopbouw!$D$40</f>
        <v>0</v>
      </c>
      <c r="AD558" s="179">
        <f>Ruimtestaat[[#This Row],[Prest. (m2 /jaar) weekend]]+Ruimtestaat[[#This Row],[Prest. (m2 /jaar) werkdagen]]</f>
        <v>4824</v>
      </c>
      <c r="AE558" s="179">
        <f>Ruimtestaat[[#This Row],[uren / jaar weekend]]+Ruimtestaat[[#This Row],[uren / jaar werkdagen]]</f>
        <v>0</v>
      </c>
      <c r="AF558" s="174">
        <f>Ruimtestaat[[#This Row],[kosten / jaar weekend]]+Ruimtestaat[[#This Row],[kosten / jaar werkdagen]]</f>
        <v>0</v>
      </c>
      <c r="AG558" s="174"/>
      <c r="AH558" s="181" t="str">
        <f>IF(Ruimtestaat[[#This Row],[Frequentie werkdagen]]="","",_xlfn.CONCAT(Ruimtestaat[[#This Row],[Ruimte code]],"-",Ruimtestaat[[#This Row],[Frequentie werkdagen]]," ",Ruimtestaat[[#This Row],[Vloer code]]))</f>
        <v>2-3w T</v>
      </c>
      <c r="AI558" s="185" t="str">
        <f>_xlfn.IFNA(VLOOKUP($AH558,Programma!$F$3:$G$1101,2,0),"")</f>
        <v>2w</v>
      </c>
      <c r="AJ558" s="185" t="str">
        <f>_xlfn.IFNA(VLOOKUP($AH558,Programma!$F$3:$H$1101,3,0),"")</f>
        <v>1w</v>
      </c>
      <c r="AK558" s="185" t="str">
        <f>_xlfn.IFNA(VLOOKUP($AH558,Programma!$F$3:$I$1101,4,0),"")</f>
        <v>_</v>
      </c>
      <c r="AL558" s="185" t="str">
        <f>_xlfn.IFNA(VLOOKUP($AH558,Programma!$F$3:$J$1101,5,0),"")</f>
        <v>_</v>
      </c>
      <c r="AM558" s="185" t="str">
        <f>_xlfn.IFNA(VLOOKUP($AH558,Programma!$F$3:$K$1101,6,0),"")</f>
        <v>_</v>
      </c>
      <c r="AN558" s="185" t="str">
        <f>_xlfn.IFNA(VLOOKUP($AH558,Programma!$F$3:$L$1101,7,0),"")</f>
        <v>_</v>
      </c>
      <c r="AO558" s="185" t="str">
        <f>_xlfn.IFNA(VLOOKUP($AH558,Programma!$F$3:$M$1101,8,0),"")</f>
        <v>_</v>
      </c>
      <c r="AP558" s="185" t="str">
        <f>_xlfn.IFNA(VLOOKUP($AH558,Programma!$F$3:$N$1101,9,0),"")</f>
        <v>_</v>
      </c>
      <c r="AQ558" s="185" t="str">
        <f>_xlfn.IFNA(VLOOKUP($AH558,Programma!$F$3:$O$1101,10,0),"")</f>
        <v>3w</v>
      </c>
      <c r="AR558" s="185" t="str">
        <f>_xlfn.IFNA(VLOOKUP($AH558,Programma!$F$3:$P$1101,11,0),"")</f>
        <v>3w</v>
      </c>
      <c r="AS558" s="185" t="str">
        <f>_xlfn.IFNA(VLOOKUP($AH558,Programma!$F$3:$Q$1101,12,0),"")</f>
        <v>1w</v>
      </c>
      <c r="AT558" s="185" t="str">
        <f>_xlfn.IFNA(VLOOKUP($AH558,Programma!$F$3:$R$1101,13,0),"")</f>
        <v>1w</v>
      </c>
      <c r="AU558" s="185" t="str">
        <f>_xlfn.IFNA(VLOOKUP($AH558,Programma!$F$3:$S$1101,14,0),"")</f>
        <v>1m</v>
      </c>
      <c r="AV558" s="185" t="str">
        <f>_xlfn.IFNA(VLOOKUP($AH558,Programma!$F$3:$T$1101,15,0),"")</f>
        <v>2j</v>
      </c>
      <c r="AW558" s="185" t="str">
        <f>_xlfn.IFNA(VLOOKUP($AH558,Programma!$F$3:$U$1101,16,0),"")</f>
        <v>1j</v>
      </c>
      <c r="AX558" s="185" t="str">
        <f>_xlfn.IFNA(VLOOKUP($AH558,Programma!$F$3:$V$1101,17,0),"")</f>
        <v>_</v>
      </c>
      <c r="AY558" s="185" t="str">
        <f>_xlfn.IFNA(VLOOKUP($AH558,Programma!$F$3:$W$1101,18,0),"")</f>
        <v>_</v>
      </c>
      <c r="AZ558" s="185" t="str">
        <f>_xlfn.IFNA(VLOOKUP($AH558,Programma!$F$3:$X$1101,19,0),"")</f>
        <v>_</v>
      </c>
      <c r="BA558" s="185" t="str">
        <f>_xlfn.IFNA(VLOOKUP($AH558,Programma!$F$3:$Y$1101,20,0),"")</f>
        <v>_</v>
      </c>
      <c r="BB558" s="182"/>
      <c r="BC558" s="181" t="str">
        <f>IF(Ruimtestaat[[#This Row],[Frequentie weekend]]="","",_xlfn.CONCAT(Ruimtestaat[[#This Row],[Ruimte code]],"-",Ruimtestaat[[#This Row],[Frequentie weekend]]," ",Ruimtestaat[[#This Row],[Vloer code]]))</f>
        <v/>
      </c>
      <c r="BD558" s="185" t="str">
        <f>_xlfn.IFNA(VLOOKUP($BC558,Programma!$F$3:$G$1101,2,0),"")</f>
        <v/>
      </c>
      <c r="BE558" s="185" t="str">
        <f>_xlfn.IFNA(VLOOKUP($BC558,Programma!$F$3:$H$1101,3,0),"")</f>
        <v/>
      </c>
      <c r="BF558" s="185" t="str">
        <f>_xlfn.IFNA(VLOOKUP($BC558,Programma!$F$3:$I$1101,4,0),"")</f>
        <v/>
      </c>
      <c r="BG558" s="185" t="str">
        <f>_xlfn.IFNA(VLOOKUP($BC558,Programma!$F$3:$J$1101,5,0),"")</f>
        <v/>
      </c>
      <c r="BH558" s="185" t="str">
        <f>_xlfn.IFNA(VLOOKUP($BC558,Programma!$F$3:$K$1101,6,0),"")</f>
        <v/>
      </c>
      <c r="BI558" s="185" t="str">
        <f>_xlfn.IFNA(VLOOKUP($BC558,Programma!$F$3:$L$1101,7,0),"")</f>
        <v/>
      </c>
      <c r="BJ558" s="185" t="str">
        <f>_xlfn.IFNA(VLOOKUP($BC558,Programma!$F$3:$M$1101,8,0),"")</f>
        <v/>
      </c>
      <c r="BK558" s="185" t="str">
        <f>_xlfn.IFNA(VLOOKUP($BC558,Programma!$F$3:$N$1101,9,0),"")</f>
        <v/>
      </c>
      <c r="BL558" s="185" t="str">
        <f>_xlfn.IFNA(VLOOKUP($BC558,Programma!$F$3:$O$1101,10,0),"")</f>
        <v/>
      </c>
      <c r="BM558" s="185" t="str">
        <f>_xlfn.IFNA(VLOOKUP($BC558,Programma!$F$3:$P$1101,11,0),"")</f>
        <v/>
      </c>
      <c r="BN558" s="185" t="str">
        <f>_xlfn.IFNA(VLOOKUP($BC558,Programma!$F$3:$Q$1101,12,0),"")</f>
        <v/>
      </c>
      <c r="BO558" s="185" t="str">
        <f>_xlfn.IFNA(VLOOKUP($BC558,Programma!$F$3:$R$1101,13,0),"")</f>
        <v/>
      </c>
      <c r="BP558" s="185" t="str">
        <f>_xlfn.IFNA(VLOOKUP($BC558,Programma!$F$3:$S$1101,14,0),"")</f>
        <v/>
      </c>
      <c r="BQ558" s="185" t="str">
        <f>_xlfn.IFNA(VLOOKUP($BC558,Programma!$F$3:$T$1101,15,0),"")</f>
        <v/>
      </c>
      <c r="BR558" s="185" t="str">
        <f>_xlfn.IFNA(VLOOKUP($BC558,Programma!$F$3:$U$1101,16,0),"")</f>
        <v/>
      </c>
      <c r="BS558" s="185" t="str">
        <f>_xlfn.IFNA(VLOOKUP($BC558,Programma!$F$3:$V$1101,17,0),"")</f>
        <v/>
      </c>
      <c r="BT558" s="185" t="str">
        <f>_xlfn.IFNA(VLOOKUP($BC558,Programma!$F$3:$W$1101,18,0),"")</f>
        <v/>
      </c>
      <c r="BU558" s="185" t="str">
        <f>_xlfn.IFNA(VLOOKUP($BC558,Programma!$F$3:$X$1101,19,0),"")</f>
        <v/>
      </c>
      <c r="BV558" s="185" t="str">
        <f>_xlfn.IFNA(VLOOKUP($BC558,Programma!$F$3:$Y$1101,20,0),"")</f>
        <v/>
      </c>
      <c r="BW558" s="78"/>
      <c r="BX558" s="78"/>
      <c r="BY558" s="78"/>
      <c r="BZ558" s="78"/>
      <c r="CA558" s="78"/>
      <c r="CB558" s="78"/>
      <c r="CC558" s="78"/>
      <c r="CD558" s="78"/>
      <c r="CE558" s="78"/>
      <c r="CF558" s="78"/>
      <c r="CG558" s="78"/>
      <c r="CH558" s="78"/>
      <c r="CI558" s="78"/>
      <c r="CJ558" s="78"/>
      <c r="CK558" s="78"/>
      <c r="CL558" s="78"/>
      <c r="CM558" s="78"/>
      <c r="CN558" s="78"/>
      <c r="CO558" s="78"/>
      <c r="CP558" s="78"/>
      <c r="CQ558" s="78"/>
      <c r="CR558" s="78"/>
      <c r="CS558" s="78"/>
      <c r="CT558" s="78"/>
      <c r="CU558" s="78"/>
      <c r="CV558" s="78"/>
      <c r="CW558" s="78"/>
      <c r="CX558" s="78"/>
      <c r="CY558" s="78"/>
      <c r="CZ558" s="78"/>
      <c r="DA558" s="78"/>
      <c r="DB558" s="78"/>
      <c r="DC558" s="78"/>
      <c r="DD558" s="78"/>
      <c r="DE558" s="78"/>
      <c r="DF558" s="78"/>
      <c r="DG558" s="78"/>
      <c r="DH558" s="78"/>
      <c r="DI558" s="78"/>
      <c r="DJ558" s="78"/>
      <c r="DK558" s="78"/>
      <c r="DL558" s="78"/>
      <c r="DM558" s="78"/>
      <c r="DN558" s="78"/>
      <c r="DO558" s="78"/>
      <c r="DP558" s="78"/>
      <c r="DQ558" s="78"/>
      <c r="DR558" s="78"/>
      <c r="DS558" s="78"/>
      <c r="DT558" s="78"/>
      <c r="DU558" s="78"/>
      <c r="DV558" s="78"/>
      <c r="DW558" s="78"/>
      <c r="DX558" s="78"/>
      <c r="DY558" s="78"/>
      <c r="DZ558" s="78"/>
      <c r="EA558" s="78"/>
      <c r="EB558" s="78"/>
      <c r="EC558" s="78"/>
      <c r="ED558" s="78"/>
      <c r="EE558" s="78"/>
      <c r="EF558" s="78"/>
      <c r="EG558" s="78"/>
      <c r="EH558" s="78"/>
      <c r="EI558" s="78"/>
      <c r="EJ558" s="78"/>
      <c r="EK558" s="78"/>
      <c r="EL558" s="78"/>
      <c r="EM558" s="78"/>
      <c r="EN558" s="78"/>
      <c r="EO558" s="78"/>
      <c r="EP558" s="78"/>
      <c r="EQ558" s="78"/>
      <c r="ER558" s="78"/>
      <c r="ES558" s="78"/>
      <c r="ET558" s="78"/>
      <c r="EU558" s="78"/>
      <c r="EV558" s="78"/>
      <c r="EW558" s="78"/>
      <c r="EX558" s="78"/>
      <c r="EY558" s="78"/>
      <c r="EZ558" s="78"/>
      <c r="FA558" s="78"/>
      <c r="FB558" s="78"/>
      <c r="FC558" s="78"/>
      <c r="FD558" s="78"/>
      <c r="FE558" s="78"/>
      <c r="FF558" s="78"/>
      <c r="FG558" s="78"/>
      <c r="FH558" s="78"/>
      <c r="FI558" s="78"/>
      <c r="FJ558" s="78"/>
      <c r="FK558" s="78"/>
      <c r="FL558" s="78"/>
      <c r="FM558" s="78"/>
      <c r="FN558" s="78"/>
      <c r="FO558" s="78"/>
      <c r="FP558" s="78"/>
      <c r="FQ558" s="78"/>
      <c r="FR558" s="78"/>
      <c r="FS558" s="78"/>
      <c r="FT558" s="78"/>
      <c r="FU558" s="78"/>
      <c r="FV558" s="78"/>
      <c r="FW558" s="78"/>
      <c r="FX558" s="78"/>
      <c r="FY558" s="78"/>
      <c r="FZ558" s="78"/>
      <c r="GA558" s="78"/>
      <c r="GB558" s="78"/>
      <c r="GC558" s="78"/>
      <c r="GD558" s="78"/>
      <c r="GE558" s="78"/>
      <c r="GF558" s="78"/>
      <c r="GG558" s="78"/>
      <c r="GH558" s="78"/>
      <c r="GI558" s="78"/>
      <c r="GJ558" s="78"/>
      <c r="GK558" s="78"/>
      <c r="GL558" s="78"/>
      <c r="GM558" s="78"/>
      <c r="GN558" s="78"/>
      <c r="GO558" s="78"/>
      <c r="GP558" s="78"/>
      <c r="GQ558" s="78"/>
      <c r="GR558" s="78"/>
      <c r="GS558" s="78"/>
      <c r="GT558" s="78"/>
      <c r="GU558" s="78"/>
      <c r="GV558" s="78"/>
      <c r="GW558" s="78"/>
      <c r="GX558" s="78"/>
      <c r="GY558" s="78"/>
      <c r="GZ558" s="78"/>
      <c r="HA558" s="78"/>
      <c r="HB558" s="78"/>
      <c r="HC558" s="78"/>
      <c r="HD558" s="78"/>
      <c r="HE558" s="78"/>
      <c r="HF558" s="78"/>
      <c r="HG558" s="78"/>
      <c r="HH558" s="78"/>
      <c r="HI558" s="78"/>
      <c r="HJ558" s="78"/>
      <c r="HK558" s="78"/>
    </row>
    <row r="559" spans="1:219" ht="15" customHeight="1">
      <c r="A559" s="99">
        <v>16</v>
      </c>
      <c r="B559" s="176" t="str">
        <f>VLOOKUP(Ruimtestaat[[#This Row],[Code]],Locaties[[Code]:[Locatie]],2,FALSE)</f>
        <v>SBO Het Pontem (College)</v>
      </c>
      <c r="C559" s="176" t="str">
        <f>VLOOKUP(Ruimtestaat[[#This Row],[Code]],Locaties[[#All],[Code]:[Adres]],4,FALSE)</f>
        <v>Poolmansweg 245</v>
      </c>
      <c r="D559" s="176" t="str">
        <f>VLOOKUP(Ruimtestaat[[#This Row],[Code]],Locaties[[#All],[Code]:[Postcode]],5,FALSE)</f>
        <v>7545 LR</v>
      </c>
      <c r="E559" s="176" t="str">
        <f>VLOOKUP(Ruimtestaat[[#This Row],[Code]],Locaties[#All],6,FALSE)</f>
        <v>Enschede</v>
      </c>
      <c r="F559" s="183"/>
      <c r="G559" s="99" t="s">
        <v>1646</v>
      </c>
      <c r="H559" s="99" t="s">
        <v>1660</v>
      </c>
      <c r="I559" s="183" t="s">
        <v>1651</v>
      </c>
      <c r="J559" s="99">
        <v>16</v>
      </c>
      <c r="K559" s="183" t="str">
        <f>VLOOKUP(Ruimtestaat[[#This Row],[Ruimte code]],Ruimtegroepen[[#All],[Code]:[Ruimte omschrijving]],2,FALSE)</f>
        <v>Leslokalen</v>
      </c>
      <c r="L559" s="99" t="s">
        <v>100</v>
      </c>
      <c r="M559" s="99" t="s">
        <v>1697</v>
      </c>
      <c r="N559" s="177">
        <v>72</v>
      </c>
      <c r="O559" s="177"/>
      <c r="P559" s="178" t="str">
        <f>VLOOKUP(Ruimtestaat[[#This Row],[Ruimte code]],Ruimtegroepen[],4,FALSE)</f>
        <v>Le</v>
      </c>
      <c r="Q559" s="149">
        <v>40</v>
      </c>
      <c r="R559" s="149" t="s">
        <v>2</v>
      </c>
      <c r="S559" s="285">
        <f>IF(Q559&gt;0,IF(RIGHT(Ruimtestaat[[#This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9" s="286">
        <f>IF(S559&gt;0,VLOOKUP($J559,Ruimtegroepen[],3,FALSE)*VLOOKUP($L559,Vloersoorten[],3,FALSE)*VLOOKUP($R559,Frequenties[],3,FALSE)*VLOOKUP($A559,Locaties[],3,FALSE),0)</f>
        <v>0</v>
      </c>
      <c r="U559" s="287">
        <f>Ruimtestaat[[#This Row],[Uitvoeringen werkdagen]]*Ruimtestaat[[#This Row],[Oppervlak (netto)]]</f>
        <v>14400</v>
      </c>
      <c r="V559" s="288">
        <f>IF(T559&gt;0,Ruimtestaat[[#This Row],[Prest. (m2 /jaar) werkdagen]]/Ruimtestaat[[#This Row],[Norm (m2/uur) werkdagen]],0)</f>
        <v>0</v>
      </c>
      <c r="W559" s="289">
        <f>Ruimtestaat[[#This Row],[uren / jaar werkdagen]]*Tariefsopbouw!$E$35</f>
        <v>0</v>
      </c>
      <c r="X559" s="226"/>
      <c r="Y559" s="290">
        <f>IF(Ruimtestaat[[#This Row],[Frequentie weekend]]&gt;0,VALUE(LEFT(X559,1))*Q559,0)</f>
        <v>0</v>
      </c>
      <c r="Z559" s="287">
        <f>IF($Y559&gt;0,VLOOKUP($J559,Ruimtegroepen[],3,FALSE)*VLOOKUP($L559,Vloersoorten[],3,FALSE)*VLOOKUP($X559,Frequenties[],3,FALSE)*VLOOKUP(#REF!,Locaties[],3,FALSE),0)</f>
        <v>0</v>
      </c>
      <c r="AA559" s="291">
        <f>Ruimtestaat[[#This Row],[Uitvoeringen weekend]]*Ruimtestaat[[#This Row],[Oppervlak (netto)]]</f>
        <v>0</v>
      </c>
      <c r="AB559" s="291">
        <f>IF(Z559&gt;0,Ruimtestaat[[#This Row],[Prest. (m2 /jaar) weekend]]/Ruimtestaat[[#This Row],[Norm (m2/uur) weekend]],0)</f>
        <v>0</v>
      </c>
      <c r="AC559" s="180">
        <f>Ruimtestaat[[#This Row],[uren / jaar weekend]]*Tariefsopbouw!$D$40</f>
        <v>0</v>
      </c>
      <c r="AD559" s="179">
        <f>Ruimtestaat[[#This Row],[Prest. (m2 /jaar) weekend]]+Ruimtestaat[[#This Row],[Prest. (m2 /jaar) werkdagen]]</f>
        <v>14400</v>
      </c>
      <c r="AE559" s="179">
        <f>Ruimtestaat[[#This Row],[uren / jaar weekend]]+Ruimtestaat[[#This Row],[uren / jaar werkdagen]]</f>
        <v>0</v>
      </c>
      <c r="AF559" s="174">
        <f>Ruimtestaat[[#This Row],[kosten / jaar weekend]]+Ruimtestaat[[#This Row],[kosten / jaar werkdagen]]</f>
        <v>0</v>
      </c>
      <c r="AG559" s="174"/>
      <c r="AH559" s="174" t="str">
        <f>IF(Ruimtestaat[[#This Row],[Frequentie werkdagen]]="","",_xlfn.CONCAT(Ruimtestaat[[#This Row],[Ruimte code]],"-",Ruimtestaat[[#This Row],[Frequentie werkdagen]]," ",Ruimtestaat[[#This Row],[Vloer code]]))</f>
        <v>16-5w L</v>
      </c>
      <c r="AI559" s="182" t="str">
        <f>_xlfn.IFNA(VLOOKUP($AH559,Programma!$F$3:$G$1101,2,0),"")</f>
        <v>_</v>
      </c>
      <c r="AJ559" s="182" t="str">
        <f>_xlfn.IFNA(VLOOKUP($AH559,Programma!$F$3:$H$1101,3,0),"")</f>
        <v>_</v>
      </c>
      <c r="AK559" s="182" t="str">
        <f>_xlfn.IFNA(VLOOKUP($AH559,Programma!$F$3:$I$1101,4,0),"")</f>
        <v>4w</v>
      </c>
      <c r="AL559" s="182" t="str">
        <f>_xlfn.IFNA(VLOOKUP($AH559,Programma!$F$3:$J$1101,5,0),"")</f>
        <v>1w</v>
      </c>
      <c r="AM559" s="182" t="str">
        <f>_xlfn.IFNA(VLOOKUP($AH559,Programma!$F$3:$K$1101,6,0),"")</f>
        <v>_</v>
      </c>
      <c r="AN559" s="182" t="str">
        <f>_xlfn.IFNA(VLOOKUP($AH559,Programma!$F$3:$L$1101,7,0),"")</f>
        <v>_</v>
      </c>
      <c r="AO559" s="182" t="str">
        <f>_xlfn.IFNA(VLOOKUP($AH559,Programma!$F$3:$M$1101,8,0),"")</f>
        <v>_</v>
      </c>
      <c r="AP559" s="182" t="str">
        <f>_xlfn.IFNA(VLOOKUP($AH559,Programma!$F$3:$N$1101,9,0),"")</f>
        <v>_</v>
      </c>
      <c r="AQ559" s="182" t="str">
        <f>_xlfn.IFNA(VLOOKUP($AH559,Programma!$F$3:$O$1101,10,0),"")</f>
        <v>5w</v>
      </c>
      <c r="AR559" s="182" t="str">
        <f>_xlfn.IFNA(VLOOKUP($AH559,Programma!$F$3:$P$1101,11,0),"")</f>
        <v>5w</v>
      </c>
      <c r="AS559" s="182" t="str">
        <f>_xlfn.IFNA(VLOOKUP($AH559,Programma!$F$3:$Q$1101,12,0),"")</f>
        <v>1w</v>
      </c>
      <c r="AT559" s="182" t="str">
        <f>_xlfn.IFNA(VLOOKUP($AH559,Programma!$F$3:$R$1101,13,0),"")</f>
        <v>1w</v>
      </c>
      <c r="AU559" s="182" t="str">
        <f>_xlfn.IFNA(VLOOKUP($AH559,Programma!$F$3:$S$1101,14,0),"")</f>
        <v>1m</v>
      </c>
      <c r="AV559" s="182" t="str">
        <f>_xlfn.IFNA(VLOOKUP($AH559,Programma!$F$3:$T$1101,15,0),"")</f>
        <v>2j</v>
      </c>
      <c r="AW559" s="182" t="str">
        <f>_xlfn.IFNA(VLOOKUP($AH559,Programma!$F$3:$U$1101,16,0),"")</f>
        <v>1j</v>
      </c>
      <c r="AX559" s="182" t="str">
        <f>_xlfn.IFNA(VLOOKUP($AH559,Programma!$F$3:$V$1101,17,0),"")</f>
        <v>_</v>
      </c>
      <c r="AY559" s="182" t="str">
        <f>_xlfn.IFNA(VLOOKUP($AH559,Programma!$F$3:$W$1101,18,0),"")</f>
        <v>_</v>
      </c>
      <c r="AZ559" s="182" t="str">
        <f>_xlfn.IFNA(VLOOKUP($AH559,Programma!$F$3:$X$1101,19,0),"")</f>
        <v>_</v>
      </c>
      <c r="BA559" s="182" t="str">
        <f>_xlfn.IFNA(VLOOKUP($AH559,Programma!$F$3:$Y$1101,20,0),"")</f>
        <v>_</v>
      </c>
      <c r="BB559" s="182"/>
      <c r="BC559" s="174" t="str">
        <f>IF(Ruimtestaat[[#This Row],[Frequentie weekend]]="","",_xlfn.CONCAT(Ruimtestaat[[#This Row],[Ruimte code]],"-",Ruimtestaat[[#This Row],[Frequentie weekend]]," ",Ruimtestaat[[#This Row],[Vloer code]]))</f>
        <v/>
      </c>
      <c r="BD559" s="182" t="str">
        <f>_xlfn.IFNA(VLOOKUP($BC559,Programma!$F$3:$G$1101,2,0),"")</f>
        <v/>
      </c>
      <c r="BE559" s="182" t="str">
        <f>_xlfn.IFNA(VLOOKUP($BC559,Programma!$F$3:$H$1101,3,0),"")</f>
        <v/>
      </c>
      <c r="BF559" s="182" t="str">
        <f>_xlfn.IFNA(VLOOKUP($BC559,Programma!$F$3:$I$1101,4,0),"")</f>
        <v/>
      </c>
      <c r="BG559" s="182" t="str">
        <f>_xlfn.IFNA(VLOOKUP($BC559,Programma!$F$3:$J$1101,5,0),"")</f>
        <v/>
      </c>
      <c r="BH559" s="182" t="str">
        <f>_xlfn.IFNA(VLOOKUP($BC559,Programma!$F$3:$K$1101,6,0),"")</f>
        <v/>
      </c>
      <c r="BI559" s="182" t="str">
        <f>_xlfn.IFNA(VLOOKUP($BC559,Programma!$F$3:$L$1101,7,0),"")</f>
        <v/>
      </c>
      <c r="BJ559" s="182" t="str">
        <f>_xlfn.IFNA(VLOOKUP($BC559,Programma!$F$3:$M$1101,8,0),"")</f>
        <v/>
      </c>
      <c r="BK559" s="182" t="str">
        <f>_xlfn.IFNA(VLOOKUP($BC559,Programma!$F$3:$N$1101,9,0),"")</f>
        <v/>
      </c>
      <c r="BL559" s="182" t="str">
        <f>_xlfn.IFNA(VLOOKUP($BC559,Programma!$F$3:$O$1101,10,0),"")</f>
        <v/>
      </c>
      <c r="BM559" s="182" t="str">
        <f>_xlfn.IFNA(VLOOKUP($BC559,Programma!$F$3:$P$1101,11,0),"")</f>
        <v/>
      </c>
      <c r="BN559" s="182" t="str">
        <f>_xlfn.IFNA(VLOOKUP($BC559,Programma!$F$3:$Q$1101,12,0),"")</f>
        <v/>
      </c>
      <c r="BO559" s="182" t="str">
        <f>_xlfn.IFNA(VLOOKUP($BC559,Programma!$F$3:$R$1101,13,0),"")</f>
        <v/>
      </c>
      <c r="BP559" s="182" t="str">
        <f>_xlfn.IFNA(VLOOKUP($BC559,Programma!$F$3:$S$1101,14,0),"")</f>
        <v/>
      </c>
      <c r="BQ559" s="182" t="str">
        <f>_xlfn.IFNA(VLOOKUP($BC559,Programma!$F$3:$T$1101,15,0),"")</f>
        <v/>
      </c>
      <c r="BR559" s="182" t="str">
        <f>_xlfn.IFNA(VLOOKUP($BC559,Programma!$F$3:$U$1101,16,0),"")</f>
        <v/>
      </c>
      <c r="BS559" s="182" t="str">
        <f>_xlfn.IFNA(VLOOKUP($BC559,Programma!$F$3:$V$1101,17,0),"")</f>
        <v/>
      </c>
      <c r="BT559" s="182" t="str">
        <f>_xlfn.IFNA(VLOOKUP($BC559,Programma!$F$3:$W$1101,18,0),"")</f>
        <v/>
      </c>
      <c r="BU559" s="182" t="str">
        <f>_xlfn.IFNA(VLOOKUP($BC559,Programma!$F$3:$X$1101,19,0),"")</f>
        <v/>
      </c>
      <c r="BV559" s="182" t="str">
        <f>_xlfn.IFNA(VLOOKUP($BC559,Programma!$F$3:$Y$1101,20,0),"")</f>
        <v/>
      </c>
    </row>
    <row r="560" spans="1:219" ht="15" customHeight="1">
      <c r="A560" s="99">
        <v>16</v>
      </c>
      <c r="B560" s="176" t="str">
        <f>VLOOKUP(Ruimtestaat[[#This Row],[Code]],Locaties[[Code]:[Locatie]],2,FALSE)</f>
        <v>SBO Het Pontem (College)</v>
      </c>
      <c r="C560" s="176" t="str">
        <f>VLOOKUP(Ruimtestaat[[#This Row],[Code]],Locaties[[#All],[Code]:[Adres]],4,FALSE)</f>
        <v>Poolmansweg 245</v>
      </c>
      <c r="D560" s="176" t="str">
        <f>VLOOKUP(Ruimtestaat[[#This Row],[Code]],Locaties[[#All],[Code]:[Postcode]],5,FALSE)</f>
        <v>7545 LR</v>
      </c>
      <c r="E560" s="176" t="str">
        <f>VLOOKUP(Ruimtestaat[[#This Row],[Code]],Locaties[#All],6,FALSE)</f>
        <v>Enschede</v>
      </c>
      <c r="F560" s="183"/>
      <c r="G560" s="99" t="s">
        <v>1646</v>
      </c>
      <c r="H560" s="99" t="s">
        <v>1661</v>
      </c>
      <c r="I560" s="183" t="s">
        <v>1667</v>
      </c>
      <c r="J560" s="99">
        <v>5</v>
      </c>
      <c r="K560" s="183" t="str">
        <f>VLOOKUP(Ruimtestaat[[#This Row],[Ruimte code]],Ruimtegroepen[[#All],[Code]:[Ruimte omschrijving]],2,FALSE)</f>
        <v>Sanitair</v>
      </c>
      <c r="L560" s="99" t="s">
        <v>101</v>
      </c>
      <c r="M560" s="99" t="s">
        <v>1682</v>
      </c>
      <c r="N560" s="177">
        <v>6.5</v>
      </c>
      <c r="O560" s="177"/>
      <c r="P560" s="178" t="str">
        <f>VLOOKUP(Ruimtestaat[[#This Row],[Ruimte code]],Ruimtegroepen[],4,FALSE)</f>
        <v>Sa</v>
      </c>
      <c r="Q560" s="149">
        <v>40</v>
      </c>
      <c r="R560" s="149" t="s">
        <v>2</v>
      </c>
      <c r="S560" s="285">
        <f>IF(Q560&gt;0,IF(RIGHT(Ruimtestaat[[#This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0" s="286">
        <f>IF(S560&gt;0,VLOOKUP($J560,Ruimtegroepen[],3,FALSE)*VLOOKUP($L560,Vloersoorten[],3,FALSE)*VLOOKUP($R560,Frequenties[],3,FALSE)*VLOOKUP($A560,Locaties[],3,FALSE),0)</f>
        <v>0</v>
      </c>
      <c r="U560" s="287">
        <f>Ruimtestaat[[#This Row],[Uitvoeringen werkdagen]]*Ruimtestaat[[#This Row],[Oppervlak (netto)]]</f>
        <v>1300</v>
      </c>
      <c r="V560" s="288">
        <f>IF(T560&gt;0,Ruimtestaat[[#This Row],[Prest. (m2 /jaar) werkdagen]]/Ruimtestaat[[#This Row],[Norm (m2/uur) werkdagen]],0)</f>
        <v>0</v>
      </c>
      <c r="W560" s="289">
        <f>Ruimtestaat[[#This Row],[uren / jaar werkdagen]]*Tariefsopbouw!$E$35</f>
        <v>0</v>
      </c>
      <c r="X560" s="226"/>
      <c r="Y560" s="290">
        <f>IF(Ruimtestaat[[#This Row],[Frequentie weekend]]&gt;0,VALUE(LEFT(X560,1))*Q560,0)</f>
        <v>0</v>
      </c>
      <c r="Z560" s="287">
        <f>IF($Y560&gt;0,VLOOKUP($J560,Ruimtegroepen[],3,FALSE)*VLOOKUP($L560,Vloersoorten[],3,FALSE)*VLOOKUP($X560,Frequenties[],3,FALSE)*VLOOKUP(#REF!,Locaties[],3,FALSE),0)</f>
        <v>0</v>
      </c>
      <c r="AA560" s="291">
        <f>Ruimtestaat[[#This Row],[Uitvoeringen weekend]]*Ruimtestaat[[#This Row],[Oppervlak (netto)]]</f>
        <v>0</v>
      </c>
      <c r="AB560" s="291">
        <f>IF(Z560&gt;0,Ruimtestaat[[#This Row],[Prest. (m2 /jaar) weekend]]/Ruimtestaat[[#This Row],[Norm (m2/uur) weekend]],0)</f>
        <v>0</v>
      </c>
      <c r="AC560" s="180">
        <f>Ruimtestaat[[#This Row],[uren / jaar weekend]]*Tariefsopbouw!$D$40</f>
        <v>0</v>
      </c>
      <c r="AD560" s="179">
        <f>Ruimtestaat[[#This Row],[Prest. (m2 /jaar) weekend]]+Ruimtestaat[[#This Row],[Prest. (m2 /jaar) werkdagen]]</f>
        <v>1300</v>
      </c>
      <c r="AE560" s="179">
        <f>Ruimtestaat[[#This Row],[uren / jaar weekend]]+Ruimtestaat[[#This Row],[uren / jaar werkdagen]]</f>
        <v>0</v>
      </c>
      <c r="AF560" s="174">
        <f>Ruimtestaat[[#This Row],[kosten / jaar weekend]]+Ruimtestaat[[#This Row],[kosten / jaar werkdagen]]</f>
        <v>0</v>
      </c>
      <c r="AG560" s="174"/>
      <c r="AH560" s="174" t="str">
        <f>IF(Ruimtestaat[[#This Row],[Frequentie werkdagen]]="","",_xlfn.CONCAT(Ruimtestaat[[#This Row],[Ruimte code]],"-",Ruimtestaat[[#This Row],[Frequentie werkdagen]]," ",Ruimtestaat[[#This Row],[Vloer code]]))</f>
        <v>5-5w S</v>
      </c>
      <c r="AI560" s="182" t="str">
        <f>_xlfn.IFNA(VLOOKUP($AH560,Programma!$F$3:$G$1101,2,0),"")</f>
        <v>_</v>
      </c>
      <c r="AJ560" s="182" t="str">
        <f>_xlfn.IFNA(VLOOKUP($AH560,Programma!$F$3:$H$1101,3,0),"")</f>
        <v>_</v>
      </c>
      <c r="AK560" s="182" t="str">
        <f>_xlfn.IFNA(VLOOKUP($AH560,Programma!$F$3:$I$1101,4,0),"")</f>
        <v>_</v>
      </c>
      <c r="AL560" s="182" t="str">
        <f>_xlfn.IFNA(VLOOKUP($AH560,Programma!$F$3:$J$1101,5,0),"")</f>
        <v>4w</v>
      </c>
      <c r="AM560" s="182" t="str">
        <f>_xlfn.IFNA(VLOOKUP($AH560,Programma!$F$3:$K$1101,6,0),"")</f>
        <v>1w</v>
      </c>
      <c r="AN560" s="182" t="str">
        <f>_xlfn.IFNA(VLOOKUP($AH560,Programma!$F$3:$L$1101,7,0),"")</f>
        <v>_</v>
      </c>
      <c r="AO560" s="182" t="str">
        <f>_xlfn.IFNA(VLOOKUP($AH560,Programma!$F$3:$M$1101,8,0),"")</f>
        <v>_</v>
      </c>
      <c r="AP560" s="182" t="str">
        <f>_xlfn.IFNA(VLOOKUP($AH560,Programma!$F$3:$N$1101,9,0),"")</f>
        <v>_</v>
      </c>
      <c r="AQ560" s="182" t="str">
        <f>_xlfn.IFNA(VLOOKUP($AH560,Programma!$F$3:$O$1101,10,0),"")</f>
        <v>_</v>
      </c>
      <c r="AR560" s="182" t="str">
        <f>_xlfn.IFNA(VLOOKUP($AH560,Programma!$F$3:$P$1101,11,0),"")</f>
        <v>_</v>
      </c>
      <c r="AS560" s="182" t="str">
        <f>_xlfn.IFNA(VLOOKUP($AH560,Programma!$F$3:$Q$1101,12,0),"")</f>
        <v>_</v>
      </c>
      <c r="AT560" s="182" t="str">
        <f>_xlfn.IFNA(VLOOKUP($AH560,Programma!$F$3:$R$1101,13,0),"")</f>
        <v>_</v>
      </c>
      <c r="AU560" s="182" t="str">
        <f>_xlfn.IFNA(VLOOKUP($AH560,Programma!$F$3:$S$1101,14,0),"")</f>
        <v>_</v>
      </c>
      <c r="AV560" s="182" t="str">
        <f>_xlfn.IFNA(VLOOKUP($AH560,Programma!$F$3:$T$1101,15,0),"")</f>
        <v>_</v>
      </c>
      <c r="AW560" s="182" t="str">
        <f>_xlfn.IFNA(VLOOKUP($AH560,Programma!$F$3:$U$1101,16,0),"")</f>
        <v>_</v>
      </c>
      <c r="AX560" s="182" t="str">
        <f>_xlfn.IFNA(VLOOKUP($AH560,Programma!$F$3:$V$1101,17,0),"")</f>
        <v>_</v>
      </c>
      <c r="AY560" s="182" t="str">
        <f>_xlfn.IFNA(VLOOKUP($AH560,Programma!$F$3:$W$1101,18,0),"")</f>
        <v>4w</v>
      </c>
      <c r="AZ560" s="182" t="str">
        <f>_xlfn.IFNA(VLOOKUP($AH560,Programma!$F$3:$X$1101,19,0),"")</f>
        <v>1w</v>
      </c>
      <c r="BA560" s="182" t="str">
        <f>_xlfn.IFNA(VLOOKUP($AH560,Programma!$F$3:$Y$1101,20,0),"")</f>
        <v>_</v>
      </c>
      <c r="BB560" s="182"/>
      <c r="BC560" s="174" t="str">
        <f>IF(Ruimtestaat[[#This Row],[Frequentie weekend]]="","",_xlfn.CONCAT(Ruimtestaat[[#This Row],[Ruimte code]],"-",Ruimtestaat[[#This Row],[Frequentie weekend]]," ",Ruimtestaat[[#This Row],[Vloer code]]))</f>
        <v/>
      </c>
      <c r="BD560" s="182" t="str">
        <f>_xlfn.IFNA(VLOOKUP($BC560,Programma!$F$3:$G$1101,2,0),"")</f>
        <v/>
      </c>
      <c r="BE560" s="182" t="str">
        <f>_xlfn.IFNA(VLOOKUP($BC560,Programma!$F$3:$H$1101,3,0),"")</f>
        <v/>
      </c>
      <c r="BF560" s="182" t="str">
        <f>_xlfn.IFNA(VLOOKUP($BC560,Programma!$F$3:$I$1101,4,0),"")</f>
        <v/>
      </c>
      <c r="BG560" s="182" t="str">
        <f>_xlfn.IFNA(VLOOKUP($BC560,Programma!$F$3:$J$1101,5,0),"")</f>
        <v/>
      </c>
      <c r="BH560" s="182" t="str">
        <f>_xlfn.IFNA(VLOOKUP($BC560,Programma!$F$3:$K$1101,6,0),"")</f>
        <v/>
      </c>
      <c r="BI560" s="182" t="str">
        <f>_xlfn.IFNA(VLOOKUP($BC560,Programma!$F$3:$L$1101,7,0),"")</f>
        <v/>
      </c>
      <c r="BJ560" s="182" t="str">
        <f>_xlfn.IFNA(VLOOKUP($BC560,Programma!$F$3:$M$1101,8,0),"")</f>
        <v/>
      </c>
      <c r="BK560" s="182" t="str">
        <f>_xlfn.IFNA(VLOOKUP($BC560,Programma!$F$3:$N$1101,9,0),"")</f>
        <v/>
      </c>
      <c r="BL560" s="182" t="str">
        <f>_xlfn.IFNA(VLOOKUP($BC560,Programma!$F$3:$O$1101,10,0),"")</f>
        <v/>
      </c>
      <c r="BM560" s="182" t="str">
        <f>_xlfn.IFNA(VLOOKUP($BC560,Programma!$F$3:$P$1101,11,0),"")</f>
        <v/>
      </c>
      <c r="BN560" s="182" t="str">
        <f>_xlfn.IFNA(VLOOKUP($BC560,Programma!$F$3:$Q$1101,12,0),"")</f>
        <v/>
      </c>
      <c r="BO560" s="182" t="str">
        <f>_xlfn.IFNA(VLOOKUP($BC560,Programma!$F$3:$R$1101,13,0),"")</f>
        <v/>
      </c>
      <c r="BP560" s="182" t="str">
        <f>_xlfn.IFNA(VLOOKUP($BC560,Programma!$F$3:$S$1101,14,0),"")</f>
        <v/>
      </c>
      <c r="BQ560" s="182" t="str">
        <f>_xlfn.IFNA(VLOOKUP($BC560,Programma!$F$3:$T$1101,15,0),"")</f>
        <v/>
      </c>
      <c r="BR560" s="182" t="str">
        <f>_xlfn.IFNA(VLOOKUP($BC560,Programma!$F$3:$U$1101,16,0),"")</f>
        <v/>
      </c>
      <c r="BS560" s="182" t="str">
        <f>_xlfn.IFNA(VLOOKUP($BC560,Programma!$F$3:$V$1101,17,0),"")</f>
        <v/>
      </c>
      <c r="BT560" s="182" t="str">
        <f>_xlfn.IFNA(VLOOKUP($BC560,Programma!$F$3:$W$1101,18,0),"")</f>
        <v/>
      </c>
      <c r="BU560" s="182" t="str">
        <f>_xlfn.IFNA(VLOOKUP($BC560,Programma!$F$3:$X$1101,19,0),"")</f>
        <v/>
      </c>
      <c r="BV560" s="182" t="str">
        <f>_xlfn.IFNA(VLOOKUP($BC560,Programma!$F$3:$Y$1101,20,0),"")</f>
        <v/>
      </c>
    </row>
    <row r="561" spans="1:74" ht="15" customHeight="1">
      <c r="A561" s="99">
        <v>16</v>
      </c>
      <c r="B561" s="176" t="str">
        <f>VLOOKUP(Ruimtestaat[[#This Row],[Code]],Locaties[[Code]:[Locatie]],2,FALSE)</f>
        <v>SBO Het Pontem (College)</v>
      </c>
      <c r="C561" s="176" t="str">
        <f>VLOOKUP(Ruimtestaat[[#This Row],[Code]],Locaties[[#All],[Code]:[Adres]],4,FALSE)</f>
        <v>Poolmansweg 245</v>
      </c>
      <c r="D561" s="176" t="str">
        <f>VLOOKUP(Ruimtestaat[[#This Row],[Code]],Locaties[[#All],[Code]:[Postcode]],5,FALSE)</f>
        <v>7545 LR</v>
      </c>
      <c r="E561" s="176" t="str">
        <f>VLOOKUP(Ruimtestaat[[#This Row],[Code]],Locaties[#All],6,FALSE)</f>
        <v>Enschede</v>
      </c>
      <c r="F561" s="183"/>
      <c r="G561" s="99" t="s">
        <v>1646</v>
      </c>
      <c r="H561" s="99" t="s">
        <v>1662</v>
      </c>
      <c r="I561" s="183" t="s">
        <v>1649</v>
      </c>
      <c r="J561" s="99">
        <v>2</v>
      </c>
      <c r="K561" s="183" t="str">
        <f>VLOOKUP(Ruimtestaat[[#This Row],[Ruimte code]],Ruimtegroepen[[#All],[Code]:[Ruimte omschrijving]],2,FALSE)</f>
        <v>Kantoren</v>
      </c>
      <c r="L561" s="99" t="s">
        <v>99</v>
      </c>
      <c r="M561" s="99" t="s">
        <v>36</v>
      </c>
      <c r="N561" s="177">
        <v>17.2</v>
      </c>
      <c r="O561" s="177"/>
      <c r="P561" s="178" t="str">
        <f>VLOOKUP(Ruimtestaat[[#This Row],[Ruimte code]],Ruimtegroepen[],4,FALSE)</f>
        <v>Bu</v>
      </c>
      <c r="Q561" s="149">
        <v>40</v>
      </c>
      <c r="R561" s="149" t="s">
        <v>18</v>
      </c>
      <c r="S561" s="285">
        <f>IF(Q561&gt;0,IF(RIGHT(Ruimtestaat[[#This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61" s="286">
        <f>IF(S561&gt;0,VLOOKUP($J561,Ruimtegroepen[],3,FALSE)*VLOOKUP($L561,Vloersoorten[],3,FALSE)*VLOOKUP($R561,Frequenties[],3,FALSE)*VLOOKUP($A561,Locaties[],3,FALSE),0)</f>
        <v>0</v>
      </c>
      <c r="U561" s="287">
        <f>Ruimtestaat[[#This Row],[Uitvoeringen werkdagen]]*Ruimtestaat[[#This Row],[Oppervlak (netto)]]</f>
        <v>2064</v>
      </c>
      <c r="V561" s="288">
        <f>IF(T561&gt;0,Ruimtestaat[[#This Row],[Prest. (m2 /jaar) werkdagen]]/Ruimtestaat[[#This Row],[Norm (m2/uur) werkdagen]],0)</f>
        <v>0</v>
      </c>
      <c r="W561" s="289">
        <f>Ruimtestaat[[#This Row],[uren / jaar werkdagen]]*Tariefsopbouw!$E$35</f>
        <v>0</v>
      </c>
      <c r="X561" s="226"/>
      <c r="Y561" s="290">
        <f>IF(Ruimtestaat[[#This Row],[Frequentie weekend]]&gt;0,VALUE(LEFT(X561,1))*Q561,0)</f>
        <v>0</v>
      </c>
      <c r="Z561" s="287">
        <f>IF($Y561&gt;0,VLOOKUP($J561,Ruimtegroepen[],3,FALSE)*VLOOKUP($L561,Vloersoorten[],3,FALSE)*VLOOKUP($X561,Frequenties[],3,FALSE)*VLOOKUP(#REF!,Locaties[],3,FALSE),0)</f>
        <v>0</v>
      </c>
      <c r="AA561" s="291">
        <f>Ruimtestaat[[#This Row],[Uitvoeringen weekend]]*Ruimtestaat[[#This Row],[Oppervlak (netto)]]</f>
        <v>0</v>
      </c>
      <c r="AB561" s="291">
        <f>IF(Z561&gt;0,Ruimtestaat[[#This Row],[Prest. (m2 /jaar) weekend]]/Ruimtestaat[[#This Row],[Norm (m2/uur) weekend]],0)</f>
        <v>0</v>
      </c>
      <c r="AC561" s="180">
        <f>Ruimtestaat[[#This Row],[uren / jaar weekend]]*Tariefsopbouw!$D$40</f>
        <v>0</v>
      </c>
      <c r="AD561" s="179">
        <f>Ruimtestaat[[#This Row],[Prest. (m2 /jaar) weekend]]+Ruimtestaat[[#This Row],[Prest. (m2 /jaar) werkdagen]]</f>
        <v>2064</v>
      </c>
      <c r="AE561" s="179">
        <f>Ruimtestaat[[#This Row],[uren / jaar weekend]]+Ruimtestaat[[#This Row],[uren / jaar werkdagen]]</f>
        <v>0</v>
      </c>
      <c r="AF561" s="174">
        <f>Ruimtestaat[[#This Row],[kosten / jaar weekend]]+Ruimtestaat[[#This Row],[kosten / jaar werkdagen]]</f>
        <v>0</v>
      </c>
      <c r="AG561" s="174"/>
      <c r="AH561" s="174" t="str">
        <f>IF(Ruimtestaat[[#This Row],[Frequentie werkdagen]]="","",_xlfn.CONCAT(Ruimtestaat[[#This Row],[Ruimte code]],"-",Ruimtestaat[[#This Row],[Frequentie werkdagen]]," ",Ruimtestaat[[#This Row],[Vloer code]]))</f>
        <v>2-3w T</v>
      </c>
      <c r="AI561" s="182" t="str">
        <f>_xlfn.IFNA(VLOOKUP($AH561,Programma!$F$3:$G$1101,2,0),"")</f>
        <v>2w</v>
      </c>
      <c r="AJ561" s="182" t="str">
        <f>_xlfn.IFNA(VLOOKUP($AH561,Programma!$F$3:$H$1101,3,0),"")</f>
        <v>1w</v>
      </c>
      <c r="AK561" s="182" t="str">
        <f>_xlfn.IFNA(VLOOKUP($AH561,Programma!$F$3:$I$1101,4,0),"")</f>
        <v>_</v>
      </c>
      <c r="AL561" s="182" t="str">
        <f>_xlfn.IFNA(VLOOKUP($AH561,Programma!$F$3:$J$1101,5,0),"")</f>
        <v>_</v>
      </c>
      <c r="AM561" s="182" t="str">
        <f>_xlfn.IFNA(VLOOKUP($AH561,Programma!$F$3:$K$1101,6,0),"")</f>
        <v>_</v>
      </c>
      <c r="AN561" s="182" t="str">
        <f>_xlfn.IFNA(VLOOKUP($AH561,Programma!$F$3:$L$1101,7,0),"")</f>
        <v>_</v>
      </c>
      <c r="AO561" s="182" t="str">
        <f>_xlfn.IFNA(VLOOKUP($AH561,Programma!$F$3:$M$1101,8,0),"")</f>
        <v>_</v>
      </c>
      <c r="AP561" s="182" t="str">
        <f>_xlfn.IFNA(VLOOKUP($AH561,Programma!$F$3:$N$1101,9,0),"")</f>
        <v>_</v>
      </c>
      <c r="AQ561" s="182" t="str">
        <f>_xlfn.IFNA(VLOOKUP($AH561,Programma!$F$3:$O$1101,10,0),"")</f>
        <v>3w</v>
      </c>
      <c r="AR561" s="182" t="str">
        <f>_xlfn.IFNA(VLOOKUP($AH561,Programma!$F$3:$P$1101,11,0),"")</f>
        <v>3w</v>
      </c>
      <c r="AS561" s="182" t="str">
        <f>_xlfn.IFNA(VLOOKUP($AH561,Programma!$F$3:$Q$1101,12,0),"")</f>
        <v>1w</v>
      </c>
      <c r="AT561" s="182" t="str">
        <f>_xlfn.IFNA(VLOOKUP($AH561,Programma!$F$3:$R$1101,13,0),"")</f>
        <v>1w</v>
      </c>
      <c r="AU561" s="182" t="str">
        <f>_xlfn.IFNA(VLOOKUP($AH561,Programma!$F$3:$S$1101,14,0),"")</f>
        <v>1m</v>
      </c>
      <c r="AV561" s="182" t="str">
        <f>_xlfn.IFNA(VLOOKUP($AH561,Programma!$F$3:$T$1101,15,0),"")</f>
        <v>2j</v>
      </c>
      <c r="AW561" s="182" t="str">
        <f>_xlfn.IFNA(VLOOKUP($AH561,Programma!$F$3:$U$1101,16,0),"")</f>
        <v>1j</v>
      </c>
      <c r="AX561" s="182" t="str">
        <f>_xlfn.IFNA(VLOOKUP($AH561,Programma!$F$3:$V$1101,17,0),"")</f>
        <v>_</v>
      </c>
      <c r="AY561" s="182" t="str">
        <f>_xlfn.IFNA(VLOOKUP($AH561,Programma!$F$3:$W$1101,18,0),"")</f>
        <v>_</v>
      </c>
      <c r="AZ561" s="182" t="str">
        <f>_xlfn.IFNA(VLOOKUP($AH561,Programma!$F$3:$X$1101,19,0),"")</f>
        <v>_</v>
      </c>
      <c r="BA561" s="182" t="str">
        <f>_xlfn.IFNA(VLOOKUP($AH561,Programma!$F$3:$Y$1101,20,0),"")</f>
        <v>_</v>
      </c>
      <c r="BB561" s="182"/>
      <c r="BC561" s="174" t="str">
        <f>IF(Ruimtestaat[[#This Row],[Frequentie weekend]]="","",_xlfn.CONCAT(Ruimtestaat[[#This Row],[Ruimte code]],"-",Ruimtestaat[[#This Row],[Frequentie weekend]]," ",Ruimtestaat[[#This Row],[Vloer code]]))</f>
        <v/>
      </c>
      <c r="BD561" s="182" t="str">
        <f>_xlfn.IFNA(VLOOKUP($BC561,Programma!$F$3:$G$1101,2,0),"")</f>
        <v/>
      </c>
      <c r="BE561" s="182" t="str">
        <f>_xlfn.IFNA(VLOOKUP($BC561,Programma!$F$3:$H$1101,3,0),"")</f>
        <v/>
      </c>
      <c r="BF561" s="182" t="str">
        <f>_xlfn.IFNA(VLOOKUP($BC561,Programma!$F$3:$I$1101,4,0),"")</f>
        <v/>
      </c>
      <c r="BG561" s="182" t="str">
        <f>_xlfn.IFNA(VLOOKUP($BC561,Programma!$F$3:$J$1101,5,0),"")</f>
        <v/>
      </c>
      <c r="BH561" s="182" t="str">
        <f>_xlfn.IFNA(VLOOKUP($BC561,Programma!$F$3:$K$1101,6,0),"")</f>
        <v/>
      </c>
      <c r="BI561" s="182" t="str">
        <f>_xlfn.IFNA(VLOOKUP($BC561,Programma!$F$3:$L$1101,7,0),"")</f>
        <v/>
      </c>
      <c r="BJ561" s="182" t="str">
        <f>_xlfn.IFNA(VLOOKUP($BC561,Programma!$F$3:$M$1101,8,0),"")</f>
        <v/>
      </c>
      <c r="BK561" s="182" t="str">
        <f>_xlfn.IFNA(VLOOKUP($BC561,Programma!$F$3:$N$1101,9,0),"")</f>
        <v/>
      </c>
      <c r="BL561" s="182" t="str">
        <f>_xlfn.IFNA(VLOOKUP($BC561,Programma!$F$3:$O$1101,10,0),"")</f>
        <v/>
      </c>
      <c r="BM561" s="182" t="str">
        <f>_xlfn.IFNA(VLOOKUP($BC561,Programma!$F$3:$P$1101,11,0),"")</f>
        <v/>
      </c>
      <c r="BN561" s="182" t="str">
        <f>_xlfn.IFNA(VLOOKUP($BC561,Programma!$F$3:$Q$1101,12,0),"")</f>
        <v/>
      </c>
      <c r="BO561" s="182" t="str">
        <f>_xlfn.IFNA(VLOOKUP($BC561,Programma!$F$3:$R$1101,13,0),"")</f>
        <v/>
      </c>
      <c r="BP561" s="182" t="str">
        <f>_xlfn.IFNA(VLOOKUP($BC561,Programma!$F$3:$S$1101,14,0),"")</f>
        <v/>
      </c>
      <c r="BQ561" s="182" t="str">
        <f>_xlfn.IFNA(VLOOKUP($BC561,Programma!$F$3:$T$1101,15,0),"")</f>
        <v/>
      </c>
      <c r="BR561" s="182" t="str">
        <f>_xlfn.IFNA(VLOOKUP($BC561,Programma!$F$3:$U$1101,16,0),"")</f>
        <v/>
      </c>
      <c r="BS561" s="182" t="str">
        <f>_xlfn.IFNA(VLOOKUP($BC561,Programma!$F$3:$V$1101,17,0),"")</f>
        <v/>
      </c>
      <c r="BT561" s="182" t="str">
        <f>_xlfn.IFNA(VLOOKUP($BC561,Programma!$F$3:$W$1101,18,0),"")</f>
        <v/>
      </c>
      <c r="BU561" s="182" t="str">
        <f>_xlfn.IFNA(VLOOKUP($BC561,Programma!$F$3:$X$1101,19,0),"")</f>
        <v/>
      </c>
      <c r="BV561" s="182" t="str">
        <f>_xlfn.IFNA(VLOOKUP($BC561,Programma!$F$3:$Y$1101,20,0),"")</f>
        <v/>
      </c>
    </row>
    <row r="562" spans="1:74" ht="15" customHeight="1">
      <c r="A562" s="99">
        <v>16</v>
      </c>
      <c r="B562" s="176" t="str">
        <f>VLOOKUP(Ruimtestaat[[#This Row],[Code]],Locaties[[Code]:[Locatie]],2,FALSE)</f>
        <v>SBO Het Pontem (College)</v>
      </c>
      <c r="C562" s="176" t="str">
        <f>VLOOKUP(Ruimtestaat[[#This Row],[Code]],Locaties[[#All],[Code]:[Adres]],4,FALSE)</f>
        <v>Poolmansweg 245</v>
      </c>
      <c r="D562" s="176" t="str">
        <f>VLOOKUP(Ruimtestaat[[#This Row],[Code]],Locaties[[#All],[Code]:[Postcode]],5,FALSE)</f>
        <v>7545 LR</v>
      </c>
      <c r="E562" s="176" t="str">
        <f>VLOOKUP(Ruimtestaat[[#This Row],[Code]],Locaties[#All],6,FALSE)</f>
        <v>Enschede</v>
      </c>
      <c r="F562" s="183"/>
      <c r="G562" s="99" t="s">
        <v>1646</v>
      </c>
      <c r="H562" s="99" t="s">
        <v>1663</v>
      </c>
      <c r="I562" s="183" t="s">
        <v>38</v>
      </c>
      <c r="J562" s="99">
        <v>7</v>
      </c>
      <c r="K562" s="183" t="str">
        <f>VLOOKUP(Ruimtestaat[[#This Row],[Ruimte code]],Ruimtegroepen[[#All],[Code]:[Ruimte omschrijving]],2,FALSE)</f>
        <v>Entree</v>
      </c>
      <c r="L562" s="99" t="s">
        <v>99</v>
      </c>
      <c r="M562" s="99" t="s">
        <v>1700</v>
      </c>
      <c r="N562" s="177">
        <v>7.3</v>
      </c>
      <c r="O562" s="177"/>
      <c r="P562" s="178" t="str">
        <f>VLOOKUP(Ruimtestaat[[#This Row],[Ruimte code]],Ruimtegroepen[],4,FALSE)</f>
        <v>Ve</v>
      </c>
      <c r="Q562" s="149">
        <v>40</v>
      </c>
      <c r="R562" s="149" t="s">
        <v>2</v>
      </c>
      <c r="S562" s="285">
        <f>IF(Q562&gt;0,IF(RIGHT(Ruimtestaat[[#This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2" s="286">
        <f>IF(S562&gt;0,VLOOKUP($J562,Ruimtegroepen[],3,FALSE)*VLOOKUP($L562,Vloersoorten[],3,FALSE)*VLOOKUP($R562,Frequenties[],3,FALSE)*VLOOKUP($A562,Locaties[],3,FALSE),0)</f>
        <v>0</v>
      </c>
      <c r="U562" s="287">
        <f>Ruimtestaat[[#This Row],[Uitvoeringen werkdagen]]*Ruimtestaat[[#This Row],[Oppervlak (netto)]]</f>
        <v>1460</v>
      </c>
      <c r="V562" s="288">
        <f>IF(T562&gt;0,Ruimtestaat[[#This Row],[Prest. (m2 /jaar) werkdagen]]/Ruimtestaat[[#This Row],[Norm (m2/uur) werkdagen]],0)</f>
        <v>0</v>
      </c>
      <c r="W562" s="289">
        <f>Ruimtestaat[[#This Row],[uren / jaar werkdagen]]*Tariefsopbouw!$E$35</f>
        <v>0</v>
      </c>
      <c r="X562" s="226"/>
      <c r="Y562" s="290">
        <f>IF(Ruimtestaat[[#This Row],[Frequentie weekend]]&gt;0,VALUE(LEFT(X562,1))*Q562,0)</f>
        <v>0</v>
      </c>
      <c r="Z562" s="287">
        <f>IF($Y562&gt;0,VLOOKUP($J562,Ruimtegroepen[],3,FALSE)*VLOOKUP($L562,Vloersoorten[],3,FALSE)*VLOOKUP($X562,Frequenties[],3,FALSE)*VLOOKUP(#REF!,Locaties[],3,FALSE),0)</f>
        <v>0</v>
      </c>
      <c r="AA562" s="291">
        <f>Ruimtestaat[[#This Row],[Uitvoeringen weekend]]*Ruimtestaat[[#This Row],[Oppervlak (netto)]]</f>
        <v>0</v>
      </c>
      <c r="AB562" s="291">
        <f>IF(Z562&gt;0,Ruimtestaat[[#This Row],[Prest. (m2 /jaar) weekend]]/Ruimtestaat[[#This Row],[Norm (m2/uur) weekend]],0)</f>
        <v>0</v>
      </c>
      <c r="AC562" s="180">
        <f>Ruimtestaat[[#This Row],[uren / jaar weekend]]*Tariefsopbouw!$D$40</f>
        <v>0</v>
      </c>
      <c r="AD562" s="179">
        <f>Ruimtestaat[[#This Row],[Prest. (m2 /jaar) weekend]]+Ruimtestaat[[#This Row],[Prest. (m2 /jaar) werkdagen]]</f>
        <v>1460</v>
      </c>
      <c r="AE562" s="179">
        <f>Ruimtestaat[[#This Row],[uren / jaar weekend]]+Ruimtestaat[[#This Row],[uren / jaar werkdagen]]</f>
        <v>0</v>
      </c>
      <c r="AF562" s="174">
        <f>Ruimtestaat[[#This Row],[kosten / jaar weekend]]+Ruimtestaat[[#This Row],[kosten / jaar werkdagen]]</f>
        <v>0</v>
      </c>
      <c r="AG562" s="174"/>
      <c r="AH562" s="174" t="str">
        <f>IF(Ruimtestaat[[#This Row],[Frequentie werkdagen]]="","",_xlfn.CONCAT(Ruimtestaat[[#This Row],[Ruimte code]],"-",Ruimtestaat[[#This Row],[Frequentie werkdagen]]," ",Ruimtestaat[[#This Row],[Vloer code]]))</f>
        <v>7-5w T</v>
      </c>
      <c r="AI562" s="182" t="str">
        <f>_xlfn.IFNA(VLOOKUP($AH562,Programma!$F$3:$G$1101,2,0),"")</f>
        <v>_</v>
      </c>
      <c r="AJ562" s="182" t="str">
        <f>_xlfn.IFNA(VLOOKUP($AH562,Programma!$F$3:$H$1101,3,0),"")</f>
        <v>5w</v>
      </c>
      <c r="AK562" s="182" t="str">
        <f>_xlfn.IFNA(VLOOKUP($AH562,Programma!$F$3:$I$1101,4,0),"")</f>
        <v>_</v>
      </c>
      <c r="AL562" s="182" t="str">
        <f>_xlfn.IFNA(VLOOKUP($AH562,Programma!$F$3:$J$1101,5,0),"")</f>
        <v>_</v>
      </c>
      <c r="AM562" s="182" t="str">
        <f>_xlfn.IFNA(VLOOKUP($AH562,Programma!$F$3:$K$1101,6,0),"")</f>
        <v>_</v>
      </c>
      <c r="AN562" s="182" t="str">
        <f>_xlfn.IFNA(VLOOKUP($AH562,Programma!$F$3:$L$1101,7,0),"")</f>
        <v>_</v>
      </c>
      <c r="AO562" s="182" t="str">
        <f>_xlfn.IFNA(VLOOKUP($AH562,Programma!$F$3:$M$1101,8,0),"")</f>
        <v>_</v>
      </c>
      <c r="AP562" s="182" t="str">
        <f>_xlfn.IFNA(VLOOKUP($AH562,Programma!$F$3:$N$1101,9,0),"")</f>
        <v>_</v>
      </c>
      <c r="AQ562" s="182" t="str">
        <f>_xlfn.IFNA(VLOOKUP($AH562,Programma!$F$3:$O$1101,10,0),"")</f>
        <v>5w</v>
      </c>
      <c r="AR562" s="182" t="str">
        <f>_xlfn.IFNA(VLOOKUP($AH562,Programma!$F$3:$P$1101,11,0),"")</f>
        <v>5w</v>
      </c>
      <c r="AS562" s="182" t="str">
        <f>_xlfn.IFNA(VLOOKUP($AH562,Programma!$F$3:$Q$1101,12,0),"")</f>
        <v>1w</v>
      </c>
      <c r="AT562" s="182" t="str">
        <f>_xlfn.IFNA(VLOOKUP($AH562,Programma!$F$3:$R$1101,13,0),"")</f>
        <v>1w</v>
      </c>
      <c r="AU562" s="182" t="str">
        <f>_xlfn.IFNA(VLOOKUP($AH562,Programma!$F$3:$S$1101,14,0),"")</f>
        <v>1m</v>
      </c>
      <c r="AV562" s="182" t="str">
        <f>_xlfn.IFNA(VLOOKUP($AH562,Programma!$F$3:$T$1101,15,0),"")</f>
        <v>2j</v>
      </c>
      <c r="AW562" s="182" t="str">
        <f>_xlfn.IFNA(VLOOKUP($AH562,Programma!$F$3:$U$1101,16,0),"")</f>
        <v>1j</v>
      </c>
      <c r="AX562" s="182" t="str">
        <f>_xlfn.IFNA(VLOOKUP($AH562,Programma!$F$3:$V$1101,17,0),"")</f>
        <v>_</v>
      </c>
      <c r="AY562" s="182" t="str">
        <f>_xlfn.IFNA(VLOOKUP($AH562,Programma!$F$3:$W$1101,18,0),"")</f>
        <v>_</v>
      </c>
      <c r="AZ562" s="182" t="str">
        <f>_xlfn.IFNA(VLOOKUP($AH562,Programma!$F$3:$X$1101,19,0),"")</f>
        <v>_</v>
      </c>
      <c r="BA562" s="182" t="str">
        <f>_xlfn.IFNA(VLOOKUP($AH562,Programma!$F$3:$Y$1101,20,0),"")</f>
        <v>_</v>
      </c>
      <c r="BB562" s="182"/>
      <c r="BC562" s="174" t="str">
        <f>IF(Ruimtestaat[[#This Row],[Frequentie weekend]]="","",_xlfn.CONCAT(Ruimtestaat[[#This Row],[Ruimte code]],"-",Ruimtestaat[[#This Row],[Frequentie weekend]]," ",Ruimtestaat[[#This Row],[Vloer code]]))</f>
        <v/>
      </c>
      <c r="BD562" s="182" t="str">
        <f>_xlfn.IFNA(VLOOKUP($BC562,Programma!$F$3:$G$1101,2,0),"")</f>
        <v/>
      </c>
      <c r="BE562" s="182" t="str">
        <f>_xlfn.IFNA(VLOOKUP($BC562,Programma!$F$3:$H$1101,3,0),"")</f>
        <v/>
      </c>
      <c r="BF562" s="182" t="str">
        <f>_xlfn.IFNA(VLOOKUP($BC562,Programma!$F$3:$I$1101,4,0),"")</f>
        <v/>
      </c>
      <c r="BG562" s="182" t="str">
        <f>_xlfn.IFNA(VLOOKUP($BC562,Programma!$F$3:$J$1101,5,0),"")</f>
        <v/>
      </c>
      <c r="BH562" s="182" t="str">
        <f>_xlfn.IFNA(VLOOKUP($BC562,Programma!$F$3:$K$1101,6,0),"")</f>
        <v/>
      </c>
      <c r="BI562" s="182" t="str">
        <f>_xlfn.IFNA(VLOOKUP($BC562,Programma!$F$3:$L$1101,7,0),"")</f>
        <v/>
      </c>
      <c r="BJ562" s="182" t="str">
        <f>_xlfn.IFNA(VLOOKUP($BC562,Programma!$F$3:$M$1101,8,0),"")</f>
        <v/>
      </c>
      <c r="BK562" s="182" t="str">
        <f>_xlfn.IFNA(VLOOKUP($BC562,Programma!$F$3:$N$1101,9,0),"")</f>
        <v/>
      </c>
      <c r="BL562" s="182" t="str">
        <f>_xlfn.IFNA(VLOOKUP($BC562,Programma!$F$3:$O$1101,10,0),"")</f>
        <v/>
      </c>
      <c r="BM562" s="182" t="str">
        <f>_xlfn.IFNA(VLOOKUP($BC562,Programma!$F$3:$P$1101,11,0),"")</f>
        <v/>
      </c>
      <c r="BN562" s="182" t="str">
        <f>_xlfn.IFNA(VLOOKUP($BC562,Programma!$F$3:$Q$1101,12,0),"")</f>
        <v/>
      </c>
      <c r="BO562" s="182" t="str">
        <f>_xlfn.IFNA(VLOOKUP($BC562,Programma!$F$3:$R$1101,13,0),"")</f>
        <v/>
      </c>
      <c r="BP562" s="182" t="str">
        <f>_xlfn.IFNA(VLOOKUP($BC562,Programma!$F$3:$S$1101,14,0),"")</f>
        <v/>
      </c>
      <c r="BQ562" s="182" t="str">
        <f>_xlfn.IFNA(VLOOKUP($BC562,Programma!$F$3:$T$1101,15,0),"")</f>
        <v/>
      </c>
      <c r="BR562" s="182" t="str">
        <f>_xlfn.IFNA(VLOOKUP($BC562,Programma!$F$3:$U$1101,16,0),"")</f>
        <v/>
      </c>
      <c r="BS562" s="182" t="str">
        <f>_xlfn.IFNA(VLOOKUP($BC562,Programma!$F$3:$V$1101,17,0),"")</f>
        <v/>
      </c>
      <c r="BT562" s="182" t="str">
        <f>_xlfn.IFNA(VLOOKUP($BC562,Programma!$F$3:$W$1101,18,0),"")</f>
        <v/>
      </c>
      <c r="BU562" s="182" t="str">
        <f>_xlfn.IFNA(VLOOKUP($BC562,Programma!$F$3:$X$1101,19,0),"")</f>
        <v/>
      </c>
      <c r="BV562" s="182" t="str">
        <f>_xlfn.IFNA(VLOOKUP($BC562,Programma!$F$3:$Y$1101,20,0),"")</f>
        <v/>
      </c>
    </row>
    <row r="563" spans="1:74" ht="15" customHeight="1">
      <c r="A563" s="99">
        <v>16</v>
      </c>
      <c r="B563" s="176" t="str">
        <f>VLOOKUP(Ruimtestaat[[#This Row],[Code]],Locaties[[Code]:[Locatie]],2,FALSE)</f>
        <v>SBO Het Pontem (College)</v>
      </c>
      <c r="C563" s="176" t="str">
        <f>VLOOKUP(Ruimtestaat[[#This Row],[Code]],Locaties[[#All],[Code]:[Adres]],4,FALSE)</f>
        <v>Poolmansweg 245</v>
      </c>
      <c r="D563" s="176" t="str">
        <f>VLOOKUP(Ruimtestaat[[#This Row],[Code]],Locaties[[#All],[Code]:[Postcode]],5,FALSE)</f>
        <v>7545 LR</v>
      </c>
      <c r="E563" s="176" t="str">
        <f>VLOOKUP(Ruimtestaat[[#This Row],[Code]],Locaties[#All],6,FALSE)</f>
        <v>Enschede</v>
      </c>
      <c r="F563" s="183"/>
      <c r="G563" s="99" t="s">
        <v>1646</v>
      </c>
      <c r="H563" s="99" t="s">
        <v>1664</v>
      </c>
      <c r="I563" s="183" t="s">
        <v>1658</v>
      </c>
      <c r="J563" s="99">
        <v>6</v>
      </c>
      <c r="K563" s="183" t="str">
        <f>VLOOKUP(Ruimtestaat[[#This Row],[Ruimte code]],Ruimtegroepen[[#All],[Code]:[Ruimte omschrijving]],2,FALSE)</f>
        <v>Gangen/hallen</v>
      </c>
      <c r="L563" s="99" t="s">
        <v>100</v>
      </c>
      <c r="M563" s="99" t="s">
        <v>1697</v>
      </c>
      <c r="N563" s="177">
        <v>34.5</v>
      </c>
      <c r="O563" s="177"/>
      <c r="P563" s="178" t="str">
        <f>VLOOKUP(Ruimtestaat[[#This Row],[Ruimte code]],Ruimtegroepen[],4,FALSE)</f>
        <v>Ve</v>
      </c>
      <c r="Q563" s="149">
        <v>40</v>
      </c>
      <c r="R563" s="149" t="s">
        <v>2</v>
      </c>
      <c r="S563" s="285">
        <f>IF(Q563&gt;0,IF(RIGHT(Ruimtestaat[[#This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3" s="286">
        <f>IF(S563&gt;0,VLOOKUP($J563,Ruimtegroepen[],3,FALSE)*VLOOKUP($L563,Vloersoorten[],3,FALSE)*VLOOKUP($R563,Frequenties[],3,FALSE)*VLOOKUP($A563,Locaties[],3,FALSE),0)</f>
        <v>0</v>
      </c>
      <c r="U563" s="287">
        <f>Ruimtestaat[[#This Row],[Uitvoeringen werkdagen]]*Ruimtestaat[[#This Row],[Oppervlak (netto)]]</f>
        <v>6900</v>
      </c>
      <c r="V563" s="288">
        <f>IF(T563&gt;0,Ruimtestaat[[#This Row],[Prest. (m2 /jaar) werkdagen]]/Ruimtestaat[[#This Row],[Norm (m2/uur) werkdagen]],0)</f>
        <v>0</v>
      </c>
      <c r="W563" s="289">
        <f>Ruimtestaat[[#This Row],[uren / jaar werkdagen]]*Tariefsopbouw!$E$35</f>
        <v>0</v>
      </c>
      <c r="X563" s="226"/>
      <c r="Y563" s="290">
        <f>IF(Ruimtestaat[[#This Row],[Frequentie weekend]]&gt;0,VALUE(LEFT(X563,1))*Q563,0)</f>
        <v>0</v>
      </c>
      <c r="Z563" s="287">
        <f>IF($Y563&gt;0,VLOOKUP($J563,Ruimtegroepen[],3,FALSE)*VLOOKUP($L563,Vloersoorten[],3,FALSE)*VLOOKUP($X563,Frequenties[],3,FALSE)*VLOOKUP(#REF!,Locaties[],3,FALSE),0)</f>
        <v>0</v>
      </c>
      <c r="AA563" s="291">
        <f>Ruimtestaat[[#This Row],[Uitvoeringen weekend]]*Ruimtestaat[[#This Row],[Oppervlak (netto)]]</f>
        <v>0</v>
      </c>
      <c r="AB563" s="291">
        <f>IF(Z563&gt;0,Ruimtestaat[[#This Row],[Prest. (m2 /jaar) weekend]]/Ruimtestaat[[#This Row],[Norm (m2/uur) weekend]],0)</f>
        <v>0</v>
      </c>
      <c r="AC563" s="180">
        <f>Ruimtestaat[[#This Row],[uren / jaar weekend]]*Tariefsopbouw!$D$40</f>
        <v>0</v>
      </c>
      <c r="AD563" s="179">
        <f>Ruimtestaat[[#This Row],[Prest. (m2 /jaar) weekend]]+Ruimtestaat[[#This Row],[Prest. (m2 /jaar) werkdagen]]</f>
        <v>6900</v>
      </c>
      <c r="AE563" s="179">
        <f>Ruimtestaat[[#This Row],[uren / jaar weekend]]+Ruimtestaat[[#This Row],[uren / jaar werkdagen]]</f>
        <v>0</v>
      </c>
      <c r="AF563" s="174">
        <f>Ruimtestaat[[#This Row],[kosten / jaar weekend]]+Ruimtestaat[[#This Row],[kosten / jaar werkdagen]]</f>
        <v>0</v>
      </c>
      <c r="AG563" s="174"/>
      <c r="AH563" s="174" t="str">
        <f>IF(Ruimtestaat[[#This Row],[Frequentie werkdagen]]="","",_xlfn.CONCAT(Ruimtestaat[[#This Row],[Ruimte code]],"-",Ruimtestaat[[#This Row],[Frequentie werkdagen]]," ",Ruimtestaat[[#This Row],[Vloer code]]))</f>
        <v>6-5w L</v>
      </c>
      <c r="AI563" s="182" t="str">
        <f>_xlfn.IFNA(VLOOKUP($AH563,Programma!$F$3:$G$1101,2,0),"")</f>
        <v>_</v>
      </c>
      <c r="AJ563" s="182" t="str">
        <f>_xlfn.IFNA(VLOOKUP($AH563,Programma!$F$3:$H$1101,3,0),"")</f>
        <v>_</v>
      </c>
      <c r="AK563" s="182" t="str">
        <f>_xlfn.IFNA(VLOOKUP($AH563,Programma!$F$3:$I$1101,4,0),"")</f>
        <v>_</v>
      </c>
      <c r="AL563" s="182" t="str">
        <f>_xlfn.IFNA(VLOOKUP($AH563,Programma!$F$3:$J$1101,5,0),"")</f>
        <v>5w</v>
      </c>
      <c r="AM563" s="182" t="str">
        <f>_xlfn.IFNA(VLOOKUP($AH563,Programma!$F$3:$K$1101,6,0),"")</f>
        <v>_</v>
      </c>
      <c r="AN563" s="182" t="str">
        <f>_xlfn.IFNA(VLOOKUP($AH563,Programma!$F$3:$L$1101,7,0),"")</f>
        <v>_</v>
      </c>
      <c r="AO563" s="182" t="str">
        <f>_xlfn.IFNA(VLOOKUP($AH563,Programma!$F$3:$M$1101,8,0),"")</f>
        <v>_</v>
      </c>
      <c r="AP563" s="182" t="str">
        <f>_xlfn.IFNA(VLOOKUP($AH563,Programma!$F$3:$N$1101,9,0),"")</f>
        <v>_</v>
      </c>
      <c r="AQ563" s="182" t="str">
        <f>_xlfn.IFNA(VLOOKUP($AH563,Programma!$F$3:$O$1101,10,0),"")</f>
        <v>5w</v>
      </c>
      <c r="AR563" s="182" t="str">
        <f>_xlfn.IFNA(VLOOKUP($AH563,Programma!$F$3:$P$1101,11,0),"")</f>
        <v>5w</v>
      </c>
      <c r="AS563" s="182" t="str">
        <f>_xlfn.IFNA(VLOOKUP($AH563,Programma!$F$3:$Q$1101,12,0),"")</f>
        <v>1w</v>
      </c>
      <c r="AT563" s="182" t="str">
        <f>_xlfn.IFNA(VLOOKUP($AH563,Programma!$F$3:$R$1101,13,0),"")</f>
        <v>1w</v>
      </c>
      <c r="AU563" s="182" t="str">
        <f>_xlfn.IFNA(VLOOKUP($AH563,Programma!$F$3:$S$1101,14,0),"")</f>
        <v>1m</v>
      </c>
      <c r="AV563" s="182" t="str">
        <f>_xlfn.IFNA(VLOOKUP($AH563,Programma!$F$3:$T$1101,15,0),"")</f>
        <v>2j</v>
      </c>
      <c r="AW563" s="182" t="str">
        <f>_xlfn.IFNA(VLOOKUP($AH563,Programma!$F$3:$U$1101,16,0),"")</f>
        <v>1j</v>
      </c>
      <c r="AX563" s="182" t="str">
        <f>_xlfn.IFNA(VLOOKUP($AH563,Programma!$F$3:$V$1101,17,0),"")</f>
        <v>_</v>
      </c>
      <c r="AY563" s="182" t="str">
        <f>_xlfn.IFNA(VLOOKUP($AH563,Programma!$F$3:$W$1101,18,0),"")</f>
        <v>_</v>
      </c>
      <c r="AZ563" s="182" t="str">
        <f>_xlfn.IFNA(VLOOKUP($AH563,Programma!$F$3:$X$1101,19,0),"")</f>
        <v>_</v>
      </c>
      <c r="BA563" s="182" t="str">
        <f>_xlfn.IFNA(VLOOKUP($AH563,Programma!$F$3:$Y$1101,20,0),"")</f>
        <v>_</v>
      </c>
      <c r="BB563" s="182"/>
      <c r="BC563" s="174" t="str">
        <f>IF(Ruimtestaat[[#This Row],[Frequentie weekend]]="","",_xlfn.CONCAT(Ruimtestaat[[#This Row],[Ruimte code]],"-",Ruimtestaat[[#This Row],[Frequentie weekend]]," ",Ruimtestaat[[#This Row],[Vloer code]]))</f>
        <v/>
      </c>
      <c r="BD563" s="182" t="str">
        <f>_xlfn.IFNA(VLOOKUP($BC563,Programma!$F$3:$G$1101,2,0),"")</f>
        <v/>
      </c>
      <c r="BE563" s="182" t="str">
        <f>_xlfn.IFNA(VLOOKUP($BC563,Programma!$F$3:$H$1101,3,0),"")</f>
        <v/>
      </c>
      <c r="BF563" s="182" t="str">
        <f>_xlfn.IFNA(VLOOKUP($BC563,Programma!$F$3:$I$1101,4,0),"")</f>
        <v/>
      </c>
      <c r="BG563" s="182" t="str">
        <f>_xlfn.IFNA(VLOOKUP($BC563,Programma!$F$3:$J$1101,5,0),"")</f>
        <v/>
      </c>
      <c r="BH563" s="182" t="str">
        <f>_xlfn.IFNA(VLOOKUP($BC563,Programma!$F$3:$K$1101,6,0),"")</f>
        <v/>
      </c>
      <c r="BI563" s="182" t="str">
        <f>_xlfn.IFNA(VLOOKUP($BC563,Programma!$F$3:$L$1101,7,0),"")</f>
        <v/>
      </c>
      <c r="BJ563" s="182" t="str">
        <f>_xlfn.IFNA(VLOOKUP($BC563,Programma!$F$3:$M$1101,8,0),"")</f>
        <v/>
      </c>
      <c r="BK563" s="182" t="str">
        <f>_xlfn.IFNA(VLOOKUP($BC563,Programma!$F$3:$N$1101,9,0),"")</f>
        <v/>
      </c>
      <c r="BL563" s="182" t="str">
        <f>_xlfn.IFNA(VLOOKUP($BC563,Programma!$F$3:$O$1101,10,0),"")</f>
        <v/>
      </c>
      <c r="BM563" s="182" t="str">
        <f>_xlfn.IFNA(VLOOKUP($BC563,Programma!$F$3:$P$1101,11,0),"")</f>
        <v/>
      </c>
      <c r="BN563" s="182" t="str">
        <f>_xlfn.IFNA(VLOOKUP($BC563,Programma!$F$3:$Q$1101,12,0),"")</f>
        <v/>
      </c>
      <c r="BO563" s="182" t="str">
        <f>_xlfn.IFNA(VLOOKUP($BC563,Programma!$F$3:$R$1101,13,0),"")</f>
        <v/>
      </c>
      <c r="BP563" s="182" t="str">
        <f>_xlfn.IFNA(VLOOKUP($BC563,Programma!$F$3:$S$1101,14,0),"")</f>
        <v/>
      </c>
      <c r="BQ563" s="182" t="str">
        <f>_xlfn.IFNA(VLOOKUP($BC563,Programma!$F$3:$T$1101,15,0),"")</f>
        <v/>
      </c>
      <c r="BR563" s="182" t="str">
        <f>_xlfn.IFNA(VLOOKUP($BC563,Programma!$F$3:$U$1101,16,0),"")</f>
        <v/>
      </c>
      <c r="BS563" s="182" t="str">
        <f>_xlfn.IFNA(VLOOKUP($BC563,Programma!$F$3:$V$1101,17,0),"")</f>
        <v/>
      </c>
      <c r="BT563" s="182" t="str">
        <f>_xlfn.IFNA(VLOOKUP($BC563,Programma!$F$3:$W$1101,18,0),"")</f>
        <v/>
      </c>
      <c r="BU563" s="182" t="str">
        <f>_xlfn.IFNA(VLOOKUP($BC563,Programma!$F$3:$X$1101,19,0),"")</f>
        <v/>
      </c>
      <c r="BV563" s="182" t="str">
        <f>_xlfn.IFNA(VLOOKUP($BC563,Programma!$F$3:$Y$1101,20,0),"")</f>
        <v/>
      </c>
    </row>
    <row r="564" spans="1:74" ht="15" customHeight="1">
      <c r="A564" s="99">
        <v>16</v>
      </c>
      <c r="B564" s="176" t="str">
        <f>VLOOKUP(Ruimtestaat[[#This Row],[Code]],Locaties[[Code]:[Locatie]],2,FALSE)</f>
        <v>SBO Het Pontem (College)</v>
      </c>
      <c r="C564" s="176" t="str">
        <f>VLOOKUP(Ruimtestaat[[#This Row],[Code]],Locaties[[#All],[Code]:[Adres]],4,FALSE)</f>
        <v>Poolmansweg 245</v>
      </c>
      <c r="D564" s="176" t="str">
        <f>VLOOKUP(Ruimtestaat[[#This Row],[Code]],Locaties[[#All],[Code]:[Postcode]],5,FALSE)</f>
        <v>7545 LR</v>
      </c>
      <c r="E564" s="176" t="str">
        <f>VLOOKUP(Ruimtestaat[[#This Row],[Code]],Locaties[#All],6,FALSE)</f>
        <v>Enschede</v>
      </c>
      <c r="F564" s="183"/>
      <c r="G564" s="99" t="s">
        <v>1646</v>
      </c>
      <c r="H564" s="99" t="s">
        <v>1666</v>
      </c>
      <c r="I564" s="183" t="s">
        <v>1651</v>
      </c>
      <c r="J564" s="99">
        <v>16</v>
      </c>
      <c r="K564" s="183" t="str">
        <f>VLOOKUP(Ruimtestaat[[#This Row],[Ruimte code]],Ruimtegroepen[[#All],[Code]:[Ruimte omschrijving]],2,FALSE)</f>
        <v>Leslokalen</v>
      </c>
      <c r="L564" s="99" t="s">
        <v>100</v>
      </c>
      <c r="M564" s="99" t="s">
        <v>1697</v>
      </c>
      <c r="N564" s="177">
        <v>57.4</v>
      </c>
      <c r="O564" s="177"/>
      <c r="P564" s="178" t="str">
        <f>VLOOKUP(Ruimtestaat[[#This Row],[Ruimte code]],Ruimtegroepen[],4,FALSE)</f>
        <v>Le</v>
      </c>
      <c r="Q564" s="149">
        <v>40</v>
      </c>
      <c r="R564" s="149" t="s">
        <v>2</v>
      </c>
      <c r="S564" s="285">
        <f>IF(Q564&gt;0,IF(RIGHT(Ruimtestaat[[#This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4" s="286">
        <f>IF(S564&gt;0,VLOOKUP($J564,Ruimtegroepen[],3,FALSE)*VLOOKUP($L564,Vloersoorten[],3,FALSE)*VLOOKUP($R564,Frequenties[],3,FALSE)*VLOOKUP($A564,Locaties[],3,FALSE),0)</f>
        <v>0</v>
      </c>
      <c r="U564" s="287">
        <f>Ruimtestaat[[#This Row],[Uitvoeringen werkdagen]]*Ruimtestaat[[#This Row],[Oppervlak (netto)]]</f>
        <v>11480</v>
      </c>
      <c r="V564" s="288">
        <f>IF(T564&gt;0,Ruimtestaat[[#This Row],[Prest. (m2 /jaar) werkdagen]]/Ruimtestaat[[#This Row],[Norm (m2/uur) werkdagen]],0)</f>
        <v>0</v>
      </c>
      <c r="W564" s="289">
        <f>Ruimtestaat[[#This Row],[uren / jaar werkdagen]]*Tariefsopbouw!$E$35</f>
        <v>0</v>
      </c>
      <c r="X564" s="226"/>
      <c r="Y564" s="290">
        <f>IF(Ruimtestaat[[#This Row],[Frequentie weekend]]&gt;0,VALUE(LEFT(X564,1))*Q564,0)</f>
        <v>0</v>
      </c>
      <c r="Z564" s="287">
        <f>IF($Y564&gt;0,VLOOKUP($J564,Ruimtegroepen[],3,FALSE)*VLOOKUP($L564,Vloersoorten[],3,FALSE)*VLOOKUP($X564,Frequenties[],3,FALSE)*VLOOKUP(#REF!,Locaties[],3,FALSE),0)</f>
        <v>0</v>
      </c>
      <c r="AA564" s="291">
        <f>Ruimtestaat[[#This Row],[Uitvoeringen weekend]]*Ruimtestaat[[#This Row],[Oppervlak (netto)]]</f>
        <v>0</v>
      </c>
      <c r="AB564" s="291">
        <f>IF(Z564&gt;0,Ruimtestaat[[#This Row],[Prest. (m2 /jaar) weekend]]/Ruimtestaat[[#This Row],[Norm (m2/uur) weekend]],0)</f>
        <v>0</v>
      </c>
      <c r="AC564" s="180">
        <f>Ruimtestaat[[#This Row],[uren / jaar weekend]]*Tariefsopbouw!$D$40</f>
        <v>0</v>
      </c>
      <c r="AD564" s="179">
        <f>Ruimtestaat[[#This Row],[Prest. (m2 /jaar) weekend]]+Ruimtestaat[[#This Row],[Prest. (m2 /jaar) werkdagen]]</f>
        <v>11480</v>
      </c>
      <c r="AE564" s="179">
        <f>Ruimtestaat[[#This Row],[uren / jaar weekend]]+Ruimtestaat[[#This Row],[uren / jaar werkdagen]]</f>
        <v>0</v>
      </c>
      <c r="AF564" s="174">
        <f>Ruimtestaat[[#This Row],[kosten / jaar weekend]]+Ruimtestaat[[#This Row],[kosten / jaar werkdagen]]</f>
        <v>0</v>
      </c>
      <c r="AG564" s="174"/>
      <c r="AH564" s="174" t="str">
        <f>IF(Ruimtestaat[[#This Row],[Frequentie werkdagen]]="","",_xlfn.CONCAT(Ruimtestaat[[#This Row],[Ruimte code]],"-",Ruimtestaat[[#This Row],[Frequentie werkdagen]]," ",Ruimtestaat[[#This Row],[Vloer code]]))</f>
        <v>16-5w L</v>
      </c>
      <c r="AI564" s="182" t="str">
        <f>_xlfn.IFNA(VLOOKUP($AH564,Programma!$F$3:$G$1101,2,0),"")</f>
        <v>_</v>
      </c>
      <c r="AJ564" s="182" t="str">
        <f>_xlfn.IFNA(VLOOKUP($AH564,Programma!$F$3:$H$1101,3,0),"")</f>
        <v>_</v>
      </c>
      <c r="AK564" s="182" t="str">
        <f>_xlfn.IFNA(VLOOKUP($AH564,Programma!$F$3:$I$1101,4,0),"")</f>
        <v>4w</v>
      </c>
      <c r="AL564" s="182" t="str">
        <f>_xlfn.IFNA(VLOOKUP($AH564,Programma!$F$3:$J$1101,5,0),"")</f>
        <v>1w</v>
      </c>
      <c r="AM564" s="182" t="str">
        <f>_xlfn.IFNA(VLOOKUP($AH564,Programma!$F$3:$K$1101,6,0),"")</f>
        <v>_</v>
      </c>
      <c r="AN564" s="182" t="str">
        <f>_xlfn.IFNA(VLOOKUP($AH564,Programma!$F$3:$L$1101,7,0),"")</f>
        <v>_</v>
      </c>
      <c r="AO564" s="182" t="str">
        <f>_xlfn.IFNA(VLOOKUP($AH564,Programma!$F$3:$M$1101,8,0),"")</f>
        <v>_</v>
      </c>
      <c r="AP564" s="182" t="str">
        <f>_xlfn.IFNA(VLOOKUP($AH564,Programma!$F$3:$N$1101,9,0),"")</f>
        <v>_</v>
      </c>
      <c r="AQ564" s="182" t="str">
        <f>_xlfn.IFNA(VLOOKUP($AH564,Programma!$F$3:$O$1101,10,0),"")</f>
        <v>5w</v>
      </c>
      <c r="AR564" s="182" t="str">
        <f>_xlfn.IFNA(VLOOKUP($AH564,Programma!$F$3:$P$1101,11,0),"")</f>
        <v>5w</v>
      </c>
      <c r="AS564" s="182" t="str">
        <f>_xlfn.IFNA(VLOOKUP($AH564,Programma!$F$3:$Q$1101,12,0),"")</f>
        <v>1w</v>
      </c>
      <c r="AT564" s="182" t="str">
        <f>_xlfn.IFNA(VLOOKUP($AH564,Programma!$F$3:$R$1101,13,0),"")</f>
        <v>1w</v>
      </c>
      <c r="AU564" s="182" t="str">
        <f>_xlfn.IFNA(VLOOKUP($AH564,Programma!$F$3:$S$1101,14,0),"")</f>
        <v>1m</v>
      </c>
      <c r="AV564" s="182" t="str">
        <f>_xlfn.IFNA(VLOOKUP($AH564,Programma!$F$3:$T$1101,15,0),"")</f>
        <v>2j</v>
      </c>
      <c r="AW564" s="182" t="str">
        <f>_xlfn.IFNA(VLOOKUP($AH564,Programma!$F$3:$U$1101,16,0),"")</f>
        <v>1j</v>
      </c>
      <c r="AX564" s="182" t="str">
        <f>_xlfn.IFNA(VLOOKUP($AH564,Programma!$F$3:$V$1101,17,0),"")</f>
        <v>_</v>
      </c>
      <c r="AY564" s="182" t="str">
        <f>_xlfn.IFNA(VLOOKUP($AH564,Programma!$F$3:$W$1101,18,0),"")</f>
        <v>_</v>
      </c>
      <c r="AZ564" s="182" t="str">
        <f>_xlfn.IFNA(VLOOKUP($AH564,Programma!$F$3:$X$1101,19,0),"")</f>
        <v>_</v>
      </c>
      <c r="BA564" s="182" t="str">
        <f>_xlfn.IFNA(VLOOKUP($AH564,Programma!$F$3:$Y$1101,20,0),"")</f>
        <v>_</v>
      </c>
      <c r="BB564" s="182"/>
      <c r="BC564" s="174" t="str">
        <f>IF(Ruimtestaat[[#This Row],[Frequentie weekend]]="","",_xlfn.CONCAT(Ruimtestaat[[#This Row],[Ruimte code]],"-",Ruimtestaat[[#This Row],[Frequentie weekend]]," ",Ruimtestaat[[#This Row],[Vloer code]]))</f>
        <v/>
      </c>
      <c r="BD564" s="182" t="str">
        <f>_xlfn.IFNA(VLOOKUP($BC564,Programma!$F$3:$G$1101,2,0),"")</f>
        <v/>
      </c>
      <c r="BE564" s="182" t="str">
        <f>_xlfn.IFNA(VLOOKUP($BC564,Programma!$F$3:$H$1101,3,0),"")</f>
        <v/>
      </c>
      <c r="BF564" s="182" t="str">
        <f>_xlfn.IFNA(VLOOKUP($BC564,Programma!$F$3:$I$1101,4,0),"")</f>
        <v/>
      </c>
      <c r="BG564" s="182" t="str">
        <f>_xlfn.IFNA(VLOOKUP($BC564,Programma!$F$3:$J$1101,5,0),"")</f>
        <v/>
      </c>
      <c r="BH564" s="182" t="str">
        <f>_xlfn.IFNA(VLOOKUP($BC564,Programma!$F$3:$K$1101,6,0),"")</f>
        <v/>
      </c>
      <c r="BI564" s="182" t="str">
        <f>_xlfn.IFNA(VLOOKUP($BC564,Programma!$F$3:$L$1101,7,0),"")</f>
        <v/>
      </c>
      <c r="BJ564" s="182" t="str">
        <f>_xlfn.IFNA(VLOOKUP($BC564,Programma!$F$3:$M$1101,8,0),"")</f>
        <v/>
      </c>
      <c r="BK564" s="182" t="str">
        <f>_xlfn.IFNA(VLOOKUP($BC564,Programma!$F$3:$N$1101,9,0),"")</f>
        <v/>
      </c>
      <c r="BL564" s="182" t="str">
        <f>_xlfn.IFNA(VLOOKUP($BC564,Programma!$F$3:$O$1101,10,0),"")</f>
        <v/>
      </c>
      <c r="BM564" s="182" t="str">
        <f>_xlfn.IFNA(VLOOKUP($BC564,Programma!$F$3:$P$1101,11,0),"")</f>
        <v/>
      </c>
      <c r="BN564" s="182" t="str">
        <f>_xlfn.IFNA(VLOOKUP($BC564,Programma!$F$3:$Q$1101,12,0),"")</f>
        <v/>
      </c>
      <c r="BO564" s="182" t="str">
        <f>_xlfn.IFNA(VLOOKUP($BC564,Programma!$F$3:$R$1101,13,0),"")</f>
        <v/>
      </c>
      <c r="BP564" s="182" t="str">
        <f>_xlfn.IFNA(VLOOKUP($BC564,Programma!$F$3:$S$1101,14,0),"")</f>
        <v/>
      </c>
      <c r="BQ564" s="182" t="str">
        <f>_xlfn.IFNA(VLOOKUP($BC564,Programma!$F$3:$T$1101,15,0),"")</f>
        <v/>
      </c>
      <c r="BR564" s="182" t="str">
        <f>_xlfn.IFNA(VLOOKUP($BC564,Programma!$F$3:$U$1101,16,0),"")</f>
        <v/>
      </c>
      <c r="BS564" s="182" t="str">
        <f>_xlfn.IFNA(VLOOKUP($BC564,Programma!$F$3:$V$1101,17,0),"")</f>
        <v/>
      </c>
      <c r="BT564" s="182" t="str">
        <f>_xlfn.IFNA(VLOOKUP($BC564,Programma!$F$3:$W$1101,18,0),"")</f>
        <v/>
      </c>
      <c r="BU564" s="182" t="str">
        <f>_xlfn.IFNA(VLOOKUP($BC564,Programma!$F$3:$X$1101,19,0),"")</f>
        <v/>
      </c>
      <c r="BV564" s="182" t="str">
        <f>_xlfn.IFNA(VLOOKUP($BC564,Programma!$F$3:$Y$1101,20,0),"")</f>
        <v/>
      </c>
    </row>
    <row r="565" spans="1:74" ht="15" customHeight="1">
      <c r="A565" s="99">
        <v>16</v>
      </c>
      <c r="B565" s="176" t="str">
        <f>VLOOKUP(Ruimtestaat[[#This Row],[Code]],Locaties[[Code]:[Locatie]],2,FALSE)</f>
        <v>SBO Het Pontem (College)</v>
      </c>
      <c r="C565" s="176" t="str">
        <f>VLOOKUP(Ruimtestaat[[#This Row],[Code]],Locaties[[#All],[Code]:[Adres]],4,FALSE)</f>
        <v>Poolmansweg 245</v>
      </c>
      <c r="D565" s="176" t="str">
        <f>VLOOKUP(Ruimtestaat[[#This Row],[Code]],Locaties[[#All],[Code]:[Postcode]],5,FALSE)</f>
        <v>7545 LR</v>
      </c>
      <c r="E565" s="176" t="str">
        <f>VLOOKUP(Ruimtestaat[[#This Row],[Code]],Locaties[#All],6,FALSE)</f>
        <v>Enschede</v>
      </c>
      <c r="F565" s="183"/>
      <c r="G565" s="99" t="s">
        <v>1646</v>
      </c>
      <c r="H565" s="99" t="s">
        <v>1668</v>
      </c>
      <c r="I565" s="183" t="s">
        <v>1651</v>
      </c>
      <c r="J565" s="99">
        <v>16</v>
      </c>
      <c r="K565" s="183" t="str">
        <f>VLOOKUP(Ruimtestaat[[#This Row],[Ruimte code]],Ruimtegroepen[[#All],[Code]:[Ruimte omschrijving]],2,FALSE)</f>
        <v>Leslokalen</v>
      </c>
      <c r="L565" s="99" t="s">
        <v>100</v>
      </c>
      <c r="M565" s="99" t="s">
        <v>1697</v>
      </c>
      <c r="N565" s="177">
        <v>55.8</v>
      </c>
      <c r="O565" s="177"/>
      <c r="P565" s="178" t="str">
        <f>VLOOKUP(Ruimtestaat[[#This Row],[Ruimte code]],Ruimtegroepen[],4,FALSE)</f>
        <v>Le</v>
      </c>
      <c r="Q565" s="149">
        <v>40</v>
      </c>
      <c r="R565" s="149" t="s">
        <v>2</v>
      </c>
      <c r="S565" s="285">
        <f>IF(Q565&gt;0,IF(RIGHT(Ruimtestaat[[#This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5" s="286">
        <f>IF(S565&gt;0,VLOOKUP($J565,Ruimtegroepen[],3,FALSE)*VLOOKUP($L565,Vloersoorten[],3,FALSE)*VLOOKUP($R565,Frequenties[],3,FALSE)*VLOOKUP($A565,Locaties[],3,FALSE),0)</f>
        <v>0</v>
      </c>
      <c r="U565" s="287">
        <f>Ruimtestaat[[#This Row],[Uitvoeringen werkdagen]]*Ruimtestaat[[#This Row],[Oppervlak (netto)]]</f>
        <v>11160</v>
      </c>
      <c r="V565" s="288">
        <f>IF(T565&gt;0,Ruimtestaat[[#This Row],[Prest. (m2 /jaar) werkdagen]]/Ruimtestaat[[#This Row],[Norm (m2/uur) werkdagen]],0)</f>
        <v>0</v>
      </c>
      <c r="W565" s="289">
        <f>Ruimtestaat[[#This Row],[uren / jaar werkdagen]]*Tariefsopbouw!$E$35</f>
        <v>0</v>
      </c>
      <c r="X565" s="226"/>
      <c r="Y565" s="290">
        <f>IF(Ruimtestaat[[#This Row],[Frequentie weekend]]&gt;0,VALUE(LEFT(X565,1))*Q565,0)</f>
        <v>0</v>
      </c>
      <c r="Z565" s="287">
        <f>IF($Y565&gt;0,VLOOKUP($J565,Ruimtegroepen[],3,FALSE)*VLOOKUP($L565,Vloersoorten[],3,FALSE)*VLOOKUP($X565,Frequenties[],3,FALSE)*VLOOKUP(#REF!,Locaties[],3,FALSE),0)</f>
        <v>0</v>
      </c>
      <c r="AA565" s="291">
        <f>Ruimtestaat[[#This Row],[Uitvoeringen weekend]]*Ruimtestaat[[#This Row],[Oppervlak (netto)]]</f>
        <v>0</v>
      </c>
      <c r="AB565" s="291">
        <f>IF(Z565&gt;0,Ruimtestaat[[#This Row],[Prest. (m2 /jaar) weekend]]/Ruimtestaat[[#This Row],[Norm (m2/uur) weekend]],0)</f>
        <v>0</v>
      </c>
      <c r="AC565" s="180">
        <f>Ruimtestaat[[#This Row],[uren / jaar weekend]]*Tariefsopbouw!$D$40</f>
        <v>0</v>
      </c>
      <c r="AD565" s="179">
        <f>Ruimtestaat[[#This Row],[Prest. (m2 /jaar) weekend]]+Ruimtestaat[[#This Row],[Prest. (m2 /jaar) werkdagen]]</f>
        <v>11160</v>
      </c>
      <c r="AE565" s="179">
        <f>Ruimtestaat[[#This Row],[uren / jaar weekend]]+Ruimtestaat[[#This Row],[uren / jaar werkdagen]]</f>
        <v>0</v>
      </c>
      <c r="AF565" s="174">
        <f>Ruimtestaat[[#This Row],[kosten / jaar weekend]]+Ruimtestaat[[#This Row],[kosten / jaar werkdagen]]</f>
        <v>0</v>
      </c>
      <c r="AG565" s="174"/>
      <c r="AH565" s="174" t="str">
        <f>IF(Ruimtestaat[[#This Row],[Frequentie werkdagen]]="","",_xlfn.CONCAT(Ruimtestaat[[#This Row],[Ruimte code]],"-",Ruimtestaat[[#This Row],[Frequentie werkdagen]]," ",Ruimtestaat[[#This Row],[Vloer code]]))</f>
        <v>16-5w L</v>
      </c>
      <c r="AI565" s="182" t="str">
        <f>_xlfn.IFNA(VLOOKUP($AH565,Programma!$F$3:$G$1101,2,0),"")</f>
        <v>_</v>
      </c>
      <c r="AJ565" s="182" t="str">
        <f>_xlfn.IFNA(VLOOKUP($AH565,Programma!$F$3:$H$1101,3,0),"")</f>
        <v>_</v>
      </c>
      <c r="AK565" s="182" t="str">
        <f>_xlfn.IFNA(VLOOKUP($AH565,Programma!$F$3:$I$1101,4,0),"")</f>
        <v>4w</v>
      </c>
      <c r="AL565" s="182" t="str">
        <f>_xlfn.IFNA(VLOOKUP($AH565,Programma!$F$3:$J$1101,5,0),"")</f>
        <v>1w</v>
      </c>
      <c r="AM565" s="182" t="str">
        <f>_xlfn.IFNA(VLOOKUP($AH565,Programma!$F$3:$K$1101,6,0),"")</f>
        <v>_</v>
      </c>
      <c r="AN565" s="182" t="str">
        <f>_xlfn.IFNA(VLOOKUP($AH565,Programma!$F$3:$L$1101,7,0),"")</f>
        <v>_</v>
      </c>
      <c r="AO565" s="182" t="str">
        <f>_xlfn.IFNA(VLOOKUP($AH565,Programma!$F$3:$M$1101,8,0),"")</f>
        <v>_</v>
      </c>
      <c r="AP565" s="182" t="str">
        <f>_xlfn.IFNA(VLOOKUP($AH565,Programma!$F$3:$N$1101,9,0),"")</f>
        <v>_</v>
      </c>
      <c r="AQ565" s="182" t="str">
        <f>_xlfn.IFNA(VLOOKUP($AH565,Programma!$F$3:$O$1101,10,0),"")</f>
        <v>5w</v>
      </c>
      <c r="AR565" s="182" t="str">
        <f>_xlfn.IFNA(VLOOKUP($AH565,Programma!$F$3:$P$1101,11,0),"")</f>
        <v>5w</v>
      </c>
      <c r="AS565" s="182" t="str">
        <f>_xlfn.IFNA(VLOOKUP($AH565,Programma!$F$3:$Q$1101,12,0),"")</f>
        <v>1w</v>
      </c>
      <c r="AT565" s="182" t="str">
        <f>_xlfn.IFNA(VLOOKUP($AH565,Programma!$F$3:$R$1101,13,0),"")</f>
        <v>1w</v>
      </c>
      <c r="AU565" s="182" t="str">
        <f>_xlfn.IFNA(VLOOKUP($AH565,Programma!$F$3:$S$1101,14,0),"")</f>
        <v>1m</v>
      </c>
      <c r="AV565" s="182" t="str">
        <f>_xlfn.IFNA(VLOOKUP($AH565,Programma!$F$3:$T$1101,15,0),"")</f>
        <v>2j</v>
      </c>
      <c r="AW565" s="182" t="str">
        <f>_xlfn.IFNA(VLOOKUP($AH565,Programma!$F$3:$U$1101,16,0),"")</f>
        <v>1j</v>
      </c>
      <c r="AX565" s="182" t="str">
        <f>_xlfn.IFNA(VLOOKUP($AH565,Programma!$F$3:$V$1101,17,0),"")</f>
        <v>_</v>
      </c>
      <c r="AY565" s="182" t="str">
        <f>_xlfn.IFNA(VLOOKUP($AH565,Programma!$F$3:$W$1101,18,0),"")</f>
        <v>_</v>
      </c>
      <c r="AZ565" s="182" t="str">
        <f>_xlfn.IFNA(VLOOKUP($AH565,Programma!$F$3:$X$1101,19,0),"")</f>
        <v>_</v>
      </c>
      <c r="BA565" s="182" t="str">
        <f>_xlfn.IFNA(VLOOKUP($AH565,Programma!$F$3:$Y$1101,20,0),"")</f>
        <v>_</v>
      </c>
      <c r="BB565" s="182"/>
      <c r="BC565" s="174" t="str">
        <f>IF(Ruimtestaat[[#This Row],[Frequentie weekend]]="","",_xlfn.CONCAT(Ruimtestaat[[#This Row],[Ruimte code]],"-",Ruimtestaat[[#This Row],[Frequentie weekend]]," ",Ruimtestaat[[#This Row],[Vloer code]]))</f>
        <v/>
      </c>
      <c r="BD565" s="182" t="str">
        <f>_xlfn.IFNA(VLOOKUP($BC565,Programma!$F$3:$G$1101,2,0),"")</f>
        <v/>
      </c>
      <c r="BE565" s="182" t="str">
        <f>_xlfn.IFNA(VLOOKUP($BC565,Programma!$F$3:$H$1101,3,0),"")</f>
        <v/>
      </c>
      <c r="BF565" s="182" t="str">
        <f>_xlfn.IFNA(VLOOKUP($BC565,Programma!$F$3:$I$1101,4,0),"")</f>
        <v/>
      </c>
      <c r="BG565" s="182" t="str">
        <f>_xlfn.IFNA(VLOOKUP($BC565,Programma!$F$3:$J$1101,5,0),"")</f>
        <v/>
      </c>
      <c r="BH565" s="182" t="str">
        <f>_xlfn.IFNA(VLOOKUP($BC565,Programma!$F$3:$K$1101,6,0),"")</f>
        <v/>
      </c>
      <c r="BI565" s="182" t="str">
        <f>_xlfn.IFNA(VLOOKUP($BC565,Programma!$F$3:$L$1101,7,0),"")</f>
        <v/>
      </c>
      <c r="BJ565" s="182" t="str">
        <f>_xlfn.IFNA(VLOOKUP($BC565,Programma!$F$3:$M$1101,8,0),"")</f>
        <v/>
      </c>
      <c r="BK565" s="182" t="str">
        <f>_xlfn.IFNA(VLOOKUP($BC565,Programma!$F$3:$N$1101,9,0),"")</f>
        <v/>
      </c>
      <c r="BL565" s="182" t="str">
        <f>_xlfn.IFNA(VLOOKUP($BC565,Programma!$F$3:$O$1101,10,0),"")</f>
        <v/>
      </c>
      <c r="BM565" s="182" t="str">
        <f>_xlfn.IFNA(VLOOKUP($BC565,Programma!$F$3:$P$1101,11,0),"")</f>
        <v/>
      </c>
      <c r="BN565" s="182" t="str">
        <f>_xlfn.IFNA(VLOOKUP($BC565,Programma!$F$3:$Q$1101,12,0),"")</f>
        <v/>
      </c>
      <c r="BO565" s="182" t="str">
        <f>_xlfn.IFNA(VLOOKUP($BC565,Programma!$F$3:$R$1101,13,0),"")</f>
        <v/>
      </c>
      <c r="BP565" s="182" t="str">
        <f>_xlfn.IFNA(VLOOKUP($BC565,Programma!$F$3:$S$1101,14,0),"")</f>
        <v/>
      </c>
      <c r="BQ565" s="182" t="str">
        <f>_xlfn.IFNA(VLOOKUP($BC565,Programma!$F$3:$T$1101,15,0),"")</f>
        <v/>
      </c>
      <c r="BR565" s="182" t="str">
        <f>_xlfn.IFNA(VLOOKUP($BC565,Programma!$F$3:$U$1101,16,0),"")</f>
        <v/>
      </c>
      <c r="BS565" s="182" t="str">
        <f>_xlfn.IFNA(VLOOKUP($BC565,Programma!$F$3:$V$1101,17,0),"")</f>
        <v/>
      </c>
      <c r="BT565" s="182" t="str">
        <f>_xlfn.IFNA(VLOOKUP($BC565,Programma!$F$3:$W$1101,18,0),"")</f>
        <v/>
      </c>
      <c r="BU565" s="182" t="str">
        <f>_xlfn.IFNA(VLOOKUP($BC565,Programma!$F$3:$X$1101,19,0),"")</f>
        <v/>
      </c>
      <c r="BV565" s="182" t="str">
        <f>_xlfn.IFNA(VLOOKUP($BC565,Programma!$F$3:$Y$1101,20,0),"")</f>
        <v/>
      </c>
    </row>
    <row r="566" spans="1:74" ht="15" customHeight="1">
      <c r="A566" s="99">
        <v>16</v>
      </c>
      <c r="B566" s="176" t="str">
        <f>VLOOKUP(Ruimtestaat[[#This Row],[Code]],Locaties[[Code]:[Locatie]],2,FALSE)</f>
        <v>SBO Het Pontem (College)</v>
      </c>
      <c r="C566" s="176" t="str">
        <f>VLOOKUP(Ruimtestaat[[#This Row],[Code]],Locaties[[#All],[Code]:[Adres]],4,FALSE)</f>
        <v>Poolmansweg 245</v>
      </c>
      <c r="D566" s="176" t="str">
        <f>VLOOKUP(Ruimtestaat[[#This Row],[Code]],Locaties[[#All],[Code]:[Postcode]],5,FALSE)</f>
        <v>7545 LR</v>
      </c>
      <c r="E566" s="176" t="str">
        <f>VLOOKUP(Ruimtestaat[[#This Row],[Code]],Locaties[#All],6,FALSE)</f>
        <v>Enschede</v>
      </c>
      <c r="F566" s="183"/>
      <c r="G566" s="99" t="s">
        <v>1646</v>
      </c>
      <c r="H566" s="99" t="s">
        <v>1669</v>
      </c>
      <c r="I566" s="183" t="s">
        <v>1655</v>
      </c>
      <c r="J566" s="99">
        <v>5</v>
      </c>
      <c r="K566" s="183" t="str">
        <f>VLOOKUP(Ruimtestaat[[#This Row],[Ruimte code]],Ruimtegroepen[[#All],[Code]:[Ruimte omschrijving]],2,FALSE)</f>
        <v>Sanitair</v>
      </c>
      <c r="L566" s="99" t="s">
        <v>101</v>
      </c>
      <c r="M566" s="99" t="s">
        <v>1682</v>
      </c>
      <c r="N566" s="177">
        <v>11.1</v>
      </c>
      <c r="O566" s="177"/>
      <c r="P566" s="178" t="str">
        <f>VLOOKUP(Ruimtestaat[[#This Row],[Ruimte code]],Ruimtegroepen[],4,FALSE)</f>
        <v>Sa</v>
      </c>
      <c r="Q566" s="149">
        <v>40</v>
      </c>
      <c r="R566" s="149" t="s">
        <v>2</v>
      </c>
      <c r="S566" s="285">
        <f>IF(Q566&gt;0,IF(RIGHT(Ruimtestaat[[#This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6" s="286">
        <f>IF(S566&gt;0,VLOOKUP($J566,Ruimtegroepen[],3,FALSE)*VLOOKUP($L566,Vloersoorten[],3,FALSE)*VLOOKUP($R566,Frequenties[],3,FALSE)*VLOOKUP($A566,Locaties[],3,FALSE),0)</f>
        <v>0</v>
      </c>
      <c r="U566" s="287">
        <f>Ruimtestaat[[#This Row],[Uitvoeringen werkdagen]]*Ruimtestaat[[#This Row],[Oppervlak (netto)]]</f>
        <v>2220</v>
      </c>
      <c r="V566" s="288">
        <f>IF(T566&gt;0,Ruimtestaat[[#This Row],[Prest. (m2 /jaar) werkdagen]]/Ruimtestaat[[#This Row],[Norm (m2/uur) werkdagen]],0)</f>
        <v>0</v>
      </c>
      <c r="W566" s="289">
        <f>Ruimtestaat[[#This Row],[uren / jaar werkdagen]]*Tariefsopbouw!$E$35</f>
        <v>0</v>
      </c>
      <c r="X566" s="226"/>
      <c r="Y566" s="290">
        <f>IF(Ruimtestaat[[#This Row],[Frequentie weekend]]&gt;0,VALUE(LEFT(X566,1))*Q566,0)</f>
        <v>0</v>
      </c>
      <c r="Z566" s="287">
        <f>IF($Y566&gt;0,VLOOKUP($J566,Ruimtegroepen[],3,FALSE)*VLOOKUP($L566,Vloersoorten[],3,FALSE)*VLOOKUP($X566,Frequenties[],3,FALSE)*VLOOKUP(#REF!,Locaties[],3,FALSE),0)</f>
        <v>0</v>
      </c>
      <c r="AA566" s="291">
        <f>Ruimtestaat[[#This Row],[Uitvoeringen weekend]]*Ruimtestaat[[#This Row],[Oppervlak (netto)]]</f>
        <v>0</v>
      </c>
      <c r="AB566" s="291">
        <f>IF(Z566&gt;0,Ruimtestaat[[#This Row],[Prest. (m2 /jaar) weekend]]/Ruimtestaat[[#This Row],[Norm (m2/uur) weekend]],0)</f>
        <v>0</v>
      </c>
      <c r="AC566" s="180">
        <f>Ruimtestaat[[#This Row],[uren / jaar weekend]]*Tariefsopbouw!$D$40</f>
        <v>0</v>
      </c>
      <c r="AD566" s="179">
        <f>Ruimtestaat[[#This Row],[Prest. (m2 /jaar) weekend]]+Ruimtestaat[[#This Row],[Prest. (m2 /jaar) werkdagen]]</f>
        <v>2220</v>
      </c>
      <c r="AE566" s="179">
        <f>Ruimtestaat[[#This Row],[uren / jaar weekend]]+Ruimtestaat[[#This Row],[uren / jaar werkdagen]]</f>
        <v>0</v>
      </c>
      <c r="AF566" s="174">
        <f>Ruimtestaat[[#This Row],[kosten / jaar weekend]]+Ruimtestaat[[#This Row],[kosten / jaar werkdagen]]</f>
        <v>0</v>
      </c>
      <c r="AG566" s="174"/>
      <c r="AH566" s="174" t="str">
        <f>IF(Ruimtestaat[[#This Row],[Frequentie werkdagen]]="","",_xlfn.CONCAT(Ruimtestaat[[#This Row],[Ruimte code]],"-",Ruimtestaat[[#This Row],[Frequentie werkdagen]]," ",Ruimtestaat[[#This Row],[Vloer code]]))</f>
        <v>5-5w S</v>
      </c>
      <c r="AI566" s="182" t="str">
        <f>_xlfn.IFNA(VLOOKUP($AH566,Programma!$F$3:$G$1101,2,0),"")</f>
        <v>_</v>
      </c>
      <c r="AJ566" s="182" t="str">
        <f>_xlfn.IFNA(VLOOKUP($AH566,Programma!$F$3:$H$1101,3,0),"")</f>
        <v>_</v>
      </c>
      <c r="AK566" s="182" t="str">
        <f>_xlfn.IFNA(VLOOKUP($AH566,Programma!$F$3:$I$1101,4,0),"")</f>
        <v>_</v>
      </c>
      <c r="AL566" s="182" t="str">
        <f>_xlfn.IFNA(VLOOKUP($AH566,Programma!$F$3:$J$1101,5,0),"")</f>
        <v>4w</v>
      </c>
      <c r="AM566" s="182" t="str">
        <f>_xlfn.IFNA(VLOOKUP($AH566,Programma!$F$3:$K$1101,6,0),"")</f>
        <v>1w</v>
      </c>
      <c r="AN566" s="182" t="str">
        <f>_xlfn.IFNA(VLOOKUP($AH566,Programma!$F$3:$L$1101,7,0),"")</f>
        <v>_</v>
      </c>
      <c r="AO566" s="182" t="str">
        <f>_xlfn.IFNA(VLOOKUP($AH566,Programma!$F$3:$M$1101,8,0),"")</f>
        <v>_</v>
      </c>
      <c r="AP566" s="182" t="str">
        <f>_xlfn.IFNA(VLOOKUP($AH566,Programma!$F$3:$N$1101,9,0),"")</f>
        <v>_</v>
      </c>
      <c r="AQ566" s="182" t="str">
        <f>_xlfn.IFNA(VLOOKUP($AH566,Programma!$F$3:$O$1101,10,0),"")</f>
        <v>_</v>
      </c>
      <c r="AR566" s="182" t="str">
        <f>_xlfn.IFNA(VLOOKUP($AH566,Programma!$F$3:$P$1101,11,0),"")</f>
        <v>_</v>
      </c>
      <c r="AS566" s="182" t="str">
        <f>_xlfn.IFNA(VLOOKUP($AH566,Programma!$F$3:$Q$1101,12,0),"")</f>
        <v>_</v>
      </c>
      <c r="AT566" s="182" t="str">
        <f>_xlfn.IFNA(VLOOKUP($AH566,Programma!$F$3:$R$1101,13,0),"")</f>
        <v>_</v>
      </c>
      <c r="AU566" s="182" t="str">
        <f>_xlfn.IFNA(VLOOKUP($AH566,Programma!$F$3:$S$1101,14,0),"")</f>
        <v>_</v>
      </c>
      <c r="AV566" s="182" t="str">
        <f>_xlfn.IFNA(VLOOKUP($AH566,Programma!$F$3:$T$1101,15,0),"")</f>
        <v>_</v>
      </c>
      <c r="AW566" s="182" t="str">
        <f>_xlfn.IFNA(VLOOKUP($AH566,Programma!$F$3:$U$1101,16,0),"")</f>
        <v>_</v>
      </c>
      <c r="AX566" s="182" t="str">
        <f>_xlfn.IFNA(VLOOKUP($AH566,Programma!$F$3:$V$1101,17,0),"")</f>
        <v>_</v>
      </c>
      <c r="AY566" s="182" t="str">
        <f>_xlfn.IFNA(VLOOKUP($AH566,Programma!$F$3:$W$1101,18,0),"")</f>
        <v>4w</v>
      </c>
      <c r="AZ566" s="182" t="str">
        <f>_xlfn.IFNA(VLOOKUP($AH566,Programma!$F$3:$X$1101,19,0),"")</f>
        <v>1w</v>
      </c>
      <c r="BA566" s="182" t="str">
        <f>_xlfn.IFNA(VLOOKUP($AH566,Programma!$F$3:$Y$1101,20,0),"")</f>
        <v>_</v>
      </c>
      <c r="BB566" s="182"/>
      <c r="BC566" s="174" t="str">
        <f>IF(Ruimtestaat[[#This Row],[Frequentie weekend]]="","",_xlfn.CONCAT(Ruimtestaat[[#This Row],[Ruimte code]],"-",Ruimtestaat[[#This Row],[Frequentie weekend]]," ",Ruimtestaat[[#This Row],[Vloer code]]))</f>
        <v/>
      </c>
      <c r="BD566" s="182" t="str">
        <f>_xlfn.IFNA(VLOOKUP($BC566,Programma!$F$3:$G$1101,2,0),"")</f>
        <v/>
      </c>
      <c r="BE566" s="182" t="str">
        <f>_xlfn.IFNA(VLOOKUP($BC566,Programma!$F$3:$H$1101,3,0),"")</f>
        <v/>
      </c>
      <c r="BF566" s="182" t="str">
        <f>_xlfn.IFNA(VLOOKUP($BC566,Programma!$F$3:$I$1101,4,0),"")</f>
        <v/>
      </c>
      <c r="BG566" s="182" t="str">
        <f>_xlfn.IFNA(VLOOKUP($BC566,Programma!$F$3:$J$1101,5,0),"")</f>
        <v/>
      </c>
      <c r="BH566" s="182" t="str">
        <f>_xlfn.IFNA(VLOOKUP($BC566,Programma!$F$3:$K$1101,6,0),"")</f>
        <v/>
      </c>
      <c r="BI566" s="182" t="str">
        <f>_xlfn.IFNA(VLOOKUP($BC566,Programma!$F$3:$L$1101,7,0),"")</f>
        <v/>
      </c>
      <c r="BJ566" s="182" t="str">
        <f>_xlfn.IFNA(VLOOKUP($BC566,Programma!$F$3:$M$1101,8,0),"")</f>
        <v/>
      </c>
      <c r="BK566" s="182" t="str">
        <f>_xlfn.IFNA(VLOOKUP($BC566,Programma!$F$3:$N$1101,9,0),"")</f>
        <v/>
      </c>
      <c r="BL566" s="182" t="str">
        <f>_xlfn.IFNA(VLOOKUP($BC566,Programma!$F$3:$O$1101,10,0),"")</f>
        <v/>
      </c>
      <c r="BM566" s="182" t="str">
        <f>_xlfn.IFNA(VLOOKUP($BC566,Programma!$F$3:$P$1101,11,0),"")</f>
        <v/>
      </c>
      <c r="BN566" s="182" t="str">
        <f>_xlfn.IFNA(VLOOKUP($BC566,Programma!$F$3:$Q$1101,12,0),"")</f>
        <v/>
      </c>
      <c r="BO566" s="182" t="str">
        <f>_xlfn.IFNA(VLOOKUP($BC566,Programma!$F$3:$R$1101,13,0),"")</f>
        <v/>
      </c>
      <c r="BP566" s="182" t="str">
        <f>_xlfn.IFNA(VLOOKUP($BC566,Programma!$F$3:$S$1101,14,0),"")</f>
        <v/>
      </c>
      <c r="BQ566" s="182" t="str">
        <f>_xlfn.IFNA(VLOOKUP($BC566,Programma!$F$3:$T$1101,15,0),"")</f>
        <v/>
      </c>
      <c r="BR566" s="182" t="str">
        <f>_xlfn.IFNA(VLOOKUP($BC566,Programma!$F$3:$U$1101,16,0),"")</f>
        <v/>
      </c>
      <c r="BS566" s="182" t="str">
        <f>_xlfn.IFNA(VLOOKUP($BC566,Programma!$F$3:$V$1101,17,0),"")</f>
        <v/>
      </c>
      <c r="BT566" s="182" t="str">
        <f>_xlfn.IFNA(VLOOKUP($BC566,Programma!$F$3:$W$1101,18,0),"")</f>
        <v/>
      </c>
      <c r="BU566" s="182" t="str">
        <f>_xlfn.IFNA(VLOOKUP($BC566,Programma!$F$3:$X$1101,19,0),"")</f>
        <v/>
      </c>
      <c r="BV566" s="182" t="str">
        <f>_xlfn.IFNA(VLOOKUP($BC566,Programma!$F$3:$Y$1101,20,0),"")</f>
        <v/>
      </c>
    </row>
    <row r="567" spans="1:74" ht="15" customHeight="1">
      <c r="A567" s="99">
        <v>16</v>
      </c>
      <c r="B567" s="176" t="str">
        <f>VLOOKUP(Ruimtestaat[[#This Row],[Code]],Locaties[[Code]:[Locatie]],2,FALSE)</f>
        <v>SBO Het Pontem (College)</v>
      </c>
      <c r="C567" s="176" t="str">
        <f>VLOOKUP(Ruimtestaat[[#This Row],[Code]],Locaties[[#All],[Code]:[Adres]],4,FALSE)</f>
        <v>Poolmansweg 245</v>
      </c>
      <c r="D567" s="176" t="str">
        <f>VLOOKUP(Ruimtestaat[[#This Row],[Code]],Locaties[[#All],[Code]:[Postcode]],5,FALSE)</f>
        <v>7545 LR</v>
      </c>
      <c r="E567" s="176" t="str">
        <f>VLOOKUP(Ruimtestaat[[#This Row],[Code]],Locaties[#All],6,FALSE)</f>
        <v>Enschede</v>
      </c>
      <c r="F567" s="183"/>
      <c r="G567" s="99" t="s">
        <v>1646</v>
      </c>
      <c r="H567" s="99" t="s">
        <v>1670</v>
      </c>
      <c r="I567" s="183" t="s">
        <v>1679</v>
      </c>
      <c r="J567" s="99">
        <v>15</v>
      </c>
      <c r="K567" s="183" t="str">
        <f>VLOOKUP(Ruimtestaat[[#This Row],[Ruimte code]],Ruimtegroepen[[#All],[Code]:[Ruimte omschrijving]],2,FALSE)</f>
        <v>Keuken/pantry</v>
      </c>
      <c r="L567" s="99" t="s">
        <v>102</v>
      </c>
      <c r="M567" s="99" t="s">
        <v>120</v>
      </c>
      <c r="N567" s="177">
        <v>45.5</v>
      </c>
      <c r="O567" s="177"/>
      <c r="P567" s="178" t="str">
        <f>VLOOKUP(Ruimtestaat[[#This Row],[Ruimte code]],Ruimtegroepen[],4,FALSE)</f>
        <v>Ve</v>
      </c>
      <c r="Q567" s="149">
        <v>40</v>
      </c>
      <c r="R567" s="149" t="s">
        <v>2</v>
      </c>
      <c r="S567" s="285">
        <f>IF(Q567&gt;0,IF(RIGHT(Ruimtestaat[[#This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7" s="286">
        <f>IF(S567&gt;0,VLOOKUP($J567,Ruimtegroepen[],3,FALSE)*VLOOKUP($L567,Vloersoorten[],3,FALSE)*VLOOKUP($R567,Frequenties[],3,FALSE)*VLOOKUP($A567,Locaties[],3,FALSE),0)</f>
        <v>0</v>
      </c>
      <c r="U567" s="287">
        <f>Ruimtestaat[[#This Row],[Uitvoeringen werkdagen]]*Ruimtestaat[[#This Row],[Oppervlak (netto)]]</f>
        <v>9100</v>
      </c>
      <c r="V567" s="288">
        <f>IF(T567&gt;0,Ruimtestaat[[#This Row],[Prest. (m2 /jaar) werkdagen]]/Ruimtestaat[[#This Row],[Norm (m2/uur) werkdagen]],0)</f>
        <v>0</v>
      </c>
      <c r="W567" s="289">
        <f>Ruimtestaat[[#This Row],[uren / jaar werkdagen]]*Tariefsopbouw!$E$35</f>
        <v>0</v>
      </c>
      <c r="X567" s="226"/>
      <c r="Y567" s="290">
        <f>IF(Ruimtestaat[[#This Row],[Frequentie weekend]]&gt;0,VALUE(LEFT(X567,1))*Q567,0)</f>
        <v>0</v>
      </c>
      <c r="Z567" s="287">
        <f>IF($Y567&gt;0,VLOOKUP($J567,Ruimtegroepen[],3,FALSE)*VLOOKUP($L567,Vloersoorten[],3,FALSE)*VLOOKUP($X567,Frequenties[],3,FALSE)*VLOOKUP(#REF!,Locaties[],3,FALSE),0)</f>
        <v>0</v>
      </c>
      <c r="AA567" s="291">
        <f>Ruimtestaat[[#This Row],[Uitvoeringen weekend]]*Ruimtestaat[[#This Row],[Oppervlak (netto)]]</f>
        <v>0</v>
      </c>
      <c r="AB567" s="291">
        <f>IF(Z567&gt;0,Ruimtestaat[[#This Row],[Prest. (m2 /jaar) weekend]]/Ruimtestaat[[#This Row],[Norm (m2/uur) weekend]],0)</f>
        <v>0</v>
      </c>
      <c r="AC567" s="180">
        <f>Ruimtestaat[[#This Row],[uren / jaar weekend]]*Tariefsopbouw!$D$40</f>
        <v>0</v>
      </c>
      <c r="AD567" s="179">
        <f>Ruimtestaat[[#This Row],[Prest. (m2 /jaar) weekend]]+Ruimtestaat[[#This Row],[Prest. (m2 /jaar) werkdagen]]</f>
        <v>9100</v>
      </c>
      <c r="AE567" s="179">
        <f>Ruimtestaat[[#This Row],[uren / jaar weekend]]+Ruimtestaat[[#This Row],[uren / jaar werkdagen]]</f>
        <v>0</v>
      </c>
      <c r="AF567" s="174">
        <f>Ruimtestaat[[#This Row],[kosten / jaar weekend]]+Ruimtestaat[[#This Row],[kosten / jaar werkdagen]]</f>
        <v>0</v>
      </c>
      <c r="AG567" s="174"/>
      <c r="AH567" s="174" t="str">
        <f>IF(Ruimtestaat[[#This Row],[Frequentie werkdagen]]="","",_xlfn.CONCAT(Ruimtestaat[[#This Row],[Ruimte code]],"-",Ruimtestaat[[#This Row],[Frequentie werkdagen]]," ",Ruimtestaat[[#This Row],[Vloer code]]))</f>
        <v>15-5w P</v>
      </c>
      <c r="AI567" s="182" t="str">
        <f>_xlfn.IFNA(VLOOKUP($AH567,Programma!$F$3:$G$1101,2,0),"")</f>
        <v>_</v>
      </c>
      <c r="AJ567" s="182" t="str">
        <f>_xlfn.IFNA(VLOOKUP($AH567,Programma!$F$3:$H$1101,3,0),"")</f>
        <v>_</v>
      </c>
      <c r="AK567" s="182" t="str">
        <f>_xlfn.IFNA(VLOOKUP($AH567,Programma!$F$3:$I$1101,4,0),"")</f>
        <v>5w</v>
      </c>
      <c r="AL567" s="182" t="str">
        <f>_xlfn.IFNA(VLOOKUP($AH567,Programma!$F$3:$J$1101,5,0),"")</f>
        <v>_</v>
      </c>
      <c r="AM567" s="182" t="str">
        <f>_xlfn.IFNA(VLOOKUP($AH567,Programma!$F$3:$K$1101,6,0),"")</f>
        <v>5w</v>
      </c>
      <c r="AN567" s="182" t="str">
        <f>_xlfn.IFNA(VLOOKUP($AH567,Programma!$F$3:$L$1101,7,0),"")</f>
        <v>_</v>
      </c>
      <c r="AO567" s="182" t="str">
        <f>_xlfn.IFNA(VLOOKUP($AH567,Programma!$F$3:$M$1101,8,0),"")</f>
        <v>_</v>
      </c>
      <c r="AP567" s="182" t="str">
        <f>_xlfn.IFNA(VLOOKUP($AH567,Programma!$F$3:$N$1101,9,0),"")</f>
        <v>_</v>
      </c>
      <c r="AQ567" s="182" t="str">
        <f>_xlfn.IFNA(VLOOKUP($AH567,Programma!$F$3:$O$1101,10,0),"")</f>
        <v>5w</v>
      </c>
      <c r="AR567" s="182" t="str">
        <f>_xlfn.IFNA(VLOOKUP($AH567,Programma!$F$3:$P$1101,11,0),"")</f>
        <v>5w</v>
      </c>
      <c r="AS567" s="182" t="str">
        <f>_xlfn.IFNA(VLOOKUP($AH567,Programma!$F$3:$Q$1101,12,0),"")</f>
        <v>1w</v>
      </c>
      <c r="AT567" s="182" t="str">
        <f>_xlfn.IFNA(VLOOKUP($AH567,Programma!$F$3:$R$1101,13,0),"")</f>
        <v>1w</v>
      </c>
      <c r="AU567" s="182" t="str">
        <f>_xlfn.IFNA(VLOOKUP($AH567,Programma!$F$3:$S$1101,14,0),"")</f>
        <v>1m</v>
      </c>
      <c r="AV567" s="182" t="str">
        <f>_xlfn.IFNA(VLOOKUP($AH567,Programma!$F$3:$T$1101,15,0),"")</f>
        <v>2j</v>
      </c>
      <c r="AW567" s="182" t="str">
        <f>_xlfn.IFNA(VLOOKUP($AH567,Programma!$F$3:$U$1101,16,0),"")</f>
        <v>1j</v>
      </c>
      <c r="AX567" s="182" t="str">
        <f>_xlfn.IFNA(VLOOKUP($AH567,Programma!$F$3:$V$1101,17,0),"")</f>
        <v>_</v>
      </c>
      <c r="AY567" s="182" t="str">
        <f>_xlfn.IFNA(VLOOKUP($AH567,Programma!$F$3:$W$1101,18,0),"")</f>
        <v>_</v>
      </c>
      <c r="AZ567" s="182" t="str">
        <f>_xlfn.IFNA(VLOOKUP($AH567,Programma!$F$3:$X$1101,19,0),"")</f>
        <v>_</v>
      </c>
      <c r="BA567" s="182" t="str">
        <f>_xlfn.IFNA(VLOOKUP($AH567,Programma!$F$3:$Y$1101,20,0),"")</f>
        <v>_</v>
      </c>
      <c r="BB567" s="182"/>
      <c r="BC567" s="174" t="str">
        <f>IF(Ruimtestaat[[#This Row],[Frequentie weekend]]="","",_xlfn.CONCAT(Ruimtestaat[[#This Row],[Ruimte code]],"-",Ruimtestaat[[#This Row],[Frequentie weekend]]," ",Ruimtestaat[[#This Row],[Vloer code]]))</f>
        <v/>
      </c>
      <c r="BD567" s="182" t="str">
        <f>_xlfn.IFNA(VLOOKUP($BC567,Programma!$F$3:$G$1101,2,0),"")</f>
        <v/>
      </c>
      <c r="BE567" s="182" t="str">
        <f>_xlfn.IFNA(VLOOKUP($BC567,Programma!$F$3:$H$1101,3,0),"")</f>
        <v/>
      </c>
      <c r="BF567" s="182" t="str">
        <f>_xlfn.IFNA(VLOOKUP($BC567,Programma!$F$3:$I$1101,4,0),"")</f>
        <v/>
      </c>
      <c r="BG567" s="182" t="str">
        <f>_xlfn.IFNA(VLOOKUP($BC567,Programma!$F$3:$J$1101,5,0),"")</f>
        <v/>
      </c>
      <c r="BH567" s="182" t="str">
        <f>_xlfn.IFNA(VLOOKUP($BC567,Programma!$F$3:$K$1101,6,0),"")</f>
        <v/>
      </c>
      <c r="BI567" s="182" t="str">
        <f>_xlfn.IFNA(VLOOKUP($BC567,Programma!$F$3:$L$1101,7,0),"")</f>
        <v/>
      </c>
      <c r="BJ567" s="182" t="str">
        <f>_xlfn.IFNA(VLOOKUP($BC567,Programma!$F$3:$M$1101,8,0),"")</f>
        <v/>
      </c>
      <c r="BK567" s="182" t="str">
        <f>_xlfn.IFNA(VLOOKUP($BC567,Programma!$F$3:$N$1101,9,0),"")</f>
        <v/>
      </c>
      <c r="BL567" s="182" t="str">
        <f>_xlfn.IFNA(VLOOKUP($BC567,Programma!$F$3:$O$1101,10,0),"")</f>
        <v/>
      </c>
      <c r="BM567" s="182" t="str">
        <f>_xlfn.IFNA(VLOOKUP($BC567,Programma!$F$3:$P$1101,11,0),"")</f>
        <v/>
      </c>
      <c r="BN567" s="182" t="str">
        <f>_xlfn.IFNA(VLOOKUP($BC567,Programma!$F$3:$Q$1101,12,0),"")</f>
        <v/>
      </c>
      <c r="BO567" s="182" t="str">
        <f>_xlfn.IFNA(VLOOKUP($BC567,Programma!$F$3:$R$1101,13,0),"")</f>
        <v/>
      </c>
      <c r="BP567" s="182" t="str">
        <f>_xlfn.IFNA(VLOOKUP($BC567,Programma!$F$3:$S$1101,14,0),"")</f>
        <v/>
      </c>
      <c r="BQ567" s="182" t="str">
        <f>_xlfn.IFNA(VLOOKUP($BC567,Programma!$F$3:$T$1101,15,0),"")</f>
        <v/>
      </c>
      <c r="BR567" s="182" t="str">
        <f>_xlfn.IFNA(VLOOKUP($BC567,Programma!$F$3:$U$1101,16,0),"")</f>
        <v/>
      </c>
      <c r="BS567" s="182" t="str">
        <f>_xlfn.IFNA(VLOOKUP($BC567,Programma!$F$3:$V$1101,17,0),"")</f>
        <v/>
      </c>
      <c r="BT567" s="182" t="str">
        <f>_xlfn.IFNA(VLOOKUP($BC567,Programma!$F$3:$W$1101,18,0),"")</f>
        <v/>
      </c>
      <c r="BU567" s="182" t="str">
        <f>_xlfn.IFNA(VLOOKUP($BC567,Programma!$F$3:$X$1101,19,0),"")</f>
        <v/>
      </c>
      <c r="BV567" s="182" t="str">
        <f>_xlfn.IFNA(VLOOKUP($BC567,Programma!$F$3:$Y$1101,20,0),"")</f>
        <v/>
      </c>
    </row>
    <row r="568" spans="1:74" ht="15" customHeight="1">
      <c r="A568" s="99">
        <v>16</v>
      </c>
      <c r="B568" s="176" t="str">
        <f>VLOOKUP(Ruimtestaat[[#This Row],[Code]],Locaties[[Code]:[Locatie]],2,FALSE)</f>
        <v>SBO Het Pontem (College)</v>
      </c>
      <c r="C568" s="176" t="str">
        <f>VLOOKUP(Ruimtestaat[[#This Row],[Code]],Locaties[[#All],[Code]:[Adres]],4,FALSE)</f>
        <v>Poolmansweg 245</v>
      </c>
      <c r="D568" s="176" t="str">
        <f>VLOOKUP(Ruimtestaat[[#This Row],[Code]],Locaties[[#All],[Code]:[Postcode]],5,FALSE)</f>
        <v>7545 LR</v>
      </c>
      <c r="E568" s="176" t="str">
        <f>VLOOKUP(Ruimtestaat[[#This Row],[Code]],Locaties[#All],6,FALSE)</f>
        <v>Enschede</v>
      </c>
      <c r="F568" s="183"/>
      <c r="G568" s="99" t="s">
        <v>1646</v>
      </c>
      <c r="H568" s="99" t="s">
        <v>1671</v>
      </c>
      <c r="I568" s="183" t="s">
        <v>1677</v>
      </c>
      <c r="J568" s="99">
        <v>20</v>
      </c>
      <c r="K568" s="183" t="str">
        <f>VLOOKUP(Ruimtestaat[[#This Row],[Ruimte code]],Ruimtegroepen[[#All],[Code]:[Ruimte omschrijving]],2,FALSE)</f>
        <v>Niet in Onderhoud</v>
      </c>
      <c r="L568" s="99" t="s">
        <v>100</v>
      </c>
      <c r="M568" s="99" t="s">
        <v>1697</v>
      </c>
      <c r="N568" s="177"/>
      <c r="O568" s="177">
        <v>16.899999999999999</v>
      </c>
      <c r="P568" s="178">
        <f>VLOOKUP(Ruimtestaat[[#This Row],[Ruimte code]],Ruimtegroepen[],4,FALSE)</f>
        <v>0</v>
      </c>
      <c r="Q568" s="149"/>
      <c r="R568" s="149"/>
      <c r="S568" s="285">
        <f>IF(Q568&gt;0,IF(RIGHT(Ruimtestaat[[#This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68" s="286">
        <f>IF(S568&gt;0,VLOOKUP($J568,Ruimtegroepen[],3,FALSE)*VLOOKUP($L568,Vloersoorten[],3,FALSE)*VLOOKUP($R568,Frequenties[],3,FALSE)*VLOOKUP($A568,Locaties[],3,FALSE),0)</f>
        <v>0</v>
      </c>
      <c r="U568" s="287">
        <f>Ruimtestaat[[#This Row],[Uitvoeringen werkdagen]]*Ruimtestaat[[#This Row],[Oppervlak (netto)]]</f>
        <v>0</v>
      </c>
      <c r="V568" s="288">
        <f>IF(T568&gt;0,Ruimtestaat[[#This Row],[Prest. (m2 /jaar) werkdagen]]/Ruimtestaat[[#This Row],[Norm (m2/uur) werkdagen]],0)</f>
        <v>0</v>
      </c>
      <c r="W568" s="289">
        <f>Ruimtestaat[[#This Row],[uren / jaar werkdagen]]*Tariefsopbouw!$E$35</f>
        <v>0</v>
      </c>
      <c r="X568" s="226"/>
      <c r="Y568" s="290">
        <f>IF(Ruimtestaat[[#This Row],[Frequentie weekend]]&gt;0,VALUE(LEFT(X568,1))*Q568,0)</f>
        <v>0</v>
      </c>
      <c r="Z568" s="287">
        <f>IF($Y568&gt;0,VLOOKUP($J568,Ruimtegroepen[],3,FALSE)*VLOOKUP($L568,Vloersoorten[],3,FALSE)*VLOOKUP($X568,Frequenties[],3,FALSE)*VLOOKUP(#REF!,Locaties[],3,FALSE),0)</f>
        <v>0</v>
      </c>
      <c r="AA568" s="291">
        <f>Ruimtestaat[[#This Row],[Uitvoeringen weekend]]*Ruimtestaat[[#This Row],[Oppervlak (netto)]]</f>
        <v>0</v>
      </c>
      <c r="AB568" s="291">
        <f>IF(Z568&gt;0,Ruimtestaat[[#This Row],[Prest. (m2 /jaar) weekend]]/Ruimtestaat[[#This Row],[Norm (m2/uur) weekend]],0)</f>
        <v>0</v>
      </c>
      <c r="AC568" s="180">
        <f>Ruimtestaat[[#This Row],[uren / jaar weekend]]*Tariefsopbouw!$D$40</f>
        <v>0</v>
      </c>
      <c r="AD568" s="179">
        <f>Ruimtestaat[[#This Row],[Prest. (m2 /jaar) weekend]]+Ruimtestaat[[#This Row],[Prest. (m2 /jaar) werkdagen]]</f>
        <v>0</v>
      </c>
      <c r="AE568" s="179">
        <f>Ruimtestaat[[#This Row],[uren / jaar weekend]]+Ruimtestaat[[#This Row],[uren / jaar werkdagen]]</f>
        <v>0</v>
      </c>
      <c r="AF568" s="174">
        <f>Ruimtestaat[[#This Row],[kosten / jaar weekend]]+Ruimtestaat[[#This Row],[kosten / jaar werkdagen]]</f>
        <v>0</v>
      </c>
      <c r="AG568" s="174"/>
      <c r="AH568" s="174" t="str">
        <f>IF(Ruimtestaat[[#This Row],[Frequentie werkdagen]]="","",_xlfn.CONCAT(Ruimtestaat[[#This Row],[Ruimte code]],"-",Ruimtestaat[[#This Row],[Frequentie werkdagen]]," ",Ruimtestaat[[#This Row],[Vloer code]]))</f>
        <v/>
      </c>
      <c r="AI568" s="182" t="str">
        <f>_xlfn.IFNA(VLOOKUP($AH568,Programma!$F$3:$G$1101,2,0),"")</f>
        <v/>
      </c>
      <c r="AJ568" s="182" t="str">
        <f>_xlfn.IFNA(VLOOKUP($AH568,Programma!$F$3:$H$1101,3,0),"")</f>
        <v/>
      </c>
      <c r="AK568" s="182" t="str">
        <f>_xlfn.IFNA(VLOOKUP($AH568,Programma!$F$3:$I$1101,4,0),"")</f>
        <v/>
      </c>
      <c r="AL568" s="182" t="str">
        <f>_xlfn.IFNA(VLOOKUP($AH568,Programma!$F$3:$J$1101,5,0),"")</f>
        <v/>
      </c>
      <c r="AM568" s="182" t="str">
        <f>_xlfn.IFNA(VLOOKUP($AH568,Programma!$F$3:$K$1101,6,0),"")</f>
        <v/>
      </c>
      <c r="AN568" s="182" t="str">
        <f>_xlfn.IFNA(VLOOKUP($AH568,Programma!$F$3:$L$1101,7,0),"")</f>
        <v/>
      </c>
      <c r="AO568" s="182" t="str">
        <f>_xlfn.IFNA(VLOOKUP($AH568,Programma!$F$3:$M$1101,8,0),"")</f>
        <v/>
      </c>
      <c r="AP568" s="182" t="str">
        <f>_xlfn.IFNA(VLOOKUP($AH568,Programma!$F$3:$N$1101,9,0),"")</f>
        <v/>
      </c>
      <c r="AQ568" s="182" t="str">
        <f>_xlfn.IFNA(VLOOKUP($AH568,Programma!$F$3:$O$1101,10,0),"")</f>
        <v/>
      </c>
      <c r="AR568" s="182" t="str">
        <f>_xlfn.IFNA(VLOOKUP($AH568,Programma!$F$3:$P$1101,11,0),"")</f>
        <v/>
      </c>
      <c r="AS568" s="182" t="str">
        <f>_xlfn.IFNA(VLOOKUP($AH568,Programma!$F$3:$Q$1101,12,0),"")</f>
        <v/>
      </c>
      <c r="AT568" s="182" t="str">
        <f>_xlfn.IFNA(VLOOKUP($AH568,Programma!$F$3:$R$1101,13,0),"")</f>
        <v/>
      </c>
      <c r="AU568" s="182" t="str">
        <f>_xlfn.IFNA(VLOOKUP($AH568,Programma!$F$3:$S$1101,14,0),"")</f>
        <v/>
      </c>
      <c r="AV568" s="182" t="str">
        <f>_xlfn.IFNA(VLOOKUP($AH568,Programma!$F$3:$T$1101,15,0),"")</f>
        <v/>
      </c>
      <c r="AW568" s="182" t="str">
        <f>_xlfn.IFNA(VLOOKUP($AH568,Programma!$F$3:$U$1101,16,0),"")</f>
        <v/>
      </c>
      <c r="AX568" s="182" t="str">
        <f>_xlfn.IFNA(VLOOKUP($AH568,Programma!$F$3:$V$1101,17,0),"")</f>
        <v/>
      </c>
      <c r="AY568" s="182" t="str">
        <f>_xlfn.IFNA(VLOOKUP($AH568,Programma!$F$3:$W$1101,18,0),"")</f>
        <v/>
      </c>
      <c r="AZ568" s="182" t="str">
        <f>_xlfn.IFNA(VLOOKUP($AH568,Programma!$F$3:$X$1101,19,0),"")</f>
        <v/>
      </c>
      <c r="BA568" s="182" t="str">
        <f>_xlfn.IFNA(VLOOKUP($AH568,Programma!$F$3:$Y$1101,20,0),"")</f>
        <v/>
      </c>
      <c r="BB568" s="182"/>
      <c r="BC568" s="174" t="str">
        <f>IF(Ruimtestaat[[#This Row],[Frequentie weekend]]="","",_xlfn.CONCAT(Ruimtestaat[[#This Row],[Ruimte code]],"-",Ruimtestaat[[#This Row],[Frequentie weekend]]," ",Ruimtestaat[[#This Row],[Vloer code]]))</f>
        <v/>
      </c>
      <c r="BD568" s="182" t="str">
        <f>_xlfn.IFNA(VLOOKUP($BC568,Programma!$F$3:$G$1101,2,0),"")</f>
        <v/>
      </c>
      <c r="BE568" s="182" t="str">
        <f>_xlfn.IFNA(VLOOKUP($BC568,Programma!$F$3:$H$1101,3,0),"")</f>
        <v/>
      </c>
      <c r="BF568" s="182" t="str">
        <f>_xlfn.IFNA(VLOOKUP($BC568,Programma!$F$3:$I$1101,4,0),"")</f>
        <v/>
      </c>
      <c r="BG568" s="182" t="str">
        <f>_xlfn.IFNA(VLOOKUP($BC568,Programma!$F$3:$J$1101,5,0),"")</f>
        <v/>
      </c>
      <c r="BH568" s="182" t="str">
        <f>_xlfn.IFNA(VLOOKUP($BC568,Programma!$F$3:$K$1101,6,0),"")</f>
        <v/>
      </c>
      <c r="BI568" s="182" t="str">
        <f>_xlfn.IFNA(VLOOKUP($BC568,Programma!$F$3:$L$1101,7,0),"")</f>
        <v/>
      </c>
      <c r="BJ568" s="182" t="str">
        <f>_xlfn.IFNA(VLOOKUP($BC568,Programma!$F$3:$M$1101,8,0),"")</f>
        <v/>
      </c>
      <c r="BK568" s="182" t="str">
        <f>_xlfn.IFNA(VLOOKUP($BC568,Programma!$F$3:$N$1101,9,0),"")</f>
        <v/>
      </c>
      <c r="BL568" s="182" t="str">
        <f>_xlfn.IFNA(VLOOKUP($BC568,Programma!$F$3:$O$1101,10,0),"")</f>
        <v/>
      </c>
      <c r="BM568" s="182" t="str">
        <f>_xlfn.IFNA(VLOOKUP($BC568,Programma!$F$3:$P$1101,11,0),"")</f>
        <v/>
      </c>
      <c r="BN568" s="182" t="str">
        <f>_xlfn.IFNA(VLOOKUP($BC568,Programma!$F$3:$Q$1101,12,0),"")</f>
        <v/>
      </c>
      <c r="BO568" s="182" t="str">
        <f>_xlfn.IFNA(VLOOKUP($BC568,Programma!$F$3:$R$1101,13,0),"")</f>
        <v/>
      </c>
      <c r="BP568" s="182" t="str">
        <f>_xlfn.IFNA(VLOOKUP($BC568,Programma!$F$3:$S$1101,14,0),"")</f>
        <v/>
      </c>
      <c r="BQ568" s="182" t="str">
        <f>_xlfn.IFNA(VLOOKUP($BC568,Programma!$F$3:$T$1101,15,0),"")</f>
        <v/>
      </c>
      <c r="BR568" s="182" t="str">
        <f>_xlfn.IFNA(VLOOKUP($BC568,Programma!$F$3:$U$1101,16,0),"")</f>
        <v/>
      </c>
      <c r="BS568" s="182" t="str">
        <f>_xlfn.IFNA(VLOOKUP($BC568,Programma!$F$3:$V$1101,17,0),"")</f>
        <v/>
      </c>
      <c r="BT568" s="182" t="str">
        <f>_xlfn.IFNA(VLOOKUP($BC568,Programma!$F$3:$W$1101,18,0),"")</f>
        <v/>
      </c>
      <c r="BU568" s="182" t="str">
        <f>_xlfn.IFNA(VLOOKUP($BC568,Programma!$F$3:$X$1101,19,0),"")</f>
        <v/>
      </c>
      <c r="BV568" s="182" t="str">
        <f>_xlfn.IFNA(VLOOKUP($BC568,Programma!$F$3:$Y$1101,20,0),"")</f>
        <v/>
      </c>
    </row>
    <row r="569" spans="1:74" ht="15" customHeight="1">
      <c r="A569" s="99">
        <v>16</v>
      </c>
      <c r="B569" s="176" t="str">
        <f>VLOOKUP(Ruimtestaat[[#This Row],[Code]],Locaties[[Code]:[Locatie]],2,FALSE)</f>
        <v>SBO Het Pontem (College)</v>
      </c>
      <c r="C569" s="176" t="str">
        <f>VLOOKUP(Ruimtestaat[[#This Row],[Code]],Locaties[[#All],[Code]:[Adres]],4,FALSE)</f>
        <v>Poolmansweg 245</v>
      </c>
      <c r="D569" s="176" t="str">
        <f>VLOOKUP(Ruimtestaat[[#This Row],[Code]],Locaties[[#All],[Code]:[Postcode]],5,FALSE)</f>
        <v>7545 LR</v>
      </c>
      <c r="E569" s="176" t="str">
        <f>VLOOKUP(Ruimtestaat[[#This Row],[Code]],Locaties[#All],6,FALSE)</f>
        <v>Enschede</v>
      </c>
      <c r="F569" s="183"/>
      <c r="G569" s="99" t="s">
        <v>1646</v>
      </c>
      <c r="H569" s="99" t="s">
        <v>1672</v>
      </c>
      <c r="I569" s="183" t="s">
        <v>1681</v>
      </c>
      <c r="J569" s="99">
        <v>6</v>
      </c>
      <c r="K569" s="183" t="str">
        <f>VLOOKUP(Ruimtestaat[[#This Row],[Ruimte code]],Ruimtegroepen[[#All],[Code]:[Ruimte omschrijving]],2,FALSE)</f>
        <v>Gangen/hallen</v>
      </c>
      <c r="L569" s="99" t="s">
        <v>100</v>
      </c>
      <c r="M569" s="99" t="s">
        <v>1697</v>
      </c>
      <c r="N569" s="177">
        <v>274.5</v>
      </c>
      <c r="O569" s="177"/>
      <c r="P569" s="178" t="str">
        <f>VLOOKUP(Ruimtestaat[[#This Row],[Ruimte code]],Ruimtegroepen[],4,FALSE)</f>
        <v>Ve</v>
      </c>
      <c r="Q569" s="149">
        <v>40</v>
      </c>
      <c r="R569" s="149" t="s">
        <v>2</v>
      </c>
      <c r="S569" s="285">
        <f>IF(Q569&gt;0,IF(RIGHT(Ruimtestaat[[#This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9" s="286">
        <f>IF(S569&gt;0,VLOOKUP($J569,Ruimtegroepen[],3,FALSE)*VLOOKUP($L569,Vloersoorten[],3,FALSE)*VLOOKUP($R569,Frequenties[],3,FALSE)*VLOOKUP($A569,Locaties[],3,FALSE),0)</f>
        <v>0</v>
      </c>
      <c r="U569" s="287">
        <f>Ruimtestaat[[#This Row],[Uitvoeringen werkdagen]]*Ruimtestaat[[#This Row],[Oppervlak (netto)]]</f>
        <v>54900</v>
      </c>
      <c r="V569" s="288">
        <f>IF(T569&gt;0,Ruimtestaat[[#This Row],[Prest. (m2 /jaar) werkdagen]]/Ruimtestaat[[#This Row],[Norm (m2/uur) werkdagen]],0)</f>
        <v>0</v>
      </c>
      <c r="W569" s="289">
        <f>Ruimtestaat[[#This Row],[uren / jaar werkdagen]]*Tariefsopbouw!$E$35</f>
        <v>0</v>
      </c>
      <c r="X569" s="226"/>
      <c r="Y569" s="290">
        <f>IF(Ruimtestaat[[#This Row],[Frequentie weekend]]&gt;0,VALUE(LEFT(X569,1))*Q569,0)</f>
        <v>0</v>
      </c>
      <c r="Z569" s="287">
        <f>IF($Y569&gt;0,VLOOKUP($J569,Ruimtegroepen[],3,FALSE)*VLOOKUP($L569,Vloersoorten[],3,FALSE)*VLOOKUP($X569,Frequenties[],3,FALSE)*VLOOKUP(#REF!,Locaties[],3,FALSE),0)</f>
        <v>0</v>
      </c>
      <c r="AA569" s="291">
        <f>Ruimtestaat[[#This Row],[Uitvoeringen weekend]]*Ruimtestaat[[#This Row],[Oppervlak (netto)]]</f>
        <v>0</v>
      </c>
      <c r="AB569" s="291">
        <f>IF(Z569&gt;0,Ruimtestaat[[#This Row],[Prest. (m2 /jaar) weekend]]/Ruimtestaat[[#This Row],[Norm (m2/uur) weekend]],0)</f>
        <v>0</v>
      </c>
      <c r="AC569" s="180">
        <f>Ruimtestaat[[#This Row],[uren / jaar weekend]]*Tariefsopbouw!$D$40</f>
        <v>0</v>
      </c>
      <c r="AD569" s="179">
        <f>Ruimtestaat[[#This Row],[Prest. (m2 /jaar) weekend]]+Ruimtestaat[[#This Row],[Prest. (m2 /jaar) werkdagen]]</f>
        <v>54900</v>
      </c>
      <c r="AE569" s="179">
        <f>Ruimtestaat[[#This Row],[uren / jaar weekend]]+Ruimtestaat[[#This Row],[uren / jaar werkdagen]]</f>
        <v>0</v>
      </c>
      <c r="AF569" s="174">
        <f>Ruimtestaat[[#This Row],[kosten / jaar weekend]]+Ruimtestaat[[#This Row],[kosten / jaar werkdagen]]</f>
        <v>0</v>
      </c>
      <c r="AG569" s="174"/>
      <c r="AH569" s="174" t="str">
        <f>IF(Ruimtestaat[[#This Row],[Frequentie werkdagen]]="","",_xlfn.CONCAT(Ruimtestaat[[#This Row],[Ruimte code]],"-",Ruimtestaat[[#This Row],[Frequentie werkdagen]]," ",Ruimtestaat[[#This Row],[Vloer code]]))</f>
        <v>6-5w L</v>
      </c>
      <c r="AI569" s="182" t="str">
        <f>_xlfn.IFNA(VLOOKUP($AH569,Programma!$F$3:$G$1101,2,0),"")</f>
        <v>_</v>
      </c>
      <c r="AJ569" s="182" t="str">
        <f>_xlfn.IFNA(VLOOKUP($AH569,Programma!$F$3:$H$1101,3,0),"")</f>
        <v>_</v>
      </c>
      <c r="AK569" s="182" t="str">
        <f>_xlfn.IFNA(VLOOKUP($AH569,Programma!$F$3:$I$1101,4,0),"")</f>
        <v>_</v>
      </c>
      <c r="AL569" s="182" t="str">
        <f>_xlfn.IFNA(VLOOKUP($AH569,Programma!$F$3:$J$1101,5,0),"")</f>
        <v>5w</v>
      </c>
      <c r="AM569" s="182" t="str">
        <f>_xlfn.IFNA(VLOOKUP($AH569,Programma!$F$3:$K$1101,6,0),"")</f>
        <v>_</v>
      </c>
      <c r="AN569" s="182" t="str">
        <f>_xlfn.IFNA(VLOOKUP($AH569,Programma!$F$3:$L$1101,7,0),"")</f>
        <v>_</v>
      </c>
      <c r="AO569" s="182" t="str">
        <f>_xlfn.IFNA(VLOOKUP($AH569,Programma!$F$3:$M$1101,8,0),"")</f>
        <v>_</v>
      </c>
      <c r="AP569" s="182" t="str">
        <f>_xlfn.IFNA(VLOOKUP($AH569,Programma!$F$3:$N$1101,9,0),"")</f>
        <v>_</v>
      </c>
      <c r="AQ569" s="182" t="str">
        <f>_xlfn.IFNA(VLOOKUP($AH569,Programma!$F$3:$O$1101,10,0),"")</f>
        <v>5w</v>
      </c>
      <c r="AR569" s="182" t="str">
        <f>_xlfn.IFNA(VLOOKUP($AH569,Programma!$F$3:$P$1101,11,0),"")</f>
        <v>5w</v>
      </c>
      <c r="AS569" s="182" t="str">
        <f>_xlfn.IFNA(VLOOKUP($AH569,Programma!$F$3:$Q$1101,12,0),"")</f>
        <v>1w</v>
      </c>
      <c r="AT569" s="182" t="str">
        <f>_xlfn.IFNA(VLOOKUP($AH569,Programma!$F$3:$R$1101,13,0),"")</f>
        <v>1w</v>
      </c>
      <c r="AU569" s="182" t="str">
        <f>_xlfn.IFNA(VLOOKUP($AH569,Programma!$F$3:$S$1101,14,0),"")</f>
        <v>1m</v>
      </c>
      <c r="AV569" s="182" t="str">
        <f>_xlfn.IFNA(VLOOKUP($AH569,Programma!$F$3:$T$1101,15,0),"")</f>
        <v>2j</v>
      </c>
      <c r="AW569" s="182" t="str">
        <f>_xlfn.IFNA(VLOOKUP($AH569,Programma!$F$3:$U$1101,16,0),"")</f>
        <v>1j</v>
      </c>
      <c r="AX569" s="182" t="str">
        <f>_xlfn.IFNA(VLOOKUP($AH569,Programma!$F$3:$V$1101,17,0),"")</f>
        <v>_</v>
      </c>
      <c r="AY569" s="182" t="str">
        <f>_xlfn.IFNA(VLOOKUP($AH569,Programma!$F$3:$W$1101,18,0),"")</f>
        <v>_</v>
      </c>
      <c r="AZ569" s="182" t="str">
        <f>_xlfn.IFNA(VLOOKUP($AH569,Programma!$F$3:$X$1101,19,0),"")</f>
        <v>_</v>
      </c>
      <c r="BA569" s="182" t="str">
        <f>_xlfn.IFNA(VLOOKUP($AH569,Programma!$F$3:$Y$1101,20,0),"")</f>
        <v>_</v>
      </c>
      <c r="BB569" s="182"/>
      <c r="BC569" s="174" t="str">
        <f>IF(Ruimtestaat[[#This Row],[Frequentie weekend]]="","",_xlfn.CONCAT(Ruimtestaat[[#This Row],[Ruimte code]],"-",Ruimtestaat[[#This Row],[Frequentie weekend]]," ",Ruimtestaat[[#This Row],[Vloer code]]))</f>
        <v/>
      </c>
      <c r="BD569" s="182" t="str">
        <f>_xlfn.IFNA(VLOOKUP($BC569,Programma!$F$3:$G$1101,2,0),"")</f>
        <v/>
      </c>
      <c r="BE569" s="182" t="str">
        <f>_xlfn.IFNA(VLOOKUP($BC569,Programma!$F$3:$H$1101,3,0),"")</f>
        <v/>
      </c>
      <c r="BF569" s="182" t="str">
        <f>_xlfn.IFNA(VLOOKUP($BC569,Programma!$F$3:$I$1101,4,0),"")</f>
        <v/>
      </c>
      <c r="BG569" s="182" t="str">
        <f>_xlfn.IFNA(VLOOKUP($BC569,Programma!$F$3:$J$1101,5,0),"")</f>
        <v/>
      </c>
      <c r="BH569" s="182" t="str">
        <f>_xlfn.IFNA(VLOOKUP($BC569,Programma!$F$3:$K$1101,6,0),"")</f>
        <v/>
      </c>
      <c r="BI569" s="182" t="str">
        <f>_xlfn.IFNA(VLOOKUP($BC569,Programma!$F$3:$L$1101,7,0),"")</f>
        <v/>
      </c>
      <c r="BJ569" s="182" t="str">
        <f>_xlfn.IFNA(VLOOKUP($BC569,Programma!$F$3:$M$1101,8,0),"")</f>
        <v/>
      </c>
      <c r="BK569" s="182" t="str">
        <f>_xlfn.IFNA(VLOOKUP($BC569,Programma!$F$3:$N$1101,9,0),"")</f>
        <v/>
      </c>
      <c r="BL569" s="182" t="str">
        <f>_xlfn.IFNA(VLOOKUP($BC569,Programma!$F$3:$O$1101,10,0),"")</f>
        <v/>
      </c>
      <c r="BM569" s="182" t="str">
        <f>_xlfn.IFNA(VLOOKUP($BC569,Programma!$F$3:$P$1101,11,0),"")</f>
        <v/>
      </c>
      <c r="BN569" s="182" t="str">
        <f>_xlfn.IFNA(VLOOKUP($BC569,Programma!$F$3:$Q$1101,12,0),"")</f>
        <v/>
      </c>
      <c r="BO569" s="182" t="str">
        <f>_xlfn.IFNA(VLOOKUP($BC569,Programma!$F$3:$R$1101,13,0),"")</f>
        <v/>
      </c>
      <c r="BP569" s="182" t="str">
        <f>_xlfn.IFNA(VLOOKUP($BC569,Programma!$F$3:$S$1101,14,0),"")</f>
        <v/>
      </c>
      <c r="BQ569" s="182" t="str">
        <f>_xlfn.IFNA(VLOOKUP($BC569,Programma!$F$3:$T$1101,15,0),"")</f>
        <v/>
      </c>
      <c r="BR569" s="182" t="str">
        <f>_xlfn.IFNA(VLOOKUP($BC569,Programma!$F$3:$U$1101,16,0),"")</f>
        <v/>
      </c>
      <c r="BS569" s="182" t="str">
        <f>_xlfn.IFNA(VLOOKUP($BC569,Programma!$F$3:$V$1101,17,0),"")</f>
        <v/>
      </c>
      <c r="BT569" s="182" t="str">
        <f>_xlfn.IFNA(VLOOKUP($BC569,Programma!$F$3:$W$1101,18,0),"")</f>
        <v/>
      </c>
      <c r="BU569" s="182" t="str">
        <f>_xlfn.IFNA(VLOOKUP($BC569,Programma!$F$3:$X$1101,19,0),"")</f>
        <v/>
      </c>
      <c r="BV569" s="182" t="str">
        <f>_xlfn.IFNA(VLOOKUP($BC569,Programma!$F$3:$Y$1101,20,0),"")</f>
        <v/>
      </c>
    </row>
    <row r="570" spans="1:74" ht="15" customHeight="1">
      <c r="A570" s="99">
        <v>16</v>
      </c>
      <c r="B570" s="176" t="str">
        <f>VLOOKUP(Ruimtestaat[[#This Row],[Code]],Locaties[[Code]:[Locatie]],2,FALSE)</f>
        <v>SBO Het Pontem (College)</v>
      </c>
      <c r="C570" s="176" t="str">
        <f>VLOOKUP(Ruimtestaat[[#This Row],[Code]],Locaties[[#All],[Code]:[Adres]],4,FALSE)</f>
        <v>Poolmansweg 245</v>
      </c>
      <c r="D570" s="176" t="str">
        <f>VLOOKUP(Ruimtestaat[[#This Row],[Code]],Locaties[[#All],[Code]:[Postcode]],5,FALSE)</f>
        <v>7545 LR</v>
      </c>
      <c r="E570" s="176" t="str">
        <f>VLOOKUP(Ruimtestaat[[#This Row],[Code]],Locaties[#All],6,FALSE)</f>
        <v>Enschede</v>
      </c>
      <c r="F570" s="183"/>
      <c r="G570" s="99" t="s">
        <v>1646</v>
      </c>
      <c r="H570" s="99" t="s">
        <v>1673</v>
      </c>
      <c r="I570" s="183" t="s">
        <v>1818</v>
      </c>
      <c r="J570" s="99">
        <v>10</v>
      </c>
      <c r="K570" s="183" t="str">
        <f>VLOOKUP(Ruimtestaat[[#This Row],[Ruimte code]],Ruimtegroepen[[#All],[Code]:[Ruimte omschrijving]],2,FALSE)</f>
        <v>Trappenhuizen/lift</v>
      </c>
      <c r="L570" s="99" t="s">
        <v>100</v>
      </c>
      <c r="M570" s="99" t="s">
        <v>1697</v>
      </c>
      <c r="N570" s="177">
        <v>3.4</v>
      </c>
      <c r="O570" s="177"/>
      <c r="P570" s="178" t="str">
        <f>VLOOKUP(Ruimtestaat[[#This Row],[Ruimte code]],Ruimtegroepen[],4,FALSE)</f>
        <v>Ve</v>
      </c>
      <c r="Q570" s="149">
        <v>40</v>
      </c>
      <c r="R570" s="149" t="s">
        <v>2</v>
      </c>
      <c r="S570" s="285">
        <f>IF(Q570&gt;0,IF(RIGHT(Ruimtestaat[[#This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0" s="286">
        <f>IF(S570&gt;0,VLOOKUP($J570,Ruimtegroepen[],3,FALSE)*VLOOKUP($L570,Vloersoorten[],3,FALSE)*VLOOKUP($R570,Frequenties[],3,FALSE)*VLOOKUP($A570,Locaties[],3,FALSE),0)</f>
        <v>0</v>
      </c>
      <c r="U570" s="287">
        <f>Ruimtestaat[[#This Row],[Uitvoeringen werkdagen]]*Ruimtestaat[[#This Row],[Oppervlak (netto)]]</f>
        <v>680</v>
      </c>
      <c r="V570" s="288">
        <f>IF(T570&gt;0,Ruimtestaat[[#This Row],[Prest. (m2 /jaar) werkdagen]]/Ruimtestaat[[#This Row],[Norm (m2/uur) werkdagen]],0)</f>
        <v>0</v>
      </c>
      <c r="W570" s="289">
        <f>Ruimtestaat[[#This Row],[uren / jaar werkdagen]]*Tariefsopbouw!$E$35</f>
        <v>0</v>
      </c>
      <c r="X570" s="226"/>
      <c r="Y570" s="290">
        <f>IF(Ruimtestaat[[#This Row],[Frequentie weekend]]&gt;0,VALUE(LEFT(X570,1))*Q570,0)</f>
        <v>0</v>
      </c>
      <c r="Z570" s="287">
        <f>IF($Y570&gt;0,VLOOKUP($J570,Ruimtegroepen[],3,FALSE)*VLOOKUP($L570,Vloersoorten[],3,FALSE)*VLOOKUP($X570,Frequenties[],3,FALSE)*VLOOKUP(#REF!,Locaties[],3,FALSE),0)</f>
        <v>0</v>
      </c>
      <c r="AA570" s="291">
        <f>Ruimtestaat[[#This Row],[Uitvoeringen weekend]]*Ruimtestaat[[#This Row],[Oppervlak (netto)]]</f>
        <v>0</v>
      </c>
      <c r="AB570" s="291">
        <f>IF(Z570&gt;0,Ruimtestaat[[#This Row],[Prest. (m2 /jaar) weekend]]/Ruimtestaat[[#This Row],[Norm (m2/uur) weekend]],0)</f>
        <v>0</v>
      </c>
      <c r="AC570" s="180">
        <f>Ruimtestaat[[#This Row],[uren / jaar weekend]]*Tariefsopbouw!$D$40</f>
        <v>0</v>
      </c>
      <c r="AD570" s="179">
        <f>Ruimtestaat[[#This Row],[Prest. (m2 /jaar) weekend]]+Ruimtestaat[[#This Row],[Prest. (m2 /jaar) werkdagen]]</f>
        <v>680</v>
      </c>
      <c r="AE570" s="179">
        <f>Ruimtestaat[[#This Row],[uren / jaar weekend]]+Ruimtestaat[[#This Row],[uren / jaar werkdagen]]</f>
        <v>0</v>
      </c>
      <c r="AF570" s="174">
        <f>Ruimtestaat[[#This Row],[kosten / jaar weekend]]+Ruimtestaat[[#This Row],[kosten / jaar werkdagen]]</f>
        <v>0</v>
      </c>
      <c r="AG570" s="174"/>
      <c r="AH570" s="174" t="str">
        <f>IF(Ruimtestaat[[#This Row],[Frequentie werkdagen]]="","",_xlfn.CONCAT(Ruimtestaat[[#This Row],[Ruimte code]],"-",Ruimtestaat[[#This Row],[Frequentie werkdagen]]," ",Ruimtestaat[[#This Row],[Vloer code]]))</f>
        <v>10-5w L</v>
      </c>
      <c r="AI570" s="182" t="str">
        <f>_xlfn.IFNA(VLOOKUP($AH570,Programma!$F$3:$G$1101,2,0),"")</f>
        <v>_</v>
      </c>
      <c r="AJ570" s="182" t="str">
        <f>_xlfn.IFNA(VLOOKUP($AH570,Programma!$F$3:$H$1101,3,0),"")</f>
        <v>_</v>
      </c>
      <c r="AK570" s="182" t="str">
        <f>_xlfn.IFNA(VLOOKUP($AH570,Programma!$F$3:$I$1101,4,0),"")</f>
        <v>4w</v>
      </c>
      <c r="AL570" s="182" t="str">
        <f>_xlfn.IFNA(VLOOKUP($AH570,Programma!$F$3:$J$1101,5,0),"")</f>
        <v>1w</v>
      </c>
      <c r="AM570" s="182" t="str">
        <f>_xlfn.IFNA(VLOOKUP($AH570,Programma!$F$3:$K$1101,6,0),"")</f>
        <v>_</v>
      </c>
      <c r="AN570" s="182" t="str">
        <f>_xlfn.IFNA(VLOOKUP($AH570,Programma!$F$3:$L$1101,7,0),"")</f>
        <v>_</v>
      </c>
      <c r="AO570" s="182" t="str">
        <f>_xlfn.IFNA(VLOOKUP($AH570,Programma!$F$3:$M$1101,8,0),"")</f>
        <v>_</v>
      </c>
      <c r="AP570" s="182" t="str">
        <f>_xlfn.IFNA(VLOOKUP($AH570,Programma!$F$3:$N$1101,9,0),"")</f>
        <v>_</v>
      </c>
      <c r="AQ570" s="182" t="str">
        <f>_xlfn.IFNA(VLOOKUP($AH570,Programma!$F$3:$O$1101,10,0),"")</f>
        <v>5w</v>
      </c>
      <c r="AR570" s="182" t="str">
        <f>_xlfn.IFNA(VLOOKUP($AH570,Programma!$F$3:$P$1101,11,0),"")</f>
        <v>5w</v>
      </c>
      <c r="AS570" s="182" t="str">
        <f>_xlfn.IFNA(VLOOKUP($AH570,Programma!$F$3:$Q$1101,12,0),"")</f>
        <v>1w</v>
      </c>
      <c r="AT570" s="182" t="str">
        <f>_xlfn.IFNA(VLOOKUP($AH570,Programma!$F$3:$R$1101,13,0),"")</f>
        <v>1w</v>
      </c>
      <c r="AU570" s="182" t="str">
        <f>_xlfn.IFNA(VLOOKUP($AH570,Programma!$F$3:$S$1101,14,0),"")</f>
        <v>1m</v>
      </c>
      <c r="AV570" s="182" t="str">
        <f>_xlfn.IFNA(VLOOKUP($AH570,Programma!$F$3:$T$1101,15,0),"")</f>
        <v>2j</v>
      </c>
      <c r="AW570" s="182" t="str">
        <f>_xlfn.IFNA(VLOOKUP($AH570,Programma!$F$3:$U$1101,16,0),"")</f>
        <v>1j</v>
      </c>
      <c r="AX570" s="182" t="str">
        <f>_xlfn.IFNA(VLOOKUP($AH570,Programma!$F$3:$V$1101,17,0),"")</f>
        <v>_</v>
      </c>
      <c r="AY570" s="182" t="str">
        <f>_xlfn.IFNA(VLOOKUP($AH570,Programma!$F$3:$W$1101,18,0),"")</f>
        <v>_</v>
      </c>
      <c r="AZ570" s="182" t="str">
        <f>_xlfn.IFNA(VLOOKUP($AH570,Programma!$F$3:$X$1101,19,0),"")</f>
        <v>_</v>
      </c>
      <c r="BA570" s="182" t="str">
        <f>_xlfn.IFNA(VLOOKUP($AH570,Programma!$F$3:$Y$1101,20,0),"")</f>
        <v>_</v>
      </c>
      <c r="BB570" s="182"/>
      <c r="BC570" s="174" t="str">
        <f>IF(Ruimtestaat[[#This Row],[Frequentie weekend]]="","",_xlfn.CONCAT(Ruimtestaat[[#This Row],[Ruimte code]],"-",Ruimtestaat[[#This Row],[Frequentie weekend]]," ",Ruimtestaat[[#This Row],[Vloer code]]))</f>
        <v/>
      </c>
      <c r="BD570" s="182" t="str">
        <f>_xlfn.IFNA(VLOOKUP($BC570,Programma!$F$3:$G$1101,2,0),"")</f>
        <v/>
      </c>
      <c r="BE570" s="182" t="str">
        <f>_xlfn.IFNA(VLOOKUP($BC570,Programma!$F$3:$H$1101,3,0),"")</f>
        <v/>
      </c>
      <c r="BF570" s="182" t="str">
        <f>_xlfn.IFNA(VLOOKUP($BC570,Programma!$F$3:$I$1101,4,0),"")</f>
        <v/>
      </c>
      <c r="BG570" s="182" t="str">
        <f>_xlfn.IFNA(VLOOKUP($BC570,Programma!$F$3:$J$1101,5,0),"")</f>
        <v/>
      </c>
      <c r="BH570" s="182" t="str">
        <f>_xlfn.IFNA(VLOOKUP($BC570,Programma!$F$3:$K$1101,6,0),"")</f>
        <v/>
      </c>
      <c r="BI570" s="182" t="str">
        <f>_xlfn.IFNA(VLOOKUP($BC570,Programma!$F$3:$L$1101,7,0),"")</f>
        <v/>
      </c>
      <c r="BJ570" s="182" t="str">
        <f>_xlfn.IFNA(VLOOKUP($BC570,Programma!$F$3:$M$1101,8,0),"")</f>
        <v/>
      </c>
      <c r="BK570" s="182" t="str">
        <f>_xlfn.IFNA(VLOOKUP($BC570,Programma!$F$3:$N$1101,9,0),"")</f>
        <v/>
      </c>
      <c r="BL570" s="182" t="str">
        <f>_xlfn.IFNA(VLOOKUP($BC570,Programma!$F$3:$O$1101,10,0),"")</f>
        <v/>
      </c>
      <c r="BM570" s="182" t="str">
        <f>_xlfn.IFNA(VLOOKUP($BC570,Programma!$F$3:$P$1101,11,0),"")</f>
        <v/>
      </c>
      <c r="BN570" s="182" t="str">
        <f>_xlfn.IFNA(VLOOKUP($BC570,Programma!$F$3:$Q$1101,12,0),"")</f>
        <v/>
      </c>
      <c r="BO570" s="182" t="str">
        <f>_xlfn.IFNA(VLOOKUP($BC570,Programma!$F$3:$R$1101,13,0),"")</f>
        <v/>
      </c>
      <c r="BP570" s="182" t="str">
        <f>_xlfn.IFNA(VLOOKUP($BC570,Programma!$F$3:$S$1101,14,0),"")</f>
        <v/>
      </c>
      <c r="BQ570" s="182" t="str">
        <f>_xlfn.IFNA(VLOOKUP($BC570,Programma!$F$3:$T$1101,15,0),"")</f>
        <v/>
      </c>
      <c r="BR570" s="182" t="str">
        <f>_xlfn.IFNA(VLOOKUP($BC570,Programma!$F$3:$U$1101,16,0),"")</f>
        <v/>
      </c>
      <c r="BS570" s="182" t="str">
        <f>_xlfn.IFNA(VLOOKUP($BC570,Programma!$F$3:$V$1101,17,0),"")</f>
        <v/>
      </c>
      <c r="BT570" s="182" t="str">
        <f>_xlfn.IFNA(VLOOKUP($BC570,Programma!$F$3:$W$1101,18,0),"")</f>
        <v/>
      </c>
      <c r="BU570" s="182" t="str">
        <f>_xlfn.IFNA(VLOOKUP($BC570,Programma!$F$3:$X$1101,19,0),"")</f>
        <v/>
      </c>
      <c r="BV570" s="182" t="str">
        <f>_xlfn.IFNA(VLOOKUP($BC570,Programma!$F$3:$Y$1101,20,0),"")</f>
        <v/>
      </c>
    </row>
    <row r="571" spans="1:74" ht="15" customHeight="1">
      <c r="A571" s="99">
        <v>16</v>
      </c>
      <c r="B571" s="176" t="str">
        <f>VLOOKUP(Ruimtestaat[[#This Row],[Code]],Locaties[[Code]:[Locatie]],2,FALSE)</f>
        <v>SBO Het Pontem (College)</v>
      </c>
      <c r="C571" s="176" t="str">
        <f>VLOOKUP(Ruimtestaat[[#This Row],[Code]],Locaties[[#All],[Code]:[Adres]],4,FALSE)</f>
        <v>Poolmansweg 245</v>
      </c>
      <c r="D571" s="176" t="str">
        <f>VLOOKUP(Ruimtestaat[[#This Row],[Code]],Locaties[[#All],[Code]:[Postcode]],5,FALSE)</f>
        <v>7545 LR</v>
      </c>
      <c r="E571" s="176" t="str">
        <f>VLOOKUP(Ruimtestaat[[#This Row],[Code]],Locaties[#All],6,FALSE)</f>
        <v>Enschede</v>
      </c>
      <c r="F571" s="183"/>
      <c r="G571" s="99" t="s">
        <v>1646</v>
      </c>
      <c r="H571" s="99" t="s">
        <v>1674</v>
      </c>
      <c r="I571" s="183" t="s">
        <v>1702</v>
      </c>
      <c r="J571" s="99">
        <v>10</v>
      </c>
      <c r="K571" s="183" t="str">
        <f>VLOOKUP(Ruimtestaat[[#This Row],[Ruimte code]],Ruimtegroepen[[#All],[Code]:[Ruimte omschrijving]],2,FALSE)</f>
        <v>Trappenhuizen/lift</v>
      </c>
      <c r="L571" s="99" t="s">
        <v>101</v>
      </c>
      <c r="M571" s="99" t="s">
        <v>119</v>
      </c>
      <c r="N571" s="177">
        <v>12.7</v>
      </c>
      <c r="O571" s="177"/>
      <c r="P571" s="178" t="str">
        <f>VLOOKUP(Ruimtestaat[[#This Row],[Ruimte code]],Ruimtegroepen[],4,FALSE)</f>
        <v>Ve</v>
      </c>
      <c r="Q571" s="149">
        <v>40</v>
      </c>
      <c r="R571" s="149" t="s">
        <v>2</v>
      </c>
      <c r="S571" s="285">
        <f>IF(Q571&gt;0,IF(RIGHT(Ruimtestaat[[#This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1" s="286">
        <f>IF(S571&gt;0,VLOOKUP($J571,Ruimtegroepen[],3,FALSE)*VLOOKUP($L571,Vloersoorten[],3,FALSE)*VLOOKUP($R571,Frequenties[],3,FALSE)*VLOOKUP($A571,Locaties[],3,FALSE),0)</f>
        <v>0</v>
      </c>
      <c r="U571" s="287">
        <f>Ruimtestaat[[#This Row],[Uitvoeringen werkdagen]]*Ruimtestaat[[#This Row],[Oppervlak (netto)]]</f>
        <v>2540</v>
      </c>
      <c r="V571" s="288">
        <f>IF(T571&gt;0,Ruimtestaat[[#This Row],[Prest. (m2 /jaar) werkdagen]]/Ruimtestaat[[#This Row],[Norm (m2/uur) werkdagen]],0)</f>
        <v>0</v>
      </c>
      <c r="W571" s="289">
        <f>Ruimtestaat[[#This Row],[uren / jaar werkdagen]]*Tariefsopbouw!$E$35</f>
        <v>0</v>
      </c>
      <c r="X571" s="226"/>
      <c r="Y571" s="290">
        <f>IF(Ruimtestaat[[#This Row],[Frequentie weekend]]&gt;0,VALUE(LEFT(X571,1))*Q571,0)</f>
        <v>0</v>
      </c>
      <c r="Z571" s="287">
        <f>IF($Y571&gt;0,VLOOKUP($J571,Ruimtegroepen[],3,FALSE)*VLOOKUP($L571,Vloersoorten[],3,FALSE)*VLOOKUP($X571,Frequenties[],3,FALSE)*VLOOKUP(#REF!,Locaties[],3,FALSE),0)</f>
        <v>0</v>
      </c>
      <c r="AA571" s="291">
        <f>Ruimtestaat[[#This Row],[Uitvoeringen weekend]]*Ruimtestaat[[#This Row],[Oppervlak (netto)]]</f>
        <v>0</v>
      </c>
      <c r="AB571" s="291">
        <f>IF(Z571&gt;0,Ruimtestaat[[#This Row],[Prest. (m2 /jaar) weekend]]/Ruimtestaat[[#This Row],[Norm (m2/uur) weekend]],0)</f>
        <v>0</v>
      </c>
      <c r="AC571" s="180">
        <f>Ruimtestaat[[#This Row],[uren / jaar weekend]]*Tariefsopbouw!$D$40</f>
        <v>0</v>
      </c>
      <c r="AD571" s="179">
        <f>Ruimtestaat[[#This Row],[Prest. (m2 /jaar) weekend]]+Ruimtestaat[[#This Row],[Prest. (m2 /jaar) werkdagen]]</f>
        <v>2540</v>
      </c>
      <c r="AE571" s="179">
        <f>Ruimtestaat[[#This Row],[uren / jaar weekend]]+Ruimtestaat[[#This Row],[uren / jaar werkdagen]]</f>
        <v>0</v>
      </c>
      <c r="AF571" s="174">
        <f>Ruimtestaat[[#This Row],[kosten / jaar weekend]]+Ruimtestaat[[#This Row],[kosten / jaar werkdagen]]</f>
        <v>0</v>
      </c>
      <c r="AG571" s="174"/>
      <c r="AH571" s="174" t="str">
        <f>IF(Ruimtestaat[[#This Row],[Frequentie werkdagen]]="","",_xlfn.CONCAT(Ruimtestaat[[#This Row],[Ruimte code]],"-",Ruimtestaat[[#This Row],[Frequentie werkdagen]]," ",Ruimtestaat[[#This Row],[Vloer code]]))</f>
        <v>10-5w S</v>
      </c>
      <c r="AI571" s="182" t="str">
        <f>_xlfn.IFNA(VLOOKUP($AH571,Programma!$F$3:$G$1101,2,0),"")</f>
        <v>_</v>
      </c>
      <c r="AJ571" s="182" t="str">
        <f>_xlfn.IFNA(VLOOKUP($AH571,Programma!$F$3:$H$1101,3,0),"")</f>
        <v>_</v>
      </c>
      <c r="AK571" s="182" t="str">
        <f>_xlfn.IFNA(VLOOKUP($AH571,Programma!$F$3:$I$1101,4,0),"")</f>
        <v>4w</v>
      </c>
      <c r="AL571" s="182" t="str">
        <f>_xlfn.IFNA(VLOOKUP($AH571,Programma!$F$3:$J$1101,5,0),"")</f>
        <v>1w</v>
      </c>
      <c r="AM571" s="182" t="str">
        <f>_xlfn.IFNA(VLOOKUP($AH571,Programma!$F$3:$K$1101,6,0),"")</f>
        <v>4j</v>
      </c>
      <c r="AN571" s="182" t="str">
        <f>_xlfn.IFNA(VLOOKUP($AH571,Programma!$F$3:$L$1101,7,0),"")</f>
        <v>_</v>
      </c>
      <c r="AO571" s="182" t="str">
        <f>_xlfn.IFNA(VLOOKUP($AH571,Programma!$F$3:$M$1101,8,0),"")</f>
        <v>_</v>
      </c>
      <c r="AP571" s="182" t="str">
        <f>_xlfn.IFNA(VLOOKUP($AH571,Programma!$F$3:$N$1101,9,0),"")</f>
        <v>_</v>
      </c>
      <c r="AQ571" s="182" t="str">
        <f>_xlfn.IFNA(VLOOKUP($AH571,Programma!$F$3:$O$1101,10,0),"")</f>
        <v>5w</v>
      </c>
      <c r="AR571" s="182" t="str">
        <f>_xlfn.IFNA(VLOOKUP($AH571,Programma!$F$3:$P$1101,11,0),"")</f>
        <v>5w</v>
      </c>
      <c r="AS571" s="182" t="str">
        <f>_xlfn.IFNA(VLOOKUP($AH571,Programma!$F$3:$Q$1101,12,0),"")</f>
        <v>1w</v>
      </c>
      <c r="AT571" s="182" t="str">
        <f>_xlfn.IFNA(VLOOKUP($AH571,Programma!$F$3:$R$1101,13,0),"")</f>
        <v>1w</v>
      </c>
      <c r="AU571" s="182" t="str">
        <f>_xlfn.IFNA(VLOOKUP($AH571,Programma!$F$3:$S$1101,14,0),"")</f>
        <v>1m</v>
      </c>
      <c r="AV571" s="182" t="str">
        <f>_xlfn.IFNA(VLOOKUP($AH571,Programma!$F$3:$T$1101,15,0),"")</f>
        <v>2j</v>
      </c>
      <c r="AW571" s="182" t="str">
        <f>_xlfn.IFNA(VLOOKUP($AH571,Programma!$F$3:$U$1101,16,0),"")</f>
        <v>1j</v>
      </c>
      <c r="AX571" s="182" t="str">
        <f>_xlfn.IFNA(VLOOKUP($AH571,Programma!$F$3:$V$1101,17,0),"")</f>
        <v>_</v>
      </c>
      <c r="AY571" s="182" t="str">
        <f>_xlfn.IFNA(VLOOKUP($AH571,Programma!$F$3:$W$1101,18,0),"")</f>
        <v>_</v>
      </c>
      <c r="AZ571" s="182" t="str">
        <f>_xlfn.IFNA(VLOOKUP($AH571,Programma!$F$3:$X$1101,19,0),"")</f>
        <v>_</v>
      </c>
      <c r="BA571" s="182" t="str">
        <f>_xlfn.IFNA(VLOOKUP($AH571,Programma!$F$3:$Y$1101,20,0),"")</f>
        <v>_</v>
      </c>
      <c r="BB571" s="182"/>
      <c r="BC571" s="174" t="str">
        <f>IF(Ruimtestaat[[#This Row],[Frequentie weekend]]="","",_xlfn.CONCAT(Ruimtestaat[[#This Row],[Ruimte code]],"-",Ruimtestaat[[#This Row],[Frequentie weekend]]," ",Ruimtestaat[[#This Row],[Vloer code]]))</f>
        <v/>
      </c>
      <c r="BD571" s="182" t="str">
        <f>_xlfn.IFNA(VLOOKUP($BC571,Programma!$F$3:$G$1101,2,0),"")</f>
        <v/>
      </c>
      <c r="BE571" s="182" t="str">
        <f>_xlfn.IFNA(VLOOKUP($BC571,Programma!$F$3:$H$1101,3,0),"")</f>
        <v/>
      </c>
      <c r="BF571" s="182" t="str">
        <f>_xlfn.IFNA(VLOOKUP($BC571,Programma!$F$3:$I$1101,4,0),"")</f>
        <v/>
      </c>
      <c r="BG571" s="182" t="str">
        <f>_xlfn.IFNA(VLOOKUP($BC571,Programma!$F$3:$J$1101,5,0),"")</f>
        <v/>
      </c>
      <c r="BH571" s="182" t="str">
        <f>_xlfn.IFNA(VLOOKUP($BC571,Programma!$F$3:$K$1101,6,0),"")</f>
        <v/>
      </c>
      <c r="BI571" s="182" t="str">
        <f>_xlfn.IFNA(VLOOKUP($BC571,Programma!$F$3:$L$1101,7,0),"")</f>
        <v/>
      </c>
      <c r="BJ571" s="182" t="str">
        <f>_xlfn.IFNA(VLOOKUP($BC571,Programma!$F$3:$M$1101,8,0),"")</f>
        <v/>
      </c>
      <c r="BK571" s="182" t="str">
        <f>_xlfn.IFNA(VLOOKUP($BC571,Programma!$F$3:$N$1101,9,0),"")</f>
        <v/>
      </c>
      <c r="BL571" s="182" t="str">
        <f>_xlfn.IFNA(VLOOKUP($BC571,Programma!$F$3:$O$1101,10,0),"")</f>
        <v/>
      </c>
      <c r="BM571" s="182" t="str">
        <f>_xlfn.IFNA(VLOOKUP($BC571,Programma!$F$3:$P$1101,11,0),"")</f>
        <v/>
      </c>
      <c r="BN571" s="182" t="str">
        <f>_xlfn.IFNA(VLOOKUP($BC571,Programma!$F$3:$Q$1101,12,0),"")</f>
        <v/>
      </c>
      <c r="BO571" s="182" t="str">
        <f>_xlfn.IFNA(VLOOKUP($BC571,Programma!$F$3:$R$1101,13,0),"")</f>
        <v/>
      </c>
      <c r="BP571" s="182" t="str">
        <f>_xlfn.IFNA(VLOOKUP($BC571,Programma!$F$3:$S$1101,14,0),"")</f>
        <v/>
      </c>
      <c r="BQ571" s="182" t="str">
        <f>_xlfn.IFNA(VLOOKUP($BC571,Programma!$F$3:$T$1101,15,0),"")</f>
        <v/>
      </c>
      <c r="BR571" s="182" t="str">
        <f>_xlfn.IFNA(VLOOKUP($BC571,Programma!$F$3:$U$1101,16,0),"")</f>
        <v/>
      </c>
      <c r="BS571" s="182" t="str">
        <f>_xlfn.IFNA(VLOOKUP($BC571,Programma!$F$3:$V$1101,17,0),"")</f>
        <v/>
      </c>
      <c r="BT571" s="182" t="str">
        <f>_xlfn.IFNA(VLOOKUP($BC571,Programma!$F$3:$W$1101,18,0),"")</f>
        <v/>
      </c>
      <c r="BU571" s="182" t="str">
        <f>_xlfn.IFNA(VLOOKUP($BC571,Programma!$F$3:$X$1101,19,0),"")</f>
        <v/>
      </c>
      <c r="BV571" s="182" t="str">
        <f>_xlfn.IFNA(VLOOKUP($BC571,Programma!$F$3:$Y$1101,20,0),"")</f>
        <v/>
      </c>
    </row>
    <row r="572" spans="1:74" ht="15" customHeight="1">
      <c r="A572" s="99">
        <v>16</v>
      </c>
      <c r="B572" s="176" t="str">
        <f>VLOOKUP(Ruimtestaat[[#This Row],[Code]],Locaties[[Code]:[Locatie]],2,FALSE)</f>
        <v>SBO Het Pontem (College)</v>
      </c>
      <c r="C572" s="176" t="str">
        <f>VLOOKUP(Ruimtestaat[[#This Row],[Code]],Locaties[[#All],[Code]:[Adres]],4,FALSE)</f>
        <v>Poolmansweg 245</v>
      </c>
      <c r="D572" s="176" t="str">
        <f>VLOOKUP(Ruimtestaat[[#This Row],[Code]],Locaties[[#All],[Code]:[Postcode]],5,FALSE)</f>
        <v>7545 LR</v>
      </c>
      <c r="E572" s="176" t="str">
        <f>VLOOKUP(Ruimtestaat[[#This Row],[Code]],Locaties[#All],6,FALSE)</f>
        <v>Enschede</v>
      </c>
      <c r="F572" s="183"/>
      <c r="G572" s="99" t="s">
        <v>1714</v>
      </c>
      <c r="H572" s="99" t="s">
        <v>1715</v>
      </c>
      <c r="I572" s="183" t="s">
        <v>1818</v>
      </c>
      <c r="J572" s="99">
        <v>10</v>
      </c>
      <c r="K572" s="183" t="str">
        <f>VLOOKUP(Ruimtestaat[[#This Row],[Ruimte code]],Ruimtegroepen[[#All],[Code]:[Ruimte omschrijving]],2,FALSE)</f>
        <v>Trappenhuizen/lift</v>
      </c>
      <c r="L572" s="99" t="s">
        <v>100</v>
      </c>
      <c r="M572" s="99" t="s">
        <v>1697</v>
      </c>
      <c r="N572" s="177">
        <v>3.4</v>
      </c>
      <c r="O572" s="177"/>
      <c r="P572" s="178" t="str">
        <f>VLOOKUP(Ruimtestaat[[#This Row],[Ruimte code]],Ruimtegroepen[],4,FALSE)</f>
        <v>Ve</v>
      </c>
      <c r="Q572" s="149">
        <v>40</v>
      </c>
      <c r="R572" s="149" t="s">
        <v>2</v>
      </c>
      <c r="S572" s="285">
        <f>IF(Q572&gt;0,IF(RIGHT(Ruimtestaat[[#This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2" s="286">
        <f>IF(S572&gt;0,VLOOKUP($J572,Ruimtegroepen[],3,FALSE)*VLOOKUP($L572,Vloersoorten[],3,FALSE)*VLOOKUP($R572,Frequenties[],3,FALSE)*VLOOKUP($A572,Locaties[],3,FALSE),0)</f>
        <v>0</v>
      </c>
      <c r="U572" s="287">
        <f>Ruimtestaat[[#This Row],[Uitvoeringen werkdagen]]*Ruimtestaat[[#This Row],[Oppervlak (netto)]]</f>
        <v>680</v>
      </c>
      <c r="V572" s="288">
        <f>IF(T572&gt;0,Ruimtestaat[[#This Row],[Prest. (m2 /jaar) werkdagen]]/Ruimtestaat[[#This Row],[Norm (m2/uur) werkdagen]],0)</f>
        <v>0</v>
      </c>
      <c r="W572" s="289">
        <f>Ruimtestaat[[#This Row],[uren / jaar werkdagen]]*Tariefsopbouw!$E$35</f>
        <v>0</v>
      </c>
      <c r="X572" s="226"/>
      <c r="Y572" s="290">
        <f>IF(Ruimtestaat[[#This Row],[Frequentie weekend]]&gt;0,VALUE(LEFT(X572,1))*Q572,0)</f>
        <v>0</v>
      </c>
      <c r="Z572" s="287">
        <f>IF($Y572&gt;0,VLOOKUP($J572,Ruimtegroepen[],3,FALSE)*VLOOKUP($L572,Vloersoorten[],3,FALSE)*VLOOKUP($X572,Frequenties[],3,FALSE)*VLOOKUP(#REF!,Locaties[],3,FALSE),0)</f>
        <v>0</v>
      </c>
      <c r="AA572" s="291">
        <f>Ruimtestaat[[#This Row],[Uitvoeringen weekend]]*Ruimtestaat[[#This Row],[Oppervlak (netto)]]</f>
        <v>0</v>
      </c>
      <c r="AB572" s="291">
        <f>IF(Z572&gt;0,Ruimtestaat[[#This Row],[Prest. (m2 /jaar) weekend]]/Ruimtestaat[[#This Row],[Norm (m2/uur) weekend]],0)</f>
        <v>0</v>
      </c>
      <c r="AC572" s="180">
        <f>Ruimtestaat[[#This Row],[uren / jaar weekend]]*Tariefsopbouw!$D$40</f>
        <v>0</v>
      </c>
      <c r="AD572" s="179">
        <f>Ruimtestaat[[#This Row],[Prest. (m2 /jaar) weekend]]+Ruimtestaat[[#This Row],[Prest. (m2 /jaar) werkdagen]]</f>
        <v>680</v>
      </c>
      <c r="AE572" s="179">
        <f>Ruimtestaat[[#This Row],[uren / jaar weekend]]+Ruimtestaat[[#This Row],[uren / jaar werkdagen]]</f>
        <v>0</v>
      </c>
      <c r="AF572" s="174">
        <f>Ruimtestaat[[#This Row],[kosten / jaar weekend]]+Ruimtestaat[[#This Row],[kosten / jaar werkdagen]]</f>
        <v>0</v>
      </c>
      <c r="AG572" s="174"/>
      <c r="AH572" s="174" t="str">
        <f>IF(Ruimtestaat[[#This Row],[Frequentie werkdagen]]="","",_xlfn.CONCAT(Ruimtestaat[[#This Row],[Ruimte code]],"-",Ruimtestaat[[#This Row],[Frequentie werkdagen]]," ",Ruimtestaat[[#This Row],[Vloer code]]))</f>
        <v>10-5w L</v>
      </c>
      <c r="AI572" s="182" t="str">
        <f>_xlfn.IFNA(VLOOKUP($AH572,Programma!$F$3:$G$1101,2,0),"")</f>
        <v>_</v>
      </c>
      <c r="AJ572" s="182" t="str">
        <f>_xlfn.IFNA(VLOOKUP($AH572,Programma!$F$3:$H$1101,3,0),"")</f>
        <v>_</v>
      </c>
      <c r="AK572" s="182" t="str">
        <f>_xlfn.IFNA(VLOOKUP($AH572,Programma!$F$3:$I$1101,4,0),"")</f>
        <v>4w</v>
      </c>
      <c r="AL572" s="182" t="str">
        <f>_xlfn.IFNA(VLOOKUP($AH572,Programma!$F$3:$J$1101,5,0),"")</f>
        <v>1w</v>
      </c>
      <c r="AM572" s="182" t="str">
        <f>_xlfn.IFNA(VLOOKUP($AH572,Programma!$F$3:$K$1101,6,0),"")</f>
        <v>_</v>
      </c>
      <c r="AN572" s="182" t="str">
        <f>_xlfn.IFNA(VLOOKUP($AH572,Programma!$F$3:$L$1101,7,0),"")</f>
        <v>_</v>
      </c>
      <c r="AO572" s="182" t="str">
        <f>_xlfn.IFNA(VLOOKUP($AH572,Programma!$F$3:$M$1101,8,0),"")</f>
        <v>_</v>
      </c>
      <c r="AP572" s="182" t="str">
        <f>_xlfn.IFNA(VLOOKUP($AH572,Programma!$F$3:$N$1101,9,0),"")</f>
        <v>_</v>
      </c>
      <c r="AQ572" s="182" t="str">
        <f>_xlfn.IFNA(VLOOKUP($AH572,Programma!$F$3:$O$1101,10,0),"")</f>
        <v>5w</v>
      </c>
      <c r="AR572" s="182" t="str">
        <f>_xlfn.IFNA(VLOOKUP($AH572,Programma!$F$3:$P$1101,11,0),"")</f>
        <v>5w</v>
      </c>
      <c r="AS572" s="182" t="str">
        <f>_xlfn.IFNA(VLOOKUP($AH572,Programma!$F$3:$Q$1101,12,0),"")</f>
        <v>1w</v>
      </c>
      <c r="AT572" s="182" t="str">
        <f>_xlfn.IFNA(VLOOKUP($AH572,Programma!$F$3:$R$1101,13,0),"")</f>
        <v>1w</v>
      </c>
      <c r="AU572" s="182" t="str">
        <f>_xlfn.IFNA(VLOOKUP($AH572,Programma!$F$3:$S$1101,14,0),"")</f>
        <v>1m</v>
      </c>
      <c r="AV572" s="182" t="str">
        <f>_xlfn.IFNA(VLOOKUP($AH572,Programma!$F$3:$T$1101,15,0),"")</f>
        <v>2j</v>
      </c>
      <c r="AW572" s="182" t="str">
        <f>_xlfn.IFNA(VLOOKUP($AH572,Programma!$F$3:$U$1101,16,0),"")</f>
        <v>1j</v>
      </c>
      <c r="AX572" s="182" t="str">
        <f>_xlfn.IFNA(VLOOKUP($AH572,Programma!$F$3:$V$1101,17,0),"")</f>
        <v>_</v>
      </c>
      <c r="AY572" s="182" t="str">
        <f>_xlfn.IFNA(VLOOKUP($AH572,Programma!$F$3:$W$1101,18,0),"")</f>
        <v>_</v>
      </c>
      <c r="AZ572" s="182" t="str">
        <f>_xlfn.IFNA(VLOOKUP($AH572,Programma!$F$3:$X$1101,19,0),"")</f>
        <v>_</v>
      </c>
      <c r="BA572" s="182" t="str">
        <f>_xlfn.IFNA(VLOOKUP($AH572,Programma!$F$3:$Y$1101,20,0),"")</f>
        <v>_</v>
      </c>
      <c r="BB572" s="182"/>
      <c r="BC572" s="174" t="str">
        <f>IF(Ruimtestaat[[#This Row],[Frequentie weekend]]="","",_xlfn.CONCAT(Ruimtestaat[[#This Row],[Ruimte code]],"-",Ruimtestaat[[#This Row],[Frequentie weekend]]," ",Ruimtestaat[[#This Row],[Vloer code]]))</f>
        <v/>
      </c>
      <c r="BD572" s="182" t="str">
        <f>_xlfn.IFNA(VLOOKUP($BC572,Programma!$F$3:$G$1101,2,0),"")</f>
        <v/>
      </c>
      <c r="BE572" s="182" t="str">
        <f>_xlfn.IFNA(VLOOKUP($BC572,Programma!$F$3:$H$1101,3,0),"")</f>
        <v/>
      </c>
      <c r="BF572" s="182" t="str">
        <f>_xlfn.IFNA(VLOOKUP($BC572,Programma!$F$3:$I$1101,4,0),"")</f>
        <v/>
      </c>
      <c r="BG572" s="182" t="str">
        <f>_xlfn.IFNA(VLOOKUP($BC572,Programma!$F$3:$J$1101,5,0),"")</f>
        <v/>
      </c>
      <c r="BH572" s="182" t="str">
        <f>_xlfn.IFNA(VLOOKUP($BC572,Programma!$F$3:$K$1101,6,0),"")</f>
        <v/>
      </c>
      <c r="BI572" s="182" t="str">
        <f>_xlfn.IFNA(VLOOKUP($BC572,Programma!$F$3:$L$1101,7,0),"")</f>
        <v/>
      </c>
      <c r="BJ572" s="182" t="str">
        <f>_xlfn.IFNA(VLOOKUP($BC572,Programma!$F$3:$M$1101,8,0),"")</f>
        <v/>
      </c>
      <c r="BK572" s="182" t="str">
        <f>_xlfn.IFNA(VLOOKUP($BC572,Programma!$F$3:$N$1101,9,0),"")</f>
        <v/>
      </c>
      <c r="BL572" s="182" t="str">
        <f>_xlfn.IFNA(VLOOKUP($BC572,Programma!$F$3:$O$1101,10,0),"")</f>
        <v/>
      </c>
      <c r="BM572" s="182" t="str">
        <f>_xlfn.IFNA(VLOOKUP($BC572,Programma!$F$3:$P$1101,11,0),"")</f>
        <v/>
      </c>
      <c r="BN572" s="182" t="str">
        <f>_xlfn.IFNA(VLOOKUP($BC572,Programma!$F$3:$Q$1101,12,0),"")</f>
        <v/>
      </c>
      <c r="BO572" s="182" t="str">
        <f>_xlfn.IFNA(VLOOKUP($BC572,Programma!$F$3:$R$1101,13,0),"")</f>
        <v/>
      </c>
      <c r="BP572" s="182" t="str">
        <f>_xlfn.IFNA(VLOOKUP($BC572,Programma!$F$3:$S$1101,14,0),"")</f>
        <v/>
      </c>
      <c r="BQ572" s="182" t="str">
        <f>_xlfn.IFNA(VLOOKUP($BC572,Programma!$F$3:$T$1101,15,0),"")</f>
        <v/>
      </c>
      <c r="BR572" s="182" t="str">
        <f>_xlfn.IFNA(VLOOKUP($BC572,Programma!$F$3:$U$1101,16,0),"")</f>
        <v/>
      </c>
      <c r="BS572" s="182" t="str">
        <f>_xlfn.IFNA(VLOOKUP($BC572,Programma!$F$3:$V$1101,17,0),"")</f>
        <v/>
      </c>
      <c r="BT572" s="182" t="str">
        <f>_xlfn.IFNA(VLOOKUP($BC572,Programma!$F$3:$W$1101,18,0),"")</f>
        <v/>
      </c>
      <c r="BU572" s="182" t="str">
        <f>_xlfn.IFNA(VLOOKUP($BC572,Programma!$F$3:$X$1101,19,0),"")</f>
        <v/>
      </c>
      <c r="BV572" s="182" t="str">
        <f>_xlfn.IFNA(VLOOKUP($BC572,Programma!$F$3:$Y$1101,20,0),"")</f>
        <v/>
      </c>
    </row>
    <row r="573" spans="1:74" ht="15" customHeight="1">
      <c r="A573" s="99">
        <v>16</v>
      </c>
      <c r="B573" s="176" t="str">
        <f>VLOOKUP(Ruimtestaat[[#This Row],[Code]],Locaties[[Code]:[Locatie]],2,FALSE)</f>
        <v>SBO Het Pontem (College)</v>
      </c>
      <c r="C573" s="176" t="str">
        <f>VLOOKUP(Ruimtestaat[[#This Row],[Code]],Locaties[[#All],[Code]:[Adres]],4,FALSE)</f>
        <v>Poolmansweg 245</v>
      </c>
      <c r="D573" s="176" t="str">
        <f>VLOOKUP(Ruimtestaat[[#This Row],[Code]],Locaties[[#All],[Code]:[Postcode]],5,FALSE)</f>
        <v>7545 LR</v>
      </c>
      <c r="E573" s="176" t="str">
        <f>VLOOKUP(Ruimtestaat[[#This Row],[Code]],Locaties[#All],6,FALSE)</f>
        <v>Enschede</v>
      </c>
      <c r="F573" s="183"/>
      <c r="G573" s="99" t="s">
        <v>1714</v>
      </c>
      <c r="H573" s="99" t="s">
        <v>1716</v>
      </c>
      <c r="I573" s="183" t="s">
        <v>1649</v>
      </c>
      <c r="J573" s="99">
        <v>2</v>
      </c>
      <c r="K573" s="183" t="str">
        <f>VLOOKUP(Ruimtestaat[[#This Row],[Ruimte code]],Ruimtegroepen[[#All],[Code]:[Ruimte omschrijving]],2,FALSE)</f>
        <v>Kantoren</v>
      </c>
      <c r="L573" s="99" t="s">
        <v>99</v>
      </c>
      <c r="M573" s="99" t="s">
        <v>36</v>
      </c>
      <c r="N573" s="177">
        <v>16.399999999999999</v>
      </c>
      <c r="O573" s="177"/>
      <c r="P573" s="178" t="str">
        <f>VLOOKUP(Ruimtestaat[[#This Row],[Ruimte code]],Ruimtegroepen[],4,FALSE)</f>
        <v>Bu</v>
      </c>
      <c r="Q573" s="149">
        <v>40</v>
      </c>
      <c r="R573" s="149" t="s">
        <v>18</v>
      </c>
      <c r="S573" s="285">
        <f>IF(Q573&gt;0,IF(RIGHT(Ruimtestaat[[#This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73" s="286">
        <f>IF(S573&gt;0,VLOOKUP($J573,Ruimtegroepen[],3,FALSE)*VLOOKUP($L573,Vloersoorten[],3,FALSE)*VLOOKUP($R573,Frequenties[],3,FALSE)*VLOOKUP($A573,Locaties[],3,FALSE),0)</f>
        <v>0</v>
      </c>
      <c r="U573" s="287">
        <f>Ruimtestaat[[#This Row],[Uitvoeringen werkdagen]]*Ruimtestaat[[#This Row],[Oppervlak (netto)]]</f>
        <v>1967.9999999999998</v>
      </c>
      <c r="V573" s="288">
        <f>IF(T573&gt;0,Ruimtestaat[[#This Row],[Prest. (m2 /jaar) werkdagen]]/Ruimtestaat[[#This Row],[Norm (m2/uur) werkdagen]],0)</f>
        <v>0</v>
      </c>
      <c r="W573" s="289">
        <f>Ruimtestaat[[#This Row],[uren / jaar werkdagen]]*Tariefsopbouw!$E$35</f>
        <v>0</v>
      </c>
      <c r="X573" s="226"/>
      <c r="Y573" s="290">
        <f>IF(Ruimtestaat[[#This Row],[Frequentie weekend]]&gt;0,VALUE(LEFT(X573,1))*Q573,0)</f>
        <v>0</v>
      </c>
      <c r="Z573" s="287">
        <f>IF($Y573&gt;0,VLOOKUP($J573,Ruimtegroepen[],3,FALSE)*VLOOKUP($L573,Vloersoorten[],3,FALSE)*VLOOKUP($X573,Frequenties[],3,FALSE)*VLOOKUP(#REF!,Locaties[],3,FALSE),0)</f>
        <v>0</v>
      </c>
      <c r="AA573" s="291">
        <f>Ruimtestaat[[#This Row],[Uitvoeringen weekend]]*Ruimtestaat[[#This Row],[Oppervlak (netto)]]</f>
        <v>0</v>
      </c>
      <c r="AB573" s="291">
        <f>IF(Z573&gt;0,Ruimtestaat[[#This Row],[Prest. (m2 /jaar) weekend]]/Ruimtestaat[[#This Row],[Norm (m2/uur) weekend]],0)</f>
        <v>0</v>
      </c>
      <c r="AC573" s="180">
        <f>Ruimtestaat[[#This Row],[uren / jaar weekend]]*Tariefsopbouw!$D$40</f>
        <v>0</v>
      </c>
      <c r="AD573" s="179">
        <f>Ruimtestaat[[#This Row],[Prest. (m2 /jaar) weekend]]+Ruimtestaat[[#This Row],[Prest. (m2 /jaar) werkdagen]]</f>
        <v>1967.9999999999998</v>
      </c>
      <c r="AE573" s="179">
        <f>Ruimtestaat[[#This Row],[uren / jaar weekend]]+Ruimtestaat[[#This Row],[uren / jaar werkdagen]]</f>
        <v>0</v>
      </c>
      <c r="AF573" s="174">
        <f>Ruimtestaat[[#This Row],[kosten / jaar weekend]]+Ruimtestaat[[#This Row],[kosten / jaar werkdagen]]</f>
        <v>0</v>
      </c>
      <c r="AG573" s="174"/>
      <c r="AH573" s="174" t="str">
        <f>IF(Ruimtestaat[[#This Row],[Frequentie werkdagen]]="","",_xlfn.CONCAT(Ruimtestaat[[#This Row],[Ruimte code]],"-",Ruimtestaat[[#This Row],[Frequentie werkdagen]]," ",Ruimtestaat[[#This Row],[Vloer code]]))</f>
        <v>2-3w T</v>
      </c>
      <c r="AI573" s="182" t="str">
        <f>_xlfn.IFNA(VLOOKUP($AH573,Programma!$F$3:$G$1101,2,0),"")</f>
        <v>2w</v>
      </c>
      <c r="AJ573" s="182" t="str">
        <f>_xlfn.IFNA(VLOOKUP($AH573,Programma!$F$3:$H$1101,3,0),"")</f>
        <v>1w</v>
      </c>
      <c r="AK573" s="182" t="str">
        <f>_xlfn.IFNA(VLOOKUP($AH573,Programma!$F$3:$I$1101,4,0),"")</f>
        <v>_</v>
      </c>
      <c r="AL573" s="182" t="str">
        <f>_xlfn.IFNA(VLOOKUP($AH573,Programma!$F$3:$J$1101,5,0),"")</f>
        <v>_</v>
      </c>
      <c r="AM573" s="182" t="str">
        <f>_xlfn.IFNA(VLOOKUP($AH573,Programma!$F$3:$K$1101,6,0),"")</f>
        <v>_</v>
      </c>
      <c r="AN573" s="182" t="str">
        <f>_xlfn.IFNA(VLOOKUP($AH573,Programma!$F$3:$L$1101,7,0),"")</f>
        <v>_</v>
      </c>
      <c r="AO573" s="182" t="str">
        <f>_xlfn.IFNA(VLOOKUP($AH573,Programma!$F$3:$M$1101,8,0),"")</f>
        <v>_</v>
      </c>
      <c r="AP573" s="182" t="str">
        <f>_xlfn.IFNA(VLOOKUP($AH573,Programma!$F$3:$N$1101,9,0),"")</f>
        <v>_</v>
      </c>
      <c r="AQ573" s="182" t="str">
        <f>_xlfn.IFNA(VLOOKUP($AH573,Programma!$F$3:$O$1101,10,0),"")</f>
        <v>3w</v>
      </c>
      <c r="AR573" s="182" t="str">
        <f>_xlfn.IFNA(VLOOKUP($AH573,Programma!$F$3:$P$1101,11,0),"")</f>
        <v>3w</v>
      </c>
      <c r="AS573" s="182" t="str">
        <f>_xlfn.IFNA(VLOOKUP($AH573,Programma!$F$3:$Q$1101,12,0),"")</f>
        <v>1w</v>
      </c>
      <c r="AT573" s="182" t="str">
        <f>_xlfn.IFNA(VLOOKUP($AH573,Programma!$F$3:$R$1101,13,0),"")</f>
        <v>1w</v>
      </c>
      <c r="AU573" s="182" t="str">
        <f>_xlfn.IFNA(VLOOKUP($AH573,Programma!$F$3:$S$1101,14,0),"")</f>
        <v>1m</v>
      </c>
      <c r="AV573" s="182" t="str">
        <f>_xlfn.IFNA(VLOOKUP($AH573,Programma!$F$3:$T$1101,15,0),"")</f>
        <v>2j</v>
      </c>
      <c r="AW573" s="182" t="str">
        <f>_xlfn.IFNA(VLOOKUP($AH573,Programma!$F$3:$U$1101,16,0),"")</f>
        <v>1j</v>
      </c>
      <c r="AX573" s="182" t="str">
        <f>_xlfn.IFNA(VLOOKUP($AH573,Programma!$F$3:$V$1101,17,0),"")</f>
        <v>_</v>
      </c>
      <c r="AY573" s="182" t="str">
        <f>_xlfn.IFNA(VLOOKUP($AH573,Programma!$F$3:$W$1101,18,0),"")</f>
        <v>_</v>
      </c>
      <c r="AZ573" s="182" t="str">
        <f>_xlfn.IFNA(VLOOKUP($AH573,Programma!$F$3:$X$1101,19,0),"")</f>
        <v>_</v>
      </c>
      <c r="BA573" s="182" t="str">
        <f>_xlfn.IFNA(VLOOKUP($AH573,Programma!$F$3:$Y$1101,20,0),"")</f>
        <v>_</v>
      </c>
      <c r="BB573" s="182"/>
      <c r="BC573" s="174" t="str">
        <f>IF(Ruimtestaat[[#This Row],[Frequentie weekend]]="","",_xlfn.CONCAT(Ruimtestaat[[#This Row],[Ruimte code]],"-",Ruimtestaat[[#This Row],[Frequentie weekend]]," ",Ruimtestaat[[#This Row],[Vloer code]]))</f>
        <v/>
      </c>
      <c r="BD573" s="182" t="str">
        <f>_xlfn.IFNA(VLOOKUP($BC573,Programma!$F$3:$G$1101,2,0),"")</f>
        <v/>
      </c>
      <c r="BE573" s="182" t="str">
        <f>_xlfn.IFNA(VLOOKUP($BC573,Programma!$F$3:$H$1101,3,0),"")</f>
        <v/>
      </c>
      <c r="BF573" s="182" t="str">
        <f>_xlfn.IFNA(VLOOKUP($BC573,Programma!$F$3:$I$1101,4,0),"")</f>
        <v/>
      </c>
      <c r="BG573" s="182" t="str">
        <f>_xlfn.IFNA(VLOOKUP($BC573,Programma!$F$3:$J$1101,5,0),"")</f>
        <v/>
      </c>
      <c r="BH573" s="182" t="str">
        <f>_xlfn.IFNA(VLOOKUP($BC573,Programma!$F$3:$K$1101,6,0),"")</f>
        <v/>
      </c>
      <c r="BI573" s="182" t="str">
        <f>_xlfn.IFNA(VLOOKUP($BC573,Programma!$F$3:$L$1101,7,0),"")</f>
        <v/>
      </c>
      <c r="BJ573" s="182" t="str">
        <f>_xlfn.IFNA(VLOOKUP($BC573,Programma!$F$3:$M$1101,8,0),"")</f>
        <v/>
      </c>
      <c r="BK573" s="182" t="str">
        <f>_xlfn.IFNA(VLOOKUP($BC573,Programma!$F$3:$N$1101,9,0),"")</f>
        <v/>
      </c>
      <c r="BL573" s="182" t="str">
        <f>_xlfn.IFNA(VLOOKUP($BC573,Programma!$F$3:$O$1101,10,0),"")</f>
        <v/>
      </c>
      <c r="BM573" s="182" t="str">
        <f>_xlfn.IFNA(VLOOKUP($BC573,Programma!$F$3:$P$1101,11,0),"")</f>
        <v/>
      </c>
      <c r="BN573" s="182" t="str">
        <f>_xlfn.IFNA(VLOOKUP($BC573,Programma!$F$3:$Q$1101,12,0),"")</f>
        <v/>
      </c>
      <c r="BO573" s="182" t="str">
        <f>_xlfn.IFNA(VLOOKUP($BC573,Programma!$F$3:$R$1101,13,0),"")</f>
        <v/>
      </c>
      <c r="BP573" s="182" t="str">
        <f>_xlfn.IFNA(VLOOKUP($BC573,Programma!$F$3:$S$1101,14,0),"")</f>
        <v/>
      </c>
      <c r="BQ573" s="182" t="str">
        <f>_xlfn.IFNA(VLOOKUP($BC573,Programma!$F$3:$T$1101,15,0),"")</f>
        <v/>
      </c>
      <c r="BR573" s="182" t="str">
        <f>_xlfn.IFNA(VLOOKUP($BC573,Programma!$F$3:$U$1101,16,0),"")</f>
        <v/>
      </c>
      <c r="BS573" s="182" t="str">
        <f>_xlfn.IFNA(VLOOKUP($BC573,Programma!$F$3:$V$1101,17,0),"")</f>
        <v/>
      </c>
      <c r="BT573" s="182" t="str">
        <f>_xlfn.IFNA(VLOOKUP($BC573,Programma!$F$3:$W$1101,18,0),"")</f>
        <v/>
      </c>
      <c r="BU573" s="182" t="str">
        <f>_xlfn.IFNA(VLOOKUP($BC573,Programma!$F$3:$X$1101,19,0),"")</f>
        <v/>
      </c>
      <c r="BV573" s="182" t="str">
        <f>_xlfn.IFNA(VLOOKUP($BC573,Programma!$F$3:$Y$1101,20,0),"")</f>
        <v/>
      </c>
    </row>
    <row r="574" spans="1:74" ht="15" customHeight="1">
      <c r="A574" s="99">
        <v>16</v>
      </c>
      <c r="B574" s="176" t="str">
        <f>VLOOKUP(Ruimtestaat[[#This Row],[Code]],Locaties[[Code]:[Locatie]],2,FALSE)</f>
        <v>SBO Het Pontem (College)</v>
      </c>
      <c r="C574" s="176" t="str">
        <f>VLOOKUP(Ruimtestaat[[#This Row],[Code]],Locaties[[#All],[Code]:[Adres]],4,FALSE)</f>
        <v>Poolmansweg 245</v>
      </c>
      <c r="D574" s="176" t="str">
        <f>VLOOKUP(Ruimtestaat[[#This Row],[Code]],Locaties[[#All],[Code]:[Postcode]],5,FALSE)</f>
        <v>7545 LR</v>
      </c>
      <c r="E574" s="176" t="str">
        <f>VLOOKUP(Ruimtestaat[[#This Row],[Code]],Locaties[#All],6,FALSE)</f>
        <v>Enschede</v>
      </c>
      <c r="F574" s="183"/>
      <c r="G574" s="99" t="s">
        <v>1714</v>
      </c>
      <c r="H574" s="99" t="s">
        <v>1717</v>
      </c>
      <c r="I574" s="183" t="s">
        <v>1649</v>
      </c>
      <c r="J574" s="99">
        <v>2</v>
      </c>
      <c r="K574" s="183" t="str">
        <f>VLOOKUP(Ruimtestaat[[#This Row],[Ruimte code]],Ruimtegroepen[[#All],[Code]:[Ruimte omschrijving]],2,FALSE)</f>
        <v>Kantoren</v>
      </c>
      <c r="L574" s="99" t="s">
        <v>99</v>
      </c>
      <c r="M574" s="99" t="s">
        <v>36</v>
      </c>
      <c r="N574" s="177">
        <v>16.3</v>
      </c>
      <c r="O574" s="177"/>
      <c r="P574" s="178" t="str">
        <f>VLOOKUP(Ruimtestaat[[#This Row],[Ruimte code]],Ruimtegroepen[],4,FALSE)</f>
        <v>Bu</v>
      </c>
      <c r="Q574" s="149">
        <v>40</v>
      </c>
      <c r="R574" s="149" t="s">
        <v>18</v>
      </c>
      <c r="S574" s="285">
        <f>IF(Q574&gt;0,IF(RIGHT(Ruimtestaat[[#This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74" s="286">
        <f>IF(S574&gt;0,VLOOKUP($J574,Ruimtegroepen[],3,FALSE)*VLOOKUP($L574,Vloersoorten[],3,FALSE)*VLOOKUP($R574,Frequenties[],3,FALSE)*VLOOKUP($A574,Locaties[],3,FALSE),0)</f>
        <v>0</v>
      </c>
      <c r="U574" s="287">
        <f>Ruimtestaat[[#This Row],[Uitvoeringen werkdagen]]*Ruimtestaat[[#This Row],[Oppervlak (netto)]]</f>
        <v>1956</v>
      </c>
      <c r="V574" s="288">
        <f>IF(T574&gt;0,Ruimtestaat[[#This Row],[Prest. (m2 /jaar) werkdagen]]/Ruimtestaat[[#This Row],[Norm (m2/uur) werkdagen]],0)</f>
        <v>0</v>
      </c>
      <c r="W574" s="289">
        <f>Ruimtestaat[[#This Row],[uren / jaar werkdagen]]*Tariefsopbouw!$E$35</f>
        <v>0</v>
      </c>
      <c r="X574" s="226"/>
      <c r="Y574" s="290">
        <f>IF(Ruimtestaat[[#This Row],[Frequentie weekend]]&gt;0,VALUE(LEFT(X574,1))*Q574,0)</f>
        <v>0</v>
      </c>
      <c r="Z574" s="287">
        <f>IF($Y574&gt;0,VLOOKUP($J574,Ruimtegroepen[],3,FALSE)*VLOOKUP($L574,Vloersoorten[],3,FALSE)*VLOOKUP($X574,Frequenties[],3,FALSE)*VLOOKUP(#REF!,Locaties[],3,FALSE),0)</f>
        <v>0</v>
      </c>
      <c r="AA574" s="291">
        <f>Ruimtestaat[[#This Row],[Uitvoeringen weekend]]*Ruimtestaat[[#This Row],[Oppervlak (netto)]]</f>
        <v>0</v>
      </c>
      <c r="AB574" s="291">
        <f>IF(Z574&gt;0,Ruimtestaat[[#This Row],[Prest. (m2 /jaar) weekend]]/Ruimtestaat[[#This Row],[Norm (m2/uur) weekend]],0)</f>
        <v>0</v>
      </c>
      <c r="AC574" s="180">
        <f>Ruimtestaat[[#This Row],[uren / jaar weekend]]*Tariefsopbouw!$D$40</f>
        <v>0</v>
      </c>
      <c r="AD574" s="179">
        <f>Ruimtestaat[[#This Row],[Prest. (m2 /jaar) weekend]]+Ruimtestaat[[#This Row],[Prest. (m2 /jaar) werkdagen]]</f>
        <v>1956</v>
      </c>
      <c r="AE574" s="179">
        <f>Ruimtestaat[[#This Row],[uren / jaar weekend]]+Ruimtestaat[[#This Row],[uren / jaar werkdagen]]</f>
        <v>0</v>
      </c>
      <c r="AF574" s="174">
        <f>Ruimtestaat[[#This Row],[kosten / jaar weekend]]+Ruimtestaat[[#This Row],[kosten / jaar werkdagen]]</f>
        <v>0</v>
      </c>
      <c r="AG574" s="174"/>
      <c r="AH574" s="174" t="str">
        <f>IF(Ruimtestaat[[#This Row],[Frequentie werkdagen]]="","",_xlfn.CONCAT(Ruimtestaat[[#This Row],[Ruimte code]],"-",Ruimtestaat[[#This Row],[Frequentie werkdagen]]," ",Ruimtestaat[[#This Row],[Vloer code]]))</f>
        <v>2-3w T</v>
      </c>
      <c r="AI574" s="182" t="str">
        <f>_xlfn.IFNA(VLOOKUP($AH574,Programma!$F$3:$G$1101,2,0),"")</f>
        <v>2w</v>
      </c>
      <c r="AJ574" s="182" t="str">
        <f>_xlfn.IFNA(VLOOKUP($AH574,Programma!$F$3:$H$1101,3,0),"")</f>
        <v>1w</v>
      </c>
      <c r="AK574" s="182" t="str">
        <f>_xlfn.IFNA(VLOOKUP($AH574,Programma!$F$3:$I$1101,4,0),"")</f>
        <v>_</v>
      </c>
      <c r="AL574" s="182" t="str">
        <f>_xlfn.IFNA(VLOOKUP($AH574,Programma!$F$3:$J$1101,5,0),"")</f>
        <v>_</v>
      </c>
      <c r="AM574" s="182" t="str">
        <f>_xlfn.IFNA(VLOOKUP($AH574,Programma!$F$3:$K$1101,6,0),"")</f>
        <v>_</v>
      </c>
      <c r="AN574" s="182" t="str">
        <f>_xlfn.IFNA(VLOOKUP($AH574,Programma!$F$3:$L$1101,7,0),"")</f>
        <v>_</v>
      </c>
      <c r="AO574" s="182" t="str">
        <f>_xlfn.IFNA(VLOOKUP($AH574,Programma!$F$3:$M$1101,8,0),"")</f>
        <v>_</v>
      </c>
      <c r="AP574" s="182" t="str">
        <f>_xlfn.IFNA(VLOOKUP($AH574,Programma!$F$3:$N$1101,9,0),"")</f>
        <v>_</v>
      </c>
      <c r="AQ574" s="182" t="str">
        <f>_xlfn.IFNA(VLOOKUP($AH574,Programma!$F$3:$O$1101,10,0),"")</f>
        <v>3w</v>
      </c>
      <c r="AR574" s="182" t="str">
        <f>_xlfn.IFNA(VLOOKUP($AH574,Programma!$F$3:$P$1101,11,0),"")</f>
        <v>3w</v>
      </c>
      <c r="AS574" s="182" t="str">
        <f>_xlfn.IFNA(VLOOKUP($AH574,Programma!$F$3:$Q$1101,12,0),"")</f>
        <v>1w</v>
      </c>
      <c r="AT574" s="182" t="str">
        <f>_xlfn.IFNA(VLOOKUP($AH574,Programma!$F$3:$R$1101,13,0),"")</f>
        <v>1w</v>
      </c>
      <c r="AU574" s="182" t="str">
        <f>_xlfn.IFNA(VLOOKUP($AH574,Programma!$F$3:$S$1101,14,0),"")</f>
        <v>1m</v>
      </c>
      <c r="AV574" s="182" t="str">
        <f>_xlfn.IFNA(VLOOKUP($AH574,Programma!$F$3:$T$1101,15,0),"")</f>
        <v>2j</v>
      </c>
      <c r="AW574" s="182" t="str">
        <f>_xlfn.IFNA(VLOOKUP($AH574,Programma!$F$3:$U$1101,16,0),"")</f>
        <v>1j</v>
      </c>
      <c r="AX574" s="182" t="str">
        <f>_xlfn.IFNA(VLOOKUP($AH574,Programma!$F$3:$V$1101,17,0),"")</f>
        <v>_</v>
      </c>
      <c r="AY574" s="182" t="str">
        <f>_xlfn.IFNA(VLOOKUP($AH574,Programma!$F$3:$W$1101,18,0),"")</f>
        <v>_</v>
      </c>
      <c r="AZ574" s="182" t="str">
        <f>_xlfn.IFNA(VLOOKUP($AH574,Programma!$F$3:$X$1101,19,0),"")</f>
        <v>_</v>
      </c>
      <c r="BA574" s="182" t="str">
        <f>_xlfn.IFNA(VLOOKUP($AH574,Programma!$F$3:$Y$1101,20,0),"")</f>
        <v>_</v>
      </c>
      <c r="BB574" s="182"/>
      <c r="BC574" s="174" t="str">
        <f>IF(Ruimtestaat[[#This Row],[Frequentie weekend]]="","",_xlfn.CONCAT(Ruimtestaat[[#This Row],[Ruimte code]],"-",Ruimtestaat[[#This Row],[Frequentie weekend]]," ",Ruimtestaat[[#This Row],[Vloer code]]))</f>
        <v/>
      </c>
      <c r="BD574" s="182" t="str">
        <f>_xlfn.IFNA(VLOOKUP($BC574,Programma!$F$3:$G$1101,2,0),"")</f>
        <v/>
      </c>
      <c r="BE574" s="182" t="str">
        <f>_xlfn.IFNA(VLOOKUP($BC574,Programma!$F$3:$H$1101,3,0),"")</f>
        <v/>
      </c>
      <c r="BF574" s="182" t="str">
        <f>_xlfn.IFNA(VLOOKUP($BC574,Programma!$F$3:$I$1101,4,0),"")</f>
        <v/>
      </c>
      <c r="BG574" s="182" t="str">
        <f>_xlfn.IFNA(VLOOKUP($BC574,Programma!$F$3:$J$1101,5,0),"")</f>
        <v/>
      </c>
      <c r="BH574" s="182" t="str">
        <f>_xlfn.IFNA(VLOOKUP($BC574,Programma!$F$3:$K$1101,6,0),"")</f>
        <v/>
      </c>
      <c r="BI574" s="182" t="str">
        <f>_xlfn.IFNA(VLOOKUP($BC574,Programma!$F$3:$L$1101,7,0),"")</f>
        <v/>
      </c>
      <c r="BJ574" s="182" t="str">
        <f>_xlfn.IFNA(VLOOKUP($BC574,Programma!$F$3:$M$1101,8,0),"")</f>
        <v/>
      </c>
      <c r="BK574" s="182" t="str">
        <f>_xlfn.IFNA(VLOOKUP($BC574,Programma!$F$3:$N$1101,9,0),"")</f>
        <v/>
      </c>
      <c r="BL574" s="182" t="str">
        <f>_xlfn.IFNA(VLOOKUP($BC574,Programma!$F$3:$O$1101,10,0),"")</f>
        <v/>
      </c>
      <c r="BM574" s="182" t="str">
        <f>_xlfn.IFNA(VLOOKUP($BC574,Programma!$F$3:$P$1101,11,0),"")</f>
        <v/>
      </c>
      <c r="BN574" s="182" t="str">
        <f>_xlfn.IFNA(VLOOKUP($BC574,Programma!$F$3:$Q$1101,12,0),"")</f>
        <v/>
      </c>
      <c r="BO574" s="182" t="str">
        <f>_xlfn.IFNA(VLOOKUP($BC574,Programma!$F$3:$R$1101,13,0),"")</f>
        <v/>
      </c>
      <c r="BP574" s="182" t="str">
        <f>_xlfn.IFNA(VLOOKUP($BC574,Programma!$F$3:$S$1101,14,0),"")</f>
        <v/>
      </c>
      <c r="BQ574" s="182" t="str">
        <f>_xlfn.IFNA(VLOOKUP($BC574,Programma!$F$3:$T$1101,15,0),"")</f>
        <v/>
      </c>
      <c r="BR574" s="182" t="str">
        <f>_xlfn.IFNA(VLOOKUP($BC574,Programma!$F$3:$U$1101,16,0),"")</f>
        <v/>
      </c>
      <c r="BS574" s="182" t="str">
        <f>_xlfn.IFNA(VLOOKUP($BC574,Programma!$F$3:$V$1101,17,0),"")</f>
        <v/>
      </c>
      <c r="BT574" s="182" t="str">
        <f>_xlfn.IFNA(VLOOKUP($BC574,Programma!$F$3:$W$1101,18,0),"")</f>
        <v/>
      </c>
      <c r="BU574" s="182" t="str">
        <f>_xlfn.IFNA(VLOOKUP($BC574,Programma!$F$3:$X$1101,19,0),"")</f>
        <v/>
      </c>
      <c r="BV574" s="182" t="str">
        <f>_xlfn.IFNA(VLOOKUP($BC574,Programma!$F$3:$Y$1101,20,0),"")</f>
        <v/>
      </c>
    </row>
    <row r="575" spans="1:74" ht="15" customHeight="1">
      <c r="A575" s="99">
        <v>16</v>
      </c>
      <c r="B575" s="176" t="str">
        <f>VLOOKUP(Ruimtestaat[[#This Row],[Code]],Locaties[[Code]:[Locatie]],2,FALSE)</f>
        <v>SBO Het Pontem (College)</v>
      </c>
      <c r="C575" s="176" t="str">
        <f>VLOOKUP(Ruimtestaat[[#This Row],[Code]],Locaties[[#All],[Code]:[Adres]],4,FALSE)</f>
        <v>Poolmansweg 245</v>
      </c>
      <c r="D575" s="176" t="str">
        <f>VLOOKUP(Ruimtestaat[[#This Row],[Code]],Locaties[[#All],[Code]:[Postcode]],5,FALSE)</f>
        <v>7545 LR</v>
      </c>
      <c r="E575" s="176" t="str">
        <f>VLOOKUP(Ruimtestaat[[#This Row],[Code]],Locaties[#All],6,FALSE)</f>
        <v>Enschede</v>
      </c>
      <c r="F575" s="183"/>
      <c r="G575" s="99" t="s">
        <v>1714</v>
      </c>
      <c r="H575" s="99" t="s">
        <v>1718</v>
      </c>
      <c r="I575" s="183" t="s">
        <v>1649</v>
      </c>
      <c r="J575" s="99">
        <v>2</v>
      </c>
      <c r="K575" s="183" t="str">
        <f>VLOOKUP(Ruimtestaat[[#This Row],[Ruimte code]],Ruimtegroepen[[#All],[Code]:[Ruimte omschrijving]],2,FALSE)</f>
        <v>Kantoren</v>
      </c>
      <c r="L575" s="99" t="s">
        <v>99</v>
      </c>
      <c r="M575" s="99" t="s">
        <v>36</v>
      </c>
      <c r="N575" s="177">
        <v>20</v>
      </c>
      <c r="O575" s="177"/>
      <c r="P575" s="178" t="str">
        <f>VLOOKUP(Ruimtestaat[[#This Row],[Ruimte code]],Ruimtegroepen[],4,FALSE)</f>
        <v>Bu</v>
      </c>
      <c r="Q575" s="149">
        <v>40</v>
      </c>
      <c r="R575" s="149" t="s">
        <v>18</v>
      </c>
      <c r="S575" s="285">
        <f>IF(Q575&gt;0,IF(RIGHT(Ruimtestaat[[#This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75" s="286">
        <f>IF(S575&gt;0,VLOOKUP($J575,Ruimtegroepen[],3,FALSE)*VLOOKUP($L575,Vloersoorten[],3,FALSE)*VLOOKUP($R575,Frequenties[],3,FALSE)*VLOOKUP($A575,Locaties[],3,FALSE),0)</f>
        <v>0</v>
      </c>
      <c r="U575" s="287">
        <f>Ruimtestaat[[#This Row],[Uitvoeringen werkdagen]]*Ruimtestaat[[#This Row],[Oppervlak (netto)]]</f>
        <v>2400</v>
      </c>
      <c r="V575" s="288">
        <f>IF(T575&gt;0,Ruimtestaat[[#This Row],[Prest. (m2 /jaar) werkdagen]]/Ruimtestaat[[#This Row],[Norm (m2/uur) werkdagen]],0)</f>
        <v>0</v>
      </c>
      <c r="W575" s="289">
        <f>Ruimtestaat[[#This Row],[uren / jaar werkdagen]]*Tariefsopbouw!$E$35</f>
        <v>0</v>
      </c>
      <c r="X575" s="226"/>
      <c r="Y575" s="290">
        <f>IF(Ruimtestaat[[#This Row],[Frequentie weekend]]&gt;0,VALUE(LEFT(X575,1))*Q575,0)</f>
        <v>0</v>
      </c>
      <c r="Z575" s="287">
        <f>IF($Y575&gt;0,VLOOKUP($J575,Ruimtegroepen[],3,FALSE)*VLOOKUP($L575,Vloersoorten[],3,FALSE)*VLOOKUP($X575,Frequenties[],3,FALSE)*VLOOKUP(#REF!,Locaties[],3,FALSE),0)</f>
        <v>0</v>
      </c>
      <c r="AA575" s="291">
        <f>Ruimtestaat[[#This Row],[Uitvoeringen weekend]]*Ruimtestaat[[#This Row],[Oppervlak (netto)]]</f>
        <v>0</v>
      </c>
      <c r="AB575" s="291">
        <f>IF(Z575&gt;0,Ruimtestaat[[#This Row],[Prest. (m2 /jaar) weekend]]/Ruimtestaat[[#This Row],[Norm (m2/uur) weekend]],0)</f>
        <v>0</v>
      </c>
      <c r="AC575" s="180">
        <f>Ruimtestaat[[#This Row],[uren / jaar weekend]]*Tariefsopbouw!$D$40</f>
        <v>0</v>
      </c>
      <c r="AD575" s="179">
        <f>Ruimtestaat[[#This Row],[Prest. (m2 /jaar) weekend]]+Ruimtestaat[[#This Row],[Prest. (m2 /jaar) werkdagen]]</f>
        <v>2400</v>
      </c>
      <c r="AE575" s="179">
        <f>Ruimtestaat[[#This Row],[uren / jaar weekend]]+Ruimtestaat[[#This Row],[uren / jaar werkdagen]]</f>
        <v>0</v>
      </c>
      <c r="AF575" s="174">
        <f>Ruimtestaat[[#This Row],[kosten / jaar weekend]]+Ruimtestaat[[#This Row],[kosten / jaar werkdagen]]</f>
        <v>0</v>
      </c>
      <c r="AG575" s="174"/>
      <c r="AH575" s="174" t="str">
        <f>IF(Ruimtestaat[[#This Row],[Frequentie werkdagen]]="","",_xlfn.CONCAT(Ruimtestaat[[#This Row],[Ruimte code]],"-",Ruimtestaat[[#This Row],[Frequentie werkdagen]]," ",Ruimtestaat[[#This Row],[Vloer code]]))</f>
        <v>2-3w T</v>
      </c>
      <c r="AI575" s="182" t="str">
        <f>_xlfn.IFNA(VLOOKUP($AH575,Programma!$F$3:$G$1101,2,0),"")</f>
        <v>2w</v>
      </c>
      <c r="AJ575" s="182" t="str">
        <f>_xlfn.IFNA(VLOOKUP($AH575,Programma!$F$3:$H$1101,3,0),"")</f>
        <v>1w</v>
      </c>
      <c r="AK575" s="182" t="str">
        <f>_xlfn.IFNA(VLOOKUP($AH575,Programma!$F$3:$I$1101,4,0),"")</f>
        <v>_</v>
      </c>
      <c r="AL575" s="182" t="str">
        <f>_xlfn.IFNA(VLOOKUP($AH575,Programma!$F$3:$J$1101,5,0),"")</f>
        <v>_</v>
      </c>
      <c r="AM575" s="182" t="str">
        <f>_xlfn.IFNA(VLOOKUP($AH575,Programma!$F$3:$K$1101,6,0),"")</f>
        <v>_</v>
      </c>
      <c r="AN575" s="182" t="str">
        <f>_xlfn.IFNA(VLOOKUP($AH575,Programma!$F$3:$L$1101,7,0),"")</f>
        <v>_</v>
      </c>
      <c r="AO575" s="182" t="str">
        <f>_xlfn.IFNA(VLOOKUP($AH575,Programma!$F$3:$M$1101,8,0),"")</f>
        <v>_</v>
      </c>
      <c r="AP575" s="182" t="str">
        <f>_xlfn.IFNA(VLOOKUP($AH575,Programma!$F$3:$N$1101,9,0),"")</f>
        <v>_</v>
      </c>
      <c r="AQ575" s="182" t="str">
        <f>_xlfn.IFNA(VLOOKUP($AH575,Programma!$F$3:$O$1101,10,0),"")</f>
        <v>3w</v>
      </c>
      <c r="AR575" s="182" t="str">
        <f>_xlfn.IFNA(VLOOKUP($AH575,Programma!$F$3:$P$1101,11,0),"")</f>
        <v>3w</v>
      </c>
      <c r="AS575" s="182" t="str">
        <f>_xlfn.IFNA(VLOOKUP($AH575,Programma!$F$3:$Q$1101,12,0),"")</f>
        <v>1w</v>
      </c>
      <c r="AT575" s="182" t="str">
        <f>_xlfn.IFNA(VLOOKUP($AH575,Programma!$F$3:$R$1101,13,0),"")</f>
        <v>1w</v>
      </c>
      <c r="AU575" s="182" t="str">
        <f>_xlfn.IFNA(VLOOKUP($AH575,Programma!$F$3:$S$1101,14,0),"")</f>
        <v>1m</v>
      </c>
      <c r="AV575" s="182" t="str">
        <f>_xlfn.IFNA(VLOOKUP($AH575,Programma!$F$3:$T$1101,15,0),"")</f>
        <v>2j</v>
      </c>
      <c r="AW575" s="182" t="str">
        <f>_xlfn.IFNA(VLOOKUP($AH575,Programma!$F$3:$U$1101,16,0),"")</f>
        <v>1j</v>
      </c>
      <c r="AX575" s="182" t="str">
        <f>_xlfn.IFNA(VLOOKUP($AH575,Programma!$F$3:$V$1101,17,0),"")</f>
        <v>_</v>
      </c>
      <c r="AY575" s="182" t="str">
        <f>_xlfn.IFNA(VLOOKUP($AH575,Programma!$F$3:$W$1101,18,0),"")</f>
        <v>_</v>
      </c>
      <c r="AZ575" s="182" t="str">
        <f>_xlfn.IFNA(VLOOKUP($AH575,Programma!$F$3:$X$1101,19,0),"")</f>
        <v>_</v>
      </c>
      <c r="BA575" s="182" t="str">
        <f>_xlfn.IFNA(VLOOKUP($AH575,Programma!$F$3:$Y$1101,20,0),"")</f>
        <v>_</v>
      </c>
      <c r="BB575" s="182"/>
      <c r="BC575" s="174" t="str">
        <f>IF(Ruimtestaat[[#This Row],[Frequentie weekend]]="","",_xlfn.CONCAT(Ruimtestaat[[#This Row],[Ruimte code]],"-",Ruimtestaat[[#This Row],[Frequentie weekend]]," ",Ruimtestaat[[#This Row],[Vloer code]]))</f>
        <v/>
      </c>
      <c r="BD575" s="182" t="str">
        <f>_xlfn.IFNA(VLOOKUP($BC575,Programma!$F$3:$G$1101,2,0),"")</f>
        <v/>
      </c>
      <c r="BE575" s="182" t="str">
        <f>_xlfn.IFNA(VLOOKUP($BC575,Programma!$F$3:$H$1101,3,0),"")</f>
        <v/>
      </c>
      <c r="BF575" s="182" t="str">
        <f>_xlfn.IFNA(VLOOKUP($BC575,Programma!$F$3:$I$1101,4,0),"")</f>
        <v/>
      </c>
      <c r="BG575" s="182" t="str">
        <f>_xlfn.IFNA(VLOOKUP($BC575,Programma!$F$3:$J$1101,5,0),"")</f>
        <v/>
      </c>
      <c r="BH575" s="182" t="str">
        <f>_xlfn.IFNA(VLOOKUP($BC575,Programma!$F$3:$K$1101,6,0),"")</f>
        <v/>
      </c>
      <c r="BI575" s="182" t="str">
        <f>_xlfn.IFNA(VLOOKUP($BC575,Programma!$F$3:$L$1101,7,0),"")</f>
        <v/>
      </c>
      <c r="BJ575" s="182" t="str">
        <f>_xlfn.IFNA(VLOOKUP($BC575,Programma!$F$3:$M$1101,8,0),"")</f>
        <v/>
      </c>
      <c r="BK575" s="182" t="str">
        <f>_xlfn.IFNA(VLOOKUP($BC575,Programma!$F$3:$N$1101,9,0),"")</f>
        <v/>
      </c>
      <c r="BL575" s="182" t="str">
        <f>_xlfn.IFNA(VLOOKUP($BC575,Programma!$F$3:$O$1101,10,0),"")</f>
        <v/>
      </c>
      <c r="BM575" s="182" t="str">
        <f>_xlfn.IFNA(VLOOKUP($BC575,Programma!$F$3:$P$1101,11,0),"")</f>
        <v/>
      </c>
      <c r="BN575" s="182" t="str">
        <f>_xlfn.IFNA(VLOOKUP($BC575,Programma!$F$3:$Q$1101,12,0),"")</f>
        <v/>
      </c>
      <c r="BO575" s="182" t="str">
        <f>_xlfn.IFNA(VLOOKUP($BC575,Programma!$F$3:$R$1101,13,0),"")</f>
        <v/>
      </c>
      <c r="BP575" s="182" t="str">
        <f>_xlfn.IFNA(VLOOKUP($BC575,Programma!$F$3:$S$1101,14,0),"")</f>
        <v/>
      </c>
      <c r="BQ575" s="182" t="str">
        <f>_xlfn.IFNA(VLOOKUP($BC575,Programma!$F$3:$T$1101,15,0),"")</f>
        <v/>
      </c>
      <c r="BR575" s="182" t="str">
        <f>_xlfn.IFNA(VLOOKUP($BC575,Programma!$F$3:$U$1101,16,0),"")</f>
        <v/>
      </c>
      <c r="BS575" s="182" t="str">
        <f>_xlfn.IFNA(VLOOKUP($BC575,Programma!$F$3:$V$1101,17,0),"")</f>
        <v/>
      </c>
      <c r="BT575" s="182" t="str">
        <f>_xlfn.IFNA(VLOOKUP($BC575,Programma!$F$3:$W$1101,18,0),"")</f>
        <v/>
      </c>
      <c r="BU575" s="182" t="str">
        <f>_xlfn.IFNA(VLOOKUP($BC575,Programma!$F$3:$X$1101,19,0),"")</f>
        <v/>
      </c>
      <c r="BV575" s="182" t="str">
        <f>_xlfn.IFNA(VLOOKUP($BC575,Programma!$F$3:$Y$1101,20,0),"")</f>
        <v/>
      </c>
    </row>
    <row r="576" spans="1:74" ht="15" customHeight="1">
      <c r="A576" s="99">
        <v>16</v>
      </c>
      <c r="B576" s="176" t="str">
        <f>VLOOKUP(Ruimtestaat[[#This Row],[Code]],Locaties[[Code]:[Locatie]],2,FALSE)</f>
        <v>SBO Het Pontem (College)</v>
      </c>
      <c r="C576" s="176" t="str">
        <f>VLOOKUP(Ruimtestaat[[#This Row],[Code]],Locaties[[#All],[Code]:[Adres]],4,FALSE)</f>
        <v>Poolmansweg 245</v>
      </c>
      <c r="D576" s="176" t="str">
        <f>VLOOKUP(Ruimtestaat[[#This Row],[Code]],Locaties[[#All],[Code]:[Postcode]],5,FALSE)</f>
        <v>7545 LR</v>
      </c>
      <c r="E576" s="176" t="str">
        <f>VLOOKUP(Ruimtestaat[[#This Row],[Code]],Locaties[#All],6,FALSE)</f>
        <v>Enschede</v>
      </c>
      <c r="F576" s="183"/>
      <c r="G576" s="99" t="s">
        <v>1714</v>
      </c>
      <c r="H576" s="99" t="s">
        <v>1733</v>
      </c>
      <c r="I576" s="183" t="s">
        <v>1649</v>
      </c>
      <c r="J576" s="99">
        <v>2</v>
      </c>
      <c r="K576" s="183" t="str">
        <f>VLOOKUP(Ruimtestaat[[#This Row],[Ruimte code]],Ruimtegroepen[[#All],[Code]:[Ruimte omschrijving]],2,FALSE)</f>
        <v>Kantoren</v>
      </c>
      <c r="L576" s="99" t="s">
        <v>99</v>
      </c>
      <c r="M576" s="99" t="s">
        <v>36</v>
      </c>
      <c r="N576" s="177">
        <v>13.7</v>
      </c>
      <c r="O576" s="177"/>
      <c r="P576" s="178" t="str">
        <f>VLOOKUP(Ruimtestaat[[#This Row],[Ruimte code]],Ruimtegroepen[],4,FALSE)</f>
        <v>Bu</v>
      </c>
      <c r="Q576" s="149">
        <v>40</v>
      </c>
      <c r="R576" s="149" t="s">
        <v>18</v>
      </c>
      <c r="S576" s="285">
        <f>IF(Q576&gt;0,IF(RIGHT(Ruimtestaat[[#This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76" s="286">
        <f>IF(S576&gt;0,VLOOKUP($J576,Ruimtegroepen[],3,FALSE)*VLOOKUP($L576,Vloersoorten[],3,FALSE)*VLOOKUP($R576,Frequenties[],3,FALSE)*VLOOKUP($A576,Locaties[],3,FALSE),0)</f>
        <v>0</v>
      </c>
      <c r="U576" s="287">
        <f>Ruimtestaat[[#This Row],[Uitvoeringen werkdagen]]*Ruimtestaat[[#This Row],[Oppervlak (netto)]]</f>
        <v>1644</v>
      </c>
      <c r="V576" s="288">
        <f>IF(T576&gt;0,Ruimtestaat[[#This Row],[Prest. (m2 /jaar) werkdagen]]/Ruimtestaat[[#This Row],[Norm (m2/uur) werkdagen]],0)</f>
        <v>0</v>
      </c>
      <c r="W576" s="289">
        <f>Ruimtestaat[[#This Row],[uren / jaar werkdagen]]*Tariefsopbouw!$E$35</f>
        <v>0</v>
      </c>
      <c r="X576" s="226"/>
      <c r="Y576" s="290">
        <f>IF(Ruimtestaat[[#This Row],[Frequentie weekend]]&gt;0,VALUE(LEFT(X576,1))*Q576,0)</f>
        <v>0</v>
      </c>
      <c r="Z576" s="287">
        <f>IF($Y576&gt;0,VLOOKUP($J576,Ruimtegroepen[],3,FALSE)*VLOOKUP($L576,Vloersoorten[],3,FALSE)*VLOOKUP($X576,Frequenties[],3,FALSE)*VLOOKUP(#REF!,Locaties[],3,FALSE),0)</f>
        <v>0</v>
      </c>
      <c r="AA576" s="291">
        <f>Ruimtestaat[[#This Row],[Uitvoeringen weekend]]*Ruimtestaat[[#This Row],[Oppervlak (netto)]]</f>
        <v>0</v>
      </c>
      <c r="AB576" s="291">
        <f>IF(Z576&gt;0,Ruimtestaat[[#This Row],[Prest. (m2 /jaar) weekend]]/Ruimtestaat[[#This Row],[Norm (m2/uur) weekend]],0)</f>
        <v>0</v>
      </c>
      <c r="AC576" s="180">
        <f>Ruimtestaat[[#This Row],[uren / jaar weekend]]*Tariefsopbouw!$D$40</f>
        <v>0</v>
      </c>
      <c r="AD576" s="179">
        <f>Ruimtestaat[[#This Row],[Prest. (m2 /jaar) weekend]]+Ruimtestaat[[#This Row],[Prest. (m2 /jaar) werkdagen]]</f>
        <v>1644</v>
      </c>
      <c r="AE576" s="179">
        <f>Ruimtestaat[[#This Row],[uren / jaar weekend]]+Ruimtestaat[[#This Row],[uren / jaar werkdagen]]</f>
        <v>0</v>
      </c>
      <c r="AF576" s="174">
        <f>Ruimtestaat[[#This Row],[kosten / jaar weekend]]+Ruimtestaat[[#This Row],[kosten / jaar werkdagen]]</f>
        <v>0</v>
      </c>
      <c r="AG576" s="174"/>
      <c r="AH576" s="174" t="str">
        <f>IF(Ruimtestaat[[#This Row],[Frequentie werkdagen]]="","",_xlfn.CONCAT(Ruimtestaat[[#This Row],[Ruimte code]],"-",Ruimtestaat[[#This Row],[Frequentie werkdagen]]," ",Ruimtestaat[[#This Row],[Vloer code]]))</f>
        <v>2-3w T</v>
      </c>
      <c r="AI576" s="182" t="str">
        <f>_xlfn.IFNA(VLOOKUP($AH576,Programma!$F$3:$G$1101,2,0),"")</f>
        <v>2w</v>
      </c>
      <c r="AJ576" s="182" t="str">
        <f>_xlfn.IFNA(VLOOKUP($AH576,Programma!$F$3:$H$1101,3,0),"")</f>
        <v>1w</v>
      </c>
      <c r="AK576" s="182" t="str">
        <f>_xlfn.IFNA(VLOOKUP($AH576,Programma!$F$3:$I$1101,4,0),"")</f>
        <v>_</v>
      </c>
      <c r="AL576" s="182" t="str">
        <f>_xlfn.IFNA(VLOOKUP($AH576,Programma!$F$3:$J$1101,5,0),"")</f>
        <v>_</v>
      </c>
      <c r="AM576" s="182" t="str">
        <f>_xlfn.IFNA(VLOOKUP($AH576,Programma!$F$3:$K$1101,6,0),"")</f>
        <v>_</v>
      </c>
      <c r="AN576" s="182" t="str">
        <f>_xlfn.IFNA(VLOOKUP($AH576,Programma!$F$3:$L$1101,7,0),"")</f>
        <v>_</v>
      </c>
      <c r="AO576" s="182" t="str">
        <f>_xlfn.IFNA(VLOOKUP($AH576,Programma!$F$3:$M$1101,8,0),"")</f>
        <v>_</v>
      </c>
      <c r="AP576" s="182" t="str">
        <f>_xlfn.IFNA(VLOOKUP($AH576,Programma!$F$3:$N$1101,9,0),"")</f>
        <v>_</v>
      </c>
      <c r="AQ576" s="182" t="str">
        <f>_xlfn.IFNA(VLOOKUP($AH576,Programma!$F$3:$O$1101,10,0),"")</f>
        <v>3w</v>
      </c>
      <c r="AR576" s="182" t="str">
        <f>_xlfn.IFNA(VLOOKUP($AH576,Programma!$F$3:$P$1101,11,0),"")</f>
        <v>3w</v>
      </c>
      <c r="AS576" s="182" t="str">
        <f>_xlfn.IFNA(VLOOKUP($AH576,Programma!$F$3:$Q$1101,12,0),"")</f>
        <v>1w</v>
      </c>
      <c r="AT576" s="182" t="str">
        <f>_xlfn.IFNA(VLOOKUP($AH576,Programma!$F$3:$R$1101,13,0),"")</f>
        <v>1w</v>
      </c>
      <c r="AU576" s="182" t="str">
        <f>_xlfn.IFNA(VLOOKUP($AH576,Programma!$F$3:$S$1101,14,0),"")</f>
        <v>1m</v>
      </c>
      <c r="AV576" s="182" t="str">
        <f>_xlfn.IFNA(VLOOKUP($AH576,Programma!$F$3:$T$1101,15,0),"")</f>
        <v>2j</v>
      </c>
      <c r="AW576" s="182" t="str">
        <f>_xlfn.IFNA(VLOOKUP($AH576,Programma!$F$3:$U$1101,16,0),"")</f>
        <v>1j</v>
      </c>
      <c r="AX576" s="182" t="str">
        <f>_xlfn.IFNA(VLOOKUP($AH576,Programma!$F$3:$V$1101,17,0),"")</f>
        <v>_</v>
      </c>
      <c r="AY576" s="182" t="str">
        <f>_xlfn.IFNA(VLOOKUP($AH576,Programma!$F$3:$W$1101,18,0),"")</f>
        <v>_</v>
      </c>
      <c r="AZ576" s="182" t="str">
        <f>_xlfn.IFNA(VLOOKUP($AH576,Programma!$F$3:$X$1101,19,0),"")</f>
        <v>_</v>
      </c>
      <c r="BA576" s="182" t="str">
        <f>_xlfn.IFNA(VLOOKUP($AH576,Programma!$F$3:$Y$1101,20,0),"")</f>
        <v>_</v>
      </c>
      <c r="BB576" s="182"/>
      <c r="BC576" s="174" t="str">
        <f>IF(Ruimtestaat[[#This Row],[Frequentie weekend]]="","",_xlfn.CONCAT(Ruimtestaat[[#This Row],[Ruimte code]],"-",Ruimtestaat[[#This Row],[Frequentie weekend]]," ",Ruimtestaat[[#This Row],[Vloer code]]))</f>
        <v/>
      </c>
      <c r="BD576" s="182" t="str">
        <f>_xlfn.IFNA(VLOOKUP($BC576,Programma!$F$3:$G$1101,2,0),"")</f>
        <v/>
      </c>
      <c r="BE576" s="182" t="str">
        <f>_xlfn.IFNA(VLOOKUP($BC576,Programma!$F$3:$H$1101,3,0),"")</f>
        <v/>
      </c>
      <c r="BF576" s="182" t="str">
        <f>_xlfn.IFNA(VLOOKUP($BC576,Programma!$F$3:$I$1101,4,0),"")</f>
        <v/>
      </c>
      <c r="BG576" s="182" t="str">
        <f>_xlfn.IFNA(VLOOKUP($BC576,Programma!$F$3:$J$1101,5,0),"")</f>
        <v/>
      </c>
      <c r="BH576" s="182" t="str">
        <f>_xlfn.IFNA(VLOOKUP($BC576,Programma!$F$3:$K$1101,6,0),"")</f>
        <v/>
      </c>
      <c r="BI576" s="182" t="str">
        <f>_xlfn.IFNA(VLOOKUP($BC576,Programma!$F$3:$L$1101,7,0),"")</f>
        <v/>
      </c>
      <c r="BJ576" s="182" t="str">
        <f>_xlfn.IFNA(VLOOKUP($BC576,Programma!$F$3:$M$1101,8,0),"")</f>
        <v/>
      </c>
      <c r="BK576" s="182" t="str">
        <f>_xlfn.IFNA(VLOOKUP($BC576,Programma!$F$3:$N$1101,9,0),"")</f>
        <v/>
      </c>
      <c r="BL576" s="182" t="str">
        <f>_xlfn.IFNA(VLOOKUP($BC576,Programma!$F$3:$O$1101,10,0),"")</f>
        <v/>
      </c>
      <c r="BM576" s="182" t="str">
        <f>_xlfn.IFNA(VLOOKUP($BC576,Programma!$F$3:$P$1101,11,0),"")</f>
        <v/>
      </c>
      <c r="BN576" s="182" t="str">
        <f>_xlfn.IFNA(VLOOKUP($BC576,Programma!$F$3:$Q$1101,12,0),"")</f>
        <v/>
      </c>
      <c r="BO576" s="182" t="str">
        <f>_xlfn.IFNA(VLOOKUP($BC576,Programma!$F$3:$R$1101,13,0),"")</f>
        <v/>
      </c>
      <c r="BP576" s="182" t="str">
        <f>_xlfn.IFNA(VLOOKUP($BC576,Programma!$F$3:$S$1101,14,0),"")</f>
        <v/>
      </c>
      <c r="BQ576" s="182" t="str">
        <f>_xlfn.IFNA(VLOOKUP($BC576,Programma!$F$3:$T$1101,15,0),"")</f>
        <v/>
      </c>
      <c r="BR576" s="182" t="str">
        <f>_xlfn.IFNA(VLOOKUP($BC576,Programma!$F$3:$U$1101,16,0),"")</f>
        <v/>
      </c>
      <c r="BS576" s="182" t="str">
        <f>_xlfn.IFNA(VLOOKUP($BC576,Programma!$F$3:$V$1101,17,0),"")</f>
        <v/>
      </c>
      <c r="BT576" s="182" t="str">
        <f>_xlfn.IFNA(VLOOKUP($BC576,Programma!$F$3:$W$1101,18,0),"")</f>
        <v/>
      </c>
      <c r="BU576" s="182" t="str">
        <f>_xlfn.IFNA(VLOOKUP($BC576,Programma!$F$3:$X$1101,19,0),"")</f>
        <v/>
      </c>
      <c r="BV576" s="182" t="str">
        <f>_xlfn.IFNA(VLOOKUP($BC576,Programma!$F$3:$Y$1101,20,0),"")</f>
        <v/>
      </c>
    </row>
    <row r="577" spans="1:74" ht="15" customHeight="1">
      <c r="A577" s="99">
        <v>16</v>
      </c>
      <c r="B577" s="176" t="str">
        <f>VLOOKUP(Ruimtestaat[[#This Row],[Code]],Locaties[[Code]:[Locatie]],2,FALSE)</f>
        <v>SBO Het Pontem (College)</v>
      </c>
      <c r="C577" s="176" t="str">
        <f>VLOOKUP(Ruimtestaat[[#This Row],[Code]],Locaties[[#All],[Code]:[Adres]],4,FALSE)</f>
        <v>Poolmansweg 245</v>
      </c>
      <c r="D577" s="176" t="str">
        <f>VLOOKUP(Ruimtestaat[[#This Row],[Code]],Locaties[[#All],[Code]:[Postcode]],5,FALSE)</f>
        <v>7545 LR</v>
      </c>
      <c r="E577" s="176" t="str">
        <f>VLOOKUP(Ruimtestaat[[#This Row],[Code]],Locaties[#All],6,FALSE)</f>
        <v>Enschede</v>
      </c>
      <c r="F577" s="183"/>
      <c r="G577" s="99" t="s">
        <v>1714</v>
      </c>
      <c r="H577" s="99" t="s">
        <v>1734</v>
      </c>
      <c r="I577" s="183" t="s">
        <v>1818</v>
      </c>
      <c r="J577" s="99">
        <v>10</v>
      </c>
      <c r="K577" s="183" t="str">
        <f>VLOOKUP(Ruimtestaat[[#This Row],[Ruimte code]],Ruimtegroepen[[#All],[Code]:[Ruimte omschrijving]],2,FALSE)</f>
        <v>Trappenhuizen/lift</v>
      </c>
      <c r="L577" s="99" t="s">
        <v>100</v>
      </c>
      <c r="M577" s="99" t="s">
        <v>1697</v>
      </c>
      <c r="N577" s="177">
        <v>3.4</v>
      </c>
      <c r="O577" s="177"/>
      <c r="P577" s="178" t="str">
        <f>VLOOKUP(Ruimtestaat[[#This Row],[Ruimte code]],Ruimtegroepen[],4,FALSE)</f>
        <v>Ve</v>
      </c>
      <c r="Q577" s="149">
        <v>40</v>
      </c>
      <c r="R577" s="149" t="s">
        <v>2</v>
      </c>
      <c r="S577" s="285">
        <f>IF(Q577&gt;0,IF(RIGHT(Ruimtestaat[[#This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7" s="286">
        <f>IF(S577&gt;0,VLOOKUP($J577,Ruimtegroepen[],3,FALSE)*VLOOKUP($L577,Vloersoorten[],3,FALSE)*VLOOKUP($R577,Frequenties[],3,FALSE)*VLOOKUP($A577,Locaties[],3,FALSE),0)</f>
        <v>0</v>
      </c>
      <c r="U577" s="287">
        <f>Ruimtestaat[[#This Row],[Uitvoeringen werkdagen]]*Ruimtestaat[[#This Row],[Oppervlak (netto)]]</f>
        <v>680</v>
      </c>
      <c r="V577" s="288">
        <f>IF(T577&gt;0,Ruimtestaat[[#This Row],[Prest. (m2 /jaar) werkdagen]]/Ruimtestaat[[#This Row],[Norm (m2/uur) werkdagen]],0)</f>
        <v>0</v>
      </c>
      <c r="W577" s="289">
        <f>Ruimtestaat[[#This Row],[uren / jaar werkdagen]]*Tariefsopbouw!$E$35</f>
        <v>0</v>
      </c>
      <c r="X577" s="226"/>
      <c r="Y577" s="290">
        <f>IF(Ruimtestaat[[#This Row],[Frequentie weekend]]&gt;0,VALUE(LEFT(X577,1))*Q577,0)</f>
        <v>0</v>
      </c>
      <c r="Z577" s="287">
        <f>IF($Y577&gt;0,VLOOKUP($J577,Ruimtegroepen[],3,FALSE)*VLOOKUP($L577,Vloersoorten[],3,FALSE)*VLOOKUP($X577,Frequenties[],3,FALSE)*VLOOKUP(#REF!,Locaties[],3,FALSE),0)</f>
        <v>0</v>
      </c>
      <c r="AA577" s="291">
        <f>Ruimtestaat[[#This Row],[Uitvoeringen weekend]]*Ruimtestaat[[#This Row],[Oppervlak (netto)]]</f>
        <v>0</v>
      </c>
      <c r="AB577" s="291">
        <f>IF(Z577&gt;0,Ruimtestaat[[#This Row],[Prest. (m2 /jaar) weekend]]/Ruimtestaat[[#This Row],[Norm (m2/uur) weekend]],0)</f>
        <v>0</v>
      </c>
      <c r="AC577" s="180">
        <f>Ruimtestaat[[#This Row],[uren / jaar weekend]]*Tariefsopbouw!$D$40</f>
        <v>0</v>
      </c>
      <c r="AD577" s="179">
        <f>Ruimtestaat[[#This Row],[Prest. (m2 /jaar) weekend]]+Ruimtestaat[[#This Row],[Prest. (m2 /jaar) werkdagen]]</f>
        <v>680</v>
      </c>
      <c r="AE577" s="179">
        <f>Ruimtestaat[[#This Row],[uren / jaar weekend]]+Ruimtestaat[[#This Row],[uren / jaar werkdagen]]</f>
        <v>0</v>
      </c>
      <c r="AF577" s="174">
        <f>Ruimtestaat[[#This Row],[kosten / jaar weekend]]+Ruimtestaat[[#This Row],[kosten / jaar werkdagen]]</f>
        <v>0</v>
      </c>
      <c r="AG577" s="174"/>
      <c r="AH577" s="174" t="str">
        <f>IF(Ruimtestaat[[#This Row],[Frequentie werkdagen]]="","",_xlfn.CONCAT(Ruimtestaat[[#This Row],[Ruimte code]],"-",Ruimtestaat[[#This Row],[Frequentie werkdagen]]," ",Ruimtestaat[[#This Row],[Vloer code]]))</f>
        <v>10-5w L</v>
      </c>
      <c r="AI577" s="182" t="str">
        <f>_xlfn.IFNA(VLOOKUP($AH577,Programma!$F$3:$G$1101,2,0),"")</f>
        <v>_</v>
      </c>
      <c r="AJ577" s="182" t="str">
        <f>_xlfn.IFNA(VLOOKUP($AH577,Programma!$F$3:$H$1101,3,0),"")</f>
        <v>_</v>
      </c>
      <c r="AK577" s="182" t="str">
        <f>_xlfn.IFNA(VLOOKUP($AH577,Programma!$F$3:$I$1101,4,0),"")</f>
        <v>4w</v>
      </c>
      <c r="AL577" s="182" t="str">
        <f>_xlfn.IFNA(VLOOKUP($AH577,Programma!$F$3:$J$1101,5,0),"")</f>
        <v>1w</v>
      </c>
      <c r="AM577" s="182" t="str">
        <f>_xlfn.IFNA(VLOOKUP($AH577,Programma!$F$3:$K$1101,6,0),"")</f>
        <v>_</v>
      </c>
      <c r="AN577" s="182" t="str">
        <f>_xlfn.IFNA(VLOOKUP($AH577,Programma!$F$3:$L$1101,7,0),"")</f>
        <v>_</v>
      </c>
      <c r="AO577" s="182" t="str">
        <f>_xlfn.IFNA(VLOOKUP($AH577,Programma!$F$3:$M$1101,8,0),"")</f>
        <v>_</v>
      </c>
      <c r="AP577" s="182" t="str">
        <f>_xlfn.IFNA(VLOOKUP($AH577,Programma!$F$3:$N$1101,9,0),"")</f>
        <v>_</v>
      </c>
      <c r="AQ577" s="182" t="str">
        <f>_xlfn.IFNA(VLOOKUP($AH577,Programma!$F$3:$O$1101,10,0),"")</f>
        <v>5w</v>
      </c>
      <c r="AR577" s="182" t="str">
        <f>_xlfn.IFNA(VLOOKUP($AH577,Programma!$F$3:$P$1101,11,0),"")</f>
        <v>5w</v>
      </c>
      <c r="AS577" s="182" t="str">
        <f>_xlfn.IFNA(VLOOKUP($AH577,Programma!$F$3:$Q$1101,12,0),"")</f>
        <v>1w</v>
      </c>
      <c r="AT577" s="182" t="str">
        <f>_xlfn.IFNA(VLOOKUP($AH577,Programma!$F$3:$R$1101,13,0),"")</f>
        <v>1w</v>
      </c>
      <c r="AU577" s="182" t="str">
        <f>_xlfn.IFNA(VLOOKUP($AH577,Programma!$F$3:$S$1101,14,0),"")</f>
        <v>1m</v>
      </c>
      <c r="AV577" s="182" t="str">
        <f>_xlfn.IFNA(VLOOKUP($AH577,Programma!$F$3:$T$1101,15,0),"")</f>
        <v>2j</v>
      </c>
      <c r="AW577" s="182" t="str">
        <f>_xlfn.IFNA(VLOOKUP($AH577,Programma!$F$3:$U$1101,16,0),"")</f>
        <v>1j</v>
      </c>
      <c r="AX577" s="182" t="str">
        <f>_xlfn.IFNA(VLOOKUP($AH577,Programma!$F$3:$V$1101,17,0),"")</f>
        <v>_</v>
      </c>
      <c r="AY577" s="182" t="str">
        <f>_xlfn.IFNA(VLOOKUP($AH577,Programma!$F$3:$W$1101,18,0),"")</f>
        <v>_</v>
      </c>
      <c r="AZ577" s="182" t="str">
        <f>_xlfn.IFNA(VLOOKUP($AH577,Programma!$F$3:$X$1101,19,0),"")</f>
        <v>_</v>
      </c>
      <c r="BA577" s="182" t="str">
        <f>_xlfn.IFNA(VLOOKUP($AH577,Programma!$F$3:$Y$1101,20,0),"")</f>
        <v>_</v>
      </c>
      <c r="BB577" s="182"/>
      <c r="BC577" s="174" t="str">
        <f>IF(Ruimtestaat[[#This Row],[Frequentie weekend]]="","",_xlfn.CONCAT(Ruimtestaat[[#This Row],[Ruimte code]],"-",Ruimtestaat[[#This Row],[Frequentie weekend]]," ",Ruimtestaat[[#This Row],[Vloer code]]))</f>
        <v/>
      </c>
      <c r="BD577" s="182" t="str">
        <f>_xlfn.IFNA(VLOOKUP($BC577,Programma!$F$3:$G$1101,2,0),"")</f>
        <v/>
      </c>
      <c r="BE577" s="182" t="str">
        <f>_xlfn.IFNA(VLOOKUP($BC577,Programma!$F$3:$H$1101,3,0),"")</f>
        <v/>
      </c>
      <c r="BF577" s="182" t="str">
        <f>_xlfn.IFNA(VLOOKUP($BC577,Programma!$F$3:$I$1101,4,0),"")</f>
        <v/>
      </c>
      <c r="BG577" s="182" t="str">
        <f>_xlfn.IFNA(VLOOKUP($BC577,Programma!$F$3:$J$1101,5,0),"")</f>
        <v/>
      </c>
      <c r="BH577" s="182" t="str">
        <f>_xlfn.IFNA(VLOOKUP($BC577,Programma!$F$3:$K$1101,6,0),"")</f>
        <v/>
      </c>
      <c r="BI577" s="182" t="str">
        <f>_xlfn.IFNA(VLOOKUP($BC577,Programma!$F$3:$L$1101,7,0),"")</f>
        <v/>
      </c>
      <c r="BJ577" s="182" t="str">
        <f>_xlfn.IFNA(VLOOKUP($BC577,Programma!$F$3:$M$1101,8,0),"")</f>
        <v/>
      </c>
      <c r="BK577" s="182" t="str">
        <f>_xlfn.IFNA(VLOOKUP($BC577,Programma!$F$3:$N$1101,9,0),"")</f>
        <v/>
      </c>
      <c r="BL577" s="182" t="str">
        <f>_xlfn.IFNA(VLOOKUP($BC577,Programma!$F$3:$O$1101,10,0),"")</f>
        <v/>
      </c>
      <c r="BM577" s="182" t="str">
        <f>_xlfn.IFNA(VLOOKUP($BC577,Programma!$F$3:$P$1101,11,0),"")</f>
        <v/>
      </c>
      <c r="BN577" s="182" t="str">
        <f>_xlfn.IFNA(VLOOKUP($BC577,Programma!$F$3:$Q$1101,12,0),"")</f>
        <v/>
      </c>
      <c r="BO577" s="182" t="str">
        <f>_xlfn.IFNA(VLOOKUP($BC577,Programma!$F$3:$R$1101,13,0),"")</f>
        <v/>
      </c>
      <c r="BP577" s="182" t="str">
        <f>_xlfn.IFNA(VLOOKUP($BC577,Programma!$F$3:$S$1101,14,0),"")</f>
        <v/>
      </c>
      <c r="BQ577" s="182" t="str">
        <f>_xlfn.IFNA(VLOOKUP($BC577,Programma!$F$3:$T$1101,15,0),"")</f>
        <v/>
      </c>
      <c r="BR577" s="182" t="str">
        <f>_xlfn.IFNA(VLOOKUP($BC577,Programma!$F$3:$U$1101,16,0),"")</f>
        <v/>
      </c>
      <c r="BS577" s="182" t="str">
        <f>_xlfn.IFNA(VLOOKUP($BC577,Programma!$F$3:$V$1101,17,0),"")</f>
        <v/>
      </c>
      <c r="BT577" s="182" t="str">
        <f>_xlfn.IFNA(VLOOKUP($BC577,Programma!$F$3:$W$1101,18,0),"")</f>
        <v/>
      </c>
      <c r="BU577" s="182" t="str">
        <f>_xlfn.IFNA(VLOOKUP($BC577,Programma!$F$3:$X$1101,19,0),"")</f>
        <v/>
      </c>
      <c r="BV577" s="182" t="str">
        <f>_xlfn.IFNA(VLOOKUP($BC577,Programma!$F$3:$Y$1101,20,0),"")</f>
        <v/>
      </c>
    </row>
    <row r="578" spans="1:74" ht="15" customHeight="1">
      <c r="A578" s="99">
        <v>16</v>
      </c>
      <c r="B578" s="176" t="str">
        <f>VLOOKUP(Ruimtestaat[[#This Row],[Code]],Locaties[[Code]:[Locatie]],2,FALSE)</f>
        <v>SBO Het Pontem (College)</v>
      </c>
      <c r="C578" s="176" t="str">
        <f>VLOOKUP(Ruimtestaat[[#This Row],[Code]],Locaties[[#All],[Code]:[Adres]],4,FALSE)</f>
        <v>Poolmansweg 245</v>
      </c>
      <c r="D578" s="176" t="str">
        <f>VLOOKUP(Ruimtestaat[[#This Row],[Code]],Locaties[[#All],[Code]:[Postcode]],5,FALSE)</f>
        <v>7545 LR</v>
      </c>
      <c r="E578" s="176" t="str">
        <f>VLOOKUP(Ruimtestaat[[#This Row],[Code]],Locaties[#All],6,FALSE)</f>
        <v>Enschede</v>
      </c>
      <c r="F578" s="183"/>
      <c r="G578" s="99" t="s">
        <v>1714</v>
      </c>
      <c r="H578" s="99" t="s">
        <v>1735</v>
      </c>
      <c r="I578" s="183" t="s">
        <v>1649</v>
      </c>
      <c r="J578" s="99">
        <v>2</v>
      </c>
      <c r="K578" s="183" t="str">
        <f>VLOOKUP(Ruimtestaat[[#This Row],[Ruimte code]],Ruimtegroepen[[#All],[Code]:[Ruimte omschrijving]],2,FALSE)</f>
        <v>Kantoren</v>
      </c>
      <c r="L578" s="99" t="s">
        <v>99</v>
      </c>
      <c r="M578" s="99" t="s">
        <v>36</v>
      </c>
      <c r="N578" s="177">
        <v>7.9</v>
      </c>
      <c r="O578" s="177"/>
      <c r="P578" s="178" t="str">
        <f>VLOOKUP(Ruimtestaat[[#This Row],[Ruimte code]],Ruimtegroepen[],4,FALSE)</f>
        <v>Bu</v>
      </c>
      <c r="Q578" s="149">
        <v>40</v>
      </c>
      <c r="R578" s="149" t="s">
        <v>18</v>
      </c>
      <c r="S578" s="285">
        <f>IF(Q578&gt;0,IF(RIGHT(Ruimtestaat[[#This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78" s="286">
        <f>IF(S578&gt;0,VLOOKUP($J578,Ruimtegroepen[],3,FALSE)*VLOOKUP($L578,Vloersoorten[],3,FALSE)*VLOOKUP($R578,Frequenties[],3,FALSE)*VLOOKUP($A578,Locaties[],3,FALSE),0)</f>
        <v>0</v>
      </c>
      <c r="U578" s="287">
        <f>Ruimtestaat[[#This Row],[Uitvoeringen werkdagen]]*Ruimtestaat[[#This Row],[Oppervlak (netto)]]</f>
        <v>948</v>
      </c>
      <c r="V578" s="288">
        <f>IF(T578&gt;0,Ruimtestaat[[#This Row],[Prest. (m2 /jaar) werkdagen]]/Ruimtestaat[[#This Row],[Norm (m2/uur) werkdagen]],0)</f>
        <v>0</v>
      </c>
      <c r="W578" s="289">
        <f>Ruimtestaat[[#This Row],[uren / jaar werkdagen]]*Tariefsopbouw!$E$35</f>
        <v>0</v>
      </c>
      <c r="X578" s="226"/>
      <c r="Y578" s="290">
        <f>IF(Ruimtestaat[[#This Row],[Frequentie weekend]]&gt;0,VALUE(LEFT(X578,1))*Q578,0)</f>
        <v>0</v>
      </c>
      <c r="Z578" s="287">
        <f>IF($Y578&gt;0,VLOOKUP($J578,Ruimtegroepen[],3,FALSE)*VLOOKUP($L578,Vloersoorten[],3,FALSE)*VLOOKUP($X578,Frequenties[],3,FALSE)*VLOOKUP(#REF!,Locaties[],3,FALSE),0)</f>
        <v>0</v>
      </c>
      <c r="AA578" s="291">
        <f>Ruimtestaat[[#This Row],[Uitvoeringen weekend]]*Ruimtestaat[[#This Row],[Oppervlak (netto)]]</f>
        <v>0</v>
      </c>
      <c r="AB578" s="291">
        <f>IF(Z578&gt;0,Ruimtestaat[[#This Row],[Prest. (m2 /jaar) weekend]]/Ruimtestaat[[#This Row],[Norm (m2/uur) weekend]],0)</f>
        <v>0</v>
      </c>
      <c r="AC578" s="180">
        <f>Ruimtestaat[[#This Row],[uren / jaar weekend]]*Tariefsopbouw!$D$40</f>
        <v>0</v>
      </c>
      <c r="AD578" s="179">
        <f>Ruimtestaat[[#This Row],[Prest. (m2 /jaar) weekend]]+Ruimtestaat[[#This Row],[Prest. (m2 /jaar) werkdagen]]</f>
        <v>948</v>
      </c>
      <c r="AE578" s="179">
        <f>Ruimtestaat[[#This Row],[uren / jaar weekend]]+Ruimtestaat[[#This Row],[uren / jaar werkdagen]]</f>
        <v>0</v>
      </c>
      <c r="AF578" s="174">
        <f>Ruimtestaat[[#This Row],[kosten / jaar weekend]]+Ruimtestaat[[#This Row],[kosten / jaar werkdagen]]</f>
        <v>0</v>
      </c>
      <c r="AG578" s="174"/>
      <c r="AH578" s="174" t="str">
        <f>IF(Ruimtestaat[[#This Row],[Frequentie werkdagen]]="","",_xlfn.CONCAT(Ruimtestaat[[#This Row],[Ruimte code]],"-",Ruimtestaat[[#This Row],[Frequentie werkdagen]]," ",Ruimtestaat[[#This Row],[Vloer code]]))</f>
        <v>2-3w T</v>
      </c>
      <c r="AI578" s="182" t="str">
        <f>_xlfn.IFNA(VLOOKUP($AH578,Programma!$F$3:$G$1101,2,0),"")</f>
        <v>2w</v>
      </c>
      <c r="AJ578" s="182" t="str">
        <f>_xlfn.IFNA(VLOOKUP($AH578,Programma!$F$3:$H$1101,3,0),"")</f>
        <v>1w</v>
      </c>
      <c r="AK578" s="182" t="str">
        <f>_xlfn.IFNA(VLOOKUP($AH578,Programma!$F$3:$I$1101,4,0),"")</f>
        <v>_</v>
      </c>
      <c r="AL578" s="182" t="str">
        <f>_xlfn.IFNA(VLOOKUP($AH578,Programma!$F$3:$J$1101,5,0),"")</f>
        <v>_</v>
      </c>
      <c r="AM578" s="182" t="str">
        <f>_xlfn.IFNA(VLOOKUP($AH578,Programma!$F$3:$K$1101,6,0),"")</f>
        <v>_</v>
      </c>
      <c r="AN578" s="182" t="str">
        <f>_xlfn.IFNA(VLOOKUP($AH578,Programma!$F$3:$L$1101,7,0),"")</f>
        <v>_</v>
      </c>
      <c r="AO578" s="182" t="str">
        <f>_xlfn.IFNA(VLOOKUP($AH578,Programma!$F$3:$M$1101,8,0),"")</f>
        <v>_</v>
      </c>
      <c r="AP578" s="182" t="str">
        <f>_xlfn.IFNA(VLOOKUP($AH578,Programma!$F$3:$N$1101,9,0),"")</f>
        <v>_</v>
      </c>
      <c r="AQ578" s="182" t="str">
        <f>_xlfn.IFNA(VLOOKUP($AH578,Programma!$F$3:$O$1101,10,0),"")</f>
        <v>3w</v>
      </c>
      <c r="AR578" s="182" t="str">
        <f>_xlfn.IFNA(VLOOKUP($AH578,Programma!$F$3:$P$1101,11,0),"")</f>
        <v>3w</v>
      </c>
      <c r="AS578" s="182" t="str">
        <f>_xlfn.IFNA(VLOOKUP($AH578,Programma!$F$3:$Q$1101,12,0),"")</f>
        <v>1w</v>
      </c>
      <c r="AT578" s="182" t="str">
        <f>_xlfn.IFNA(VLOOKUP($AH578,Programma!$F$3:$R$1101,13,0),"")</f>
        <v>1w</v>
      </c>
      <c r="AU578" s="182" t="str">
        <f>_xlfn.IFNA(VLOOKUP($AH578,Programma!$F$3:$S$1101,14,0),"")</f>
        <v>1m</v>
      </c>
      <c r="AV578" s="182" t="str">
        <f>_xlfn.IFNA(VLOOKUP($AH578,Programma!$F$3:$T$1101,15,0),"")</f>
        <v>2j</v>
      </c>
      <c r="AW578" s="182" t="str">
        <f>_xlfn.IFNA(VLOOKUP($AH578,Programma!$F$3:$U$1101,16,0),"")</f>
        <v>1j</v>
      </c>
      <c r="AX578" s="182" t="str">
        <f>_xlfn.IFNA(VLOOKUP($AH578,Programma!$F$3:$V$1101,17,0),"")</f>
        <v>_</v>
      </c>
      <c r="AY578" s="182" t="str">
        <f>_xlfn.IFNA(VLOOKUP($AH578,Programma!$F$3:$W$1101,18,0),"")</f>
        <v>_</v>
      </c>
      <c r="AZ578" s="182" t="str">
        <f>_xlfn.IFNA(VLOOKUP($AH578,Programma!$F$3:$X$1101,19,0),"")</f>
        <v>_</v>
      </c>
      <c r="BA578" s="182" t="str">
        <f>_xlfn.IFNA(VLOOKUP($AH578,Programma!$F$3:$Y$1101,20,0),"")</f>
        <v>_</v>
      </c>
      <c r="BB578" s="182"/>
      <c r="BC578" s="174" t="str">
        <f>IF(Ruimtestaat[[#This Row],[Frequentie weekend]]="","",_xlfn.CONCAT(Ruimtestaat[[#This Row],[Ruimte code]],"-",Ruimtestaat[[#This Row],[Frequentie weekend]]," ",Ruimtestaat[[#This Row],[Vloer code]]))</f>
        <v/>
      </c>
      <c r="BD578" s="182" t="str">
        <f>_xlfn.IFNA(VLOOKUP($BC578,Programma!$F$3:$G$1101,2,0),"")</f>
        <v/>
      </c>
      <c r="BE578" s="182" t="str">
        <f>_xlfn.IFNA(VLOOKUP($BC578,Programma!$F$3:$H$1101,3,0),"")</f>
        <v/>
      </c>
      <c r="BF578" s="182" t="str">
        <f>_xlfn.IFNA(VLOOKUP($BC578,Programma!$F$3:$I$1101,4,0),"")</f>
        <v/>
      </c>
      <c r="BG578" s="182" t="str">
        <f>_xlfn.IFNA(VLOOKUP($BC578,Programma!$F$3:$J$1101,5,0),"")</f>
        <v/>
      </c>
      <c r="BH578" s="182" t="str">
        <f>_xlfn.IFNA(VLOOKUP($BC578,Programma!$F$3:$K$1101,6,0),"")</f>
        <v/>
      </c>
      <c r="BI578" s="182" t="str">
        <f>_xlfn.IFNA(VLOOKUP($BC578,Programma!$F$3:$L$1101,7,0),"")</f>
        <v/>
      </c>
      <c r="BJ578" s="182" t="str">
        <f>_xlfn.IFNA(VLOOKUP($BC578,Programma!$F$3:$M$1101,8,0),"")</f>
        <v/>
      </c>
      <c r="BK578" s="182" t="str">
        <f>_xlfn.IFNA(VLOOKUP($BC578,Programma!$F$3:$N$1101,9,0),"")</f>
        <v/>
      </c>
      <c r="BL578" s="182" t="str">
        <f>_xlfn.IFNA(VLOOKUP($BC578,Programma!$F$3:$O$1101,10,0),"")</f>
        <v/>
      </c>
      <c r="BM578" s="182" t="str">
        <f>_xlfn.IFNA(VLOOKUP($BC578,Programma!$F$3:$P$1101,11,0),"")</f>
        <v/>
      </c>
      <c r="BN578" s="182" t="str">
        <f>_xlfn.IFNA(VLOOKUP($BC578,Programma!$F$3:$Q$1101,12,0),"")</f>
        <v/>
      </c>
      <c r="BO578" s="182" t="str">
        <f>_xlfn.IFNA(VLOOKUP($BC578,Programma!$F$3:$R$1101,13,0),"")</f>
        <v/>
      </c>
      <c r="BP578" s="182" t="str">
        <f>_xlfn.IFNA(VLOOKUP($BC578,Programma!$F$3:$S$1101,14,0),"")</f>
        <v/>
      </c>
      <c r="BQ578" s="182" t="str">
        <f>_xlfn.IFNA(VLOOKUP($BC578,Programma!$F$3:$T$1101,15,0),"")</f>
        <v/>
      </c>
      <c r="BR578" s="182" t="str">
        <f>_xlfn.IFNA(VLOOKUP($BC578,Programma!$F$3:$U$1101,16,0),"")</f>
        <v/>
      </c>
      <c r="BS578" s="182" t="str">
        <f>_xlfn.IFNA(VLOOKUP($BC578,Programma!$F$3:$V$1101,17,0),"")</f>
        <v/>
      </c>
      <c r="BT578" s="182" t="str">
        <f>_xlfn.IFNA(VLOOKUP($BC578,Programma!$F$3:$W$1101,18,0),"")</f>
        <v/>
      </c>
      <c r="BU578" s="182" t="str">
        <f>_xlfn.IFNA(VLOOKUP($BC578,Programma!$F$3:$X$1101,19,0),"")</f>
        <v/>
      </c>
      <c r="BV578" s="182" t="str">
        <f>_xlfn.IFNA(VLOOKUP($BC578,Programma!$F$3:$Y$1101,20,0),"")</f>
        <v/>
      </c>
    </row>
    <row r="579" spans="1:74" ht="15" customHeight="1">
      <c r="A579" s="99">
        <v>16</v>
      </c>
      <c r="B579" s="176" t="str">
        <f>VLOOKUP(Ruimtestaat[[#This Row],[Code]],Locaties[[Code]:[Locatie]],2,FALSE)</f>
        <v>SBO Het Pontem (College)</v>
      </c>
      <c r="C579" s="176" t="str">
        <f>VLOOKUP(Ruimtestaat[[#This Row],[Code]],Locaties[[#All],[Code]:[Adres]],4,FALSE)</f>
        <v>Poolmansweg 245</v>
      </c>
      <c r="D579" s="176" t="str">
        <f>VLOOKUP(Ruimtestaat[[#This Row],[Code]],Locaties[[#All],[Code]:[Postcode]],5,FALSE)</f>
        <v>7545 LR</v>
      </c>
      <c r="E579" s="176" t="str">
        <f>VLOOKUP(Ruimtestaat[[#This Row],[Code]],Locaties[#All],6,FALSE)</f>
        <v>Enschede</v>
      </c>
      <c r="F579" s="183"/>
      <c r="G579" s="99" t="s">
        <v>1714</v>
      </c>
      <c r="H579" s="99" t="s">
        <v>1736</v>
      </c>
      <c r="I579" s="183" t="s">
        <v>1651</v>
      </c>
      <c r="J579" s="99">
        <v>16</v>
      </c>
      <c r="K579" s="183" t="str">
        <f>VLOOKUP(Ruimtestaat[[#This Row],[Ruimte code]],Ruimtegroepen[[#All],[Code]:[Ruimte omschrijving]],2,FALSE)</f>
        <v>Leslokalen</v>
      </c>
      <c r="L579" s="99" t="s">
        <v>100</v>
      </c>
      <c r="M579" s="99" t="s">
        <v>1697</v>
      </c>
      <c r="N579" s="177">
        <v>56.5</v>
      </c>
      <c r="O579" s="177"/>
      <c r="P579" s="178" t="str">
        <f>VLOOKUP(Ruimtestaat[[#This Row],[Ruimte code]],Ruimtegroepen[],4,FALSE)</f>
        <v>Le</v>
      </c>
      <c r="Q579" s="149">
        <v>40</v>
      </c>
      <c r="R579" s="149" t="s">
        <v>2</v>
      </c>
      <c r="S579" s="285">
        <f>IF(Q579&gt;0,IF(RIGHT(Ruimtestaat[[#This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9" s="286">
        <f>IF(S579&gt;0,VLOOKUP($J579,Ruimtegroepen[],3,FALSE)*VLOOKUP($L579,Vloersoorten[],3,FALSE)*VLOOKUP($R579,Frequenties[],3,FALSE)*VLOOKUP($A579,Locaties[],3,FALSE),0)</f>
        <v>0</v>
      </c>
      <c r="U579" s="287">
        <f>Ruimtestaat[[#This Row],[Uitvoeringen werkdagen]]*Ruimtestaat[[#This Row],[Oppervlak (netto)]]</f>
        <v>11300</v>
      </c>
      <c r="V579" s="288">
        <f>IF(T579&gt;0,Ruimtestaat[[#This Row],[Prest. (m2 /jaar) werkdagen]]/Ruimtestaat[[#This Row],[Norm (m2/uur) werkdagen]],0)</f>
        <v>0</v>
      </c>
      <c r="W579" s="289">
        <f>Ruimtestaat[[#This Row],[uren / jaar werkdagen]]*Tariefsopbouw!$E$35</f>
        <v>0</v>
      </c>
      <c r="X579" s="226"/>
      <c r="Y579" s="290">
        <f>IF(Ruimtestaat[[#This Row],[Frequentie weekend]]&gt;0,VALUE(LEFT(X579,1))*Q579,0)</f>
        <v>0</v>
      </c>
      <c r="Z579" s="287">
        <f>IF($Y579&gt;0,VLOOKUP($J579,Ruimtegroepen[],3,FALSE)*VLOOKUP($L579,Vloersoorten[],3,FALSE)*VLOOKUP($X579,Frequenties[],3,FALSE)*VLOOKUP(#REF!,Locaties[],3,FALSE),0)</f>
        <v>0</v>
      </c>
      <c r="AA579" s="291">
        <f>Ruimtestaat[[#This Row],[Uitvoeringen weekend]]*Ruimtestaat[[#This Row],[Oppervlak (netto)]]</f>
        <v>0</v>
      </c>
      <c r="AB579" s="291">
        <f>IF(Z579&gt;0,Ruimtestaat[[#This Row],[Prest. (m2 /jaar) weekend]]/Ruimtestaat[[#This Row],[Norm (m2/uur) weekend]],0)</f>
        <v>0</v>
      </c>
      <c r="AC579" s="180">
        <f>Ruimtestaat[[#This Row],[uren / jaar weekend]]*Tariefsopbouw!$D$40</f>
        <v>0</v>
      </c>
      <c r="AD579" s="179">
        <f>Ruimtestaat[[#This Row],[Prest. (m2 /jaar) weekend]]+Ruimtestaat[[#This Row],[Prest. (m2 /jaar) werkdagen]]</f>
        <v>11300</v>
      </c>
      <c r="AE579" s="179">
        <f>Ruimtestaat[[#This Row],[uren / jaar weekend]]+Ruimtestaat[[#This Row],[uren / jaar werkdagen]]</f>
        <v>0</v>
      </c>
      <c r="AF579" s="174">
        <f>Ruimtestaat[[#This Row],[kosten / jaar weekend]]+Ruimtestaat[[#This Row],[kosten / jaar werkdagen]]</f>
        <v>0</v>
      </c>
      <c r="AG579" s="174"/>
      <c r="AH579" s="174" t="str">
        <f>IF(Ruimtestaat[[#This Row],[Frequentie werkdagen]]="","",_xlfn.CONCAT(Ruimtestaat[[#This Row],[Ruimte code]],"-",Ruimtestaat[[#This Row],[Frequentie werkdagen]]," ",Ruimtestaat[[#This Row],[Vloer code]]))</f>
        <v>16-5w L</v>
      </c>
      <c r="AI579" s="182" t="str">
        <f>_xlfn.IFNA(VLOOKUP($AH579,Programma!$F$3:$G$1101,2,0),"")</f>
        <v>_</v>
      </c>
      <c r="AJ579" s="182" t="str">
        <f>_xlfn.IFNA(VLOOKUP($AH579,Programma!$F$3:$H$1101,3,0),"")</f>
        <v>_</v>
      </c>
      <c r="AK579" s="182" t="str">
        <f>_xlfn.IFNA(VLOOKUP($AH579,Programma!$F$3:$I$1101,4,0),"")</f>
        <v>4w</v>
      </c>
      <c r="AL579" s="182" t="str">
        <f>_xlfn.IFNA(VLOOKUP($AH579,Programma!$F$3:$J$1101,5,0),"")</f>
        <v>1w</v>
      </c>
      <c r="AM579" s="182" t="str">
        <f>_xlfn.IFNA(VLOOKUP($AH579,Programma!$F$3:$K$1101,6,0),"")</f>
        <v>_</v>
      </c>
      <c r="AN579" s="182" t="str">
        <f>_xlfn.IFNA(VLOOKUP($AH579,Programma!$F$3:$L$1101,7,0),"")</f>
        <v>_</v>
      </c>
      <c r="AO579" s="182" t="str">
        <f>_xlfn.IFNA(VLOOKUP($AH579,Programma!$F$3:$M$1101,8,0),"")</f>
        <v>_</v>
      </c>
      <c r="AP579" s="182" t="str">
        <f>_xlfn.IFNA(VLOOKUP($AH579,Programma!$F$3:$N$1101,9,0),"")</f>
        <v>_</v>
      </c>
      <c r="AQ579" s="182" t="str">
        <f>_xlfn.IFNA(VLOOKUP($AH579,Programma!$F$3:$O$1101,10,0),"")</f>
        <v>5w</v>
      </c>
      <c r="AR579" s="182" t="str">
        <f>_xlfn.IFNA(VLOOKUP($AH579,Programma!$F$3:$P$1101,11,0),"")</f>
        <v>5w</v>
      </c>
      <c r="AS579" s="182" t="str">
        <f>_xlfn.IFNA(VLOOKUP($AH579,Programma!$F$3:$Q$1101,12,0),"")</f>
        <v>1w</v>
      </c>
      <c r="AT579" s="182" t="str">
        <f>_xlfn.IFNA(VLOOKUP($AH579,Programma!$F$3:$R$1101,13,0),"")</f>
        <v>1w</v>
      </c>
      <c r="AU579" s="182" t="str">
        <f>_xlfn.IFNA(VLOOKUP($AH579,Programma!$F$3:$S$1101,14,0),"")</f>
        <v>1m</v>
      </c>
      <c r="AV579" s="182" t="str">
        <f>_xlfn.IFNA(VLOOKUP($AH579,Programma!$F$3:$T$1101,15,0),"")</f>
        <v>2j</v>
      </c>
      <c r="AW579" s="182" t="str">
        <f>_xlfn.IFNA(VLOOKUP($AH579,Programma!$F$3:$U$1101,16,0),"")</f>
        <v>1j</v>
      </c>
      <c r="AX579" s="182" t="str">
        <f>_xlfn.IFNA(VLOOKUP($AH579,Programma!$F$3:$V$1101,17,0),"")</f>
        <v>_</v>
      </c>
      <c r="AY579" s="182" t="str">
        <f>_xlfn.IFNA(VLOOKUP($AH579,Programma!$F$3:$W$1101,18,0),"")</f>
        <v>_</v>
      </c>
      <c r="AZ579" s="182" t="str">
        <f>_xlfn.IFNA(VLOOKUP($AH579,Programma!$F$3:$X$1101,19,0),"")</f>
        <v>_</v>
      </c>
      <c r="BA579" s="182" t="str">
        <f>_xlfn.IFNA(VLOOKUP($AH579,Programma!$F$3:$Y$1101,20,0),"")</f>
        <v>_</v>
      </c>
      <c r="BB579" s="182"/>
      <c r="BC579" s="174" t="str">
        <f>IF(Ruimtestaat[[#This Row],[Frequentie weekend]]="","",_xlfn.CONCAT(Ruimtestaat[[#This Row],[Ruimte code]],"-",Ruimtestaat[[#This Row],[Frequentie weekend]]," ",Ruimtestaat[[#This Row],[Vloer code]]))</f>
        <v/>
      </c>
      <c r="BD579" s="182" t="str">
        <f>_xlfn.IFNA(VLOOKUP($BC579,Programma!$F$3:$G$1101,2,0),"")</f>
        <v/>
      </c>
      <c r="BE579" s="182" t="str">
        <f>_xlfn.IFNA(VLOOKUP($BC579,Programma!$F$3:$H$1101,3,0),"")</f>
        <v/>
      </c>
      <c r="BF579" s="182" t="str">
        <f>_xlfn.IFNA(VLOOKUP($BC579,Programma!$F$3:$I$1101,4,0),"")</f>
        <v/>
      </c>
      <c r="BG579" s="182" t="str">
        <f>_xlfn.IFNA(VLOOKUP($BC579,Programma!$F$3:$J$1101,5,0),"")</f>
        <v/>
      </c>
      <c r="BH579" s="182" t="str">
        <f>_xlfn.IFNA(VLOOKUP($BC579,Programma!$F$3:$K$1101,6,0),"")</f>
        <v/>
      </c>
      <c r="BI579" s="182" t="str">
        <f>_xlfn.IFNA(VLOOKUP($BC579,Programma!$F$3:$L$1101,7,0),"")</f>
        <v/>
      </c>
      <c r="BJ579" s="182" t="str">
        <f>_xlfn.IFNA(VLOOKUP($BC579,Programma!$F$3:$M$1101,8,0),"")</f>
        <v/>
      </c>
      <c r="BK579" s="182" t="str">
        <f>_xlfn.IFNA(VLOOKUP($BC579,Programma!$F$3:$N$1101,9,0),"")</f>
        <v/>
      </c>
      <c r="BL579" s="182" t="str">
        <f>_xlfn.IFNA(VLOOKUP($BC579,Programma!$F$3:$O$1101,10,0),"")</f>
        <v/>
      </c>
      <c r="BM579" s="182" t="str">
        <f>_xlfn.IFNA(VLOOKUP($BC579,Programma!$F$3:$P$1101,11,0),"")</f>
        <v/>
      </c>
      <c r="BN579" s="182" t="str">
        <f>_xlfn.IFNA(VLOOKUP($BC579,Programma!$F$3:$Q$1101,12,0),"")</f>
        <v/>
      </c>
      <c r="BO579" s="182" t="str">
        <f>_xlfn.IFNA(VLOOKUP($BC579,Programma!$F$3:$R$1101,13,0),"")</f>
        <v/>
      </c>
      <c r="BP579" s="182" t="str">
        <f>_xlfn.IFNA(VLOOKUP($BC579,Programma!$F$3:$S$1101,14,0),"")</f>
        <v/>
      </c>
      <c r="BQ579" s="182" t="str">
        <f>_xlfn.IFNA(VLOOKUP($BC579,Programma!$F$3:$T$1101,15,0),"")</f>
        <v/>
      </c>
      <c r="BR579" s="182" t="str">
        <f>_xlfn.IFNA(VLOOKUP($BC579,Programma!$F$3:$U$1101,16,0),"")</f>
        <v/>
      </c>
      <c r="BS579" s="182" t="str">
        <f>_xlfn.IFNA(VLOOKUP($BC579,Programma!$F$3:$V$1101,17,0),"")</f>
        <v/>
      </c>
      <c r="BT579" s="182" t="str">
        <f>_xlfn.IFNA(VLOOKUP($BC579,Programma!$F$3:$W$1101,18,0),"")</f>
        <v/>
      </c>
      <c r="BU579" s="182" t="str">
        <f>_xlfn.IFNA(VLOOKUP($BC579,Programma!$F$3:$X$1101,19,0),"")</f>
        <v/>
      </c>
      <c r="BV579" s="182" t="str">
        <f>_xlfn.IFNA(VLOOKUP($BC579,Programma!$F$3:$Y$1101,20,0),"")</f>
        <v/>
      </c>
    </row>
    <row r="580" spans="1:74" ht="15" customHeight="1">
      <c r="A580" s="99">
        <v>16</v>
      </c>
      <c r="B580" s="176" t="str">
        <f>VLOOKUP(Ruimtestaat[[#This Row],[Code]],Locaties[[Code]:[Locatie]],2,FALSE)</f>
        <v>SBO Het Pontem (College)</v>
      </c>
      <c r="C580" s="176" t="str">
        <f>VLOOKUP(Ruimtestaat[[#This Row],[Code]],Locaties[[#All],[Code]:[Adres]],4,FALSE)</f>
        <v>Poolmansweg 245</v>
      </c>
      <c r="D580" s="176" t="str">
        <f>VLOOKUP(Ruimtestaat[[#This Row],[Code]],Locaties[[#All],[Code]:[Postcode]],5,FALSE)</f>
        <v>7545 LR</v>
      </c>
      <c r="E580" s="176" t="str">
        <f>VLOOKUP(Ruimtestaat[[#This Row],[Code]],Locaties[#All],6,FALSE)</f>
        <v>Enschede</v>
      </c>
      <c r="F580" s="183"/>
      <c r="G580" s="99" t="s">
        <v>1714</v>
      </c>
      <c r="H580" s="99" t="s">
        <v>1737</v>
      </c>
      <c r="I580" s="183" t="s">
        <v>1655</v>
      </c>
      <c r="J580" s="99">
        <v>5</v>
      </c>
      <c r="K580" s="183" t="str">
        <f>VLOOKUP(Ruimtestaat[[#This Row],[Ruimte code]],Ruimtegroepen[[#All],[Code]:[Ruimte omschrijving]],2,FALSE)</f>
        <v>Sanitair</v>
      </c>
      <c r="L580" s="99" t="s">
        <v>101</v>
      </c>
      <c r="M580" s="99" t="s">
        <v>1682</v>
      </c>
      <c r="N580" s="177">
        <v>1.4</v>
      </c>
      <c r="O580" s="177"/>
      <c r="P580" s="178" t="str">
        <f>VLOOKUP(Ruimtestaat[[#This Row],[Ruimte code]],Ruimtegroepen[],4,FALSE)</f>
        <v>Sa</v>
      </c>
      <c r="Q580" s="149">
        <v>40</v>
      </c>
      <c r="R580" s="149" t="s">
        <v>2</v>
      </c>
      <c r="S580" s="285">
        <f>IF(Q580&gt;0,IF(RIGHT(Ruimtestaat[[#This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0" s="286">
        <f>IF(S580&gt;0,VLOOKUP($J580,Ruimtegroepen[],3,FALSE)*VLOOKUP($L580,Vloersoorten[],3,FALSE)*VLOOKUP($R580,Frequenties[],3,FALSE)*VLOOKUP($A580,Locaties[],3,FALSE),0)</f>
        <v>0</v>
      </c>
      <c r="U580" s="287">
        <f>Ruimtestaat[[#This Row],[Uitvoeringen werkdagen]]*Ruimtestaat[[#This Row],[Oppervlak (netto)]]</f>
        <v>280</v>
      </c>
      <c r="V580" s="288">
        <f>IF(T580&gt;0,Ruimtestaat[[#This Row],[Prest. (m2 /jaar) werkdagen]]/Ruimtestaat[[#This Row],[Norm (m2/uur) werkdagen]],0)</f>
        <v>0</v>
      </c>
      <c r="W580" s="289">
        <f>Ruimtestaat[[#This Row],[uren / jaar werkdagen]]*Tariefsopbouw!$E$35</f>
        <v>0</v>
      </c>
      <c r="X580" s="226"/>
      <c r="Y580" s="290">
        <f>IF(Ruimtestaat[[#This Row],[Frequentie weekend]]&gt;0,VALUE(LEFT(X580,1))*Q580,0)</f>
        <v>0</v>
      </c>
      <c r="Z580" s="287">
        <f>IF($Y580&gt;0,VLOOKUP($J580,Ruimtegroepen[],3,FALSE)*VLOOKUP($L580,Vloersoorten[],3,FALSE)*VLOOKUP($X580,Frequenties[],3,FALSE)*VLOOKUP(#REF!,Locaties[],3,FALSE),0)</f>
        <v>0</v>
      </c>
      <c r="AA580" s="291">
        <f>Ruimtestaat[[#This Row],[Uitvoeringen weekend]]*Ruimtestaat[[#This Row],[Oppervlak (netto)]]</f>
        <v>0</v>
      </c>
      <c r="AB580" s="291">
        <f>IF(Z580&gt;0,Ruimtestaat[[#This Row],[Prest. (m2 /jaar) weekend]]/Ruimtestaat[[#This Row],[Norm (m2/uur) weekend]],0)</f>
        <v>0</v>
      </c>
      <c r="AC580" s="180">
        <f>Ruimtestaat[[#This Row],[uren / jaar weekend]]*Tariefsopbouw!$D$40</f>
        <v>0</v>
      </c>
      <c r="AD580" s="179">
        <f>Ruimtestaat[[#This Row],[Prest. (m2 /jaar) weekend]]+Ruimtestaat[[#This Row],[Prest. (m2 /jaar) werkdagen]]</f>
        <v>280</v>
      </c>
      <c r="AE580" s="179">
        <f>Ruimtestaat[[#This Row],[uren / jaar weekend]]+Ruimtestaat[[#This Row],[uren / jaar werkdagen]]</f>
        <v>0</v>
      </c>
      <c r="AF580" s="174">
        <f>Ruimtestaat[[#This Row],[kosten / jaar weekend]]+Ruimtestaat[[#This Row],[kosten / jaar werkdagen]]</f>
        <v>0</v>
      </c>
      <c r="AG580" s="174"/>
      <c r="AH580" s="174" t="str">
        <f>IF(Ruimtestaat[[#This Row],[Frequentie werkdagen]]="","",_xlfn.CONCAT(Ruimtestaat[[#This Row],[Ruimte code]],"-",Ruimtestaat[[#This Row],[Frequentie werkdagen]]," ",Ruimtestaat[[#This Row],[Vloer code]]))</f>
        <v>5-5w S</v>
      </c>
      <c r="AI580" s="182" t="str">
        <f>_xlfn.IFNA(VLOOKUP($AH580,Programma!$F$3:$G$1101,2,0),"")</f>
        <v>_</v>
      </c>
      <c r="AJ580" s="182" t="str">
        <f>_xlfn.IFNA(VLOOKUP($AH580,Programma!$F$3:$H$1101,3,0),"")</f>
        <v>_</v>
      </c>
      <c r="AK580" s="182" t="str">
        <f>_xlfn.IFNA(VLOOKUP($AH580,Programma!$F$3:$I$1101,4,0),"")</f>
        <v>_</v>
      </c>
      <c r="AL580" s="182" t="str">
        <f>_xlfn.IFNA(VLOOKUP($AH580,Programma!$F$3:$J$1101,5,0),"")</f>
        <v>4w</v>
      </c>
      <c r="AM580" s="182" t="str">
        <f>_xlfn.IFNA(VLOOKUP($AH580,Programma!$F$3:$K$1101,6,0),"")</f>
        <v>1w</v>
      </c>
      <c r="AN580" s="182" t="str">
        <f>_xlfn.IFNA(VLOOKUP($AH580,Programma!$F$3:$L$1101,7,0),"")</f>
        <v>_</v>
      </c>
      <c r="AO580" s="182" t="str">
        <f>_xlfn.IFNA(VLOOKUP($AH580,Programma!$F$3:$M$1101,8,0),"")</f>
        <v>_</v>
      </c>
      <c r="AP580" s="182" t="str">
        <f>_xlfn.IFNA(VLOOKUP($AH580,Programma!$F$3:$N$1101,9,0),"")</f>
        <v>_</v>
      </c>
      <c r="AQ580" s="182" t="str">
        <f>_xlfn.IFNA(VLOOKUP($AH580,Programma!$F$3:$O$1101,10,0),"")</f>
        <v>_</v>
      </c>
      <c r="AR580" s="182" t="str">
        <f>_xlfn.IFNA(VLOOKUP($AH580,Programma!$F$3:$P$1101,11,0),"")</f>
        <v>_</v>
      </c>
      <c r="AS580" s="182" t="str">
        <f>_xlfn.IFNA(VLOOKUP($AH580,Programma!$F$3:$Q$1101,12,0),"")</f>
        <v>_</v>
      </c>
      <c r="AT580" s="182" t="str">
        <f>_xlfn.IFNA(VLOOKUP($AH580,Programma!$F$3:$R$1101,13,0),"")</f>
        <v>_</v>
      </c>
      <c r="AU580" s="182" t="str">
        <f>_xlfn.IFNA(VLOOKUP($AH580,Programma!$F$3:$S$1101,14,0),"")</f>
        <v>_</v>
      </c>
      <c r="AV580" s="182" t="str">
        <f>_xlfn.IFNA(VLOOKUP($AH580,Programma!$F$3:$T$1101,15,0),"")</f>
        <v>_</v>
      </c>
      <c r="AW580" s="182" t="str">
        <f>_xlfn.IFNA(VLOOKUP($AH580,Programma!$F$3:$U$1101,16,0),"")</f>
        <v>_</v>
      </c>
      <c r="AX580" s="182" t="str">
        <f>_xlfn.IFNA(VLOOKUP($AH580,Programma!$F$3:$V$1101,17,0),"")</f>
        <v>_</v>
      </c>
      <c r="AY580" s="182" t="str">
        <f>_xlfn.IFNA(VLOOKUP($AH580,Programma!$F$3:$W$1101,18,0),"")</f>
        <v>4w</v>
      </c>
      <c r="AZ580" s="182" t="str">
        <f>_xlfn.IFNA(VLOOKUP($AH580,Programma!$F$3:$X$1101,19,0),"")</f>
        <v>1w</v>
      </c>
      <c r="BA580" s="182" t="str">
        <f>_xlfn.IFNA(VLOOKUP($AH580,Programma!$F$3:$Y$1101,20,0),"")</f>
        <v>_</v>
      </c>
      <c r="BB580" s="182"/>
      <c r="BC580" s="174" t="str">
        <f>IF(Ruimtestaat[[#This Row],[Frequentie weekend]]="","",_xlfn.CONCAT(Ruimtestaat[[#This Row],[Ruimte code]],"-",Ruimtestaat[[#This Row],[Frequentie weekend]]," ",Ruimtestaat[[#This Row],[Vloer code]]))</f>
        <v/>
      </c>
      <c r="BD580" s="182" t="str">
        <f>_xlfn.IFNA(VLOOKUP($BC580,Programma!$F$3:$G$1101,2,0),"")</f>
        <v/>
      </c>
      <c r="BE580" s="182" t="str">
        <f>_xlfn.IFNA(VLOOKUP($BC580,Programma!$F$3:$H$1101,3,0),"")</f>
        <v/>
      </c>
      <c r="BF580" s="182" t="str">
        <f>_xlfn.IFNA(VLOOKUP($BC580,Programma!$F$3:$I$1101,4,0),"")</f>
        <v/>
      </c>
      <c r="BG580" s="182" t="str">
        <f>_xlfn.IFNA(VLOOKUP($BC580,Programma!$F$3:$J$1101,5,0),"")</f>
        <v/>
      </c>
      <c r="BH580" s="182" t="str">
        <f>_xlfn.IFNA(VLOOKUP($BC580,Programma!$F$3:$K$1101,6,0),"")</f>
        <v/>
      </c>
      <c r="BI580" s="182" t="str">
        <f>_xlfn.IFNA(VLOOKUP($BC580,Programma!$F$3:$L$1101,7,0),"")</f>
        <v/>
      </c>
      <c r="BJ580" s="182" t="str">
        <f>_xlfn.IFNA(VLOOKUP($BC580,Programma!$F$3:$M$1101,8,0),"")</f>
        <v/>
      </c>
      <c r="BK580" s="182" t="str">
        <f>_xlfn.IFNA(VLOOKUP($BC580,Programma!$F$3:$N$1101,9,0),"")</f>
        <v/>
      </c>
      <c r="BL580" s="182" t="str">
        <f>_xlfn.IFNA(VLOOKUP($BC580,Programma!$F$3:$O$1101,10,0),"")</f>
        <v/>
      </c>
      <c r="BM580" s="182" t="str">
        <f>_xlfn.IFNA(VLOOKUP($BC580,Programma!$F$3:$P$1101,11,0),"")</f>
        <v/>
      </c>
      <c r="BN580" s="182" t="str">
        <f>_xlfn.IFNA(VLOOKUP($BC580,Programma!$F$3:$Q$1101,12,0),"")</f>
        <v/>
      </c>
      <c r="BO580" s="182" t="str">
        <f>_xlfn.IFNA(VLOOKUP($BC580,Programma!$F$3:$R$1101,13,0),"")</f>
        <v/>
      </c>
      <c r="BP580" s="182" t="str">
        <f>_xlfn.IFNA(VLOOKUP($BC580,Programma!$F$3:$S$1101,14,0),"")</f>
        <v/>
      </c>
      <c r="BQ580" s="182" t="str">
        <f>_xlfn.IFNA(VLOOKUP($BC580,Programma!$F$3:$T$1101,15,0),"")</f>
        <v/>
      </c>
      <c r="BR580" s="182" t="str">
        <f>_xlfn.IFNA(VLOOKUP($BC580,Programma!$F$3:$U$1101,16,0),"")</f>
        <v/>
      </c>
      <c r="BS580" s="182" t="str">
        <f>_xlfn.IFNA(VLOOKUP($BC580,Programma!$F$3:$V$1101,17,0),"")</f>
        <v/>
      </c>
      <c r="BT580" s="182" t="str">
        <f>_xlfn.IFNA(VLOOKUP($BC580,Programma!$F$3:$W$1101,18,0),"")</f>
        <v/>
      </c>
      <c r="BU580" s="182" t="str">
        <f>_xlfn.IFNA(VLOOKUP($BC580,Programma!$F$3:$X$1101,19,0),"")</f>
        <v/>
      </c>
      <c r="BV580" s="182" t="str">
        <f>_xlfn.IFNA(VLOOKUP($BC580,Programma!$F$3:$Y$1101,20,0),"")</f>
        <v/>
      </c>
    </row>
    <row r="581" spans="1:74" ht="15" customHeight="1">
      <c r="A581" s="99">
        <v>16</v>
      </c>
      <c r="B581" s="176" t="str">
        <f>VLOOKUP(Ruimtestaat[[#This Row],[Code]],Locaties[[Code]:[Locatie]],2,FALSE)</f>
        <v>SBO Het Pontem (College)</v>
      </c>
      <c r="C581" s="176" t="str">
        <f>VLOOKUP(Ruimtestaat[[#This Row],[Code]],Locaties[[#All],[Code]:[Adres]],4,FALSE)</f>
        <v>Poolmansweg 245</v>
      </c>
      <c r="D581" s="176" t="str">
        <f>VLOOKUP(Ruimtestaat[[#This Row],[Code]],Locaties[[#All],[Code]:[Postcode]],5,FALSE)</f>
        <v>7545 LR</v>
      </c>
      <c r="E581" s="176" t="str">
        <f>VLOOKUP(Ruimtestaat[[#This Row],[Code]],Locaties[#All],6,FALSE)</f>
        <v>Enschede</v>
      </c>
      <c r="F581" s="183"/>
      <c r="G581" s="99" t="s">
        <v>1714</v>
      </c>
      <c r="H581" s="99" t="s">
        <v>1738</v>
      </c>
      <c r="I581" s="183" t="s">
        <v>1655</v>
      </c>
      <c r="J581" s="99">
        <v>5</v>
      </c>
      <c r="K581" s="183" t="str">
        <f>VLOOKUP(Ruimtestaat[[#This Row],[Ruimte code]],Ruimtegroepen[[#All],[Code]:[Ruimte omschrijving]],2,FALSE)</f>
        <v>Sanitair</v>
      </c>
      <c r="L581" s="99" t="s">
        <v>101</v>
      </c>
      <c r="M581" s="99" t="s">
        <v>1682</v>
      </c>
      <c r="N581" s="177">
        <v>8.1</v>
      </c>
      <c r="O581" s="177"/>
      <c r="P581" s="178" t="str">
        <f>VLOOKUP(Ruimtestaat[[#This Row],[Ruimte code]],Ruimtegroepen[],4,FALSE)</f>
        <v>Sa</v>
      </c>
      <c r="Q581" s="149">
        <v>40</v>
      </c>
      <c r="R581" s="149" t="s">
        <v>2</v>
      </c>
      <c r="S581" s="285">
        <f>IF(Q581&gt;0,IF(RIGHT(Ruimtestaat[[#This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1" s="286">
        <f>IF(S581&gt;0,VLOOKUP($J581,Ruimtegroepen[],3,FALSE)*VLOOKUP($L581,Vloersoorten[],3,FALSE)*VLOOKUP($R581,Frequenties[],3,FALSE)*VLOOKUP($A581,Locaties[],3,FALSE),0)</f>
        <v>0</v>
      </c>
      <c r="U581" s="287">
        <f>Ruimtestaat[[#This Row],[Uitvoeringen werkdagen]]*Ruimtestaat[[#This Row],[Oppervlak (netto)]]</f>
        <v>1620</v>
      </c>
      <c r="V581" s="288">
        <f>IF(T581&gt;0,Ruimtestaat[[#This Row],[Prest. (m2 /jaar) werkdagen]]/Ruimtestaat[[#This Row],[Norm (m2/uur) werkdagen]],0)</f>
        <v>0</v>
      </c>
      <c r="W581" s="289">
        <f>Ruimtestaat[[#This Row],[uren / jaar werkdagen]]*Tariefsopbouw!$E$35</f>
        <v>0</v>
      </c>
      <c r="X581" s="226"/>
      <c r="Y581" s="290">
        <f>IF(Ruimtestaat[[#This Row],[Frequentie weekend]]&gt;0,VALUE(LEFT(X581,1))*Q581,0)</f>
        <v>0</v>
      </c>
      <c r="Z581" s="287">
        <f>IF($Y581&gt;0,VLOOKUP($J581,Ruimtegroepen[],3,FALSE)*VLOOKUP($L581,Vloersoorten[],3,FALSE)*VLOOKUP($X581,Frequenties[],3,FALSE)*VLOOKUP(#REF!,Locaties[],3,FALSE),0)</f>
        <v>0</v>
      </c>
      <c r="AA581" s="291">
        <f>Ruimtestaat[[#This Row],[Uitvoeringen weekend]]*Ruimtestaat[[#This Row],[Oppervlak (netto)]]</f>
        <v>0</v>
      </c>
      <c r="AB581" s="291">
        <f>IF(Z581&gt;0,Ruimtestaat[[#This Row],[Prest. (m2 /jaar) weekend]]/Ruimtestaat[[#This Row],[Norm (m2/uur) weekend]],0)</f>
        <v>0</v>
      </c>
      <c r="AC581" s="180">
        <f>Ruimtestaat[[#This Row],[uren / jaar weekend]]*Tariefsopbouw!$D$40</f>
        <v>0</v>
      </c>
      <c r="AD581" s="179">
        <f>Ruimtestaat[[#This Row],[Prest. (m2 /jaar) weekend]]+Ruimtestaat[[#This Row],[Prest. (m2 /jaar) werkdagen]]</f>
        <v>1620</v>
      </c>
      <c r="AE581" s="179">
        <f>Ruimtestaat[[#This Row],[uren / jaar weekend]]+Ruimtestaat[[#This Row],[uren / jaar werkdagen]]</f>
        <v>0</v>
      </c>
      <c r="AF581" s="174">
        <f>Ruimtestaat[[#This Row],[kosten / jaar weekend]]+Ruimtestaat[[#This Row],[kosten / jaar werkdagen]]</f>
        <v>0</v>
      </c>
      <c r="AG581" s="174"/>
      <c r="AH581" s="174" t="str">
        <f>IF(Ruimtestaat[[#This Row],[Frequentie werkdagen]]="","",_xlfn.CONCAT(Ruimtestaat[[#This Row],[Ruimte code]],"-",Ruimtestaat[[#This Row],[Frequentie werkdagen]]," ",Ruimtestaat[[#This Row],[Vloer code]]))</f>
        <v>5-5w S</v>
      </c>
      <c r="AI581" s="182" t="str">
        <f>_xlfn.IFNA(VLOOKUP($AH581,Programma!$F$3:$G$1101,2,0),"")</f>
        <v>_</v>
      </c>
      <c r="AJ581" s="182" t="str">
        <f>_xlfn.IFNA(VLOOKUP($AH581,Programma!$F$3:$H$1101,3,0),"")</f>
        <v>_</v>
      </c>
      <c r="AK581" s="182" t="str">
        <f>_xlfn.IFNA(VLOOKUP($AH581,Programma!$F$3:$I$1101,4,0),"")</f>
        <v>_</v>
      </c>
      <c r="AL581" s="182" t="str">
        <f>_xlfn.IFNA(VLOOKUP($AH581,Programma!$F$3:$J$1101,5,0),"")</f>
        <v>4w</v>
      </c>
      <c r="AM581" s="182" t="str">
        <f>_xlfn.IFNA(VLOOKUP($AH581,Programma!$F$3:$K$1101,6,0),"")</f>
        <v>1w</v>
      </c>
      <c r="AN581" s="182" t="str">
        <f>_xlfn.IFNA(VLOOKUP($AH581,Programma!$F$3:$L$1101,7,0),"")</f>
        <v>_</v>
      </c>
      <c r="AO581" s="182" t="str">
        <f>_xlfn.IFNA(VLOOKUP($AH581,Programma!$F$3:$M$1101,8,0),"")</f>
        <v>_</v>
      </c>
      <c r="AP581" s="182" t="str">
        <f>_xlfn.IFNA(VLOOKUP($AH581,Programma!$F$3:$N$1101,9,0),"")</f>
        <v>_</v>
      </c>
      <c r="AQ581" s="182" t="str">
        <f>_xlfn.IFNA(VLOOKUP($AH581,Programma!$F$3:$O$1101,10,0),"")</f>
        <v>_</v>
      </c>
      <c r="AR581" s="182" t="str">
        <f>_xlfn.IFNA(VLOOKUP($AH581,Programma!$F$3:$P$1101,11,0),"")</f>
        <v>_</v>
      </c>
      <c r="AS581" s="182" t="str">
        <f>_xlfn.IFNA(VLOOKUP($AH581,Programma!$F$3:$Q$1101,12,0),"")</f>
        <v>_</v>
      </c>
      <c r="AT581" s="182" t="str">
        <f>_xlfn.IFNA(VLOOKUP($AH581,Programma!$F$3:$R$1101,13,0),"")</f>
        <v>_</v>
      </c>
      <c r="AU581" s="182" t="str">
        <f>_xlfn.IFNA(VLOOKUP($AH581,Programma!$F$3:$S$1101,14,0),"")</f>
        <v>_</v>
      </c>
      <c r="AV581" s="182" t="str">
        <f>_xlfn.IFNA(VLOOKUP($AH581,Programma!$F$3:$T$1101,15,0),"")</f>
        <v>_</v>
      </c>
      <c r="AW581" s="182" t="str">
        <f>_xlfn.IFNA(VLOOKUP($AH581,Programma!$F$3:$U$1101,16,0),"")</f>
        <v>_</v>
      </c>
      <c r="AX581" s="182" t="str">
        <f>_xlfn.IFNA(VLOOKUP($AH581,Programma!$F$3:$V$1101,17,0),"")</f>
        <v>_</v>
      </c>
      <c r="AY581" s="182" t="str">
        <f>_xlfn.IFNA(VLOOKUP($AH581,Programma!$F$3:$W$1101,18,0),"")</f>
        <v>4w</v>
      </c>
      <c r="AZ581" s="182" t="str">
        <f>_xlfn.IFNA(VLOOKUP($AH581,Programma!$F$3:$X$1101,19,0),"")</f>
        <v>1w</v>
      </c>
      <c r="BA581" s="182" t="str">
        <f>_xlfn.IFNA(VLOOKUP($AH581,Programma!$F$3:$Y$1101,20,0),"")</f>
        <v>_</v>
      </c>
      <c r="BB581" s="182"/>
      <c r="BC581" s="174" t="str">
        <f>IF(Ruimtestaat[[#This Row],[Frequentie weekend]]="","",_xlfn.CONCAT(Ruimtestaat[[#This Row],[Ruimte code]],"-",Ruimtestaat[[#This Row],[Frequentie weekend]]," ",Ruimtestaat[[#This Row],[Vloer code]]))</f>
        <v/>
      </c>
      <c r="BD581" s="182" t="str">
        <f>_xlfn.IFNA(VLOOKUP($BC581,Programma!$F$3:$G$1101,2,0),"")</f>
        <v/>
      </c>
      <c r="BE581" s="182" t="str">
        <f>_xlfn.IFNA(VLOOKUP($BC581,Programma!$F$3:$H$1101,3,0),"")</f>
        <v/>
      </c>
      <c r="BF581" s="182" t="str">
        <f>_xlfn.IFNA(VLOOKUP($BC581,Programma!$F$3:$I$1101,4,0),"")</f>
        <v/>
      </c>
      <c r="BG581" s="182" t="str">
        <f>_xlfn.IFNA(VLOOKUP($BC581,Programma!$F$3:$J$1101,5,0),"")</f>
        <v/>
      </c>
      <c r="BH581" s="182" t="str">
        <f>_xlfn.IFNA(VLOOKUP($BC581,Programma!$F$3:$K$1101,6,0),"")</f>
        <v/>
      </c>
      <c r="BI581" s="182" t="str">
        <f>_xlfn.IFNA(VLOOKUP($BC581,Programma!$F$3:$L$1101,7,0),"")</f>
        <v/>
      </c>
      <c r="BJ581" s="182" t="str">
        <f>_xlfn.IFNA(VLOOKUP($BC581,Programma!$F$3:$M$1101,8,0),"")</f>
        <v/>
      </c>
      <c r="BK581" s="182" t="str">
        <f>_xlfn.IFNA(VLOOKUP($BC581,Programma!$F$3:$N$1101,9,0),"")</f>
        <v/>
      </c>
      <c r="BL581" s="182" t="str">
        <f>_xlfn.IFNA(VLOOKUP($BC581,Programma!$F$3:$O$1101,10,0),"")</f>
        <v/>
      </c>
      <c r="BM581" s="182" t="str">
        <f>_xlfn.IFNA(VLOOKUP($BC581,Programma!$F$3:$P$1101,11,0),"")</f>
        <v/>
      </c>
      <c r="BN581" s="182" t="str">
        <f>_xlfn.IFNA(VLOOKUP($BC581,Programma!$F$3:$Q$1101,12,0),"")</f>
        <v/>
      </c>
      <c r="BO581" s="182" t="str">
        <f>_xlfn.IFNA(VLOOKUP($BC581,Programma!$F$3:$R$1101,13,0),"")</f>
        <v/>
      </c>
      <c r="BP581" s="182" t="str">
        <f>_xlfn.IFNA(VLOOKUP($BC581,Programma!$F$3:$S$1101,14,0),"")</f>
        <v/>
      </c>
      <c r="BQ581" s="182" t="str">
        <f>_xlfn.IFNA(VLOOKUP($BC581,Programma!$F$3:$T$1101,15,0),"")</f>
        <v/>
      </c>
      <c r="BR581" s="182" t="str">
        <f>_xlfn.IFNA(VLOOKUP($BC581,Programma!$F$3:$U$1101,16,0),"")</f>
        <v/>
      </c>
      <c r="BS581" s="182" t="str">
        <f>_xlfn.IFNA(VLOOKUP($BC581,Programma!$F$3:$V$1101,17,0),"")</f>
        <v/>
      </c>
      <c r="BT581" s="182" t="str">
        <f>_xlfn.IFNA(VLOOKUP($BC581,Programma!$F$3:$W$1101,18,0),"")</f>
        <v/>
      </c>
      <c r="BU581" s="182" t="str">
        <f>_xlfn.IFNA(VLOOKUP($BC581,Programma!$F$3:$X$1101,19,0),"")</f>
        <v/>
      </c>
      <c r="BV581" s="182" t="str">
        <f>_xlfn.IFNA(VLOOKUP($BC581,Programma!$F$3:$Y$1101,20,0),"")</f>
        <v/>
      </c>
    </row>
    <row r="582" spans="1:74" ht="15" customHeight="1">
      <c r="A582" s="99">
        <v>16</v>
      </c>
      <c r="B582" s="176" t="str">
        <f>VLOOKUP(Ruimtestaat[[#This Row],[Code]],Locaties[[Code]:[Locatie]],2,FALSE)</f>
        <v>SBO Het Pontem (College)</v>
      </c>
      <c r="C582" s="176" t="str">
        <f>VLOOKUP(Ruimtestaat[[#This Row],[Code]],Locaties[[#All],[Code]:[Adres]],4,FALSE)</f>
        <v>Poolmansweg 245</v>
      </c>
      <c r="D582" s="176" t="str">
        <f>VLOOKUP(Ruimtestaat[[#This Row],[Code]],Locaties[[#All],[Code]:[Postcode]],5,FALSE)</f>
        <v>7545 LR</v>
      </c>
      <c r="E582" s="176" t="str">
        <f>VLOOKUP(Ruimtestaat[[#This Row],[Code]],Locaties[#All],6,FALSE)</f>
        <v>Enschede</v>
      </c>
      <c r="F582" s="183"/>
      <c r="G582" s="99" t="s">
        <v>1714</v>
      </c>
      <c r="H582" s="99" t="s">
        <v>1739</v>
      </c>
      <c r="I582" s="183" t="s">
        <v>1651</v>
      </c>
      <c r="J582" s="99">
        <v>16</v>
      </c>
      <c r="K582" s="183" t="str">
        <f>VLOOKUP(Ruimtestaat[[#This Row],[Ruimte code]],Ruimtegroepen[[#All],[Code]:[Ruimte omschrijving]],2,FALSE)</f>
        <v>Leslokalen</v>
      </c>
      <c r="L582" s="99" t="s">
        <v>100</v>
      </c>
      <c r="M582" s="99" t="s">
        <v>1697</v>
      </c>
      <c r="N582" s="177">
        <v>58.2</v>
      </c>
      <c r="O582" s="177"/>
      <c r="P582" s="178" t="str">
        <f>VLOOKUP(Ruimtestaat[[#This Row],[Ruimte code]],Ruimtegroepen[],4,FALSE)</f>
        <v>Le</v>
      </c>
      <c r="Q582" s="149">
        <v>40</v>
      </c>
      <c r="R582" s="149" t="s">
        <v>2</v>
      </c>
      <c r="S582" s="285">
        <f>IF(Q582&gt;0,IF(RIGHT(Ruimtestaat[[#This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2" s="286">
        <f>IF(S582&gt;0,VLOOKUP($J582,Ruimtegroepen[],3,FALSE)*VLOOKUP($L582,Vloersoorten[],3,FALSE)*VLOOKUP($R582,Frequenties[],3,FALSE)*VLOOKUP($A582,Locaties[],3,FALSE),0)</f>
        <v>0</v>
      </c>
      <c r="U582" s="287">
        <f>Ruimtestaat[[#This Row],[Uitvoeringen werkdagen]]*Ruimtestaat[[#This Row],[Oppervlak (netto)]]</f>
        <v>11640</v>
      </c>
      <c r="V582" s="288">
        <f>IF(T582&gt;0,Ruimtestaat[[#This Row],[Prest. (m2 /jaar) werkdagen]]/Ruimtestaat[[#This Row],[Norm (m2/uur) werkdagen]],0)</f>
        <v>0</v>
      </c>
      <c r="W582" s="289">
        <f>Ruimtestaat[[#This Row],[uren / jaar werkdagen]]*Tariefsopbouw!$E$35</f>
        <v>0</v>
      </c>
      <c r="X582" s="226"/>
      <c r="Y582" s="290">
        <f>IF(Ruimtestaat[[#This Row],[Frequentie weekend]]&gt;0,VALUE(LEFT(X582,1))*Q582,0)</f>
        <v>0</v>
      </c>
      <c r="Z582" s="287">
        <f>IF($Y582&gt;0,VLOOKUP($J582,Ruimtegroepen[],3,FALSE)*VLOOKUP($L582,Vloersoorten[],3,FALSE)*VLOOKUP($X582,Frequenties[],3,FALSE)*VLOOKUP(#REF!,Locaties[],3,FALSE),0)</f>
        <v>0</v>
      </c>
      <c r="AA582" s="291">
        <f>Ruimtestaat[[#This Row],[Uitvoeringen weekend]]*Ruimtestaat[[#This Row],[Oppervlak (netto)]]</f>
        <v>0</v>
      </c>
      <c r="AB582" s="291">
        <f>IF(Z582&gt;0,Ruimtestaat[[#This Row],[Prest. (m2 /jaar) weekend]]/Ruimtestaat[[#This Row],[Norm (m2/uur) weekend]],0)</f>
        <v>0</v>
      </c>
      <c r="AC582" s="180">
        <f>Ruimtestaat[[#This Row],[uren / jaar weekend]]*Tariefsopbouw!$D$40</f>
        <v>0</v>
      </c>
      <c r="AD582" s="179">
        <f>Ruimtestaat[[#This Row],[Prest. (m2 /jaar) weekend]]+Ruimtestaat[[#This Row],[Prest. (m2 /jaar) werkdagen]]</f>
        <v>11640</v>
      </c>
      <c r="AE582" s="179">
        <f>Ruimtestaat[[#This Row],[uren / jaar weekend]]+Ruimtestaat[[#This Row],[uren / jaar werkdagen]]</f>
        <v>0</v>
      </c>
      <c r="AF582" s="174">
        <f>Ruimtestaat[[#This Row],[kosten / jaar weekend]]+Ruimtestaat[[#This Row],[kosten / jaar werkdagen]]</f>
        <v>0</v>
      </c>
      <c r="AG582" s="174"/>
      <c r="AH582" s="174" t="str">
        <f>IF(Ruimtestaat[[#This Row],[Frequentie werkdagen]]="","",_xlfn.CONCAT(Ruimtestaat[[#This Row],[Ruimte code]],"-",Ruimtestaat[[#This Row],[Frequentie werkdagen]]," ",Ruimtestaat[[#This Row],[Vloer code]]))</f>
        <v>16-5w L</v>
      </c>
      <c r="AI582" s="182" t="str">
        <f>_xlfn.IFNA(VLOOKUP($AH582,Programma!$F$3:$G$1101,2,0),"")</f>
        <v>_</v>
      </c>
      <c r="AJ582" s="182" t="str">
        <f>_xlfn.IFNA(VLOOKUP($AH582,Programma!$F$3:$H$1101,3,0),"")</f>
        <v>_</v>
      </c>
      <c r="AK582" s="182" t="str">
        <f>_xlfn.IFNA(VLOOKUP($AH582,Programma!$F$3:$I$1101,4,0),"")</f>
        <v>4w</v>
      </c>
      <c r="AL582" s="182" t="str">
        <f>_xlfn.IFNA(VLOOKUP($AH582,Programma!$F$3:$J$1101,5,0),"")</f>
        <v>1w</v>
      </c>
      <c r="AM582" s="182" t="str">
        <f>_xlfn.IFNA(VLOOKUP($AH582,Programma!$F$3:$K$1101,6,0),"")</f>
        <v>_</v>
      </c>
      <c r="AN582" s="182" t="str">
        <f>_xlfn.IFNA(VLOOKUP($AH582,Programma!$F$3:$L$1101,7,0),"")</f>
        <v>_</v>
      </c>
      <c r="AO582" s="182" t="str">
        <f>_xlfn.IFNA(VLOOKUP($AH582,Programma!$F$3:$M$1101,8,0),"")</f>
        <v>_</v>
      </c>
      <c r="AP582" s="182" t="str">
        <f>_xlfn.IFNA(VLOOKUP($AH582,Programma!$F$3:$N$1101,9,0),"")</f>
        <v>_</v>
      </c>
      <c r="AQ582" s="182" t="str">
        <f>_xlfn.IFNA(VLOOKUP($AH582,Programma!$F$3:$O$1101,10,0),"")</f>
        <v>5w</v>
      </c>
      <c r="AR582" s="182" t="str">
        <f>_xlfn.IFNA(VLOOKUP($AH582,Programma!$F$3:$P$1101,11,0),"")</f>
        <v>5w</v>
      </c>
      <c r="AS582" s="182" t="str">
        <f>_xlfn.IFNA(VLOOKUP($AH582,Programma!$F$3:$Q$1101,12,0),"")</f>
        <v>1w</v>
      </c>
      <c r="AT582" s="182" t="str">
        <f>_xlfn.IFNA(VLOOKUP($AH582,Programma!$F$3:$R$1101,13,0),"")</f>
        <v>1w</v>
      </c>
      <c r="AU582" s="182" t="str">
        <f>_xlfn.IFNA(VLOOKUP($AH582,Programma!$F$3:$S$1101,14,0),"")</f>
        <v>1m</v>
      </c>
      <c r="AV582" s="182" t="str">
        <f>_xlfn.IFNA(VLOOKUP($AH582,Programma!$F$3:$T$1101,15,0),"")</f>
        <v>2j</v>
      </c>
      <c r="AW582" s="182" t="str">
        <f>_xlfn.IFNA(VLOOKUP($AH582,Programma!$F$3:$U$1101,16,0),"")</f>
        <v>1j</v>
      </c>
      <c r="AX582" s="182" t="str">
        <f>_xlfn.IFNA(VLOOKUP($AH582,Programma!$F$3:$V$1101,17,0),"")</f>
        <v>_</v>
      </c>
      <c r="AY582" s="182" t="str">
        <f>_xlfn.IFNA(VLOOKUP($AH582,Programma!$F$3:$W$1101,18,0),"")</f>
        <v>_</v>
      </c>
      <c r="AZ582" s="182" t="str">
        <f>_xlfn.IFNA(VLOOKUP($AH582,Programma!$F$3:$X$1101,19,0),"")</f>
        <v>_</v>
      </c>
      <c r="BA582" s="182" t="str">
        <f>_xlfn.IFNA(VLOOKUP($AH582,Programma!$F$3:$Y$1101,20,0),"")</f>
        <v>_</v>
      </c>
      <c r="BB582" s="182"/>
      <c r="BC582" s="174" t="str">
        <f>IF(Ruimtestaat[[#This Row],[Frequentie weekend]]="","",_xlfn.CONCAT(Ruimtestaat[[#This Row],[Ruimte code]],"-",Ruimtestaat[[#This Row],[Frequentie weekend]]," ",Ruimtestaat[[#This Row],[Vloer code]]))</f>
        <v/>
      </c>
      <c r="BD582" s="182" t="str">
        <f>_xlfn.IFNA(VLOOKUP($BC582,Programma!$F$3:$G$1101,2,0),"")</f>
        <v/>
      </c>
      <c r="BE582" s="182" t="str">
        <f>_xlfn.IFNA(VLOOKUP($BC582,Programma!$F$3:$H$1101,3,0),"")</f>
        <v/>
      </c>
      <c r="BF582" s="182" t="str">
        <f>_xlfn.IFNA(VLOOKUP($BC582,Programma!$F$3:$I$1101,4,0),"")</f>
        <v/>
      </c>
      <c r="BG582" s="182" t="str">
        <f>_xlfn.IFNA(VLOOKUP($BC582,Programma!$F$3:$J$1101,5,0),"")</f>
        <v/>
      </c>
      <c r="BH582" s="182" t="str">
        <f>_xlfn.IFNA(VLOOKUP($BC582,Programma!$F$3:$K$1101,6,0),"")</f>
        <v/>
      </c>
      <c r="BI582" s="182" t="str">
        <f>_xlfn.IFNA(VLOOKUP($BC582,Programma!$F$3:$L$1101,7,0),"")</f>
        <v/>
      </c>
      <c r="BJ582" s="182" t="str">
        <f>_xlfn.IFNA(VLOOKUP($BC582,Programma!$F$3:$M$1101,8,0),"")</f>
        <v/>
      </c>
      <c r="BK582" s="182" t="str">
        <f>_xlfn.IFNA(VLOOKUP($BC582,Programma!$F$3:$N$1101,9,0),"")</f>
        <v/>
      </c>
      <c r="BL582" s="182" t="str">
        <f>_xlfn.IFNA(VLOOKUP($BC582,Programma!$F$3:$O$1101,10,0),"")</f>
        <v/>
      </c>
      <c r="BM582" s="182" t="str">
        <f>_xlfn.IFNA(VLOOKUP($BC582,Programma!$F$3:$P$1101,11,0),"")</f>
        <v/>
      </c>
      <c r="BN582" s="182" t="str">
        <f>_xlfn.IFNA(VLOOKUP($BC582,Programma!$F$3:$Q$1101,12,0),"")</f>
        <v/>
      </c>
      <c r="BO582" s="182" t="str">
        <f>_xlfn.IFNA(VLOOKUP($BC582,Programma!$F$3:$R$1101,13,0),"")</f>
        <v/>
      </c>
      <c r="BP582" s="182" t="str">
        <f>_xlfn.IFNA(VLOOKUP($BC582,Programma!$F$3:$S$1101,14,0),"")</f>
        <v/>
      </c>
      <c r="BQ582" s="182" t="str">
        <f>_xlfn.IFNA(VLOOKUP($BC582,Programma!$F$3:$T$1101,15,0),"")</f>
        <v/>
      </c>
      <c r="BR582" s="182" t="str">
        <f>_xlfn.IFNA(VLOOKUP($BC582,Programma!$F$3:$U$1101,16,0),"")</f>
        <v/>
      </c>
      <c r="BS582" s="182" t="str">
        <f>_xlfn.IFNA(VLOOKUP($BC582,Programma!$F$3:$V$1101,17,0),"")</f>
        <v/>
      </c>
      <c r="BT582" s="182" t="str">
        <f>_xlfn.IFNA(VLOOKUP($BC582,Programma!$F$3:$W$1101,18,0),"")</f>
        <v/>
      </c>
      <c r="BU582" s="182" t="str">
        <f>_xlfn.IFNA(VLOOKUP($BC582,Programma!$F$3:$X$1101,19,0),"")</f>
        <v/>
      </c>
      <c r="BV582" s="182" t="str">
        <f>_xlfn.IFNA(VLOOKUP($BC582,Programma!$F$3:$Y$1101,20,0),"")</f>
        <v/>
      </c>
    </row>
    <row r="583" spans="1:74" ht="15" customHeight="1">
      <c r="A583" s="99">
        <v>16</v>
      </c>
      <c r="B583" s="176" t="str">
        <f>VLOOKUP(Ruimtestaat[[#This Row],[Code]],Locaties[[Code]:[Locatie]],2,FALSE)</f>
        <v>SBO Het Pontem (College)</v>
      </c>
      <c r="C583" s="176" t="str">
        <f>VLOOKUP(Ruimtestaat[[#This Row],[Code]],Locaties[[#All],[Code]:[Adres]],4,FALSE)</f>
        <v>Poolmansweg 245</v>
      </c>
      <c r="D583" s="176" t="str">
        <f>VLOOKUP(Ruimtestaat[[#This Row],[Code]],Locaties[[#All],[Code]:[Postcode]],5,FALSE)</f>
        <v>7545 LR</v>
      </c>
      <c r="E583" s="176" t="str">
        <f>VLOOKUP(Ruimtestaat[[#This Row],[Code]],Locaties[#All],6,FALSE)</f>
        <v>Enschede</v>
      </c>
      <c r="F583" s="183"/>
      <c r="G583" s="99" t="s">
        <v>1714</v>
      </c>
      <c r="H583" s="99" t="s">
        <v>1740</v>
      </c>
      <c r="I583" s="183" t="s">
        <v>1651</v>
      </c>
      <c r="J583" s="99">
        <v>16</v>
      </c>
      <c r="K583" s="183" t="str">
        <f>VLOOKUP(Ruimtestaat[[#This Row],[Ruimte code]],Ruimtegroepen[[#All],[Code]:[Ruimte omschrijving]],2,FALSE)</f>
        <v>Leslokalen</v>
      </c>
      <c r="L583" s="99" t="s">
        <v>100</v>
      </c>
      <c r="M583" s="99" t="s">
        <v>1697</v>
      </c>
      <c r="N583" s="177">
        <v>56.7</v>
      </c>
      <c r="O583" s="177"/>
      <c r="P583" s="178" t="str">
        <f>VLOOKUP(Ruimtestaat[[#This Row],[Ruimte code]],Ruimtegroepen[],4,FALSE)</f>
        <v>Le</v>
      </c>
      <c r="Q583" s="149">
        <v>40</v>
      </c>
      <c r="R583" s="149" t="s">
        <v>2</v>
      </c>
      <c r="S583" s="285">
        <f>IF(Q583&gt;0,IF(RIGHT(Ruimtestaat[[#This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3" s="286">
        <f>IF(S583&gt;0,VLOOKUP($J583,Ruimtegroepen[],3,FALSE)*VLOOKUP($L583,Vloersoorten[],3,FALSE)*VLOOKUP($R583,Frequenties[],3,FALSE)*VLOOKUP($A583,Locaties[],3,FALSE),0)</f>
        <v>0</v>
      </c>
      <c r="U583" s="287">
        <f>Ruimtestaat[[#This Row],[Uitvoeringen werkdagen]]*Ruimtestaat[[#This Row],[Oppervlak (netto)]]</f>
        <v>11340</v>
      </c>
      <c r="V583" s="288">
        <f>IF(T583&gt;0,Ruimtestaat[[#This Row],[Prest. (m2 /jaar) werkdagen]]/Ruimtestaat[[#This Row],[Norm (m2/uur) werkdagen]],0)</f>
        <v>0</v>
      </c>
      <c r="W583" s="289">
        <f>Ruimtestaat[[#This Row],[uren / jaar werkdagen]]*Tariefsopbouw!$E$35</f>
        <v>0</v>
      </c>
      <c r="X583" s="226"/>
      <c r="Y583" s="290">
        <f>IF(Ruimtestaat[[#This Row],[Frequentie weekend]]&gt;0,VALUE(LEFT(X583,1))*Q583,0)</f>
        <v>0</v>
      </c>
      <c r="Z583" s="287">
        <f>IF($Y583&gt;0,VLOOKUP($J583,Ruimtegroepen[],3,FALSE)*VLOOKUP($L583,Vloersoorten[],3,FALSE)*VLOOKUP($X583,Frequenties[],3,FALSE)*VLOOKUP(#REF!,Locaties[],3,FALSE),0)</f>
        <v>0</v>
      </c>
      <c r="AA583" s="291">
        <f>Ruimtestaat[[#This Row],[Uitvoeringen weekend]]*Ruimtestaat[[#This Row],[Oppervlak (netto)]]</f>
        <v>0</v>
      </c>
      <c r="AB583" s="291">
        <f>IF(Z583&gt;0,Ruimtestaat[[#This Row],[Prest. (m2 /jaar) weekend]]/Ruimtestaat[[#This Row],[Norm (m2/uur) weekend]],0)</f>
        <v>0</v>
      </c>
      <c r="AC583" s="180">
        <f>Ruimtestaat[[#This Row],[uren / jaar weekend]]*Tariefsopbouw!$D$40</f>
        <v>0</v>
      </c>
      <c r="AD583" s="179">
        <f>Ruimtestaat[[#This Row],[Prest. (m2 /jaar) weekend]]+Ruimtestaat[[#This Row],[Prest. (m2 /jaar) werkdagen]]</f>
        <v>11340</v>
      </c>
      <c r="AE583" s="179">
        <f>Ruimtestaat[[#This Row],[uren / jaar weekend]]+Ruimtestaat[[#This Row],[uren / jaar werkdagen]]</f>
        <v>0</v>
      </c>
      <c r="AF583" s="174">
        <f>Ruimtestaat[[#This Row],[kosten / jaar weekend]]+Ruimtestaat[[#This Row],[kosten / jaar werkdagen]]</f>
        <v>0</v>
      </c>
      <c r="AG583" s="174"/>
      <c r="AH583" s="174" t="str">
        <f>IF(Ruimtestaat[[#This Row],[Frequentie werkdagen]]="","",_xlfn.CONCAT(Ruimtestaat[[#This Row],[Ruimte code]],"-",Ruimtestaat[[#This Row],[Frequentie werkdagen]]," ",Ruimtestaat[[#This Row],[Vloer code]]))</f>
        <v>16-5w L</v>
      </c>
      <c r="AI583" s="182" t="str">
        <f>_xlfn.IFNA(VLOOKUP($AH583,Programma!$F$3:$G$1101,2,0),"")</f>
        <v>_</v>
      </c>
      <c r="AJ583" s="182" t="str">
        <f>_xlfn.IFNA(VLOOKUP($AH583,Programma!$F$3:$H$1101,3,0),"")</f>
        <v>_</v>
      </c>
      <c r="AK583" s="182" t="str">
        <f>_xlfn.IFNA(VLOOKUP($AH583,Programma!$F$3:$I$1101,4,0),"")</f>
        <v>4w</v>
      </c>
      <c r="AL583" s="182" t="str">
        <f>_xlfn.IFNA(VLOOKUP($AH583,Programma!$F$3:$J$1101,5,0),"")</f>
        <v>1w</v>
      </c>
      <c r="AM583" s="182" t="str">
        <f>_xlfn.IFNA(VLOOKUP($AH583,Programma!$F$3:$K$1101,6,0),"")</f>
        <v>_</v>
      </c>
      <c r="AN583" s="182" t="str">
        <f>_xlfn.IFNA(VLOOKUP($AH583,Programma!$F$3:$L$1101,7,0),"")</f>
        <v>_</v>
      </c>
      <c r="AO583" s="182" t="str">
        <f>_xlfn.IFNA(VLOOKUP($AH583,Programma!$F$3:$M$1101,8,0),"")</f>
        <v>_</v>
      </c>
      <c r="AP583" s="182" t="str">
        <f>_xlfn.IFNA(VLOOKUP($AH583,Programma!$F$3:$N$1101,9,0),"")</f>
        <v>_</v>
      </c>
      <c r="AQ583" s="182" t="str">
        <f>_xlfn.IFNA(VLOOKUP($AH583,Programma!$F$3:$O$1101,10,0),"")</f>
        <v>5w</v>
      </c>
      <c r="AR583" s="182" t="str">
        <f>_xlfn.IFNA(VLOOKUP($AH583,Programma!$F$3:$P$1101,11,0),"")</f>
        <v>5w</v>
      </c>
      <c r="AS583" s="182" t="str">
        <f>_xlfn.IFNA(VLOOKUP($AH583,Programma!$F$3:$Q$1101,12,0),"")</f>
        <v>1w</v>
      </c>
      <c r="AT583" s="182" t="str">
        <f>_xlfn.IFNA(VLOOKUP($AH583,Programma!$F$3:$R$1101,13,0),"")</f>
        <v>1w</v>
      </c>
      <c r="AU583" s="182" t="str">
        <f>_xlfn.IFNA(VLOOKUP($AH583,Programma!$F$3:$S$1101,14,0),"")</f>
        <v>1m</v>
      </c>
      <c r="AV583" s="182" t="str">
        <f>_xlfn.IFNA(VLOOKUP($AH583,Programma!$F$3:$T$1101,15,0),"")</f>
        <v>2j</v>
      </c>
      <c r="AW583" s="182" t="str">
        <f>_xlfn.IFNA(VLOOKUP($AH583,Programma!$F$3:$U$1101,16,0),"")</f>
        <v>1j</v>
      </c>
      <c r="AX583" s="182" t="str">
        <f>_xlfn.IFNA(VLOOKUP($AH583,Programma!$F$3:$V$1101,17,0),"")</f>
        <v>_</v>
      </c>
      <c r="AY583" s="182" t="str">
        <f>_xlfn.IFNA(VLOOKUP($AH583,Programma!$F$3:$W$1101,18,0),"")</f>
        <v>_</v>
      </c>
      <c r="AZ583" s="182" t="str">
        <f>_xlfn.IFNA(VLOOKUP($AH583,Programma!$F$3:$X$1101,19,0),"")</f>
        <v>_</v>
      </c>
      <c r="BA583" s="182" t="str">
        <f>_xlfn.IFNA(VLOOKUP($AH583,Programma!$F$3:$Y$1101,20,0),"")</f>
        <v>_</v>
      </c>
      <c r="BB583" s="182"/>
      <c r="BC583" s="174" t="str">
        <f>IF(Ruimtestaat[[#This Row],[Frequentie weekend]]="","",_xlfn.CONCAT(Ruimtestaat[[#This Row],[Ruimte code]],"-",Ruimtestaat[[#This Row],[Frequentie weekend]]," ",Ruimtestaat[[#This Row],[Vloer code]]))</f>
        <v/>
      </c>
      <c r="BD583" s="182" t="str">
        <f>_xlfn.IFNA(VLOOKUP($BC583,Programma!$F$3:$G$1101,2,0),"")</f>
        <v/>
      </c>
      <c r="BE583" s="182" t="str">
        <f>_xlfn.IFNA(VLOOKUP($BC583,Programma!$F$3:$H$1101,3,0),"")</f>
        <v/>
      </c>
      <c r="BF583" s="182" t="str">
        <f>_xlfn.IFNA(VLOOKUP($BC583,Programma!$F$3:$I$1101,4,0),"")</f>
        <v/>
      </c>
      <c r="BG583" s="182" t="str">
        <f>_xlfn.IFNA(VLOOKUP($BC583,Programma!$F$3:$J$1101,5,0),"")</f>
        <v/>
      </c>
      <c r="BH583" s="182" t="str">
        <f>_xlfn.IFNA(VLOOKUP($BC583,Programma!$F$3:$K$1101,6,0),"")</f>
        <v/>
      </c>
      <c r="BI583" s="182" t="str">
        <f>_xlfn.IFNA(VLOOKUP($BC583,Programma!$F$3:$L$1101,7,0),"")</f>
        <v/>
      </c>
      <c r="BJ583" s="182" t="str">
        <f>_xlfn.IFNA(VLOOKUP($BC583,Programma!$F$3:$M$1101,8,0),"")</f>
        <v/>
      </c>
      <c r="BK583" s="182" t="str">
        <f>_xlfn.IFNA(VLOOKUP($BC583,Programma!$F$3:$N$1101,9,0),"")</f>
        <v/>
      </c>
      <c r="BL583" s="182" t="str">
        <f>_xlfn.IFNA(VLOOKUP($BC583,Programma!$F$3:$O$1101,10,0),"")</f>
        <v/>
      </c>
      <c r="BM583" s="182" t="str">
        <f>_xlfn.IFNA(VLOOKUP($BC583,Programma!$F$3:$P$1101,11,0),"")</f>
        <v/>
      </c>
      <c r="BN583" s="182" t="str">
        <f>_xlfn.IFNA(VLOOKUP($BC583,Programma!$F$3:$Q$1101,12,0),"")</f>
        <v/>
      </c>
      <c r="BO583" s="182" t="str">
        <f>_xlfn.IFNA(VLOOKUP($BC583,Programma!$F$3:$R$1101,13,0),"")</f>
        <v/>
      </c>
      <c r="BP583" s="182" t="str">
        <f>_xlfn.IFNA(VLOOKUP($BC583,Programma!$F$3:$S$1101,14,0),"")</f>
        <v/>
      </c>
      <c r="BQ583" s="182" t="str">
        <f>_xlfn.IFNA(VLOOKUP($BC583,Programma!$F$3:$T$1101,15,0),"")</f>
        <v/>
      </c>
      <c r="BR583" s="182" t="str">
        <f>_xlfn.IFNA(VLOOKUP($BC583,Programma!$F$3:$U$1101,16,0),"")</f>
        <v/>
      </c>
      <c r="BS583" s="182" t="str">
        <f>_xlfn.IFNA(VLOOKUP($BC583,Programma!$F$3:$V$1101,17,0),"")</f>
        <v/>
      </c>
      <c r="BT583" s="182" t="str">
        <f>_xlfn.IFNA(VLOOKUP($BC583,Programma!$F$3:$W$1101,18,0),"")</f>
        <v/>
      </c>
      <c r="BU583" s="182" t="str">
        <f>_xlfn.IFNA(VLOOKUP($BC583,Programma!$F$3:$X$1101,19,0),"")</f>
        <v/>
      </c>
      <c r="BV583" s="182" t="str">
        <f>_xlfn.IFNA(VLOOKUP($BC583,Programma!$F$3:$Y$1101,20,0),"")</f>
        <v/>
      </c>
    </row>
    <row r="584" spans="1:74" ht="15" customHeight="1">
      <c r="A584" s="99">
        <v>16</v>
      </c>
      <c r="B584" s="176" t="str">
        <f>VLOOKUP(Ruimtestaat[[#This Row],[Code]],Locaties[[Code]:[Locatie]],2,FALSE)</f>
        <v>SBO Het Pontem (College)</v>
      </c>
      <c r="C584" s="176" t="str">
        <f>VLOOKUP(Ruimtestaat[[#This Row],[Code]],Locaties[[#All],[Code]:[Adres]],4,FALSE)</f>
        <v>Poolmansweg 245</v>
      </c>
      <c r="D584" s="176" t="str">
        <f>VLOOKUP(Ruimtestaat[[#This Row],[Code]],Locaties[[#All],[Code]:[Postcode]],5,FALSE)</f>
        <v>7545 LR</v>
      </c>
      <c r="E584" s="176" t="str">
        <f>VLOOKUP(Ruimtestaat[[#This Row],[Code]],Locaties[#All],6,FALSE)</f>
        <v>Enschede</v>
      </c>
      <c r="F584" s="183"/>
      <c r="G584" s="99" t="s">
        <v>1714</v>
      </c>
      <c r="H584" s="99" t="s">
        <v>1741</v>
      </c>
      <c r="I584" s="183" t="s">
        <v>1655</v>
      </c>
      <c r="J584" s="99">
        <v>5</v>
      </c>
      <c r="K584" s="183" t="str">
        <f>VLOOKUP(Ruimtestaat[[#This Row],[Ruimte code]],Ruimtegroepen[[#All],[Code]:[Ruimte omschrijving]],2,FALSE)</f>
        <v>Sanitair</v>
      </c>
      <c r="L584" s="99" t="s">
        <v>101</v>
      </c>
      <c r="M584" s="99" t="s">
        <v>1682</v>
      </c>
      <c r="N584" s="177">
        <v>8.1999999999999993</v>
      </c>
      <c r="O584" s="177"/>
      <c r="P584" s="178" t="str">
        <f>VLOOKUP(Ruimtestaat[[#This Row],[Ruimte code]],Ruimtegroepen[],4,FALSE)</f>
        <v>Sa</v>
      </c>
      <c r="Q584" s="149">
        <v>40</v>
      </c>
      <c r="R584" s="149" t="s">
        <v>2</v>
      </c>
      <c r="S584" s="285">
        <f>IF(Q584&gt;0,IF(RIGHT(Ruimtestaat[[#This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4" s="286">
        <f>IF(S584&gt;0,VLOOKUP($J584,Ruimtegroepen[],3,FALSE)*VLOOKUP($L584,Vloersoorten[],3,FALSE)*VLOOKUP($R584,Frequenties[],3,FALSE)*VLOOKUP($A584,Locaties[],3,FALSE),0)</f>
        <v>0</v>
      </c>
      <c r="U584" s="287">
        <f>Ruimtestaat[[#This Row],[Uitvoeringen werkdagen]]*Ruimtestaat[[#This Row],[Oppervlak (netto)]]</f>
        <v>1639.9999999999998</v>
      </c>
      <c r="V584" s="288">
        <f>IF(T584&gt;0,Ruimtestaat[[#This Row],[Prest. (m2 /jaar) werkdagen]]/Ruimtestaat[[#This Row],[Norm (m2/uur) werkdagen]],0)</f>
        <v>0</v>
      </c>
      <c r="W584" s="289">
        <f>Ruimtestaat[[#This Row],[uren / jaar werkdagen]]*Tariefsopbouw!$E$35</f>
        <v>0</v>
      </c>
      <c r="X584" s="226"/>
      <c r="Y584" s="290">
        <f>IF(Ruimtestaat[[#This Row],[Frequentie weekend]]&gt;0,VALUE(LEFT(X584,1))*Q584,0)</f>
        <v>0</v>
      </c>
      <c r="Z584" s="287">
        <f>IF($Y584&gt;0,VLOOKUP($J584,Ruimtegroepen[],3,FALSE)*VLOOKUP($L584,Vloersoorten[],3,FALSE)*VLOOKUP($X584,Frequenties[],3,FALSE)*VLOOKUP(#REF!,Locaties[],3,FALSE),0)</f>
        <v>0</v>
      </c>
      <c r="AA584" s="291">
        <f>Ruimtestaat[[#This Row],[Uitvoeringen weekend]]*Ruimtestaat[[#This Row],[Oppervlak (netto)]]</f>
        <v>0</v>
      </c>
      <c r="AB584" s="291">
        <f>IF(Z584&gt;0,Ruimtestaat[[#This Row],[Prest. (m2 /jaar) weekend]]/Ruimtestaat[[#This Row],[Norm (m2/uur) weekend]],0)</f>
        <v>0</v>
      </c>
      <c r="AC584" s="180">
        <f>Ruimtestaat[[#This Row],[uren / jaar weekend]]*Tariefsopbouw!$D$40</f>
        <v>0</v>
      </c>
      <c r="AD584" s="179">
        <f>Ruimtestaat[[#This Row],[Prest. (m2 /jaar) weekend]]+Ruimtestaat[[#This Row],[Prest. (m2 /jaar) werkdagen]]</f>
        <v>1639.9999999999998</v>
      </c>
      <c r="AE584" s="179">
        <f>Ruimtestaat[[#This Row],[uren / jaar weekend]]+Ruimtestaat[[#This Row],[uren / jaar werkdagen]]</f>
        <v>0</v>
      </c>
      <c r="AF584" s="174">
        <f>Ruimtestaat[[#This Row],[kosten / jaar weekend]]+Ruimtestaat[[#This Row],[kosten / jaar werkdagen]]</f>
        <v>0</v>
      </c>
      <c r="AG584" s="174"/>
      <c r="AH584" s="174" t="str">
        <f>IF(Ruimtestaat[[#This Row],[Frequentie werkdagen]]="","",_xlfn.CONCAT(Ruimtestaat[[#This Row],[Ruimte code]],"-",Ruimtestaat[[#This Row],[Frequentie werkdagen]]," ",Ruimtestaat[[#This Row],[Vloer code]]))</f>
        <v>5-5w S</v>
      </c>
      <c r="AI584" s="182" t="str">
        <f>_xlfn.IFNA(VLOOKUP($AH584,Programma!$F$3:$G$1101,2,0),"")</f>
        <v>_</v>
      </c>
      <c r="AJ584" s="182" t="str">
        <f>_xlfn.IFNA(VLOOKUP($AH584,Programma!$F$3:$H$1101,3,0),"")</f>
        <v>_</v>
      </c>
      <c r="AK584" s="182" t="str">
        <f>_xlfn.IFNA(VLOOKUP($AH584,Programma!$F$3:$I$1101,4,0),"")</f>
        <v>_</v>
      </c>
      <c r="AL584" s="182" t="str">
        <f>_xlfn.IFNA(VLOOKUP($AH584,Programma!$F$3:$J$1101,5,0),"")</f>
        <v>4w</v>
      </c>
      <c r="AM584" s="182" t="str">
        <f>_xlfn.IFNA(VLOOKUP($AH584,Programma!$F$3:$K$1101,6,0),"")</f>
        <v>1w</v>
      </c>
      <c r="AN584" s="182" t="str">
        <f>_xlfn.IFNA(VLOOKUP($AH584,Programma!$F$3:$L$1101,7,0),"")</f>
        <v>_</v>
      </c>
      <c r="AO584" s="182" t="str">
        <f>_xlfn.IFNA(VLOOKUP($AH584,Programma!$F$3:$M$1101,8,0),"")</f>
        <v>_</v>
      </c>
      <c r="AP584" s="182" t="str">
        <f>_xlfn.IFNA(VLOOKUP($AH584,Programma!$F$3:$N$1101,9,0),"")</f>
        <v>_</v>
      </c>
      <c r="AQ584" s="182" t="str">
        <f>_xlfn.IFNA(VLOOKUP($AH584,Programma!$F$3:$O$1101,10,0),"")</f>
        <v>_</v>
      </c>
      <c r="AR584" s="182" t="str">
        <f>_xlfn.IFNA(VLOOKUP($AH584,Programma!$F$3:$P$1101,11,0),"")</f>
        <v>_</v>
      </c>
      <c r="AS584" s="182" t="str">
        <f>_xlfn.IFNA(VLOOKUP($AH584,Programma!$F$3:$Q$1101,12,0),"")</f>
        <v>_</v>
      </c>
      <c r="AT584" s="182" t="str">
        <f>_xlfn.IFNA(VLOOKUP($AH584,Programma!$F$3:$R$1101,13,0),"")</f>
        <v>_</v>
      </c>
      <c r="AU584" s="182" t="str">
        <f>_xlfn.IFNA(VLOOKUP($AH584,Programma!$F$3:$S$1101,14,0),"")</f>
        <v>_</v>
      </c>
      <c r="AV584" s="182" t="str">
        <f>_xlfn.IFNA(VLOOKUP($AH584,Programma!$F$3:$T$1101,15,0),"")</f>
        <v>_</v>
      </c>
      <c r="AW584" s="182" t="str">
        <f>_xlfn.IFNA(VLOOKUP($AH584,Programma!$F$3:$U$1101,16,0),"")</f>
        <v>_</v>
      </c>
      <c r="AX584" s="182" t="str">
        <f>_xlfn.IFNA(VLOOKUP($AH584,Programma!$F$3:$V$1101,17,0),"")</f>
        <v>_</v>
      </c>
      <c r="AY584" s="182" t="str">
        <f>_xlfn.IFNA(VLOOKUP($AH584,Programma!$F$3:$W$1101,18,0),"")</f>
        <v>4w</v>
      </c>
      <c r="AZ584" s="182" t="str">
        <f>_xlfn.IFNA(VLOOKUP($AH584,Programma!$F$3:$X$1101,19,0),"")</f>
        <v>1w</v>
      </c>
      <c r="BA584" s="182" t="str">
        <f>_xlfn.IFNA(VLOOKUP($AH584,Programma!$F$3:$Y$1101,20,0),"")</f>
        <v>_</v>
      </c>
      <c r="BB584" s="182"/>
      <c r="BC584" s="174" t="str">
        <f>IF(Ruimtestaat[[#This Row],[Frequentie weekend]]="","",_xlfn.CONCAT(Ruimtestaat[[#This Row],[Ruimte code]],"-",Ruimtestaat[[#This Row],[Frequentie weekend]]," ",Ruimtestaat[[#This Row],[Vloer code]]))</f>
        <v/>
      </c>
      <c r="BD584" s="182" t="str">
        <f>_xlfn.IFNA(VLOOKUP($BC584,Programma!$F$3:$G$1101,2,0),"")</f>
        <v/>
      </c>
      <c r="BE584" s="182" t="str">
        <f>_xlfn.IFNA(VLOOKUP($BC584,Programma!$F$3:$H$1101,3,0),"")</f>
        <v/>
      </c>
      <c r="BF584" s="182" t="str">
        <f>_xlfn.IFNA(VLOOKUP($BC584,Programma!$F$3:$I$1101,4,0),"")</f>
        <v/>
      </c>
      <c r="BG584" s="182" t="str">
        <f>_xlfn.IFNA(VLOOKUP($BC584,Programma!$F$3:$J$1101,5,0),"")</f>
        <v/>
      </c>
      <c r="BH584" s="182" t="str">
        <f>_xlfn.IFNA(VLOOKUP($BC584,Programma!$F$3:$K$1101,6,0),"")</f>
        <v/>
      </c>
      <c r="BI584" s="182" t="str">
        <f>_xlfn.IFNA(VLOOKUP($BC584,Programma!$F$3:$L$1101,7,0),"")</f>
        <v/>
      </c>
      <c r="BJ584" s="182" t="str">
        <f>_xlfn.IFNA(VLOOKUP($BC584,Programma!$F$3:$M$1101,8,0),"")</f>
        <v/>
      </c>
      <c r="BK584" s="182" t="str">
        <f>_xlfn.IFNA(VLOOKUP($BC584,Programma!$F$3:$N$1101,9,0),"")</f>
        <v/>
      </c>
      <c r="BL584" s="182" t="str">
        <f>_xlfn.IFNA(VLOOKUP($BC584,Programma!$F$3:$O$1101,10,0),"")</f>
        <v/>
      </c>
      <c r="BM584" s="182" t="str">
        <f>_xlfn.IFNA(VLOOKUP($BC584,Programma!$F$3:$P$1101,11,0),"")</f>
        <v/>
      </c>
      <c r="BN584" s="182" t="str">
        <f>_xlfn.IFNA(VLOOKUP($BC584,Programma!$F$3:$Q$1101,12,0),"")</f>
        <v/>
      </c>
      <c r="BO584" s="182" t="str">
        <f>_xlfn.IFNA(VLOOKUP($BC584,Programma!$F$3:$R$1101,13,0),"")</f>
        <v/>
      </c>
      <c r="BP584" s="182" t="str">
        <f>_xlfn.IFNA(VLOOKUP($BC584,Programma!$F$3:$S$1101,14,0),"")</f>
        <v/>
      </c>
      <c r="BQ584" s="182" t="str">
        <f>_xlfn.IFNA(VLOOKUP($BC584,Programma!$F$3:$T$1101,15,0),"")</f>
        <v/>
      </c>
      <c r="BR584" s="182" t="str">
        <f>_xlfn.IFNA(VLOOKUP($BC584,Programma!$F$3:$U$1101,16,0),"")</f>
        <v/>
      </c>
      <c r="BS584" s="182" t="str">
        <f>_xlfn.IFNA(VLOOKUP($BC584,Programma!$F$3:$V$1101,17,0),"")</f>
        <v/>
      </c>
      <c r="BT584" s="182" t="str">
        <f>_xlfn.IFNA(VLOOKUP($BC584,Programma!$F$3:$W$1101,18,0),"")</f>
        <v/>
      </c>
      <c r="BU584" s="182" t="str">
        <f>_xlfn.IFNA(VLOOKUP($BC584,Programma!$F$3:$X$1101,19,0),"")</f>
        <v/>
      </c>
      <c r="BV584" s="182" t="str">
        <f>_xlfn.IFNA(VLOOKUP($BC584,Programma!$F$3:$Y$1101,20,0),"")</f>
        <v/>
      </c>
    </row>
    <row r="585" spans="1:74" ht="15" customHeight="1">
      <c r="A585" s="99">
        <v>16</v>
      </c>
      <c r="B585" s="176" t="str">
        <f>VLOOKUP(Ruimtestaat[[#This Row],[Code]],Locaties[[Code]:[Locatie]],2,FALSE)</f>
        <v>SBO Het Pontem (College)</v>
      </c>
      <c r="C585" s="176" t="str">
        <f>VLOOKUP(Ruimtestaat[[#This Row],[Code]],Locaties[[#All],[Code]:[Adres]],4,FALSE)</f>
        <v>Poolmansweg 245</v>
      </c>
      <c r="D585" s="176" t="str">
        <f>VLOOKUP(Ruimtestaat[[#This Row],[Code]],Locaties[[#All],[Code]:[Postcode]],5,FALSE)</f>
        <v>7545 LR</v>
      </c>
      <c r="E585" s="176" t="str">
        <f>VLOOKUP(Ruimtestaat[[#This Row],[Code]],Locaties[#All],6,FALSE)</f>
        <v>Enschede</v>
      </c>
      <c r="F585" s="183"/>
      <c r="G585" s="99" t="s">
        <v>1714</v>
      </c>
      <c r="H585" s="99" t="s">
        <v>1744</v>
      </c>
      <c r="I585" s="183" t="s">
        <v>1651</v>
      </c>
      <c r="J585" s="99">
        <v>16</v>
      </c>
      <c r="K585" s="183" t="str">
        <f>VLOOKUP(Ruimtestaat[[#This Row],[Ruimte code]],Ruimtegroepen[[#All],[Code]:[Ruimte omschrijving]],2,FALSE)</f>
        <v>Leslokalen</v>
      </c>
      <c r="L585" s="99" t="s">
        <v>100</v>
      </c>
      <c r="M585" s="99" t="s">
        <v>1697</v>
      </c>
      <c r="N585" s="177">
        <v>57.2</v>
      </c>
      <c r="O585" s="177"/>
      <c r="P585" s="178" t="str">
        <f>VLOOKUP(Ruimtestaat[[#This Row],[Ruimte code]],Ruimtegroepen[],4,FALSE)</f>
        <v>Le</v>
      </c>
      <c r="Q585" s="149">
        <v>40</v>
      </c>
      <c r="R585" s="149" t="s">
        <v>2</v>
      </c>
      <c r="S585" s="285">
        <f>IF(Q585&gt;0,IF(RIGHT(Ruimtestaat[[#This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5" s="286">
        <f>IF(S585&gt;0,VLOOKUP($J585,Ruimtegroepen[],3,FALSE)*VLOOKUP($L585,Vloersoorten[],3,FALSE)*VLOOKUP($R585,Frequenties[],3,FALSE)*VLOOKUP($A585,Locaties[],3,FALSE),0)</f>
        <v>0</v>
      </c>
      <c r="U585" s="287">
        <f>Ruimtestaat[[#This Row],[Uitvoeringen werkdagen]]*Ruimtestaat[[#This Row],[Oppervlak (netto)]]</f>
        <v>11440</v>
      </c>
      <c r="V585" s="288">
        <f>IF(T585&gt;0,Ruimtestaat[[#This Row],[Prest. (m2 /jaar) werkdagen]]/Ruimtestaat[[#This Row],[Norm (m2/uur) werkdagen]],0)</f>
        <v>0</v>
      </c>
      <c r="W585" s="289">
        <f>Ruimtestaat[[#This Row],[uren / jaar werkdagen]]*Tariefsopbouw!$E$35</f>
        <v>0</v>
      </c>
      <c r="X585" s="226"/>
      <c r="Y585" s="290">
        <f>IF(Ruimtestaat[[#This Row],[Frequentie weekend]]&gt;0,VALUE(LEFT(X585,1))*Q585,0)</f>
        <v>0</v>
      </c>
      <c r="Z585" s="287">
        <f>IF($Y585&gt;0,VLOOKUP($J585,Ruimtegroepen[],3,FALSE)*VLOOKUP($L585,Vloersoorten[],3,FALSE)*VLOOKUP($X585,Frequenties[],3,FALSE)*VLOOKUP(#REF!,Locaties[],3,FALSE),0)</f>
        <v>0</v>
      </c>
      <c r="AA585" s="291">
        <f>Ruimtestaat[[#This Row],[Uitvoeringen weekend]]*Ruimtestaat[[#This Row],[Oppervlak (netto)]]</f>
        <v>0</v>
      </c>
      <c r="AB585" s="291">
        <f>IF(Z585&gt;0,Ruimtestaat[[#This Row],[Prest. (m2 /jaar) weekend]]/Ruimtestaat[[#This Row],[Norm (m2/uur) weekend]],0)</f>
        <v>0</v>
      </c>
      <c r="AC585" s="180">
        <f>Ruimtestaat[[#This Row],[uren / jaar weekend]]*Tariefsopbouw!$D$40</f>
        <v>0</v>
      </c>
      <c r="AD585" s="179">
        <f>Ruimtestaat[[#This Row],[Prest. (m2 /jaar) weekend]]+Ruimtestaat[[#This Row],[Prest. (m2 /jaar) werkdagen]]</f>
        <v>11440</v>
      </c>
      <c r="AE585" s="179">
        <f>Ruimtestaat[[#This Row],[uren / jaar weekend]]+Ruimtestaat[[#This Row],[uren / jaar werkdagen]]</f>
        <v>0</v>
      </c>
      <c r="AF585" s="174">
        <f>Ruimtestaat[[#This Row],[kosten / jaar weekend]]+Ruimtestaat[[#This Row],[kosten / jaar werkdagen]]</f>
        <v>0</v>
      </c>
      <c r="AG585" s="174"/>
      <c r="AH585" s="174" t="str">
        <f>IF(Ruimtestaat[[#This Row],[Frequentie werkdagen]]="","",_xlfn.CONCAT(Ruimtestaat[[#This Row],[Ruimte code]],"-",Ruimtestaat[[#This Row],[Frequentie werkdagen]]," ",Ruimtestaat[[#This Row],[Vloer code]]))</f>
        <v>16-5w L</v>
      </c>
      <c r="AI585" s="182" t="str">
        <f>_xlfn.IFNA(VLOOKUP($AH585,Programma!$F$3:$G$1101,2,0),"")</f>
        <v>_</v>
      </c>
      <c r="AJ585" s="182" t="str">
        <f>_xlfn.IFNA(VLOOKUP($AH585,Programma!$F$3:$H$1101,3,0),"")</f>
        <v>_</v>
      </c>
      <c r="AK585" s="182" t="str">
        <f>_xlfn.IFNA(VLOOKUP($AH585,Programma!$F$3:$I$1101,4,0),"")</f>
        <v>4w</v>
      </c>
      <c r="AL585" s="182" t="str">
        <f>_xlfn.IFNA(VLOOKUP($AH585,Programma!$F$3:$J$1101,5,0),"")</f>
        <v>1w</v>
      </c>
      <c r="AM585" s="182" t="str">
        <f>_xlfn.IFNA(VLOOKUP($AH585,Programma!$F$3:$K$1101,6,0),"")</f>
        <v>_</v>
      </c>
      <c r="AN585" s="182" t="str">
        <f>_xlfn.IFNA(VLOOKUP($AH585,Programma!$F$3:$L$1101,7,0),"")</f>
        <v>_</v>
      </c>
      <c r="AO585" s="182" t="str">
        <f>_xlfn.IFNA(VLOOKUP($AH585,Programma!$F$3:$M$1101,8,0),"")</f>
        <v>_</v>
      </c>
      <c r="AP585" s="182" t="str">
        <f>_xlfn.IFNA(VLOOKUP($AH585,Programma!$F$3:$N$1101,9,0),"")</f>
        <v>_</v>
      </c>
      <c r="AQ585" s="182" t="str">
        <f>_xlfn.IFNA(VLOOKUP($AH585,Programma!$F$3:$O$1101,10,0),"")</f>
        <v>5w</v>
      </c>
      <c r="AR585" s="182" t="str">
        <f>_xlfn.IFNA(VLOOKUP($AH585,Programma!$F$3:$P$1101,11,0),"")</f>
        <v>5w</v>
      </c>
      <c r="AS585" s="182" t="str">
        <f>_xlfn.IFNA(VLOOKUP($AH585,Programma!$F$3:$Q$1101,12,0),"")</f>
        <v>1w</v>
      </c>
      <c r="AT585" s="182" t="str">
        <f>_xlfn.IFNA(VLOOKUP($AH585,Programma!$F$3:$R$1101,13,0),"")</f>
        <v>1w</v>
      </c>
      <c r="AU585" s="182" t="str">
        <f>_xlfn.IFNA(VLOOKUP($AH585,Programma!$F$3:$S$1101,14,0),"")</f>
        <v>1m</v>
      </c>
      <c r="AV585" s="182" t="str">
        <f>_xlfn.IFNA(VLOOKUP($AH585,Programma!$F$3:$T$1101,15,0),"")</f>
        <v>2j</v>
      </c>
      <c r="AW585" s="182" t="str">
        <f>_xlfn.IFNA(VLOOKUP($AH585,Programma!$F$3:$U$1101,16,0),"")</f>
        <v>1j</v>
      </c>
      <c r="AX585" s="182" t="str">
        <f>_xlfn.IFNA(VLOOKUP($AH585,Programma!$F$3:$V$1101,17,0),"")</f>
        <v>_</v>
      </c>
      <c r="AY585" s="182" t="str">
        <f>_xlfn.IFNA(VLOOKUP($AH585,Programma!$F$3:$W$1101,18,0),"")</f>
        <v>_</v>
      </c>
      <c r="AZ585" s="182" t="str">
        <f>_xlfn.IFNA(VLOOKUP($AH585,Programma!$F$3:$X$1101,19,0),"")</f>
        <v>_</v>
      </c>
      <c r="BA585" s="182" t="str">
        <f>_xlfn.IFNA(VLOOKUP($AH585,Programma!$F$3:$Y$1101,20,0),"")</f>
        <v>_</v>
      </c>
      <c r="BB585" s="182"/>
      <c r="BC585" s="174" t="str">
        <f>IF(Ruimtestaat[[#This Row],[Frequentie weekend]]="","",_xlfn.CONCAT(Ruimtestaat[[#This Row],[Ruimte code]],"-",Ruimtestaat[[#This Row],[Frequentie weekend]]," ",Ruimtestaat[[#This Row],[Vloer code]]))</f>
        <v/>
      </c>
      <c r="BD585" s="182" t="str">
        <f>_xlfn.IFNA(VLOOKUP($BC585,Programma!$F$3:$G$1101,2,0),"")</f>
        <v/>
      </c>
      <c r="BE585" s="182" t="str">
        <f>_xlfn.IFNA(VLOOKUP($BC585,Programma!$F$3:$H$1101,3,0),"")</f>
        <v/>
      </c>
      <c r="BF585" s="182" t="str">
        <f>_xlfn.IFNA(VLOOKUP($BC585,Programma!$F$3:$I$1101,4,0),"")</f>
        <v/>
      </c>
      <c r="BG585" s="182" t="str">
        <f>_xlfn.IFNA(VLOOKUP($BC585,Programma!$F$3:$J$1101,5,0),"")</f>
        <v/>
      </c>
      <c r="BH585" s="182" t="str">
        <f>_xlfn.IFNA(VLOOKUP($BC585,Programma!$F$3:$K$1101,6,0),"")</f>
        <v/>
      </c>
      <c r="BI585" s="182" t="str">
        <f>_xlfn.IFNA(VLOOKUP($BC585,Programma!$F$3:$L$1101,7,0),"")</f>
        <v/>
      </c>
      <c r="BJ585" s="182" t="str">
        <f>_xlfn.IFNA(VLOOKUP($BC585,Programma!$F$3:$M$1101,8,0),"")</f>
        <v/>
      </c>
      <c r="BK585" s="182" t="str">
        <f>_xlfn.IFNA(VLOOKUP($BC585,Programma!$F$3:$N$1101,9,0),"")</f>
        <v/>
      </c>
      <c r="BL585" s="182" t="str">
        <f>_xlfn.IFNA(VLOOKUP($BC585,Programma!$F$3:$O$1101,10,0),"")</f>
        <v/>
      </c>
      <c r="BM585" s="182" t="str">
        <f>_xlfn.IFNA(VLOOKUP($BC585,Programma!$F$3:$P$1101,11,0),"")</f>
        <v/>
      </c>
      <c r="BN585" s="182" t="str">
        <f>_xlfn.IFNA(VLOOKUP($BC585,Programma!$F$3:$Q$1101,12,0),"")</f>
        <v/>
      </c>
      <c r="BO585" s="182" t="str">
        <f>_xlfn.IFNA(VLOOKUP($BC585,Programma!$F$3:$R$1101,13,0),"")</f>
        <v/>
      </c>
      <c r="BP585" s="182" t="str">
        <f>_xlfn.IFNA(VLOOKUP($BC585,Programma!$F$3:$S$1101,14,0),"")</f>
        <v/>
      </c>
      <c r="BQ585" s="182" t="str">
        <f>_xlfn.IFNA(VLOOKUP($BC585,Programma!$F$3:$T$1101,15,0),"")</f>
        <v/>
      </c>
      <c r="BR585" s="182" t="str">
        <f>_xlfn.IFNA(VLOOKUP($BC585,Programma!$F$3:$U$1101,16,0),"")</f>
        <v/>
      </c>
      <c r="BS585" s="182" t="str">
        <f>_xlfn.IFNA(VLOOKUP($BC585,Programma!$F$3:$V$1101,17,0),"")</f>
        <v/>
      </c>
      <c r="BT585" s="182" t="str">
        <f>_xlfn.IFNA(VLOOKUP($BC585,Programma!$F$3:$W$1101,18,0),"")</f>
        <v/>
      </c>
      <c r="BU585" s="182" t="str">
        <f>_xlfn.IFNA(VLOOKUP($BC585,Programma!$F$3:$X$1101,19,0),"")</f>
        <v/>
      </c>
      <c r="BV585" s="182" t="str">
        <f>_xlfn.IFNA(VLOOKUP($BC585,Programma!$F$3:$Y$1101,20,0),"")</f>
        <v/>
      </c>
    </row>
    <row r="586" spans="1:74" ht="15" customHeight="1">
      <c r="A586" s="99">
        <v>16</v>
      </c>
      <c r="B586" s="176" t="str">
        <f>VLOOKUP(Ruimtestaat[[#This Row],[Code]],Locaties[[Code]:[Locatie]],2,FALSE)</f>
        <v>SBO Het Pontem (College)</v>
      </c>
      <c r="C586" s="176" t="str">
        <f>VLOOKUP(Ruimtestaat[[#This Row],[Code]],Locaties[[#All],[Code]:[Adres]],4,FALSE)</f>
        <v>Poolmansweg 245</v>
      </c>
      <c r="D586" s="176" t="str">
        <f>VLOOKUP(Ruimtestaat[[#This Row],[Code]],Locaties[[#All],[Code]:[Postcode]],5,FALSE)</f>
        <v>7545 LR</v>
      </c>
      <c r="E586" s="176" t="str">
        <f>VLOOKUP(Ruimtestaat[[#This Row],[Code]],Locaties[#All],6,FALSE)</f>
        <v>Enschede</v>
      </c>
      <c r="F586" s="183"/>
      <c r="G586" s="99" t="s">
        <v>1714</v>
      </c>
      <c r="H586" s="99" t="s">
        <v>1745</v>
      </c>
      <c r="I586" s="183" t="s">
        <v>1658</v>
      </c>
      <c r="J586" s="99">
        <v>6</v>
      </c>
      <c r="K586" s="183" t="str">
        <f>VLOOKUP(Ruimtestaat[[#This Row],[Ruimte code]],Ruimtegroepen[[#All],[Code]:[Ruimte omschrijving]],2,FALSE)</f>
        <v>Gangen/hallen</v>
      </c>
      <c r="L586" s="99" t="s">
        <v>100</v>
      </c>
      <c r="M586" s="99" t="s">
        <v>1697</v>
      </c>
      <c r="N586" s="177">
        <v>59.1</v>
      </c>
      <c r="O586" s="177"/>
      <c r="P586" s="178" t="str">
        <f>VLOOKUP(Ruimtestaat[[#This Row],[Ruimte code]],Ruimtegroepen[],4,FALSE)</f>
        <v>Ve</v>
      </c>
      <c r="Q586" s="149">
        <v>40</v>
      </c>
      <c r="R586" s="149" t="s">
        <v>2</v>
      </c>
      <c r="S586" s="285">
        <f>IF(Q586&gt;0,IF(RIGHT(Ruimtestaat[[#This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6" s="286">
        <f>IF(S586&gt;0,VLOOKUP($J586,Ruimtegroepen[],3,FALSE)*VLOOKUP($L586,Vloersoorten[],3,FALSE)*VLOOKUP($R586,Frequenties[],3,FALSE)*VLOOKUP($A586,Locaties[],3,FALSE),0)</f>
        <v>0</v>
      </c>
      <c r="U586" s="287">
        <f>Ruimtestaat[[#This Row],[Uitvoeringen werkdagen]]*Ruimtestaat[[#This Row],[Oppervlak (netto)]]</f>
        <v>11820</v>
      </c>
      <c r="V586" s="288">
        <f>IF(T586&gt;0,Ruimtestaat[[#This Row],[Prest. (m2 /jaar) werkdagen]]/Ruimtestaat[[#This Row],[Norm (m2/uur) werkdagen]],0)</f>
        <v>0</v>
      </c>
      <c r="W586" s="289">
        <f>Ruimtestaat[[#This Row],[uren / jaar werkdagen]]*Tariefsopbouw!$E$35</f>
        <v>0</v>
      </c>
      <c r="X586" s="226"/>
      <c r="Y586" s="290">
        <f>IF(Ruimtestaat[[#This Row],[Frequentie weekend]]&gt;0,VALUE(LEFT(X586,1))*Q586,0)</f>
        <v>0</v>
      </c>
      <c r="Z586" s="287">
        <f>IF($Y586&gt;0,VLOOKUP($J586,Ruimtegroepen[],3,FALSE)*VLOOKUP($L586,Vloersoorten[],3,FALSE)*VLOOKUP($X586,Frequenties[],3,FALSE)*VLOOKUP(#REF!,Locaties[],3,FALSE),0)</f>
        <v>0</v>
      </c>
      <c r="AA586" s="291">
        <f>Ruimtestaat[[#This Row],[Uitvoeringen weekend]]*Ruimtestaat[[#This Row],[Oppervlak (netto)]]</f>
        <v>0</v>
      </c>
      <c r="AB586" s="291">
        <f>IF(Z586&gt;0,Ruimtestaat[[#This Row],[Prest. (m2 /jaar) weekend]]/Ruimtestaat[[#This Row],[Norm (m2/uur) weekend]],0)</f>
        <v>0</v>
      </c>
      <c r="AC586" s="180">
        <f>Ruimtestaat[[#This Row],[uren / jaar weekend]]*Tariefsopbouw!$D$40</f>
        <v>0</v>
      </c>
      <c r="AD586" s="179">
        <f>Ruimtestaat[[#This Row],[Prest. (m2 /jaar) weekend]]+Ruimtestaat[[#This Row],[Prest. (m2 /jaar) werkdagen]]</f>
        <v>11820</v>
      </c>
      <c r="AE586" s="179">
        <f>Ruimtestaat[[#This Row],[uren / jaar weekend]]+Ruimtestaat[[#This Row],[uren / jaar werkdagen]]</f>
        <v>0</v>
      </c>
      <c r="AF586" s="174">
        <f>Ruimtestaat[[#This Row],[kosten / jaar weekend]]+Ruimtestaat[[#This Row],[kosten / jaar werkdagen]]</f>
        <v>0</v>
      </c>
      <c r="AG586" s="174"/>
      <c r="AH586" s="174" t="str">
        <f>IF(Ruimtestaat[[#This Row],[Frequentie werkdagen]]="","",_xlfn.CONCAT(Ruimtestaat[[#This Row],[Ruimte code]],"-",Ruimtestaat[[#This Row],[Frequentie werkdagen]]," ",Ruimtestaat[[#This Row],[Vloer code]]))</f>
        <v>6-5w L</v>
      </c>
      <c r="AI586" s="182" t="str">
        <f>_xlfn.IFNA(VLOOKUP($AH586,Programma!$F$3:$G$1101,2,0),"")</f>
        <v>_</v>
      </c>
      <c r="AJ586" s="182" t="str">
        <f>_xlfn.IFNA(VLOOKUP($AH586,Programma!$F$3:$H$1101,3,0),"")</f>
        <v>_</v>
      </c>
      <c r="AK586" s="182" t="str">
        <f>_xlfn.IFNA(VLOOKUP($AH586,Programma!$F$3:$I$1101,4,0),"")</f>
        <v>_</v>
      </c>
      <c r="AL586" s="182" t="str">
        <f>_xlfn.IFNA(VLOOKUP($AH586,Programma!$F$3:$J$1101,5,0),"")</f>
        <v>5w</v>
      </c>
      <c r="AM586" s="182" t="str">
        <f>_xlfn.IFNA(VLOOKUP($AH586,Programma!$F$3:$K$1101,6,0),"")</f>
        <v>_</v>
      </c>
      <c r="AN586" s="182" t="str">
        <f>_xlfn.IFNA(VLOOKUP($AH586,Programma!$F$3:$L$1101,7,0),"")</f>
        <v>_</v>
      </c>
      <c r="AO586" s="182" t="str">
        <f>_xlfn.IFNA(VLOOKUP($AH586,Programma!$F$3:$M$1101,8,0),"")</f>
        <v>_</v>
      </c>
      <c r="AP586" s="182" t="str">
        <f>_xlfn.IFNA(VLOOKUP($AH586,Programma!$F$3:$N$1101,9,0),"")</f>
        <v>_</v>
      </c>
      <c r="AQ586" s="182" t="str">
        <f>_xlfn.IFNA(VLOOKUP($AH586,Programma!$F$3:$O$1101,10,0),"")</f>
        <v>5w</v>
      </c>
      <c r="AR586" s="182" t="str">
        <f>_xlfn.IFNA(VLOOKUP($AH586,Programma!$F$3:$P$1101,11,0),"")</f>
        <v>5w</v>
      </c>
      <c r="AS586" s="182" t="str">
        <f>_xlfn.IFNA(VLOOKUP($AH586,Programma!$F$3:$Q$1101,12,0),"")</f>
        <v>1w</v>
      </c>
      <c r="AT586" s="182" t="str">
        <f>_xlfn.IFNA(VLOOKUP($AH586,Programma!$F$3:$R$1101,13,0),"")</f>
        <v>1w</v>
      </c>
      <c r="AU586" s="182" t="str">
        <f>_xlfn.IFNA(VLOOKUP($AH586,Programma!$F$3:$S$1101,14,0),"")</f>
        <v>1m</v>
      </c>
      <c r="AV586" s="182" t="str">
        <f>_xlfn.IFNA(VLOOKUP($AH586,Programma!$F$3:$T$1101,15,0),"")</f>
        <v>2j</v>
      </c>
      <c r="AW586" s="182" t="str">
        <f>_xlfn.IFNA(VLOOKUP($AH586,Programma!$F$3:$U$1101,16,0),"")</f>
        <v>1j</v>
      </c>
      <c r="AX586" s="182" t="str">
        <f>_xlfn.IFNA(VLOOKUP($AH586,Programma!$F$3:$V$1101,17,0),"")</f>
        <v>_</v>
      </c>
      <c r="AY586" s="182" t="str">
        <f>_xlfn.IFNA(VLOOKUP($AH586,Programma!$F$3:$W$1101,18,0),"")</f>
        <v>_</v>
      </c>
      <c r="AZ586" s="182" t="str">
        <f>_xlfn.IFNA(VLOOKUP($AH586,Programma!$F$3:$X$1101,19,0),"")</f>
        <v>_</v>
      </c>
      <c r="BA586" s="182" t="str">
        <f>_xlfn.IFNA(VLOOKUP($AH586,Programma!$F$3:$Y$1101,20,0),"")</f>
        <v>_</v>
      </c>
      <c r="BB586" s="182"/>
      <c r="BC586" s="174" t="str">
        <f>IF(Ruimtestaat[[#This Row],[Frequentie weekend]]="","",_xlfn.CONCAT(Ruimtestaat[[#This Row],[Ruimte code]],"-",Ruimtestaat[[#This Row],[Frequentie weekend]]," ",Ruimtestaat[[#This Row],[Vloer code]]))</f>
        <v/>
      </c>
      <c r="BD586" s="182" t="str">
        <f>_xlfn.IFNA(VLOOKUP($BC586,Programma!$F$3:$G$1101,2,0),"")</f>
        <v/>
      </c>
      <c r="BE586" s="182" t="str">
        <f>_xlfn.IFNA(VLOOKUP($BC586,Programma!$F$3:$H$1101,3,0),"")</f>
        <v/>
      </c>
      <c r="BF586" s="182" t="str">
        <f>_xlfn.IFNA(VLOOKUP($BC586,Programma!$F$3:$I$1101,4,0),"")</f>
        <v/>
      </c>
      <c r="BG586" s="182" t="str">
        <f>_xlfn.IFNA(VLOOKUP($BC586,Programma!$F$3:$J$1101,5,0),"")</f>
        <v/>
      </c>
      <c r="BH586" s="182" t="str">
        <f>_xlfn.IFNA(VLOOKUP($BC586,Programma!$F$3:$K$1101,6,0),"")</f>
        <v/>
      </c>
      <c r="BI586" s="182" t="str">
        <f>_xlfn.IFNA(VLOOKUP($BC586,Programma!$F$3:$L$1101,7,0),"")</f>
        <v/>
      </c>
      <c r="BJ586" s="182" t="str">
        <f>_xlfn.IFNA(VLOOKUP($BC586,Programma!$F$3:$M$1101,8,0),"")</f>
        <v/>
      </c>
      <c r="BK586" s="182" t="str">
        <f>_xlfn.IFNA(VLOOKUP($BC586,Programma!$F$3:$N$1101,9,0),"")</f>
        <v/>
      </c>
      <c r="BL586" s="182" t="str">
        <f>_xlfn.IFNA(VLOOKUP($BC586,Programma!$F$3:$O$1101,10,0),"")</f>
        <v/>
      </c>
      <c r="BM586" s="182" t="str">
        <f>_xlfn.IFNA(VLOOKUP($BC586,Programma!$F$3:$P$1101,11,0),"")</f>
        <v/>
      </c>
      <c r="BN586" s="182" t="str">
        <f>_xlfn.IFNA(VLOOKUP($BC586,Programma!$F$3:$Q$1101,12,0),"")</f>
        <v/>
      </c>
      <c r="BO586" s="182" t="str">
        <f>_xlfn.IFNA(VLOOKUP($BC586,Programma!$F$3:$R$1101,13,0),"")</f>
        <v/>
      </c>
      <c r="BP586" s="182" t="str">
        <f>_xlfn.IFNA(VLOOKUP($BC586,Programma!$F$3:$S$1101,14,0),"")</f>
        <v/>
      </c>
      <c r="BQ586" s="182" t="str">
        <f>_xlfn.IFNA(VLOOKUP($BC586,Programma!$F$3:$T$1101,15,0),"")</f>
        <v/>
      </c>
      <c r="BR586" s="182" t="str">
        <f>_xlfn.IFNA(VLOOKUP($BC586,Programma!$F$3:$U$1101,16,0),"")</f>
        <v/>
      </c>
      <c r="BS586" s="182" t="str">
        <f>_xlfn.IFNA(VLOOKUP($BC586,Programma!$F$3:$V$1101,17,0),"")</f>
        <v/>
      </c>
      <c r="BT586" s="182" t="str">
        <f>_xlfn.IFNA(VLOOKUP($BC586,Programma!$F$3:$W$1101,18,0),"")</f>
        <v/>
      </c>
      <c r="BU586" s="182" t="str">
        <f>_xlfn.IFNA(VLOOKUP($BC586,Programma!$F$3:$X$1101,19,0),"")</f>
        <v/>
      </c>
      <c r="BV586" s="182" t="str">
        <f>_xlfn.IFNA(VLOOKUP($BC586,Programma!$F$3:$Y$1101,20,0),"")</f>
        <v/>
      </c>
    </row>
    <row r="587" spans="1:74" ht="15" customHeight="1">
      <c r="A587" s="99">
        <v>17</v>
      </c>
      <c r="B587" s="176" t="str">
        <f>VLOOKUP(Ruimtestaat[[#This Row],[Code]],Locaties[[Code]:[Locatie]],2,FALSE)</f>
        <v>ODBS Lonneker</v>
      </c>
      <c r="C587" s="176" t="str">
        <f>VLOOKUP(Ruimtestaat[[#This Row],[Code]],Locaties[[#All],[Code]:[Adres]],4,FALSE)</f>
        <v>Dorpsstraat 104</v>
      </c>
      <c r="D587" s="176" t="str">
        <f>VLOOKUP(Ruimtestaat[[#This Row],[Code]],Locaties[[#All],[Code]:[Postcode]],5,FALSE)</f>
        <v>7524 CK</v>
      </c>
      <c r="E587" s="176" t="str">
        <f>VLOOKUP(Ruimtestaat[[#This Row],[Code]],Locaties[#All],6,FALSE)</f>
        <v>Lonneker</v>
      </c>
      <c r="F587" s="183"/>
      <c r="G587" s="99" t="s">
        <v>1646</v>
      </c>
      <c r="H587" s="99" t="s">
        <v>1647</v>
      </c>
      <c r="I587" s="183" t="s">
        <v>1585</v>
      </c>
      <c r="J587" s="99">
        <v>13</v>
      </c>
      <c r="K587" s="183" t="str">
        <f>VLOOKUP(Ruimtestaat[[#This Row],[Ruimte code]],Ruimtegroepen[[#All],[Code]:[Ruimte omschrijving]],2,FALSE)</f>
        <v>Personeelskamer</v>
      </c>
      <c r="L587" s="99" t="s">
        <v>99</v>
      </c>
      <c r="M587" s="99" t="s">
        <v>36</v>
      </c>
      <c r="N587" s="177">
        <v>25</v>
      </c>
      <c r="O587" s="177"/>
      <c r="P587" s="178" t="str">
        <f>VLOOKUP(Ruimtestaat[[#This Row],[Ruimte code]],Ruimtegroepen[],4,FALSE)</f>
        <v>Ve</v>
      </c>
      <c r="Q587" s="149">
        <v>40</v>
      </c>
      <c r="R587" s="149" t="s">
        <v>2</v>
      </c>
      <c r="S587" s="285">
        <f>IF(Q587&gt;0,IF(RIGHT(Ruimtestaat[[#This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7" s="286">
        <f>IF(S587&gt;0,VLOOKUP($J587,Ruimtegroepen[],3,FALSE)*VLOOKUP($L587,Vloersoorten[],3,FALSE)*VLOOKUP($R587,Frequenties[],3,FALSE)*VLOOKUP($A587,Locaties[],3,FALSE),0)</f>
        <v>0</v>
      </c>
      <c r="U587" s="287">
        <f>Ruimtestaat[[#This Row],[Uitvoeringen werkdagen]]*Ruimtestaat[[#This Row],[Oppervlak (netto)]]</f>
        <v>5000</v>
      </c>
      <c r="V587" s="288">
        <f>IF(T587&gt;0,Ruimtestaat[[#This Row],[Prest. (m2 /jaar) werkdagen]]/Ruimtestaat[[#This Row],[Norm (m2/uur) werkdagen]],0)</f>
        <v>0</v>
      </c>
      <c r="W587" s="289">
        <f>Ruimtestaat[[#This Row],[uren / jaar werkdagen]]*Tariefsopbouw!$E$35</f>
        <v>0</v>
      </c>
      <c r="X587" s="226"/>
      <c r="Y587" s="290">
        <f>IF(Ruimtestaat[[#This Row],[Frequentie weekend]]&gt;0,VALUE(LEFT(X587,1))*Q587,0)</f>
        <v>0</v>
      </c>
      <c r="Z587" s="287">
        <f>IF($Y587&gt;0,VLOOKUP($J587,Ruimtegroepen[],3,FALSE)*VLOOKUP($L587,Vloersoorten[],3,FALSE)*VLOOKUP($X587,Frequenties[],3,FALSE)*VLOOKUP(#REF!,Locaties[],3,FALSE),0)</f>
        <v>0</v>
      </c>
      <c r="AA587" s="291">
        <f>Ruimtestaat[[#This Row],[Uitvoeringen weekend]]*Ruimtestaat[[#This Row],[Oppervlak (netto)]]</f>
        <v>0</v>
      </c>
      <c r="AB587" s="291">
        <f>IF(Z587&gt;0,Ruimtestaat[[#This Row],[Prest. (m2 /jaar) weekend]]/Ruimtestaat[[#This Row],[Norm (m2/uur) weekend]],0)</f>
        <v>0</v>
      </c>
      <c r="AC587" s="180">
        <f>Ruimtestaat[[#This Row],[uren / jaar weekend]]*Tariefsopbouw!$D$40</f>
        <v>0</v>
      </c>
      <c r="AD587" s="179">
        <f>Ruimtestaat[[#This Row],[Prest. (m2 /jaar) weekend]]+Ruimtestaat[[#This Row],[Prest. (m2 /jaar) werkdagen]]</f>
        <v>5000</v>
      </c>
      <c r="AE587" s="179">
        <f>Ruimtestaat[[#This Row],[uren / jaar weekend]]+Ruimtestaat[[#This Row],[uren / jaar werkdagen]]</f>
        <v>0</v>
      </c>
      <c r="AF587" s="174">
        <f>Ruimtestaat[[#This Row],[kosten / jaar weekend]]+Ruimtestaat[[#This Row],[kosten / jaar werkdagen]]</f>
        <v>0</v>
      </c>
      <c r="AG587" s="174"/>
      <c r="AH587" s="174" t="str">
        <f>IF(Ruimtestaat[[#This Row],[Frequentie werkdagen]]="","",_xlfn.CONCAT(Ruimtestaat[[#This Row],[Ruimte code]],"-",Ruimtestaat[[#This Row],[Frequentie werkdagen]]," ",Ruimtestaat[[#This Row],[Vloer code]]))</f>
        <v>13-5w T</v>
      </c>
      <c r="AI587" s="182" t="str">
        <f>_xlfn.IFNA(VLOOKUP($AH587,Programma!$F$3:$G$1101,2,0),"")</f>
        <v>4w</v>
      </c>
      <c r="AJ587" s="182" t="str">
        <f>_xlfn.IFNA(VLOOKUP($AH587,Programma!$F$3:$H$1101,3,0),"")</f>
        <v>1w</v>
      </c>
      <c r="AK587" s="182" t="str">
        <f>_xlfn.IFNA(VLOOKUP($AH587,Programma!$F$3:$I$1101,4,0),"")</f>
        <v>_</v>
      </c>
      <c r="AL587" s="182" t="str">
        <f>_xlfn.IFNA(VLOOKUP($AH587,Programma!$F$3:$J$1101,5,0),"")</f>
        <v>_</v>
      </c>
      <c r="AM587" s="182" t="str">
        <f>_xlfn.IFNA(VLOOKUP($AH587,Programma!$F$3:$K$1101,6,0),"")</f>
        <v>_</v>
      </c>
      <c r="AN587" s="182" t="str">
        <f>_xlfn.IFNA(VLOOKUP($AH587,Programma!$F$3:$L$1101,7,0),"")</f>
        <v>_</v>
      </c>
      <c r="AO587" s="182" t="str">
        <f>_xlfn.IFNA(VLOOKUP($AH587,Programma!$F$3:$M$1101,8,0),"")</f>
        <v>_</v>
      </c>
      <c r="AP587" s="182" t="str">
        <f>_xlfn.IFNA(VLOOKUP($AH587,Programma!$F$3:$N$1101,9,0),"")</f>
        <v>_</v>
      </c>
      <c r="AQ587" s="182" t="str">
        <f>_xlfn.IFNA(VLOOKUP($AH587,Programma!$F$3:$O$1101,10,0),"")</f>
        <v>5w</v>
      </c>
      <c r="AR587" s="182" t="str">
        <f>_xlfn.IFNA(VLOOKUP($AH587,Programma!$F$3:$P$1101,11,0),"")</f>
        <v>5w</v>
      </c>
      <c r="AS587" s="182" t="str">
        <f>_xlfn.IFNA(VLOOKUP($AH587,Programma!$F$3:$Q$1101,12,0),"")</f>
        <v>1w</v>
      </c>
      <c r="AT587" s="182" t="str">
        <f>_xlfn.IFNA(VLOOKUP($AH587,Programma!$F$3:$R$1101,13,0),"")</f>
        <v>1w</v>
      </c>
      <c r="AU587" s="182" t="str">
        <f>_xlfn.IFNA(VLOOKUP($AH587,Programma!$F$3:$S$1101,14,0),"")</f>
        <v>1m</v>
      </c>
      <c r="AV587" s="182" t="str">
        <f>_xlfn.IFNA(VLOOKUP($AH587,Programma!$F$3:$T$1101,15,0),"")</f>
        <v>2j</v>
      </c>
      <c r="AW587" s="182" t="str">
        <f>_xlfn.IFNA(VLOOKUP($AH587,Programma!$F$3:$U$1101,16,0),"")</f>
        <v>1j</v>
      </c>
      <c r="AX587" s="182" t="str">
        <f>_xlfn.IFNA(VLOOKUP($AH587,Programma!$F$3:$V$1101,17,0),"")</f>
        <v>_</v>
      </c>
      <c r="AY587" s="182" t="str">
        <f>_xlfn.IFNA(VLOOKUP($AH587,Programma!$F$3:$W$1101,18,0),"")</f>
        <v>_</v>
      </c>
      <c r="AZ587" s="182" t="str">
        <f>_xlfn.IFNA(VLOOKUP($AH587,Programma!$F$3:$X$1101,19,0),"")</f>
        <v>_</v>
      </c>
      <c r="BA587" s="182" t="str">
        <f>_xlfn.IFNA(VLOOKUP($AH587,Programma!$F$3:$Y$1101,20,0),"")</f>
        <v>_</v>
      </c>
      <c r="BB587" s="182"/>
      <c r="BC587" s="174" t="str">
        <f>IF(Ruimtestaat[[#This Row],[Frequentie weekend]]="","",_xlfn.CONCAT(Ruimtestaat[[#This Row],[Ruimte code]],"-",Ruimtestaat[[#This Row],[Frequentie weekend]]," ",Ruimtestaat[[#This Row],[Vloer code]]))</f>
        <v/>
      </c>
      <c r="BD587" s="182" t="str">
        <f>_xlfn.IFNA(VLOOKUP($BC587,Programma!$F$3:$G$1101,2,0),"")</f>
        <v/>
      </c>
      <c r="BE587" s="182" t="str">
        <f>_xlfn.IFNA(VLOOKUP($BC587,Programma!$F$3:$H$1101,3,0),"")</f>
        <v/>
      </c>
      <c r="BF587" s="182" t="str">
        <f>_xlfn.IFNA(VLOOKUP($BC587,Programma!$F$3:$I$1101,4,0),"")</f>
        <v/>
      </c>
      <c r="BG587" s="182" t="str">
        <f>_xlfn.IFNA(VLOOKUP($BC587,Programma!$F$3:$J$1101,5,0),"")</f>
        <v/>
      </c>
      <c r="BH587" s="182" t="str">
        <f>_xlfn.IFNA(VLOOKUP($BC587,Programma!$F$3:$K$1101,6,0),"")</f>
        <v/>
      </c>
      <c r="BI587" s="182" t="str">
        <f>_xlfn.IFNA(VLOOKUP($BC587,Programma!$F$3:$L$1101,7,0),"")</f>
        <v/>
      </c>
      <c r="BJ587" s="182" t="str">
        <f>_xlfn.IFNA(VLOOKUP($BC587,Programma!$F$3:$M$1101,8,0),"")</f>
        <v/>
      </c>
      <c r="BK587" s="182" t="str">
        <f>_xlfn.IFNA(VLOOKUP($BC587,Programma!$F$3:$N$1101,9,0),"")</f>
        <v/>
      </c>
      <c r="BL587" s="182" t="str">
        <f>_xlfn.IFNA(VLOOKUP($BC587,Programma!$F$3:$O$1101,10,0),"")</f>
        <v/>
      </c>
      <c r="BM587" s="182" t="str">
        <f>_xlfn.IFNA(VLOOKUP($BC587,Programma!$F$3:$P$1101,11,0),"")</f>
        <v/>
      </c>
      <c r="BN587" s="182" t="str">
        <f>_xlfn.IFNA(VLOOKUP($BC587,Programma!$F$3:$Q$1101,12,0),"")</f>
        <v/>
      </c>
      <c r="BO587" s="182" t="str">
        <f>_xlfn.IFNA(VLOOKUP($BC587,Programma!$F$3:$R$1101,13,0),"")</f>
        <v/>
      </c>
      <c r="BP587" s="182" t="str">
        <f>_xlfn.IFNA(VLOOKUP($BC587,Programma!$F$3:$S$1101,14,0),"")</f>
        <v/>
      </c>
      <c r="BQ587" s="182" t="str">
        <f>_xlfn.IFNA(VLOOKUP($BC587,Programma!$F$3:$T$1101,15,0),"")</f>
        <v/>
      </c>
      <c r="BR587" s="182" t="str">
        <f>_xlfn.IFNA(VLOOKUP($BC587,Programma!$F$3:$U$1101,16,0),"")</f>
        <v/>
      </c>
      <c r="BS587" s="182" t="str">
        <f>_xlfn.IFNA(VLOOKUP($BC587,Programma!$F$3:$V$1101,17,0),"")</f>
        <v/>
      </c>
      <c r="BT587" s="182" t="str">
        <f>_xlfn.IFNA(VLOOKUP($BC587,Programma!$F$3:$W$1101,18,0),"")</f>
        <v/>
      </c>
      <c r="BU587" s="182" t="str">
        <f>_xlfn.IFNA(VLOOKUP($BC587,Programma!$F$3:$X$1101,19,0),"")</f>
        <v/>
      </c>
      <c r="BV587" s="182" t="str">
        <f>_xlfn.IFNA(VLOOKUP($BC587,Programma!$F$3:$Y$1101,20,0),"")</f>
        <v/>
      </c>
    </row>
    <row r="588" spans="1:74" ht="15" customHeight="1">
      <c r="A588" s="99">
        <v>17</v>
      </c>
      <c r="B588" s="176" t="str">
        <f>VLOOKUP(Ruimtestaat[[#This Row],[Code]],Locaties[[Code]:[Locatie]],2,FALSE)</f>
        <v>ODBS Lonneker</v>
      </c>
      <c r="C588" s="176" t="str">
        <f>VLOOKUP(Ruimtestaat[[#This Row],[Code]],Locaties[[#All],[Code]:[Adres]],4,FALSE)</f>
        <v>Dorpsstraat 104</v>
      </c>
      <c r="D588" s="176" t="str">
        <f>VLOOKUP(Ruimtestaat[[#This Row],[Code]],Locaties[[#All],[Code]:[Postcode]],5,FALSE)</f>
        <v>7524 CK</v>
      </c>
      <c r="E588" s="176" t="str">
        <f>VLOOKUP(Ruimtestaat[[#This Row],[Code]],Locaties[#All],6,FALSE)</f>
        <v>Lonneker</v>
      </c>
      <c r="F588" s="183"/>
      <c r="G588" s="99" t="s">
        <v>1646</v>
      </c>
      <c r="H588" s="99" t="s">
        <v>1648</v>
      </c>
      <c r="I588" s="183" t="s">
        <v>1649</v>
      </c>
      <c r="J588" s="99">
        <v>2</v>
      </c>
      <c r="K588" s="183" t="str">
        <f>VLOOKUP(Ruimtestaat[[#This Row],[Ruimte code]],Ruimtegroepen[[#All],[Code]:[Ruimte omschrijving]],2,FALSE)</f>
        <v>Kantoren</v>
      </c>
      <c r="L588" s="99" t="s">
        <v>99</v>
      </c>
      <c r="M588" s="99" t="s">
        <v>36</v>
      </c>
      <c r="N588" s="177">
        <v>7.3</v>
      </c>
      <c r="O588" s="177"/>
      <c r="P588" s="178" t="str">
        <f>VLOOKUP(Ruimtestaat[[#This Row],[Ruimte code]],Ruimtegroepen[],4,FALSE)</f>
        <v>Bu</v>
      </c>
      <c r="Q588" s="149">
        <v>40</v>
      </c>
      <c r="R588" s="149" t="s">
        <v>18</v>
      </c>
      <c r="S588" s="285">
        <f>IF(Q588&gt;0,IF(RIGHT(Ruimtestaat[[#This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588" s="286">
        <f>IF(S588&gt;0,VLOOKUP($J588,Ruimtegroepen[],3,FALSE)*VLOOKUP($L588,Vloersoorten[],3,FALSE)*VLOOKUP($R588,Frequenties[],3,FALSE)*VLOOKUP($A588,Locaties[],3,FALSE),0)</f>
        <v>0</v>
      </c>
      <c r="U588" s="287">
        <f>Ruimtestaat[[#This Row],[Uitvoeringen werkdagen]]*Ruimtestaat[[#This Row],[Oppervlak (netto)]]</f>
        <v>876</v>
      </c>
      <c r="V588" s="288">
        <f>IF(T588&gt;0,Ruimtestaat[[#This Row],[Prest. (m2 /jaar) werkdagen]]/Ruimtestaat[[#This Row],[Norm (m2/uur) werkdagen]],0)</f>
        <v>0</v>
      </c>
      <c r="W588" s="289">
        <f>Ruimtestaat[[#This Row],[uren / jaar werkdagen]]*Tariefsopbouw!$E$35</f>
        <v>0</v>
      </c>
      <c r="X588" s="226"/>
      <c r="Y588" s="290">
        <f>IF(Ruimtestaat[[#This Row],[Frequentie weekend]]&gt;0,VALUE(LEFT(X588,1))*Q588,0)</f>
        <v>0</v>
      </c>
      <c r="Z588" s="287">
        <f>IF($Y588&gt;0,VLOOKUP($J588,Ruimtegroepen[],3,FALSE)*VLOOKUP($L588,Vloersoorten[],3,FALSE)*VLOOKUP($X588,Frequenties[],3,FALSE)*VLOOKUP(#REF!,Locaties[],3,FALSE),0)</f>
        <v>0</v>
      </c>
      <c r="AA588" s="291">
        <f>Ruimtestaat[[#This Row],[Uitvoeringen weekend]]*Ruimtestaat[[#This Row],[Oppervlak (netto)]]</f>
        <v>0</v>
      </c>
      <c r="AB588" s="291">
        <f>IF(Z588&gt;0,Ruimtestaat[[#This Row],[Prest. (m2 /jaar) weekend]]/Ruimtestaat[[#This Row],[Norm (m2/uur) weekend]],0)</f>
        <v>0</v>
      </c>
      <c r="AC588" s="180">
        <f>Ruimtestaat[[#This Row],[uren / jaar weekend]]*Tariefsopbouw!$D$40</f>
        <v>0</v>
      </c>
      <c r="AD588" s="179">
        <f>Ruimtestaat[[#This Row],[Prest. (m2 /jaar) weekend]]+Ruimtestaat[[#This Row],[Prest. (m2 /jaar) werkdagen]]</f>
        <v>876</v>
      </c>
      <c r="AE588" s="179">
        <f>Ruimtestaat[[#This Row],[uren / jaar weekend]]+Ruimtestaat[[#This Row],[uren / jaar werkdagen]]</f>
        <v>0</v>
      </c>
      <c r="AF588" s="174">
        <f>Ruimtestaat[[#This Row],[kosten / jaar weekend]]+Ruimtestaat[[#This Row],[kosten / jaar werkdagen]]</f>
        <v>0</v>
      </c>
      <c r="AG588" s="174"/>
      <c r="AH588" s="174" t="str">
        <f>IF(Ruimtestaat[[#This Row],[Frequentie werkdagen]]="","",_xlfn.CONCAT(Ruimtestaat[[#This Row],[Ruimte code]],"-",Ruimtestaat[[#This Row],[Frequentie werkdagen]]," ",Ruimtestaat[[#This Row],[Vloer code]]))</f>
        <v>2-3w T</v>
      </c>
      <c r="AI588" s="182" t="str">
        <f>_xlfn.IFNA(VLOOKUP($AH588,Programma!$F$3:$G$1101,2,0),"")</f>
        <v>2w</v>
      </c>
      <c r="AJ588" s="182" t="str">
        <f>_xlfn.IFNA(VLOOKUP($AH588,Programma!$F$3:$H$1101,3,0),"")</f>
        <v>1w</v>
      </c>
      <c r="AK588" s="182" t="str">
        <f>_xlfn.IFNA(VLOOKUP($AH588,Programma!$F$3:$I$1101,4,0),"")</f>
        <v>_</v>
      </c>
      <c r="AL588" s="182" t="str">
        <f>_xlfn.IFNA(VLOOKUP($AH588,Programma!$F$3:$J$1101,5,0),"")</f>
        <v>_</v>
      </c>
      <c r="AM588" s="182" t="str">
        <f>_xlfn.IFNA(VLOOKUP($AH588,Programma!$F$3:$K$1101,6,0),"")</f>
        <v>_</v>
      </c>
      <c r="AN588" s="182" t="str">
        <f>_xlfn.IFNA(VLOOKUP($AH588,Programma!$F$3:$L$1101,7,0),"")</f>
        <v>_</v>
      </c>
      <c r="AO588" s="182" t="str">
        <f>_xlfn.IFNA(VLOOKUP($AH588,Programma!$F$3:$M$1101,8,0),"")</f>
        <v>_</v>
      </c>
      <c r="AP588" s="182" t="str">
        <f>_xlfn.IFNA(VLOOKUP($AH588,Programma!$F$3:$N$1101,9,0),"")</f>
        <v>_</v>
      </c>
      <c r="AQ588" s="182" t="str">
        <f>_xlfn.IFNA(VLOOKUP($AH588,Programma!$F$3:$O$1101,10,0),"")</f>
        <v>3w</v>
      </c>
      <c r="AR588" s="182" t="str">
        <f>_xlfn.IFNA(VLOOKUP($AH588,Programma!$F$3:$P$1101,11,0),"")</f>
        <v>3w</v>
      </c>
      <c r="AS588" s="182" t="str">
        <f>_xlfn.IFNA(VLOOKUP($AH588,Programma!$F$3:$Q$1101,12,0),"")</f>
        <v>1w</v>
      </c>
      <c r="AT588" s="182" t="str">
        <f>_xlfn.IFNA(VLOOKUP($AH588,Programma!$F$3:$R$1101,13,0),"")</f>
        <v>1w</v>
      </c>
      <c r="AU588" s="182" t="str">
        <f>_xlfn.IFNA(VLOOKUP($AH588,Programma!$F$3:$S$1101,14,0),"")</f>
        <v>1m</v>
      </c>
      <c r="AV588" s="182" t="str">
        <f>_xlfn.IFNA(VLOOKUP($AH588,Programma!$F$3:$T$1101,15,0),"")</f>
        <v>2j</v>
      </c>
      <c r="AW588" s="182" t="str">
        <f>_xlfn.IFNA(VLOOKUP($AH588,Programma!$F$3:$U$1101,16,0),"")</f>
        <v>1j</v>
      </c>
      <c r="AX588" s="182" t="str">
        <f>_xlfn.IFNA(VLOOKUP($AH588,Programma!$F$3:$V$1101,17,0),"")</f>
        <v>_</v>
      </c>
      <c r="AY588" s="182" t="str">
        <f>_xlfn.IFNA(VLOOKUP($AH588,Programma!$F$3:$W$1101,18,0),"")</f>
        <v>_</v>
      </c>
      <c r="AZ588" s="182" t="str">
        <f>_xlfn.IFNA(VLOOKUP($AH588,Programma!$F$3:$X$1101,19,0),"")</f>
        <v>_</v>
      </c>
      <c r="BA588" s="182" t="str">
        <f>_xlfn.IFNA(VLOOKUP($AH588,Programma!$F$3:$Y$1101,20,0),"")</f>
        <v>_</v>
      </c>
      <c r="BB588" s="182"/>
      <c r="BC588" s="174" t="str">
        <f>IF(Ruimtestaat[[#This Row],[Frequentie weekend]]="","",_xlfn.CONCAT(Ruimtestaat[[#This Row],[Ruimte code]],"-",Ruimtestaat[[#This Row],[Frequentie weekend]]," ",Ruimtestaat[[#This Row],[Vloer code]]))</f>
        <v/>
      </c>
      <c r="BD588" s="182" t="str">
        <f>_xlfn.IFNA(VLOOKUP($BC588,Programma!$F$3:$G$1101,2,0),"")</f>
        <v/>
      </c>
      <c r="BE588" s="182" t="str">
        <f>_xlfn.IFNA(VLOOKUP($BC588,Programma!$F$3:$H$1101,3,0),"")</f>
        <v/>
      </c>
      <c r="BF588" s="182" t="str">
        <f>_xlfn.IFNA(VLOOKUP($BC588,Programma!$F$3:$I$1101,4,0),"")</f>
        <v/>
      </c>
      <c r="BG588" s="182" t="str">
        <f>_xlfn.IFNA(VLOOKUP($BC588,Programma!$F$3:$J$1101,5,0),"")</f>
        <v/>
      </c>
      <c r="BH588" s="182" t="str">
        <f>_xlfn.IFNA(VLOOKUP($BC588,Programma!$F$3:$K$1101,6,0),"")</f>
        <v/>
      </c>
      <c r="BI588" s="182" t="str">
        <f>_xlfn.IFNA(VLOOKUP($BC588,Programma!$F$3:$L$1101,7,0),"")</f>
        <v/>
      </c>
      <c r="BJ588" s="182" t="str">
        <f>_xlfn.IFNA(VLOOKUP($BC588,Programma!$F$3:$M$1101,8,0),"")</f>
        <v/>
      </c>
      <c r="BK588" s="182" t="str">
        <f>_xlfn.IFNA(VLOOKUP($BC588,Programma!$F$3:$N$1101,9,0),"")</f>
        <v/>
      </c>
      <c r="BL588" s="182" t="str">
        <f>_xlfn.IFNA(VLOOKUP($BC588,Programma!$F$3:$O$1101,10,0),"")</f>
        <v/>
      </c>
      <c r="BM588" s="182" t="str">
        <f>_xlfn.IFNA(VLOOKUP($BC588,Programma!$F$3:$P$1101,11,0),"")</f>
        <v/>
      </c>
      <c r="BN588" s="182" t="str">
        <f>_xlfn.IFNA(VLOOKUP($BC588,Programma!$F$3:$Q$1101,12,0),"")</f>
        <v/>
      </c>
      <c r="BO588" s="182" t="str">
        <f>_xlfn.IFNA(VLOOKUP($BC588,Programma!$F$3:$R$1101,13,0),"")</f>
        <v/>
      </c>
      <c r="BP588" s="182" t="str">
        <f>_xlfn.IFNA(VLOOKUP($BC588,Programma!$F$3:$S$1101,14,0),"")</f>
        <v/>
      </c>
      <c r="BQ588" s="182" t="str">
        <f>_xlfn.IFNA(VLOOKUP($BC588,Programma!$F$3:$T$1101,15,0),"")</f>
        <v/>
      </c>
      <c r="BR588" s="182" t="str">
        <f>_xlfn.IFNA(VLOOKUP($BC588,Programma!$F$3:$U$1101,16,0),"")</f>
        <v/>
      </c>
      <c r="BS588" s="182" t="str">
        <f>_xlfn.IFNA(VLOOKUP($BC588,Programma!$F$3:$V$1101,17,0),"")</f>
        <v/>
      </c>
      <c r="BT588" s="182" t="str">
        <f>_xlfn.IFNA(VLOOKUP($BC588,Programma!$F$3:$W$1101,18,0),"")</f>
        <v/>
      </c>
      <c r="BU588" s="182" t="str">
        <f>_xlfn.IFNA(VLOOKUP($BC588,Programma!$F$3:$X$1101,19,0),"")</f>
        <v/>
      </c>
      <c r="BV588" s="182" t="str">
        <f>_xlfn.IFNA(VLOOKUP($BC588,Programma!$F$3:$Y$1101,20,0),"")</f>
        <v/>
      </c>
    </row>
    <row r="589" spans="1:74" ht="15" customHeight="1">
      <c r="A589" s="99">
        <v>17</v>
      </c>
      <c r="B589" s="176" t="str">
        <f>VLOOKUP(Ruimtestaat[[#This Row],[Code]],Locaties[[Code]:[Locatie]],2,FALSE)</f>
        <v>ODBS Lonneker</v>
      </c>
      <c r="C589" s="176" t="str">
        <f>VLOOKUP(Ruimtestaat[[#This Row],[Code]],Locaties[[#All],[Code]:[Adres]],4,FALSE)</f>
        <v>Dorpsstraat 104</v>
      </c>
      <c r="D589" s="176" t="str">
        <f>VLOOKUP(Ruimtestaat[[#This Row],[Code]],Locaties[[#All],[Code]:[Postcode]],5,FALSE)</f>
        <v>7524 CK</v>
      </c>
      <c r="E589" s="176" t="str">
        <f>VLOOKUP(Ruimtestaat[[#This Row],[Code]],Locaties[#All],6,FALSE)</f>
        <v>Lonneker</v>
      </c>
      <c r="F589" s="183"/>
      <c r="G589" s="99" t="s">
        <v>1646</v>
      </c>
      <c r="H589" s="99" t="s">
        <v>1650</v>
      </c>
      <c r="I589" s="183" t="s">
        <v>1683</v>
      </c>
      <c r="J589" s="99">
        <v>20</v>
      </c>
      <c r="K589" s="183" t="str">
        <f>VLOOKUP(Ruimtestaat[[#This Row],[Ruimte code]],Ruimtegroepen[[#All],[Code]:[Ruimte omschrijving]],2,FALSE)</f>
        <v>Niet in Onderhoud</v>
      </c>
      <c r="L589" s="99" t="s">
        <v>101</v>
      </c>
      <c r="M589" s="99" t="s">
        <v>1698</v>
      </c>
      <c r="N589" s="177"/>
      <c r="O589" s="177">
        <v>4</v>
      </c>
      <c r="P589" s="178">
        <f>VLOOKUP(Ruimtestaat[[#This Row],[Ruimte code]],Ruimtegroepen[],4,FALSE)</f>
        <v>0</v>
      </c>
      <c r="Q589" s="149"/>
      <c r="R589" s="149"/>
      <c r="S589" s="285">
        <f>IF(Q589&gt;0,IF(RIGHT(Ruimtestaat[[#This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89" s="286">
        <f>IF(S589&gt;0,VLOOKUP($J589,Ruimtegroepen[],3,FALSE)*VLOOKUP($L589,Vloersoorten[],3,FALSE)*VLOOKUP($R589,Frequenties[],3,FALSE)*VLOOKUP($A589,Locaties[],3,FALSE),0)</f>
        <v>0</v>
      </c>
      <c r="U589" s="287">
        <f>Ruimtestaat[[#This Row],[Uitvoeringen werkdagen]]*Ruimtestaat[[#This Row],[Oppervlak (netto)]]</f>
        <v>0</v>
      </c>
      <c r="V589" s="288">
        <f>IF(T589&gt;0,Ruimtestaat[[#This Row],[Prest. (m2 /jaar) werkdagen]]/Ruimtestaat[[#This Row],[Norm (m2/uur) werkdagen]],0)</f>
        <v>0</v>
      </c>
      <c r="W589" s="289">
        <f>Ruimtestaat[[#This Row],[uren / jaar werkdagen]]*Tariefsopbouw!$E$35</f>
        <v>0</v>
      </c>
      <c r="X589" s="226"/>
      <c r="Y589" s="290">
        <f>IF(Ruimtestaat[[#This Row],[Frequentie weekend]]&gt;0,VALUE(LEFT(X589,1))*Q589,0)</f>
        <v>0</v>
      </c>
      <c r="Z589" s="287">
        <f>IF($Y589&gt;0,VLOOKUP($J589,Ruimtegroepen[],3,FALSE)*VLOOKUP($L589,Vloersoorten[],3,FALSE)*VLOOKUP($X589,Frequenties[],3,FALSE)*VLOOKUP(#REF!,Locaties[],3,FALSE),0)</f>
        <v>0</v>
      </c>
      <c r="AA589" s="291">
        <f>Ruimtestaat[[#This Row],[Uitvoeringen weekend]]*Ruimtestaat[[#This Row],[Oppervlak (netto)]]</f>
        <v>0</v>
      </c>
      <c r="AB589" s="291">
        <f>IF(Z589&gt;0,Ruimtestaat[[#This Row],[Prest. (m2 /jaar) weekend]]/Ruimtestaat[[#This Row],[Norm (m2/uur) weekend]],0)</f>
        <v>0</v>
      </c>
      <c r="AC589" s="180">
        <f>Ruimtestaat[[#This Row],[uren / jaar weekend]]*Tariefsopbouw!$D$40</f>
        <v>0</v>
      </c>
      <c r="AD589" s="179">
        <f>Ruimtestaat[[#This Row],[Prest. (m2 /jaar) weekend]]+Ruimtestaat[[#This Row],[Prest. (m2 /jaar) werkdagen]]</f>
        <v>0</v>
      </c>
      <c r="AE589" s="179">
        <f>Ruimtestaat[[#This Row],[uren / jaar weekend]]+Ruimtestaat[[#This Row],[uren / jaar werkdagen]]</f>
        <v>0</v>
      </c>
      <c r="AF589" s="174">
        <f>Ruimtestaat[[#This Row],[kosten / jaar weekend]]+Ruimtestaat[[#This Row],[kosten / jaar werkdagen]]</f>
        <v>0</v>
      </c>
      <c r="AG589" s="174"/>
      <c r="AH589" s="174" t="str">
        <f>IF(Ruimtestaat[[#This Row],[Frequentie werkdagen]]="","",_xlfn.CONCAT(Ruimtestaat[[#This Row],[Ruimte code]],"-",Ruimtestaat[[#This Row],[Frequentie werkdagen]]," ",Ruimtestaat[[#This Row],[Vloer code]]))</f>
        <v/>
      </c>
      <c r="AI589" s="182" t="str">
        <f>_xlfn.IFNA(VLOOKUP($AH589,Programma!$F$3:$G$1101,2,0),"")</f>
        <v/>
      </c>
      <c r="AJ589" s="182" t="str">
        <f>_xlfn.IFNA(VLOOKUP($AH589,Programma!$F$3:$H$1101,3,0),"")</f>
        <v/>
      </c>
      <c r="AK589" s="182" t="str">
        <f>_xlfn.IFNA(VLOOKUP($AH589,Programma!$F$3:$I$1101,4,0),"")</f>
        <v/>
      </c>
      <c r="AL589" s="182" t="str">
        <f>_xlfn.IFNA(VLOOKUP($AH589,Programma!$F$3:$J$1101,5,0),"")</f>
        <v/>
      </c>
      <c r="AM589" s="182" t="str">
        <f>_xlfn.IFNA(VLOOKUP($AH589,Programma!$F$3:$K$1101,6,0),"")</f>
        <v/>
      </c>
      <c r="AN589" s="182" t="str">
        <f>_xlfn.IFNA(VLOOKUP($AH589,Programma!$F$3:$L$1101,7,0),"")</f>
        <v/>
      </c>
      <c r="AO589" s="182" t="str">
        <f>_xlfn.IFNA(VLOOKUP($AH589,Programma!$F$3:$M$1101,8,0),"")</f>
        <v/>
      </c>
      <c r="AP589" s="182" t="str">
        <f>_xlfn.IFNA(VLOOKUP($AH589,Programma!$F$3:$N$1101,9,0),"")</f>
        <v/>
      </c>
      <c r="AQ589" s="182" t="str">
        <f>_xlfn.IFNA(VLOOKUP($AH589,Programma!$F$3:$O$1101,10,0),"")</f>
        <v/>
      </c>
      <c r="AR589" s="182" t="str">
        <f>_xlfn.IFNA(VLOOKUP($AH589,Programma!$F$3:$P$1101,11,0),"")</f>
        <v/>
      </c>
      <c r="AS589" s="182" t="str">
        <f>_xlfn.IFNA(VLOOKUP($AH589,Programma!$F$3:$Q$1101,12,0),"")</f>
        <v/>
      </c>
      <c r="AT589" s="182" t="str">
        <f>_xlfn.IFNA(VLOOKUP($AH589,Programma!$F$3:$R$1101,13,0),"")</f>
        <v/>
      </c>
      <c r="AU589" s="182" t="str">
        <f>_xlfn.IFNA(VLOOKUP($AH589,Programma!$F$3:$S$1101,14,0),"")</f>
        <v/>
      </c>
      <c r="AV589" s="182" t="str">
        <f>_xlfn.IFNA(VLOOKUP($AH589,Programma!$F$3:$T$1101,15,0),"")</f>
        <v/>
      </c>
      <c r="AW589" s="182" t="str">
        <f>_xlfn.IFNA(VLOOKUP($AH589,Programma!$F$3:$U$1101,16,0),"")</f>
        <v/>
      </c>
      <c r="AX589" s="182" t="str">
        <f>_xlfn.IFNA(VLOOKUP($AH589,Programma!$F$3:$V$1101,17,0),"")</f>
        <v/>
      </c>
      <c r="AY589" s="182" t="str">
        <f>_xlfn.IFNA(VLOOKUP($AH589,Programma!$F$3:$W$1101,18,0),"")</f>
        <v/>
      </c>
      <c r="AZ589" s="182" t="str">
        <f>_xlfn.IFNA(VLOOKUP($AH589,Programma!$F$3:$X$1101,19,0),"")</f>
        <v/>
      </c>
      <c r="BA589" s="182" t="str">
        <f>_xlfn.IFNA(VLOOKUP($AH589,Programma!$F$3:$Y$1101,20,0),"")</f>
        <v/>
      </c>
      <c r="BB589" s="182"/>
      <c r="BC589" s="174" t="str">
        <f>IF(Ruimtestaat[[#This Row],[Frequentie weekend]]="","",_xlfn.CONCAT(Ruimtestaat[[#This Row],[Ruimte code]],"-",Ruimtestaat[[#This Row],[Frequentie weekend]]," ",Ruimtestaat[[#This Row],[Vloer code]]))</f>
        <v/>
      </c>
      <c r="BD589" s="182" t="str">
        <f>_xlfn.IFNA(VLOOKUP($BC589,Programma!$F$3:$G$1101,2,0),"")</f>
        <v/>
      </c>
      <c r="BE589" s="182" t="str">
        <f>_xlfn.IFNA(VLOOKUP($BC589,Programma!$F$3:$H$1101,3,0),"")</f>
        <v/>
      </c>
      <c r="BF589" s="182" t="str">
        <f>_xlfn.IFNA(VLOOKUP($BC589,Programma!$F$3:$I$1101,4,0),"")</f>
        <v/>
      </c>
      <c r="BG589" s="182" t="str">
        <f>_xlfn.IFNA(VLOOKUP($BC589,Programma!$F$3:$J$1101,5,0),"")</f>
        <v/>
      </c>
      <c r="BH589" s="182" t="str">
        <f>_xlfn.IFNA(VLOOKUP($BC589,Programma!$F$3:$K$1101,6,0),"")</f>
        <v/>
      </c>
      <c r="BI589" s="182" t="str">
        <f>_xlfn.IFNA(VLOOKUP($BC589,Programma!$F$3:$L$1101,7,0),"")</f>
        <v/>
      </c>
      <c r="BJ589" s="182" t="str">
        <f>_xlfn.IFNA(VLOOKUP($BC589,Programma!$F$3:$M$1101,8,0),"")</f>
        <v/>
      </c>
      <c r="BK589" s="182" t="str">
        <f>_xlfn.IFNA(VLOOKUP($BC589,Programma!$F$3:$N$1101,9,0),"")</f>
        <v/>
      </c>
      <c r="BL589" s="182" t="str">
        <f>_xlfn.IFNA(VLOOKUP($BC589,Programma!$F$3:$O$1101,10,0),"")</f>
        <v/>
      </c>
      <c r="BM589" s="182" t="str">
        <f>_xlfn.IFNA(VLOOKUP($BC589,Programma!$F$3:$P$1101,11,0),"")</f>
        <v/>
      </c>
      <c r="BN589" s="182" t="str">
        <f>_xlfn.IFNA(VLOOKUP($BC589,Programma!$F$3:$Q$1101,12,0),"")</f>
        <v/>
      </c>
      <c r="BO589" s="182" t="str">
        <f>_xlfn.IFNA(VLOOKUP($BC589,Programma!$F$3:$R$1101,13,0),"")</f>
        <v/>
      </c>
      <c r="BP589" s="182" t="str">
        <f>_xlfn.IFNA(VLOOKUP($BC589,Programma!$F$3:$S$1101,14,0),"")</f>
        <v/>
      </c>
      <c r="BQ589" s="182" t="str">
        <f>_xlfn.IFNA(VLOOKUP($BC589,Programma!$F$3:$T$1101,15,0),"")</f>
        <v/>
      </c>
      <c r="BR589" s="182" t="str">
        <f>_xlfn.IFNA(VLOOKUP($BC589,Programma!$F$3:$U$1101,16,0),"")</f>
        <v/>
      </c>
      <c r="BS589" s="182" t="str">
        <f>_xlfn.IFNA(VLOOKUP($BC589,Programma!$F$3:$V$1101,17,0),"")</f>
        <v/>
      </c>
      <c r="BT589" s="182" t="str">
        <f>_xlfn.IFNA(VLOOKUP($BC589,Programma!$F$3:$W$1101,18,0),"")</f>
        <v/>
      </c>
      <c r="BU589" s="182" t="str">
        <f>_xlfn.IFNA(VLOOKUP($BC589,Programma!$F$3:$X$1101,19,0),"")</f>
        <v/>
      </c>
      <c r="BV589" s="182" t="str">
        <f>_xlfn.IFNA(VLOOKUP($BC589,Programma!$F$3:$Y$1101,20,0),"")</f>
        <v/>
      </c>
    </row>
    <row r="590" spans="1:74" ht="15" customHeight="1">
      <c r="A590" s="99">
        <v>17</v>
      </c>
      <c r="B590" s="176" t="str">
        <f>VLOOKUP(Ruimtestaat[[#This Row],[Code]],Locaties[[Code]:[Locatie]],2,FALSE)</f>
        <v>ODBS Lonneker</v>
      </c>
      <c r="C590" s="176" t="str">
        <f>VLOOKUP(Ruimtestaat[[#This Row],[Code]],Locaties[[#All],[Code]:[Adres]],4,FALSE)</f>
        <v>Dorpsstraat 104</v>
      </c>
      <c r="D590" s="176" t="str">
        <f>VLOOKUP(Ruimtestaat[[#This Row],[Code]],Locaties[[#All],[Code]:[Postcode]],5,FALSE)</f>
        <v>7524 CK</v>
      </c>
      <c r="E590" s="176" t="str">
        <f>VLOOKUP(Ruimtestaat[[#This Row],[Code]],Locaties[#All],6,FALSE)</f>
        <v>Lonneker</v>
      </c>
      <c r="F590" s="183"/>
      <c r="G590" s="99" t="s">
        <v>1646</v>
      </c>
      <c r="H590" s="99" t="s">
        <v>1652</v>
      </c>
      <c r="I590" s="183" t="s">
        <v>1684</v>
      </c>
      <c r="J590" s="99">
        <v>5</v>
      </c>
      <c r="K590" s="183" t="str">
        <f>VLOOKUP(Ruimtestaat[[#This Row],[Ruimte code]],Ruimtegroepen[[#All],[Code]:[Ruimte omschrijving]],2,FALSE)</f>
        <v>Sanitair</v>
      </c>
      <c r="L590" s="99" t="s">
        <v>101</v>
      </c>
      <c r="M590" s="99" t="s">
        <v>119</v>
      </c>
      <c r="N590" s="177">
        <v>1.4</v>
      </c>
      <c r="O590" s="177"/>
      <c r="P590" s="178" t="str">
        <f>VLOOKUP(Ruimtestaat[[#This Row],[Ruimte code]],Ruimtegroepen[],4,FALSE)</f>
        <v>Sa</v>
      </c>
      <c r="Q590" s="149">
        <v>40</v>
      </c>
      <c r="R590" s="149" t="s">
        <v>2</v>
      </c>
      <c r="S590" s="285">
        <f>IF(Q590&gt;0,IF(RIGHT(Ruimtestaat[[#This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0" s="286">
        <f>IF(S590&gt;0,VLOOKUP($J590,Ruimtegroepen[],3,FALSE)*VLOOKUP($L590,Vloersoorten[],3,FALSE)*VLOOKUP($R590,Frequenties[],3,FALSE)*VLOOKUP($A590,Locaties[],3,FALSE),0)</f>
        <v>0</v>
      </c>
      <c r="U590" s="287">
        <f>Ruimtestaat[[#This Row],[Uitvoeringen werkdagen]]*Ruimtestaat[[#This Row],[Oppervlak (netto)]]</f>
        <v>280</v>
      </c>
      <c r="V590" s="288">
        <f>IF(T590&gt;0,Ruimtestaat[[#This Row],[Prest. (m2 /jaar) werkdagen]]/Ruimtestaat[[#This Row],[Norm (m2/uur) werkdagen]],0)</f>
        <v>0</v>
      </c>
      <c r="W590" s="289">
        <f>Ruimtestaat[[#This Row],[uren / jaar werkdagen]]*Tariefsopbouw!$E$35</f>
        <v>0</v>
      </c>
      <c r="X590" s="226"/>
      <c r="Y590" s="290">
        <f>IF(Ruimtestaat[[#This Row],[Frequentie weekend]]&gt;0,VALUE(LEFT(X590,1))*Q590,0)</f>
        <v>0</v>
      </c>
      <c r="Z590" s="287">
        <f>IF($Y590&gt;0,VLOOKUP($J590,Ruimtegroepen[],3,FALSE)*VLOOKUP($L590,Vloersoorten[],3,FALSE)*VLOOKUP($X590,Frequenties[],3,FALSE)*VLOOKUP(#REF!,Locaties[],3,FALSE),0)</f>
        <v>0</v>
      </c>
      <c r="AA590" s="291">
        <f>Ruimtestaat[[#This Row],[Uitvoeringen weekend]]*Ruimtestaat[[#This Row],[Oppervlak (netto)]]</f>
        <v>0</v>
      </c>
      <c r="AB590" s="291">
        <f>IF(Z590&gt;0,Ruimtestaat[[#This Row],[Prest. (m2 /jaar) weekend]]/Ruimtestaat[[#This Row],[Norm (m2/uur) weekend]],0)</f>
        <v>0</v>
      </c>
      <c r="AC590" s="180">
        <f>Ruimtestaat[[#This Row],[uren / jaar weekend]]*Tariefsopbouw!$D$40</f>
        <v>0</v>
      </c>
      <c r="AD590" s="179">
        <f>Ruimtestaat[[#This Row],[Prest. (m2 /jaar) weekend]]+Ruimtestaat[[#This Row],[Prest. (m2 /jaar) werkdagen]]</f>
        <v>280</v>
      </c>
      <c r="AE590" s="179">
        <f>Ruimtestaat[[#This Row],[uren / jaar weekend]]+Ruimtestaat[[#This Row],[uren / jaar werkdagen]]</f>
        <v>0</v>
      </c>
      <c r="AF590" s="174">
        <f>Ruimtestaat[[#This Row],[kosten / jaar weekend]]+Ruimtestaat[[#This Row],[kosten / jaar werkdagen]]</f>
        <v>0</v>
      </c>
      <c r="AG590" s="174"/>
      <c r="AH590" s="174" t="str">
        <f>IF(Ruimtestaat[[#This Row],[Frequentie werkdagen]]="","",_xlfn.CONCAT(Ruimtestaat[[#This Row],[Ruimte code]],"-",Ruimtestaat[[#This Row],[Frequentie werkdagen]]," ",Ruimtestaat[[#This Row],[Vloer code]]))</f>
        <v>5-5w S</v>
      </c>
      <c r="AI590" s="182" t="str">
        <f>_xlfn.IFNA(VLOOKUP($AH590,Programma!$F$3:$G$1101,2,0),"")</f>
        <v>_</v>
      </c>
      <c r="AJ590" s="182" t="str">
        <f>_xlfn.IFNA(VLOOKUP($AH590,Programma!$F$3:$H$1101,3,0),"")</f>
        <v>_</v>
      </c>
      <c r="AK590" s="182" t="str">
        <f>_xlfn.IFNA(VLOOKUP($AH590,Programma!$F$3:$I$1101,4,0),"")</f>
        <v>_</v>
      </c>
      <c r="AL590" s="182" t="str">
        <f>_xlfn.IFNA(VLOOKUP($AH590,Programma!$F$3:$J$1101,5,0),"")</f>
        <v>4w</v>
      </c>
      <c r="AM590" s="182" t="str">
        <f>_xlfn.IFNA(VLOOKUP($AH590,Programma!$F$3:$K$1101,6,0),"")</f>
        <v>1w</v>
      </c>
      <c r="AN590" s="182" t="str">
        <f>_xlfn.IFNA(VLOOKUP($AH590,Programma!$F$3:$L$1101,7,0),"")</f>
        <v>_</v>
      </c>
      <c r="AO590" s="182" t="str">
        <f>_xlfn.IFNA(VLOOKUP($AH590,Programma!$F$3:$M$1101,8,0),"")</f>
        <v>_</v>
      </c>
      <c r="AP590" s="182" t="str">
        <f>_xlfn.IFNA(VLOOKUP($AH590,Programma!$F$3:$N$1101,9,0),"")</f>
        <v>_</v>
      </c>
      <c r="AQ590" s="182" t="str">
        <f>_xlfn.IFNA(VLOOKUP($AH590,Programma!$F$3:$O$1101,10,0),"")</f>
        <v>_</v>
      </c>
      <c r="AR590" s="182" t="str">
        <f>_xlfn.IFNA(VLOOKUP($AH590,Programma!$F$3:$P$1101,11,0),"")</f>
        <v>_</v>
      </c>
      <c r="AS590" s="182" t="str">
        <f>_xlfn.IFNA(VLOOKUP($AH590,Programma!$F$3:$Q$1101,12,0),"")</f>
        <v>_</v>
      </c>
      <c r="AT590" s="182" t="str">
        <f>_xlfn.IFNA(VLOOKUP($AH590,Programma!$F$3:$R$1101,13,0),"")</f>
        <v>_</v>
      </c>
      <c r="AU590" s="182" t="str">
        <f>_xlfn.IFNA(VLOOKUP($AH590,Programma!$F$3:$S$1101,14,0),"")</f>
        <v>_</v>
      </c>
      <c r="AV590" s="182" t="str">
        <f>_xlfn.IFNA(VLOOKUP($AH590,Programma!$F$3:$T$1101,15,0),"")</f>
        <v>_</v>
      </c>
      <c r="AW590" s="182" t="str">
        <f>_xlfn.IFNA(VLOOKUP($AH590,Programma!$F$3:$U$1101,16,0),"")</f>
        <v>_</v>
      </c>
      <c r="AX590" s="182" t="str">
        <f>_xlfn.IFNA(VLOOKUP($AH590,Programma!$F$3:$V$1101,17,0),"")</f>
        <v>_</v>
      </c>
      <c r="AY590" s="182" t="str">
        <f>_xlfn.IFNA(VLOOKUP($AH590,Programma!$F$3:$W$1101,18,0),"")</f>
        <v>4w</v>
      </c>
      <c r="AZ590" s="182" t="str">
        <f>_xlfn.IFNA(VLOOKUP($AH590,Programma!$F$3:$X$1101,19,0),"")</f>
        <v>1w</v>
      </c>
      <c r="BA590" s="182" t="str">
        <f>_xlfn.IFNA(VLOOKUP($AH590,Programma!$F$3:$Y$1101,20,0),"")</f>
        <v>_</v>
      </c>
      <c r="BB590" s="182"/>
      <c r="BC590" s="174" t="str">
        <f>IF(Ruimtestaat[[#This Row],[Frequentie weekend]]="","",_xlfn.CONCAT(Ruimtestaat[[#This Row],[Ruimte code]],"-",Ruimtestaat[[#This Row],[Frequentie weekend]]," ",Ruimtestaat[[#This Row],[Vloer code]]))</f>
        <v/>
      </c>
      <c r="BD590" s="182" t="str">
        <f>_xlfn.IFNA(VLOOKUP($BC590,Programma!$F$3:$G$1101,2,0),"")</f>
        <v/>
      </c>
      <c r="BE590" s="182" t="str">
        <f>_xlfn.IFNA(VLOOKUP($BC590,Programma!$F$3:$H$1101,3,0),"")</f>
        <v/>
      </c>
      <c r="BF590" s="182" t="str">
        <f>_xlfn.IFNA(VLOOKUP($BC590,Programma!$F$3:$I$1101,4,0),"")</f>
        <v/>
      </c>
      <c r="BG590" s="182" t="str">
        <f>_xlfn.IFNA(VLOOKUP($BC590,Programma!$F$3:$J$1101,5,0),"")</f>
        <v/>
      </c>
      <c r="BH590" s="182" t="str">
        <f>_xlfn.IFNA(VLOOKUP($BC590,Programma!$F$3:$K$1101,6,0),"")</f>
        <v/>
      </c>
      <c r="BI590" s="182" t="str">
        <f>_xlfn.IFNA(VLOOKUP($BC590,Programma!$F$3:$L$1101,7,0),"")</f>
        <v/>
      </c>
      <c r="BJ590" s="182" t="str">
        <f>_xlfn.IFNA(VLOOKUP($BC590,Programma!$F$3:$M$1101,8,0),"")</f>
        <v/>
      </c>
      <c r="BK590" s="182" t="str">
        <f>_xlfn.IFNA(VLOOKUP($BC590,Programma!$F$3:$N$1101,9,0),"")</f>
        <v/>
      </c>
      <c r="BL590" s="182" t="str">
        <f>_xlfn.IFNA(VLOOKUP($BC590,Programma!$F$3:$O$1101,10,0),"")</f>
        <v/>
      </c>
      <c r="BM590" s="182" t="str">
        <f>_xlfn.IFNA(VLOOKUP($BC590,Programma!$F$3:$P$1101,11,0),"")</f>
        <v/>
      </c>
      <c r="BN590" s="182" t="str">
        <f>_xlfn.IFNA(VLOOKUP($BC590,Programma!$F$3:$Q$1101,12,0),"")</f>
        <v/>
      </c>
      <c r="BO590" s="182" t="str">
        <f>_xlfn.IFNA(VLOOKUP($BC590,Programma!$F$3:$R$1101,13,0),"")</f>
        <v/>
      </c>
      <c r="BP590" s="182" t="str">
        <f>_xlfn.IFNA(VLOOKUP($BC590,Programma!$F$3:$S$1101,14,0),"")</f>
        <v/>
      </c>
      <c r="BQ590" s="182" t="str">
        <f>_xlfn.IFNA(VLOOKUP($BC590,Programma!$F$3:$T$1101,15,0),"")</f>
        <v/>
      </c>
      <c r="BR590" s="182" t="str">
        <f>_xlfn.IFNA(VLOOKUP($BC590,Programma!$F$3:$U$1101,16,0),"")</f>
        <v/>
      </c>
      <c r="BS590" s="182" t="str">
        <f>_xlfn.IFNA(VLOOKUP($BC590,Programma!$F$3:$V$1101,17,0),"")</f>
        <v/>
      </c>
      <c r="BT590" s="182" t="str">
        <f>_xlfn.IFNA(VLOOKUP($BC590,Programma!$F$3:$W$1101,18,0),"")</f>
        <v/>
      </c>
      <c r="BU590" s="182" t="str">
        <f>_xlfn.IFNA(VLOOKUP($BC590,Programma!$F$3:$X$1101,19,0),"")</f>
        <v/>
      </c>
      <c r="BV590" s="182" t="str">
        <f>_xlfn.IFNA(VLOOKUP($BC590,Programma!$F$3:$Y$1101,20,0),"")</f>
        <v/>
      </c>
    </row>
    <row r="591" spans="1:74" ht="15" customHeight="1">
      <c r="A591" s="99">
        <v>17</v>
      </c>
      <c r="B591" s="176" t="str">
        <f>VLOOKUP(Ruimtestaat[[#This Row],[Code]],Locaties[[Code]:[Locatie]],2,FALSE)</f>
        <v>ODBS Lonneker</v>
      </c>
      <c r="C591" s="176" t="str">
        <f>VLOOKUP(Ruimtestaat[[#This Row],[Code]],Locaties[[#All],[Code]:[Adres]],4,FALSE)</f>
        <v>Dorpsstraat 104</v>
      </c>
      <c r="D591" s="176" t="str">
        <f>VLOOKUP(Ruimtestaat[[#This Row],[Code]],Locaties[[#All],[Code]:[Postcode]],5,FALSE)</f>
        <v>7524 CK</v>
      </c>
      <c r="E591" s="176" t="str">
        <f>VLOOKUP(Ruimtestaat[[#This Row],[Code]],Locaties[#All],6,FALSE)</f>
        <v>Lonneker</v>
      </c>
      <c r="F591" s="183"/>
      <c r="G591" s="99" t="s">
        <v>1646</v>
      </c>
      <c r="H591" s="99" t="s">
        <v>1653</v>
      </c>
      <c r="I591" s="183" t="s">
        <v>1683</v>
      </c>
      <c r="J591" s="99">
        <v>20</v>
      </c>
      <c r="K591" s="183" t="str">
        <f>VLOOKUP(Ruimtestaat[[#This Row],[Ruimte code]],Ruimtegroepen[[#All],[Code]:[Ruimte omschrijving]],2,FALSE)</f>
        <v>Niet in Onderhoud</v>
      </c>
      <c r="L591" s="99" t="s">
        <v>100</v>
      </c>
      <c r="M591" s="99" t="s">
        <v>1697</v>
      </c>
      <c r="N591" s="177"/>
      <c r="O591" s="177">
        <v>12</v>
      </c>
      <c r="P591" s="178">
        <f>VLOOKUP(Ruimtestaat[[#This Row],[Ruimte code]],Ruimtegroepen[],4,FALSE)</f>
        <v>0</v>
      </c>
      <c r="Q591" s="149"/>
      <c r="R591" s="149"/>
      <c r="S591" s="285">
        <f>IF(Q591&gt;0,IF(RIGHT(Ruimtestaat[[#This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1" s="286">
        <f>IF(S591&gt;0,VLOOKUP($J591,Ruimtegroepen[],3,FALSE)*VLOOKUP($L591,Vloersoorten[],3,FALSE)*VLOOKUP($R591,Frequenties[],3,FALSE)*VLOOKUP($A591,Locaties[],3,FALSE),0)</f>
        <v>0</v>
      </c>
      <c r="U591" s="287">
        <f>Ruimtestaat[[#This Row],[Uitvoeringen werkdagen]]*Ruimtestaat[[#This Row],[Oppervlak (netto)]]</f>
        <v>0</v>
      </c>
      <c r="V591" s="288">
        <f>IF(T591&gt;0,Ruimtestaat[[#This Row],[Prest. (m2 /jaar) werkdagen]]/Ruimtestaat[[#This Row],[Norm (m2/uur) werkdagen]],0)</f>
        <v>0</v>
      </c>
      <c r="W591" s="289">
        <f>Ruimtestaat[[#This Row],[uren / jaar werkdagen]]*Tariefsopbouw!$E$35</f>
        <v>0</v>
      </c>
      <c r="X591" s="226"/>
      <c r="Y591" s="290">
        <f>IF(Ruimtestaat[[#This Row],[Frequentie weekend]]&gt;0,VALUE(LEFT(X591,1))*Q591,0)</f>
        <v>0</v>
      </c>
      <c r="Z591" s="287">
        <f>IF($Y591&gt;0,VLOOKUP($J591,Ruimtegroepen[],3,FALSE)*VLOOKUP($L591,Vloersoorten[],3,FALSE)*VLOOKUP($X591,Frequenties[],3,FALSE)*VLOOKUP(#REF!,Locaties[],3,FALSE),0)</f>
        <v>0</v>
      </c>
      <c r="AA591" s="291">
        <f>Ruimtestaat[[#This Row],[Uitvoeringen weekend]]*Ruimtestaat[[#This Row],[Oppervlak (netto)]]</f>
        <v>0</v>
      </c>
      <c r="AB591" s="291">
        <f>IF(Z591&gt;0,Ruimtestaat[[#This Row],[Prest. (m2 /jaar) weekend]]/Ruimtestaat[[#This Row],[Norm (m2/uur) weekend]],0)</f>
        <v>0</v>
      </c>
      <c r="AC591" s="180">
        <f>Ruimtestaat[[#This Row],[uren / jaar weekend]]*Tariefsopbouw!$D$40</f>
        <v>0</v>
      </c>
      <c r="AD591" s="179">
        <f>Ruimtestaat[[#This Row],[Prest. (m2 /jaar) weekend]]+Ruimtestaat[[#This Row],[Prest. (m2 /jaar) werkdagen]]</f>
        <v>0</v>
      </c>
      <c r="AE591" s="179">
        <f>Ruimtestaat[[#This Row],[uren / jaar weekend]]+Ruimtestaat[[#This Row],[uren / jaar werkdagen]]</f>
        <v>0</v>
      </c>
      <c r="AF591" s="174">
        <f>Ruimtestaat[[#This Row],[kosten / jaar weekend]]+Ruimtestaat[[#This Row],[kosten / jaar werkdagen]]</f>
        <v>0</v>
      </c>
      <c r="AG591" s="174"/>
      <c r="AH591" s="174" t="str">
        <f>IF(Ruimtestaat[[#This Row],[Frequentie werkdagen]]="","",_xlfn.CONCAT(Ruimtestaat[[#This Row],[Ruimte code]],"-",Ruimtestaat[[#This Row],[Frequentie werkdagen]]," ",Ruimtestaat[[#This Row],[Vloer code]]))</f>
        <v/>
      </c>
      <c r="AI591" s="182" t="str">
        <f>_xlfn.IFNA(VLOOKUP($AH591,Programma!$F$3:$G$1101,2,0),"")</f>
        <v/>
      </c>
      <c r="AJ591" s="182" t="str">
        <f>_xlfn.IFNA(VLOOKUP($AH591,Programma!$F$3:$H$1101,3,0),"")</f>
        <v/>
      </c>
      <c r="AK591" s="182" t="str">
        <f>_xlfn.IFNA(VLOOKUP($AH591,Programma!$F$3:$I$1101,4,0),"")</f>
        <v/>
      </c>
      <c r="AL591" s="182" t="str">
        <f>_xlfn.IFNA(VLOOKUP($AH591,Programma!$F$3:$J$1101,5,0),"")</f>
        <v/>
      </c>
      <c r="AM591" s="182" t="str">
        <f>_xlfn.IFNA(VLOOKUP($AH591,Programma!$F$3:$K$1101,6,0),"")</f>
        <v/>
      </c>
      <c r="AN591" s="182" t="str">
        <f>_xlfn.IFNA(VLOOKUP($AH591,Programma!$F$3:$L$1101,7,0),"")</f>
        <v/>
      </c>
      <c r="AO591" s="182" t="str">
        <f>_xlfn.IFNA(VLOOKUP($AH591,Programma!$F$3:$M$1101,8,0),"")</f>
        <v/>
      </c>
      <c r="AP591" s="182" t="str">
        <f>_xlfn.IFNA(VLOOKUP($AH591,Programma!$F$3:$N$1101,9,0),"")</f>
        <v/>
      </c>
      <c r="AQ591" s="182" t="str">
        <f>_xlfn.IFNA(VLOOKUP($AH591,Programma!$F$3:$O$1101,10,0),"")</f>
        <v/>
      </c>
      <c r="AR591" s="182" t="str">
        <f>_xlfn.IFNA(VLOOKUP($AH591,Programma!$F$3:$P$1101,11,0),"")</f>
        <v/>
      </c>
      <c r="AS591" s="182" t="str">
        <f>_xlfn.IFNA(VLOOKUP($AH591,Programma!$F$3:$Q$1101,12,0),"")</f>
        <v/>
      </c>
      <c r="AT591" s="182" t="str">
        <f>_xlfn.IFNA(VLOOKUP($AH591,Programma!$F$3:$R$1101,13,0),"")</f>
        <v/>
      </c>
      <c r="AU591" s="182" t="str">
        <f>_xlfn.IFNA(VLOOKUP($AH591,Programma!$F$3:$S$1101,14,0),"")</f>
        <v/>
      </c>
      <c r="AV591" s="182" t="str">
        <f>_xlfn.IFNA(VLOOKUP($AH591,Programma!$F$3:$T$1101,15,0),"")</f>
        <v/>
      </c>
      <c r="AW591" s="182" t="str">
        <f>_xlfn.IFNA(VLOOKUP($AH591,Programma!$F$3:$U$1101,16,0),"")</f>
        <v/>
      </c>
      <c r="AX591" s="182" t="str">
        <f>_xlfn.IFNA(VLOOKUP($AH591,Programma!$F$3:$V$1101,17,0),"")</f>
        <v/>
      </c>
      <c r="AY591" s="182" t="str">
        <f>_xlfn.IFNA(VLOOKUP($AH591,Programma!$F$3:$W$1101,18,0),"")</f>
        <v/>
      </c>
      <c r="AZ591" s="182" t="str">
        <f>_xlfn.IFNA(VLOOKUP($AH591,Programma!$F$3:$X$1101,19,0),"")</f>
        <v/>
      </c>
      <c r="BA591" s="182" t="str">
        <f>_xlfn.IFNA(VLOOKUP($AH591,Programma!$F$3:$Y$1101,20,0),"")</f>
        <v/>
      </c>
      <c r="BB591" s="182"/>
      <c r="BC591" s="174" t="str">
        <f>IF(Ruimtestaat[[#This Row],[Frequentie weekend]]="","",_xlfn.CONCAT(Ruimtestaat[[#This Row],[Ruimte code]],"-",Ruimtestaat[[#This Row],[Frequentie weekend]]," ",Ruimtestaat[[#This Row],[Vloer code]]))</f>
        <v/>
      </c>
      <c r="BD591" s="182" t="str">
        <f>_xlfn.IFNA(VLOOKUP($BC591,Programma!$F$3:$G$1101,2,0),"")</f>
        <v/>
      </c>
      <c r="BE591" s="182" t="str">
        <f>_xlfn.IFNA(VLOOKUP($BC591,Programma!$F$3:$H$1101,3,0),"")</f>
        <v/>
      </c>
      <c r="BF591" s="182" t="str">
        <f>_xlfn.IFNA(VLOOKUP($BC591,Programma!$F$3:$I$1101,4,0),"")</f>
        <v/>
      </c>
      <c r="BG591" s="182" t="str">
        <f>_xlfn.IFNA(VLOOKUP($BC591,Programma!$F$3:$J$1101,5,0),"")</f>
        <v/>
      </c>
      <c r="BH591" s="182" t="str">
        <f>_xlfn.IFNA(VLOOKUP($BC591,Programma!$F$3:$K$1101,6,0),"")</f>
        <v/>
      </c>
      <c r="BI591" s="182" t="str">
        <f>_xlfn.IFNA(VLOOKUP($BC591,Programma!$F$3:$L$1101,7,0),"")</f>
        <v/>
      </c>
      <c r="BJ591" s="182" t="str">
        <f>_xlfn.IFNA(VLOOKUP($BC591,Programma!$F$3:$M$1101,8,0),"")</f>
        <v/>
      </c>
      <c r="BK591" s="182" t="str">
        <f>_xlfn.IFNA(VLOOKUP($BC591,Programma!$F$3:$N$1101,9,0),"")</f>
        <v/>
      </c>
      <c r="BL591" s="182" t="str">
        <f>_xlfn.IFNA(VLOOKUP($BC591,Programma!$F$3:$O$1101,10,0),"")</f>
        <v/>
      </c>
      <c r="BM591" s="182" t="str">
        <f>_xlfn.IFNA(VLOOKUP($BC591,Programma!$F$3:$P$1101,11,0),"")</f>
        <v/>
      </c>
      <c r="BN591" s="182" t="str">
        <f>_xlfn.IFNA(VLOOKUP($BC591,Programma!$F$3:$Q$1101,12,0),"")</f>
        <v/>
      </c>
      <c r="BO591" s="182" t="str">
        <f>_xlfn.IFNA(VLOOKUP($BC591,Programma!$F$3:$R$1101,13,0),"")</f>
        <v/>
      </c>
      <c r="BP591" s="182" t="str">
        <f>_xlfn.IFNA(VLOOKUP($BC591,Programma!$F$3:$S$1101,14,0),"")</f>
        <v/>
      </c>
      <c r="BQ591" s="182" t="str">
        <f>_xlfn.IFNA(VLOOKUP($BC591,Programma!$F$3:$T$1101,15,0),"")</f>
        <v/>
      </c>
      <c r="BR591" s="182" t="str">
        <f>_xlfn.IFNA(VLOOKUP($BC591,Programma!$F$3:$U$1101,16,0),"")</f>
        <v/>
      </c>
      <c r="BS591" s="182" t="str">
        <f>_xlfn.IFNA(VLOOKUP($BC591,Programma!$F$3:$V$1101,17,0),"")</f>
        <v/>
      </c>
      <c r="BT591" s="182" t="str">
        <f>_xlfn.IFNA(VLOOKUP($BC591,Programma!$F$3:$W$1101,18,0),"")</f>
        <v/>
      </c>
      <c r="BU591" s="182" t="str">
        <f>_xlfn.IFNA(VLOOKUP($BC591,Programma!$F$3:$X$1101,19,0),"")</f>
        <v/>
      </c>
      <c r="BV591" s="182" t="str">
        <f>_xlfn.IFNA(VLOOKUP($BC591,Programma!$F$3:$Y$1101,20,0),"")</f>
        <v/>
      </c>
    </row>
    <row r="592" spans="1:74" ht="15" customHeight="1">
      <c r="A592" s="99">
        <v>17</v>
      </c>
      <c r="B592" s="176" t="str">
        <f>VLOOKUP(Ruimtestaat[[#This Row],[Code]],Locaties[[Code]:[Locatie]],2,FALSE)</f>
        <v>ODBS Lonneker</v>
      </c>
      <c r="C592" s="176" t="str">
        <f>VLOOKUP(Ruimtestaat[[#This Row],[Code]],Locaties[[#All],[Code]:[Adres]],4,FALSE)</f>
        <v>Dorpsstraat 104</v>
      </c>
      <c r="D592" s="176" t="str">
        <f>VLOOKUP(Ruimtestaat[[#This Row],[Code]],Locaties[[#All],[Code]:[Postcode]],5,FALSE)</f>
        <v>7524 CK</v>
      </c>
      <c r="E592" s="176" t="str">
        <f>VLOOKUP(Ruimtestaat[[#This Row],[Code]],Locaties[#All],6,FALSE)</f>
        <v>Lonneker</v>
      </c>
      <c r="F592" s="183"/>
      <c r="G592" s="99" t="s">
        <v>1646</v>
      </c>
      <c r="H592" s="99" t="s">
        <v>1654</v>
      </c>
      <c r="I592" s="183" t="s">
        <v>1683</v>
      </c>
      <c r="J592" s="99">
        <v>20</v>
      </c>
      <c r="K592" s="183" t="str">
        <f>VLOOKUP(Ruimtestaat[[#This Row],[Ruimte code]],Ruimtegroepen[[#All],[Code]:[Ruimte omschrijving]],2,FALSE)</f>
        <v>Niet in Onderhoud</v>
      </c>
      <c r="L592" s="99" t="s">
        <v>101</v>
      </c>
      <c r="M592" s="99" t="s">
        <v>1698</v>
      </c>
      <c r="N592" s="177"/>
      <c r="O592" s="177">
        <v>8</v>
      </c>
      <c r="P592" s="178">
        <f>VLOOKUP(Ruimtestaat[[#This Row],[Ruimte code]],Ruimtegroepen[],4,FALSE)</f>
        <v>0</v>
      </c>
      <c r="Q592" s="149"/>
      <c r="R592" s="149"/>
      <c r="S592" s="285">
        <f>IF(Q592&gt;0,IF(RIGHT(Ruimtestaat[[#This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2" s="286">
        <f>IF(S592&gt;0,VLOOKUP($J592,Ruimtegroepen[],3,FALSE)*VLOOKUP($L592,Vloersoorten[],3,FALSE)*VLOOKUP($R592,Frequenties[],3,FALSE)*VLOOKUP($A592,Locaties[],3,FALSE),0)</f>
        <v>0</v>
      </c>
      <c r="U592" s="287">
        <f>Ruimtestaat[[#This Row],[Uitvoeringen werkdagen]]*Ruimtestaat[[#This Row],[Oppervlak (netto)]]</f>
        <v>0</v>
      </c>
      <c r="V592" s="288">
        <f>IF(T592&gt;0,Ruimtestaat[[#This Row],[Prest. (m2 /jaar) werkdagen]]/Ruimtestaat[[#This Row],[Norm (m2/uur) werkdagen]],0)</f>
        <v>0</v>
      </c>
      <c r="W592" s="289">
        <f>Ruimtestaat[[#This Row],[uren / jaar werkdagen]]*Tariefsopbouw!$E$35</f>
        <v>0</v>
      </c>
      <c r="X592" s="226"/>
      <c r="Y592" s="290">
        <f>IF(Ruimtestaat[[#This Row],[Frequentie weekend]]&gt;0,VALUE(LEFT(X592,1))*Q592,0)</f>
        <v>0</v>
      </c>
      <c r="Z592" s="287">
        <f>IF($Y592&gt;0,VLOOKUP($J592,Ruimtegroepen[],3,FALSE)*VLOOKUP($L592,Vloersoorten[],3,FALSE)*VLOOKUP($X592,Frequenties[],3,FALSE)*VLOOKUP(#REF!,Locaties[],3,FALSE),0)</f>
        <v>0</v>
      </c>
      <c r="AA592" s="291">
        <f>Ruimtestaat[[#This Row],[Uitvoeringen weekend]]*Ruimtestaat[[#This Row],[Oppervlak (netto)]]</f>
        <v>0</v>
      </c>
      <c r="AB592" s="291">
        <f>IF(Z592&gt;0,Ruimtestaat[[#This Row],[Prest. (m2 /jaar) weekend]]/Ruimtestaat[[#This Row],[Norm (m2/uur) weekend]],0)</f>
        <v>0</v>
      </c>
      <c r="AC592" s="180">
        <f>Ruimtestaat[[#This Row],[uren / jaar weekend]]*Tariefsopbouw!$D$40</f>
        <v>0</v>
      </c>
      <c r="AD592" s="179">
        <f>Ruimtestaat[[#This Row],[Prest. (m2 /jaar) weekend]]+Ruimtestaat[[#This Row],[Prest. (m2 /jaar) werkdagen]]</f>
        <v>0</v>
      </c>
      <c r="AE592" s="179">
        <f>Ruimtestaat[[#This Row],[uren / jaar weekend]]+Ruimtestaat[[#This Row],[uren / jaar werkdagen]]</f>
        <v>0</v>
      </c>
      <c r="AF592" s="174">
        <f>Ruimtestaat[[#This Row],[kosten / jaar weekend]]+Ruimtestaat[[#This Row],[kosten / jaar werkdagen]]</f>
        <v>0</v>
      </c>
      <c r="AG592" s="174"/>
      <c r="AH592" s="174" t="str">
        <f>IF(Ruimtestaat[[#This Row],[Frequentie werkdagen]]="","",_xlfn.CONCAT(Ruimtestaat[[#This Row],[Ruimte code]],"-",Ruimtestaat[[#This Row],[Frequentie werkdagen]]," ",Ruimtestaat[[#This Row],[Vloer code]]))</f>
        <v/>
      </c>
      <c r="AI592" s="182" t="str">
        <f>_xlfn.IFNA(VLOOKUP($AH592,Programma!$F$3:$G$1101,2,0),"")</f>
        <v/>
      </c>
      <c r="AJ592" s="182" t="str">
        <f>_xlfn.IFNA(VLOOKUP($AH592,Programma!$F$3:$H$1101,3,0),"")</f>
        <v/>
      </c>
      <c r="AK592" s="182" t="str">
        <f>_xlfn.IFNA(VLOOKUP($AH592,Programma!$F$3:$I$1101,4,0),"")</f>
        <v/>
      </c>
      <c r="AL592" s="182" t="str">
        <f>_xlfn.IFNA(VLOOKUP($AH592,Programma!$F$3:$J$1101,5,0),"")</f>
        <v/>
      </c>
      <c r="AM592" s="182" t="str">
        <f>_xlfn.IFNA(VLOOKUP($AH592,Programma!$F$3:$K$1101,6,0),"")</f>
        <v/>
      </c>
      <c r="AN592" s="182" t="str">
        <f>_xlfn.IFNA(VLOOKUP($AH592,Programma!$F$3:$L$1101,7,0),"")</f>
        <v/>
      </c>
      <c r="AO592" s="182" t="str">
        <f>_xlfn.IFNA(VLOOKUP($AH592,Programma!$F$3:$M$1101,8,0),"")</f>
        <v/>
      </c>
      <c r="AP592" s="182" t="str">
        <f>_xlfn.IFNA(VLOOKUP($AH592,Programma!$F$3:$N$1101,9,0),"")</f>
        <v/>
      </c>
      <c r="AQ592" s="182" t="str">
        <f>_xlfn.IFNA(VLOOKUP($AH592,Programma!$F$3:$O$1101,10,0),"")</f>
        <v/>
      </c>
      <c r="AR592" s="182" t="str">
        <f>_xlfn.IFNA(VLOOKUP($AH592,Programma!$F$3:$P$1101,11,0),"")</f>
        <v/>
      </c>
      <c r="AS592" s="182" t="str">
        <f>_xlfn.IFNA(VLOOKUP($AH592,Programma!$F$3:$Q$1101,12,0),"")</f>
        <v/>
      </c>
      <c r="AT592" s="182" t="str">
        <f>_xlfn.IFNA(VLOOKUP($AH592,Programma!$F$3:$R$1101,13,0),"")</f>
        <v/>
      </c>
      <c r="AU592" s="182" t="str">
        <f>_xlfn.IFNA(VLOOKUP($AH592,Programma!$F$3:$S$1101,14,0),"")</f>
        <v/>
      </c>
      <c r="AV592" s="182" t="str">
        <f>_xlfn.IFNA(VLOOKUP($AH592,Programma!$F$3:$T$1101,15,0),"")</f>
        <v/>
      </c>
      <c r="AW592" s="182" t="str">
        <f>_xlfn.IFNA(VLOOKUP($AH592,Programma!$F$3:$U$1101,16,0),"")</f>
        <v/>
      </c>
      <c r="AX592" s="182" t="str">
        <f>_xlfn.IFNA(VLOOKUP($AH592,Programma!$F$3:$V$1101,17,0),"")</f>
        <v/>
      </c>
      <c r="AY592" s="182" t="str">
        <f>_xlfn.IFNA(VLOOKUP($AH592,Programma!$F$3:$W$1101,18,0),"")</f>
        <v/>
      </c>
      <c r="AZ592" s="182" t="str">
        <f>_xlfn.IFNA(VLOOKUP($AH592,Programma!$F$3:$X$1101,19,0),"")</f>
        <v/>
      </c>
      <c r="BA592" s="182" t="str">
        <f>_xlfn.IFNA(VLOOKUP($AH592,Programma!$F$3:$Y$1101,20,0),"")</f>
        <v/>
      </c>
      <c r="BB592" s="182"/>
      <c r="BC592" s="174" t="str">
        <f>IF(Ruimtestaat[[#This Row],[Frequentie weekend]]="","",_xlfn.CONCAT(Ruimtestaat[[#This Row],[Ruimte code]],"-",Ruimtestaat[[#This Row],[Frequentie weekend]]," ",Ruimtestaat[[#This Row],[Vloer code]]))</f>
        <v/>
      </c>
      <c r="BD592" s="182" t="str">
        <f>_xlfn.IFNA(VLOOKUP($BC592,Programma!$F$3:$G$1101,2,0),"")</f>
        <v/>
      </c>
      <c r="BE592" s="182" t="str">
        <f>_xlfn.IFNA(VLOOKUP($BC592,Programma!$F$3:$H$1101,3,0),"")</f>
        <v/>
      </c>
      <c r="BF592" s="182" t="str">
        <f>_xlfn.IFNA(VLOOKUP($BC592,Programma!$F$3:$I$1101,4,0),"")</f>
        <v/>
      </c>
      <c r="BG592" s="182" t="str">
        <f>_xlfn.IFNA(VLOOKUP($BC592,Programma!$F$3:$J$1101,5,0),"")</f>
        <v/>
      </c>
      <c r="BH592" s="182" t="str">
        <f>_xlfn.IFNA(VLOOKUP($BC592,Programma!$F$3:$K$1101,6,0),"")</f>
        <v/>
      </c>
      <c r="BI592" s="182" t="str">
        <f>_xlfn.IFNA(VLOOKUP($BC592,Programma!$F$3:$L$1101,7,0),"")</f>
        <v/>
      </c>
      <c r="BJ592" s="182" t="str">
        <f>_xlfn.IFNA(VLOOKUP($BC592,Programma!$F$3:$M$1101,8,0),"")</f>
        <v/>
      </c>
      <c r="BK592" s="182" t="str">
        <f>_xlfn.IFNA(VLOOKUP($BC592,Programma!$F$3:$N$1101,9,0),"")</f>
        <v/>
      </c>
      <c r="BL592" s="182" t="str">
        <f>_xlfn.IFNA(VLOOKUP($BC592,Programma!$F$3:$O$1101,10,0),"")</f>
        <v/>
      </c>
      <c r="BM592" s="182" t="str">
        <f>_xlfn.IFNA(VLOOKUP($BC592,Programma!$F$3:$P$1101,11,0),"")</f>
        <v/>
      </c>
      <c r="BN592" s="182" t="str">
        <f>_xlfn.IFNA(VLOOKUP($BC592,Programma!$F$3:$Q$1101,12,0),"")</f>
        <v/>
      </c>
      <c r="BO592" s="182" t="str">
        <f>_xlfn.IFNA(VLOOKUP($BC592,Programma!$F$3:$R$1101,13,0),"")</f>
        <v/>
      </c>
      <c r="BP592" s="182" t="str">
        <f>_xlfn.IFNA(VLOOKUP($BC592,Programma!$F$3:$S$1101,14,0),"")</f>
        <v/>
      </c>
      <c r="BQ592" s="182" t="str">
        <f>_xlfn.IFNA(VLOOKUP($BC592,Programma!$F$3:$T$1101,15,0),"")</f>
        <v/>
      </c>
      <c r="BR592" s="182" t="str">
        <f>_xlfn.IFNA(VLOOKUP($BC592,Programma!$F$3:$U$1101,16,0),"")</f>
        <v/>
      </c>
      <c r="BS592" s="182" t="str">
        <f>_xlfn.IFNA(VLOOKUP($BC592,Programma!$F$3:$V$1101,17,0),"")</f>
        <v/>
      </c>
      <c r="BT592" s="182" t="str">
        <f>_xlfn.IFNA(VLOOKUP($BC592,Programma!$F$3:$W$1101,18,0),"")</f>
        <v/>
      </c>
      <c r="BU592" s="182" t="str">
        <f>_xlfn.IFNA(VLOOKUP($BC592,Programma!$F$3:$X$1101,19,0),"")</f>
        <v/>
      </c>
      <c r="BV592" s="182" t="str">
        <f>_xlfn.IFNA(VLOOKUP($BC592,Programma!$F$3:$Y$1101,20,0),"")</f>
        <v/>
      </c>
    </row>
    <row r="593" spans="1:74" ht="15" customHeight="1">
      <c r="A593" s="99">
        <v>17</v>
      </c>
      <c r="B593" s="176" t="str">
        <f>VLOOKUP(Ruimtestaat[[#This Row],[Code]],Locaties[[Code]:[Locatie]],2,FALSE)</f>
        <v>ODBS Lonneker</v>
      </c>
      <c r="C593" s="176" t="str">
        <f>VLOOKUP(Ruimtestaat[[#This Row],[Code]],Locaties[[#All],[Code]:[Adres]],4,FALSE)</f>
        <v>Dorpsstraat 104</v>
      </c>
      <c r="D593" s="176" t="str">
        <f>VLOOKUP(Ruimtestaat[[#This Row],[Code]],Locaties[[#All],[Code]:[Postcode]],5,FALSE)</f>
        <v>7524 CK</v>
      </c>
      <c r="E593" s="176" t="str">
        <f>VLOOKUP(Ruimtestaat[[#This Row],[Code]],Locaties[#All],6,FALSE)</f>
        <v>Lonneker</v>
      </c>
      <c r="F593" s="183"/>
      <c r="G593" s="99" t="s">
        <v>1646</v>
      </c>
      <c r="H593" s="99" t="s">
        <v>1656</v>
      </c>
      <c r="I593" s="183" t="s">
        <v>1683</v>
      </c>
      <c r="J593" s="99">
        <v>20</v>
      </c>
      <c r="K593" s="183" t="str">
        <f>VLOOKUP(Ruimtestaat[[#This Row],[Ruimte code]],Ruimtegroepen[[#All],[Code]:[Ruimte omschrijving]],2,FALSE)</f>
        <v>Niet in Onderhoud</v>
      </c>
      <c r="L593" s="99" t="s">
        <v>101</v>
      </c>
      <c r="M593" s="99" t="s">
        <v>1698</v>
      </c>
      <c r="N593" s="177"/>
      <c r="O593" s="177">
        <v>7</v>
      </c>
      <c r="P593" s="178">
        <f>VLOOKUP(Ruimtestaat[[#This Row],[Ruimte code]],Ruimtegroepen[],4,FALSE)</f>
        <v>0</v>
      </c>
      <c r="Q593" s="149"/>
      <c r="R593" s="149"/>
      <c r="S593" s="285">
        <f>IF(Q593&gt;0,IF(RIGHT(Ruimtestaat[[#This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3" s="286">
        <f>IF(S593&gt;0,VLOOKUP($J593,Ruimtegroepen[],3,FALSE)*VLOOKUP($L593,Vloersoorten[],3,FALSE)*VLOOKUP($R593,Frequenties[],3,FALSE)*VLOOKUP($A593,Locaties[],3,FALSE),0)</f>
        <v>0</v>
      </c>
      <c r="U593" s="287">
        <f>Ruimtestaat[[#This Row],[Uitvoeringen werkdagen]]*Ruimtestaat[[#This Row],[Oppervlak (netto)]]</f>
        <v>0</v>
      </c>
      <c r="V593" s="288">
        <f>IF(T593&gt;0,Ruimtestaat[[#This Row],[Prest. (m2 /jaar) werkdagen]]/Ruimtestaat[[#This Row],[Norm (m2/uur) werkdagen]],0)</f>
        <v>0</v>
      </c>
      <c r="W593" s="289">
        <f>Ruimtestaat[[#This Row],[uren / jaar werkdagen]]*Tariefsopbouw!$E$35</f>
        <v>0</v>
      </c>
      <c r="X593" s="226"/>
      <c r="Y593" s="290">
        <f>IF(Ruimtestaat[[#This Row],[Frequentie weekend]]&gt;0,VALUE(LEFT(X593,1))*Q593,0)</f>
        <v>0</v>
      </c>
      <c r="Z593" s="287">
        <f>IF($Y593&gt;0,VLOOKUP($J593,Ruimtegroepen[],3,FALSE)*VLOOKUP($L593,Vloersoorten[],3,FALSE)*VLOOKUP($X593,Frequenties[],3,FALSE)*VLOOKUP(#REF!,Locaties[],3,FALSE),0)</f>
        <v>0</v>
      </c>
      <c r="AA593" s="291">
        <f>Ruimtestaat[[#This Row],[Uitvoeringen weekend]]*Ruimtestaat[[#This Row],[Oppervlak (netto)]]</f>
        <v>0</v>
      </c>
      <c r="AB593" s="291">
        <f>IF(Z593&gt;0,Ruimtestaat[[#This Row],[Prest. (m2 /jaar) weekend]]/Ruimtestaat[[#This Row],[Norm (m2/uur) weekend]],0)</f>
        <v>0</v>
      </c>
      <c r="AC593" s="180">
        <f>Ruimtestaat[[#This Row],[uren / jaar weekend]]*Tariefsopbouw!$D$40</f>
        <v>0</v>
      </c>
      <c r="AD593" s="179">
        <f>Ruimtestaat[[#This Row],[Prest. (m2 /jaar) weekend]]+Ruimtestaat[[#This Row],[Prest. (m2 /jaar) werkdagen]]</f>
        <v>0</v>
      </c>
      <c r="AE593" s="179">
        <f>Ruimtestaat[[#This Row],[uren / jaar weekend]]+Ruimtestaat[[#This Row],[uren / jaar werkdagen]]</f>
        <v>0</v>
      </c>
      <c r="AF593" s="174">
        <f>Ruimtestaat[[#This Row],[kosten / jaar weekend]]+Ruimtestaat[[#This Row],[kosten / jaar werkdagen]]</f>
        <v>0</v>
      </c>
      <c r="AG593" s="174"/>
      <c r="AH593" s="174" t="str">
        <f>IF(Ruimtestaat[[#This Row],[Frequentie werkdagen]]="","",_xlfn.CONCAT(Ruimtestaat[[#This Row],[Ruimte code]],"-",Ruimtestaat[[#This Row],[Frequentie werkdagen]]," ",Ruimtestaat[[#This Row],[Vloer code]]))</f>
        <v/>
      </c>
      <c r="AI593" s="182" t="str">
        <f>_xlfn.IFNA(VLOOKUP($AH593,Programma!$F$3:$G$1101,2,0),"")</f>
        <v/>
      </c>
      <c r="AJ593" s="182" t="str">
        <f>_xlfn.IFNA(VLOOKUP($AH593,Programma!$F$3:$H$1101,3,0),"")</f>
        <v/>
      </c>
      <c r="AK593" s="182" t="str">
        <f>_xlfn.IFNA(VLOOKUP($AH593,Programma!$F$3:$I$1101,4,0),"")</f>
        <v/>
      </c>
      <c r="AL593" s="182" t="str">
        <f>_xlfn.IFNA(VLOOKUP($AH593,Programma!$F$3:$J$1101,5,0),"")</f>
        <v/>
      </c>
      <c r="AM593" s="182" t="str">
        <f>_xlfn.IFNA(VLOOKUP($AH593,Programma!$F$3:$K$1101,6,0),"")</f>
        <v/>
      </c>
      <c r="AN593" s="182" t="str">
        <f>_xlfn.IFNA(VLOOKUP($AH593,Programma!$F$3:$L$1101,7,0),"")</f>
        <v/>
      </c>
      <c r="AO593" s="182" t="str">
        <f>_xlfn.IFNA(VLOOKUP($AH593,Programma!$F$3:$M$1101,8,0),"")</f>
        <v/>
      </c>
      <c r="AP593" s="182" t="str">
        <f>_xlfn.IFNA(VLOOKUP($AH593,Programma!$F$3:$N$1101,9,0),"")</f>
        <v/>
      </c>
      <c r="AQ593" s="182" t="str">
        <f>_xlfn.IFNA(VLOOKUP($AH593,Programma!$F$3:$O$1101,10,0),"")</f>
        <v/>
      </c>
      <c r="AR593" s="182" t="str">
        <f>_xlfn.IFNA(VLOOKUP($AH593,Programma!$F$3:$P$1101,11,0),"")</f>
        <v/>
      </c>
      <c r="AS593" s="182" t="str">
        <f>_xlfn.IFNA(VLOOKUP($AH593,Programma!$F$3:$Q$1101,12,0),"")</f>
        <v/>
      </c>
      <c r="AT593" s="182" t="str">
        <f>_xlfn.IFNA(VLOOKUP($AH593,Programma!$F$3:$R$1101,13,0),"")</f>
        <v/>
      </c>
      <c r="AU593" s="182" t="str">
        <f>_xlfn.IFNA(VLOOKUP($AH593,Programma!$F$3:$S$1101,14,0),"")</f>
        <v/>
      </c>
      <c r="AV593" s="182" t="str">
        <f>_xlfn.IFNA(VLOOKUP($AH593,Programma!$F$3:$T$1101,15,0),"")</f>
        <v/>
      </c>
      <c r="AW593" s="182" t="str">
        <f>_xlfn.IFNA(VLOOKUP($AH593,Programma!$F$3:$U$1101,16,0),"")</f>
        <v/>
      </c>
      <c r="AX593" s="182" t="str">
        <f>_xlfn.IFNA(VLOOKUP($AH593,Programma!$F$3:$V$1101,17,0),"")</f>
        <v/>
      </c>
      <c r="AY593" s="182" t="str">
        <f>_xlfn.IFNA(VLOOKUP($AH593,Programma!$F$3:$W$1101,18,0),"")</f>
        <v/>
      </c>
      <c r="AZ593" s="182" t="str">
        <f>_xlfn.IFNA(VLOOKUP($AH593,Programma!$F$3:$X$1101,19,0),"")</f>
        <v/>
      </c>
      <c r="BA593" s="182" t="str">
        <f>_xlfn.IFNA(VLOOKUP($AH593,Programma!$F$3:$Y$1101,20,0),"")</f>
        <v/>
      </c>
      <c r="BB593" s="182"/>
      <c r="BC593" s="174" t="str">
        <f>IF(Ruimtestaat[[#This Row],[Frequentie weekend]]="","",_xlfn.CONCAT(Ruimtestaat[[#This Row],[Ruimte code]],"-",Ruimtestaat[[#This Row],[Frequentie weekend]]," ",Ruimtestaat[[#This Row],[Vloer code]]))</f>
        <v/>
      </c>
      <c r="BD593" s="182" t="str">
        <f>_xlfn.IFNA(VLOOKUP($BC593,Programma!$F$3:$G$1101,2,0),"")</f>
        <v/>
      </c>
      <c r="BE593" s="182" t="str">
        <f>_xlfn.IFNA(VLOOKUP($BC593,Programma!$F$3:$H$1101,3,0),"")</f>
        <v/>
      </c>
      <c r="BF593" s="182" t="str">
        <f>_xlfn.IFNA(VLOOKUP($BC593,Programma!$F$3:$I$1101,4,0),"")</f>
        <v/>
      </c>
      <c r="BG593" s="182" t="str">
        <f>_xlfn.IFNA(VLOOKUP($BC593,Programma!$F$3:$J$1101,5,0),"")</f>
        <v/>
      </c>
      <c r="BH593" s="182" t="str">
        <f>_xlfn.IFNA(VLOOKUP($BC593,Programma!$F$3:$K$1101,6,0),"")</f>
        <v/>
      </c>
      <c r="BI593" s="182" t="str">
        <f>_xlfn.IFNA(VLOOKUP($BC593,Programma!$F$3:$L$1101,7,0),"")</f>
        <v/>
      </c>
      <c r="BJ593" s="182" t="str">
        <f>_xlfn.IFNA(VLOOKUP($BC593,Programma!$F$3:$M$1101,8,0),"")</f>
        <v/>
      </c>
      <c r="BK593" s="182" t="str">
        <f>_xlfn.IFNA(VLOOKUP($BC593,Programma!$F$3:$N$1101,9,0),"")</f>
        <v/>
      </c>
      <c r="BL593" s="182" t="str">
        <f>_xlfn.IFNA(VLOOKUP($BC593,Programma!$F$3:$O$1101,10,0),"")</f>
        <v/>
      </c>
      <c r="BM593" s="182" t="str">
        <f>_xlfn.IFNA(VLOOKUP($BC593,Programma!$F$3:$P$1101,11,0),"")</f>
        <v/>
      </c>
      <c r="BN593" s="182" t="str">
        <f>_xlfn.IFNA(VLOOKUP($BC593,Programma!$F$3:$Q$1101,12,0),"")</f>
        <v/>
      </c>
      <c r="BO593" s="182" t="str">
        <f>_xlfn.IFNA(VLOOKUP($BC593,Programma!$F$3:$R$1101,13,0),"")</f>
        <v/>
      </c>
      <c r="BP593" s="182" t="str">
        <f>_xlfn.IFNA(VLOOKUP($BC593,Programma!$F$3:$S$1101,14,0),"")</f>
        <v/>
      </c>
      <c r="BQ593" s="182" t="str">
        <f>_xlfn.IFNA(VLOOKUP($BC593,Programma!$F$3:$T$1101,15,0),"")</f>
        <v/>
      </c>
      <c r="BR593" s="182" t="str">
        <f>_xlfn.IFNA(VLOOKUP($BC593,Programma!$F$3:$U$1101,16,0),"")</f>
        <v/>
      </c>
      <c r="BS593" s="182" t="str">
        <f>_xlfn.IFNA(VLOOKUP($BC593,Programma!$F$3:$V$1101,17,0),"")</f>
        <v/>
      </c>
      <c r="BT593" s="182" t="str">
        <f>_xlfn.IFNA(VLOOKUP($BC593,Programma!$F$3:$W$1101,18,0),"")</f>
        <v/>
      </c>
      <c r="BU593" s="182" t="str">
        <f>_xlfn.IFNA(VLOOKUP($BC593,Programma!$F$3:$X$1101,19,0),"")</f>
        <v/>
      </c>
      <c r="BV593" s="182" t="str">
        <f>_xlfn.IFNA(VLOOKUP($BC593,Programma!$F$3:$Y$1101,20,0),"")</f>
        <v/>
      </c>
    </row>
    <row r="594" spans="1:74" ht="15" customHeight="1">
      <c r="A594" s="99">
        <v>17</v>
      </c>
      <c r="B594" s="176" t="str">
        <f>VLOOKUP(Ruimtestaat[[#This Row],[Code]],Locaties[[Code]:[Locatie]],2,FALSE)</f>
        <v>ODBS Lonneker</v>
      </c>
      <c r="C594" s="176" t="str">
        <f>VLOOKUP(Ruimtestaat[[#This Row],[Code]],Locaties[[#All],[Code]:[Adres]],4,FALSE)</f>
        <v>Dorpsstraat 104</v>
      </c>
      <c r="D594" s="176" t="str">
        <f>VLOOKUP(Ruimtestaat[[#This Row],[Code]],Locaties[[#All],[Code]:[Postcode]],5,FALSE)</f>
        <v>7524 CK</v>
      </c>
      <c r="E594" s="176" t="str">
        <f>VLOOKUP(Ruimtestaat[[#This Row],[Code]],Locaties[#All],6,FALSE)</f>
        <v>Lonneker</v>
      </c>
      <c r="F594" s="183"/>
      <c r="G594" s="99" t="s">
        <v>1646</v>
      </c>
      <c r="H594" s="99" t="s">
        <v>1819</v>
      </c>
      <c r="I594" s="183" t="s">
        <v>1683</v>
      </c>
      <c r="J594" s="99">
        <v>20</v>
      </c>
      <c r="K594" s="183" t="str">
        <f>VLOOKUP(Ruimtestaat[[#This Row],[Ruimte code]],Ruimtegroepen[[#All],[Code]:[Ruimte omschrijving]],2,FALSE)</f>
        <v>Niet in Onderhoud</v>
      </c>
      <c r="L594" s="99" t="s">
        <v>101</v>
      </c>
      <c r="M594" s="99" t="s">
        <v>1698</v>
      </c>
      <c r="N594" s="177"/>
      <c r="O594" s="177">
        <v>17</v>
      </c>
      <c r="P594" s="178">
        <f>VLOOKUP(Ruimtestaat[[#This Row],[Ruimte code]],Ruimtegroepen[],4,FALSE)</f>
        <v>0</v>
      </c>
      <c r="Q594" s="149"/>
      <c r="R594" s="149"/>
      <c r="S594" s="285">
        <f>IF(Q594&gt;0,IF(RIGHT(Ruimtestaat[[#This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4" s="286">
        <f>IF(S594&gt;0,VLOOKUP($J594,Ruimtegroepen[],3,FALSE)*VLOOKUP($L594,Vloersoorten[],3,FALSE)*VLOOKUP($R594,Frequenties[],3,FALSE)*VLOOKUP($A594,Locaties[],3,FALSE),0)</f>
        <v>0</v>
      </c>
      <c r="U594" s="287">
        <f>Ruimtestaat[[#This Row],[Uitvoeringen werkdagen]]*Ruimtestaat[[#This Row],[Oppervlak (netto)]]</f>
        <v>0</v>
      </c>
      <c r="V594" s="288">
        <f>IF(T594&gt;0,Ruimtestaat[[#This Row],[Prest. (m2 /jaar) werkdagen]]/Ruimtestaat[[#This Row],[Norm (m2/uur) werkdagen]],0)</f>
        <v>0</v>
      </c>
      <c r="W594" s="289">
        <f>Ruimtestaat[[#This Row],[uren / jaar werkdagen]]*Tariefsopbouw!$E$35</f>
        <v>0</v>
      </c>
      <c r="X594" s="226"/>
      <c r="Y594" s="290">
        <f>IF(Ruimtestaat[[#This Row],[Frequentie weekend]]&gt;0,VALUE(LEFT(X594,1))*Q594,0)</f>
        <v>0</v>
      </c>
      <c r="Z594" s="287">
        <f>IF($Y594&gt;0,VLOOKUP($J594,Ruimtegroepen[],3,FALSE)*VLOOKUP($L594,Vloersoorten[],3,FALSE)*VLOOKUP($X594,Frequenties[],3,FALSE)*VLOOKUP(#REF!,Locaties[],3,FALSE),0)</f>
        <v>0</v>
      </c>
      <c r="AA594" s="291">
        <f>Ruimtestaat[[#This Row],[Uitvoeringen weekend]]*Ruimtestaat[[#This Row],[Oppervlak (netto)]]</f>
        <v>0</v>
      </c>
      <c r="AB594" s="291">
        <f>IF(Z594&gt;0,Ruimtestaat[[#This Row],[Prest. (m2 /jaar) weekend]]/Ruimtestaat[[#This Row],[Norm (m2/uur) weekend]],0)</f>
        <v>0</v>
      </c>
      <c r="AC594" s="180">
        <f>Ruimtestaat[[#This Row],[uren / jaar weekend]]*Tariefsopbouw!$D$40</f>
        <v>0</v>
      </c>
      <c r="AD594" s="179">
        <f>Ruimtestaat[[#This Row],[Prest. (m2 /jaar) weekend]]+Ruimtestaat[[#This Row],[Prest. (m2 /jaar) werkdagen]]</f>
        <v>0</v>
      </c>
      <c r="AE594" s="179">
        <f>Ruimtestaat[[#This Row],[uren / jaar weekend]]+Ruimtestaat[[#This Row],[uren / jaar werkdagen]]</f>
        <v>0</v>
      </c>
      <c r="AF594" s="174">
        <f>Ruimtestaat[[#This Row],[kosten / jaar weekend]]+Ruimtestaat[[#This Row],[kosten / jaar werkdagen]]</f>
        <v>0</v>
      </c>
      <c r="AG594" s="174"/>
      <c r="AH594" s="174" t="str">
        <f>IF(Ruimtestaat[[#This Row],[Frequentie werkdagen]]="","",_xlfn.CONCAT(Ruimtestaat[[#This Row],[Ruimte code]],"-",Ruimtestaat[[#This Row],[Frequentie werkdagen]]," ",Ruimtestaat[[#This Row],[Vloer code]]))</f>
        <v/>
      </c>
      <c r="AI594" s="182" t="str">
        <f>_xlfn.IFNA(VLOOKUP($AH594,Programma!$F$3:$G$1101,2,0),"")</f>
        <v/>
      </c>
      <c r="AJ594" s="182" t="str">
        <f>_xlfn.IFNA(VLOOKUP($AH594,Programma!$F$3:$H$1101,3,0),"")</f>
        <v/>
      </c>
      <c r="AK594" s="182" t="str">
        <f>_xlfn.IFNA(VLOOKUP($AH594,Programma!$F$3:$I$1101,4,0),"")</f>
        <v/>
      </c>
      <c r="AL594" s="182" t="str">
        <f>_xlfn.IFNA(VLOOKUP($AH594,Programma!$F$3:$J$1101,5,0),"")</f>
        <v/>
      </c>
      <c r="AM594" s="182" t="str">
        <f>_xlfn.IFNA(VLOOKUP($AH594,Programma!$F$3:$K$1101,6,0),"")</f>
        <v/>
      </c>
      <c r="AN594" s="182" t="str">
        <f>_xlfn.IFNA(VLOOKUP($AH594,Programma!$F$3:$L$1101,7,0),"")</f>
        <v/>
      </c>
      <c r="AO594" s="182" t="str">
        <f>_xlfn.IFNA(VLOOKUP($AH594,Programma!$F$3:$M$1101,8,0),"")</f>
        <v/>
      </c>
      <c r="AP594" s="182" t="str">
        <f>_xlfn.IFNA(VLOOKUP($AH594,Programma!$F$3:$N$1101,9,0),"")</f>
        <v/>
      </c>
      <c r="AQ594" s="182" t="str">
        <f>_xlfn.IFNA(VLOOKUP($AH594,Programma!$F$3:$O$1101,10,0),"")</f>
        <v/>
      </c>
      <c r="AR594" s="182" t="str">
        <f>_xlfn.IFNA(VLOOKUP($AH594,Programma!$F$3:$P$1101,11,0),"")</f>
        <v/>
      </c>
      <c r="AS594" s="182" t="str">
        <f>_xlfn.IFNA(VLOOKUP($AH594,Programma!$F$3:$Q$1101,12,0),"")</f>
        <v/>
      </c>
      <c r="AT594" s="182" t="str">
        <f>_xlfn.IFNA(VLOOKUP($AH594,Programma!$F$3:$R$1101,13,0),"")</f>
        <v/>
      </c>
      <c r="AU594" s="182" t="str">
        <f>_xlfn.IFNA(VLOOKUP($AH594,Programma!$F$3:$S$1101,14,0),"")</f>
        <v/>
      </c>
      <c r="AV594" s="182" t="str">
        <f>_xlfn.IFNA(VLOOKUP($AH594,Programma!$F$3:$T$1101,15,0),"")</f>
        <v/>
      </c>
      <c r="AW594" s="182" t="str">
        <f>_xlfn.IFNA(VLOOKUP($AH594,Programma!$F$3:$U$1101,16,0),"")</f>
        <v/>
      </c>
      <c r="AX594" s="182" t="str">
        <f>_xlfn.IFNA(VLOOKUP($AH594,Programma!$F$3:$V$1101,17,0),"")</f>
        <v/>
      </c>
      <c r="AY594" s="182" t="str">
        <f>_xlfn.IFNA(VLOOKUP($AH594,Programma!$F$3:$W$1101,18,0),"")</f>
        <v/>
      </c>
      <c r="AZ594" s="182" t="str">
        <f>_xlfn.IFNA(VLOOKUP($AH594,Programma!$F$3:$X$1101,19,0),"")</f>
        <v/>
      </c>
      <c r="BA594" s="182" t="str">
        <f>_xlfn.IFNA(VLOOKUP($AH594,Programma!$F$3:$Y$1101,20,0),"")</f>
        <v/>
      </c>
      <c r="BB594" s="182"/>
      <c r="BC594" s="174" t="str">
        <f>IF(Ruimtestaat[[#This Row],[Frequentie weekend]]="","",_xlfn.CONCAT(Ruimtestaat[[#This Row],[Ruimte code]],"-",Ruimtestaat[[#This Row],[Frequentie weekend]]," ",Ruimtestaat[[#This Row],[Vloer code]]))</f>
        <v/>
      </c>
      <c r="BD594" s="182" t="str">
        <f>_xlfn.IFNA(VLOOKUP($BC594,Programma!$F$3:$G$1101,2,0),"")</f>
        <v/>
      </c>
      <c r="BE594" s="182" t="str">
        <f>_xlfn.IFNA(VLOOKUP($BC594,Programma!$F$3:$H$1101,3,0),"")</f>
        <v/>
      </c>
      <c r="BF594" s="182" t="str">
        <f>_xlfn.IFNA(VLOOKUP($BC594,Programma!$F$3:$I$1101,4,0),"")</f>
        <v/>
      </c>
      <c r="BG594" s="182" t="str">
        <f>_xlfn.IFNA(VLOOKUP($BC594,Programma!$F$3:$J$1101,5,0),"")</f>
        <v/>
      </c>
      <c r="BH594" s="182" t="str">
        <f>_xlfn.IFNA(VLOOKUP($BC594,Programma!$F$3:$K$1101,6,0),"")</f>
        <v/>
      </c>
      <c r="BI594" s="182" t="str">
        <f>_xlfn.IFNA(VLOOKUP($BC594,Programma!$F$3:$L$1101,7,0),"")</f>
        <v/>
      </c>
      <c r="BJ594" s="182" t="str">
        <f>_xlfn.IFNA(VLOOKUP($BC594,Programma!$F$3:$M$1101,8,0),"")</f>
        <v/>
      </c>
      <c r="BK594" s="182" t="str">
        <f>_xlfn.IFNA(VLOOKUP($BC594,Programma!$F$3:$N$1101,9,0),"")</f>
        <v/>
      </c>
      <c r="BL594" s="182" t="str">
        <f>_xlfn.IFNA(VLOOKUP($BC594,Programma!$F$3:$O$1101,10,0),"")</f>
        <v/>
      </c>
      <c r="BM594" s="182" t="str">
        <f>_xlfn.IFNA(VLOOKUP($BC594,Programma!$F$3:$P$1101,11,0),"")</f>
        <v/>
      </c>
      <c r="BN594" s="182" t="str">
        <f>_xlfn.IFNA(VLOOKUP($BC594,Programma!$F$3:$Q$1101,12,0),"")</f>
        <v/>
      </c>
      <c r="BO594" s="182" t="str">
        <f>_xlfn.IFNA(VLOOKUP($BC594,Programma!$F$3:$R$1101,13,0),"")</f>
        <v/>
      </c>
      <c r="BP594" s="182" t="str">
        <f>_xlfn.IFNA(VLOOKUP($BC594,Programma!$F$3:$S$1101,14,0),"")</f>
        <v/>
      </c>
      <c r="BQ594" s="182" t="str">
        <f>_xlfn.IFNA(VLOOKUP($BC594,Programma!$F$3:$T$1101,15,0),"")</f>
        <v/>
      </c>
      <c r="BR594" s="182" t="str">
        <f>_xlfn.IFNA(VLOOKUP($BC594,Programma!$F$3:$U$1101,16,0),"")</f>
        <v/>
      </c>
      <c r="BS594" s="182" t="str">
        <f>_xlfn.IFNA(VLOOKUP($BC594,Programma!$F$3:$V$1101,17,0),"")</f>
        <v/>
      </c>
      <c r="BT594" s="182" t="str">
        <f>_xlfn.IFNA(VLOOKUP($BC594,Programma!$F$3:$W$1101,18,0),"")</f>
        <v/>
      </c>
      <c r="BU594" s="182" t="str">
        <f>_xlfn.IFNA(VLOOKUP($BC594,Programma!$F$3:$X$1101,19,0),"")</f>
        <v/>
      </c>
      <c r="BV594" s="182" t="str">
        <f>_xlfn.IFNA(VLOOKUP($BC594,Programma!$F$3:$Y$1101,20,0),"")</f>
        <v/>
      </c>
    </row>
    <row r="595" spans="1:74" ht="15" customHeight="1">
      <c r="A595" s="99">
        <v>17</v>
      </c>
      <c r="B595" s="176" t="str">
        <f>VLOOKUP(Ruimtestaat[[#This Row],[Code]],Locaties[[Code]:[Locatie]],2,FALSE)</f>
        <v>ODBS Lonneker</v>
      </c>
      <c r="C595" s="176" t="str">
        <f>VLOOKUP(Ruimtestaat[[#This Row],[Code]],Locaties[[#All],[Code]:[Adres]],4,FALSE)</f>
        <v>Dorpsstraat 104</v>
      </c>
      <c r="D595" s="176" t="str">
        <f>VLOOKUP(Ruimtestaat[[#This Row],[Code]],Locaties[[#All],[Code]:[Postcode]],5,FALSE)</f>
        <v>7524 CK</v>
      </c>
      <c r="E595" s="176" t="str">
        <f>VLOOKUP(Ruimtestaat[[#This Row],[Code]],Locaties[#All],6,FALSE)</f>
        <v>Lonneker</v>
      </c>
      <c r="F595" s="183"/>
      <c r="G595" s="99" t="s">
        <v>1646</v>
      </c>
      <c r="H595" s="99" t="s">
        <v>1680</v>
      </c>
      <c r="I595" s="183" t="s">
        <v>38</v>
      </c>
      <c r="J595" s="99">
        <v>7</v>
      </c>
      <c r="K595" s="183" t="str">
        <f>VLOOKUP(Ruimtestaat[[#This Row],[Ruimte code]],Ruimtegroepen[[#All],[Code]:[Ruimte omschrijving]],2,FALSE)</f>
        <v>Entree</v>
      </c>
      <c r="L595" s="99" t="s">
        <v>99</v>
      </c>
      <c r="M595" s="99" t="s">
        <v>1700</v>
      </c>
      <c r="N595" s="177">
        <v>6.4</v>
      </c>
      <c r="O595" s="177"/>
      <c r="P595" s="178" t="str">
        <f>VLOOKUP(Ruimtestaat[[#This Row],[Ruimte code]],Ruimtegroepen[],4,FALSE)</f>
        <v>Ve</v>
      </c>
      <c r="Q595" s="149">
        <v>40</v>
      </c>
      <c r="R595" s="149" t="s">
        <v>2</v>
      </c>
      <c r="S595" s="285">
        <f>IF(Q595&gt;0,IF(RIGHT(Ruimtestaat[[#This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5" s="286">
        <f>IF(S595&gt;0,VLOOKUP($J595,Ruimtegroepen[],3,FALSE)*VLOOKUP($L595,Vloersoorten[],3,FALSE)*VLOOKUP($R595,Frequenties[],3,FALSE)*VLOOKUP($A595,Locaties[],3,FALSE),0)</f>
        <v>0</v>
      </c>
      <c r="U595" s="287">
        <f>Ruimtestaat[[#This Row],[Uitvoeringen werkdagen]]*Ruimtestaat[[#This Row],[Oppervlak (netto)]]</f>
        <v>1280</v>
      </c>
      <c r="V595" s="288">
        <f>IF(T595&gt;0,Ruimtestaat[[#This Row],[Prest. (m2 /jaar) werkdagen]]/Ruimtestaat[[#This Row],[Norm (m2/uur) werkdagen]],0)</f>
        <v>0</v>
      </c>
      <c r="W595" s="289">
        <f>Ruimtestaat[[#This Row],[uren / jaar werkdagen]]*Tariefsopbouw!$E$35</f>
        <v>0</v>
      </c>
      <c r="X595" s="226"/>
      <c r="Y595" s="290">
        <f>IF(Ruimtestaat[[#This Row],[Frequentie weekend]]&gt;0,VALUE(LEFT(X595,1))*Q595,0)</f>
        <v>0</v>
      </c>
      <c r="Z595" s="287">
        <f>IF($Y595&gt;0,VLOOKUP($J595,Ruimtegroepen[],3,FALSE)*VLOOKUP($L595,Vloersoorten[],3,FALSE)*VLOOKUP($X595,Frequenties[],3,FALSE)*VLOOKUP(#REF!,Locaties[],3,FALSE),0)</f>
        <v>0</v>
      </c>
      <c r="AA595" s="291">
        <f>Ruimtestaat[[#This Row],[Uitvoeringen weekend]]*Ruimtestaat[[#This Row],[Oppervlak (netto)]]</f>
        <v>0</v>
      </c>
      <c r="AB595" s="291">
        <f>IF(Z595&gt;0,Ruimtestaat[[#This Row],[Prest. (m2 /jaar) weekend]]/Ruimtestaat[[#This Row],[Norm (m2/uur) weekend]],0)</f>
        <v>0</v>
      </c>
      <c r="AC595" s="180">
        <f>Ruimtestaat[[#This Row],[uren / jaar weekend]]*Tariefsopbouw!$D$40</f>
        <v>0</v>
      </c>
      <c r="AD595" s="179">
        <f>Ruimtestaat[[#This Row],[Prest. (m2 /jaar) weekend]]+Ruimtestaat[[#This Row],[Prest. (m2 /jaar) werkdagen]]</f>
        <v>1280</v>
      </c>
      <c r="AE595" s="179">
        <f>Ruimtestaat[[#This Row],[uren / jaar weekend]]+Ruimtestaat[[#This Row],[uren / jaar werkdagen]]</f>
        <v>0</v>
      </c>
      <c r="AF595" s="174">
        <f>Ruimtestaat[[#This Row],[kosten / jaar weekend]]+Ruimtestaat[[#This Row],[kosten / jaar werkdagen]]</f>
        <v>0</v>
      </c>
      <c r="AG595" s="174"/>
      <c r="AH595" s="174" t="str">
        <f>IF(Ruimtestaat[[#This Row],[Frequentie werkdagen]]="","",_xlfn.CONCAT(Ruimtestaat[[#This Row],[Ruimte code]],"-",Ruimtestaat[[#This Row],[Frequentie werkdagen]]," ",Ruimtestaat[[#This Row],[Vloer code]]))</f>
        <v>7-5w T</v>
      </c>
      <c r="AI595" s="182" t="str">
        <f>_xlfn.IFNA(VLOOKUP($AH595,Programma!$F$3:$G$1101,2,0),"")</f>
        <v>_</v>
      </c>
      <c r="AJ595" s="182" t="str">
        <f>_xlfn.IFNA(VLOOKUP($AH595,Programma!$F$3:$H$1101,3,0),"")</f>
        <v>5w</v>
      </c>
      <c r="AK595" s="182" t="str">
        <f>_xlfn.IFNA(VLOOKUP($AH595,Programma!$F$3:$I$1101,4,0),"")</f>
        <v>_</v>
      </c>
      <c r="AL595" s="182" t="str">
        <f>_xlfn.IFNA(VLOOKUP($AH595,Programma!$F$3:$J$1101,5,0),"")</f>
        <v>_</v>
      </c>
      <c r="AM595" s="182" t="str">
        <f>_xlfn.IFNA(VLOOKUP($AH595,Programma!$F$3:$K$1101,6,0),"")</f>
        <v>_</v>
      </c>
      <c r="AN595" s="182" t="str">
        <f>_xlfn.IFNA(VLOOKUP($AH595,Programma!$F$3:$L$1101,7,0),"")</f>
        <v>_</v>
      </c>
      <c r="AO595" s="182" t="str">
        <f>_xlfn.IFNA(VLOOKUP($AH595,Programma!$F$3:$M$1101,8,0),"")</f>
        <v>_</v>
      </c>
      <c r="AP595" s="182" t="str">
        <f>_xlfn.IFNA(VLOOKUP($AH595,Programma!$F$3:$N$1101,9,0),"")</f>
        <v>_</v>
      </c>
      <c r="AQ595" s="182" t="str">
        <f>_xlfn.IFNA(VLOOKUP($AH595,Programma!$F$3:$O$1101,10,0),"")</f>
        <v>5w</v>
      </c>
      <c r="AR595" s="182" t="str">
        <f>_xlfn.IFNA(VLOOKUP($AH595,Programma!$F$3:$P$1101,11,0),"")</f>
        <v>5w</v>
      </c>
      <c r="AS595" s="182" t="str">
        <f>_xlfn.IFNA(VLOOKUP($AH595,Programma!$F$3:$Q$1101,12,0),"")</f>
        <v>1w</v>
      </c>
      <c r="AT595" s="182" t="str">
        <f>_xlfn.IFNA(VLOOKUP($AH595,Programma!$F$3:$R$1101,13,0),"")</f>
        <v>1w</v>
      </c>
      <c r="AU595" s="182" t="str">
        <f>_xlfn.IFNA(VLOOKUP($AH595,Programma!$F$3:$S$1101,14,0),"")</f>
        <v>1m</v>
      </c>
      <c r="AV595" s="182" t="str">
        <f>_xlfn.IFNA(VLOOKUP($AH595,Programma!$F$3:$T$1101,15,0),"")</f>
        <v>2j</v>
      </c>
      <c r="AW595" s="182" t="str">
        <f>_xlfn.IFNA(VLOOKUP($AH595,Programma!$F$3:$U$1101,16,0),"")</f>
        <v>1j</v>
      </c>
      <c r="AX595" s="182" t="str">
        <f>_xlfn.IFNA(VLOOKUP($AH595,Programma!$F$3:$V$1101,17,0),"")</f>
        <v>_</v>
      </c>
      <c r="AY595" s="182" t="str">
        <f>_xlfn.IFNA(VLOOKUP($AH595,Programma!$F$3:$W$1101,18,0),"")</f>
        <v>_</v>
      </c>
      <c r="AZ595" s="182" t="str">
        <f>_xlfn.IFNA(VLOOKUP($AH595,Programma!$F$3:$X$1101,19,0),"")</f>
        <v>_</v>
      </c>
      <c r="BA595" s="182" t="str">
        <f>_xlfn.IFNA(VLOOKUP($AH595,Programma!$F$3:$Y$1101,20,0),"")</f>
        <v>_</v>
      </c>
      <c r="BB595" s="182"/>
      <c r="BC595" s="174" t="str">
        <f>IF(Ruimtestaat[[#This Row],[Frequentie weekend]]="","",_xlfn.CONCAT(Ruimtestaat[[#This Row],[Ruimte code]],"-",Ruimtestaat[[#This Row],[Frequentie weekend]]," ",Ruimtestaat[[#This Row],[Vloer code]]))</f>
        <v/>
      </c>
      <c r="BD595" s="182" t="str">
        <f>_xlfn.IFNA(VLOOKUP($BC595,Programma!$F$3:$G$1101,2,0),"")</f>
        <v/>
      </c>
      <c r="BE595" s="182" t="str">
        <f>_xlfn.IFNA(VLOOKUP($BC595,Programma!$F$3:$H$1101,3,0),"")</f>
        <v/>
      </c>
      <c r="BF595" s="182" t="str">
        <f>_xlfn.IFNA(VLOOKUP($BC595,Programma!$F$3:$I$1101,4,0),"")</f>
        <v/>
      </c>
      <c r="BG595" s="182" t="str">
        <f>_xlfn.IFNA(VLOOKUP($BC595,Programma!$F$3:$J$1101,5,0),"")</f>
        <v/>
      </c>
      <c r="BH595" s="182" t="str">
        <f>_xlfn.IFNA(VLOOKUP($BC595,Programma!$F$3:$K$1101,6,0),"")</f>
        <v/>
      </c>
      <c r="BI595" s="182" t="str">
        <f>_xlfn.IFNA(VLOOKUP($BC595,Programma!$F$3:$L$1101,7,0),"")</f>
        <v/>
      </c>
      <c r="BJ595" s="182" t="str">
        <f>_xlfn.IFNA(VLOOKUP($BC595,Programma!$F$3:$M$1101,8,0),"")</f>
        <v/>
      </c>
      <c r="BK595" s="182" t="str">
        <f>_xlfn.IFNA(VLOOKUP($BC595,Programma!$F$3:$N$1101,9,0),"")</f>
        <v/>
      </c>
      <c r="BL595" s="182" t="str">
        <f>_xlfn.IFNA(VLOOKUP($BC595,Programma!$F$3:$O$1101,10,0),"")</f>
        <v/>
      </c>
      <c r="BM595" s="182" t="str">
        <f>_xlfn.IFNA(VLOOKUP($BC595,Programma!$F$3:$P$1101,11,0),"")</f>
        <v/>
      </c>
      <c r="BN595" s="182" t="str">
        <f>_xlfn.IFNA(VLOOKUP($BC595,Programma!$F$3:$Q$1101,12,0),"")</f>
        <v/>
      </c>
      <c r="BO595" s="182" t="str">
        <f>_xlfn.IFNA(VLOOKUP($BC595,Programma!$F$3:$R$1101,13,0),"")</f>
        <v/>
      </c>
      <c r="BP595" s="182" t="str">
        <f>_xlfn.IFNA(VLOOKUP($BC595,Programma!$F$3:$S$1101,14,0),"")</f>
        <v/>
      </c>
      <c r="BQ595" s="182" t="str">
        <f>_xlfn.IFNA(VLOOKUP($BC595,Programma!$F$3:$T$1101,15,0),"")</f>
        <v/>
      </c>
      <c r="BR595" s="182" t="str">
        <f>_xlfn.IFNA(VLOOKUP($BC595,Programma!$F$3:$U$1101,16,0),"")</f>
        <v/>
      </c>
      <c r="BS595" s="182" t="str">
        <f>_xlfn.IFNA(VLOOKUP($BC595,Programma!$F$3:$V$1101,17,0),"")</f>
        <v/>
      </c>
      <c r="BT595" s="182" t="str">
        <f>_xlfn.IFNA(VLOOKUP($BC595,Programma!$F$3:$W$1101,18,0),"")</f>
        <v/>
      </c>
      <c r="BU595" s="182" t="str">
        <f>_xlfn.IFNA(VLOOKUP($BC595,Programma!$F$3:$X$1101,19,0),"")</f>
        <v/>
      </c>
      <c r="BV595" s="182" t="str">
        <f>_xlfn.IFNA(VLOOKUP($BC595,Programma!$F$3:$Y$1101,20,0),"")</f>
        <v/>
      </c>
    </row>
    <row r="596" spans="1:74" ht="15" customHeight="1">
      <c r="A596" s="99">
        <v>17</v>
      </c>
      <c r="B596" s="176" t="str">
        <f>VLOOKUP(Ruimtestaat[[#This Row],[Code]],Locaties[[Code]:[Locatie]],2,FALSE)</f>
        <v>ODBS Lonneker</v>
      </c>
      <c r="C596" s="176" t="str">
        <f>VLOOKUP(Ruimtestaat[[#This Row],[Code]],Locaties[[#All],[Code]:[Adres]],4,FALSE)</f>
        <v>Dorpsstraat 104</v>
      </c>
      <c r="D596" s="176" t="str">
        <f>VLOOKUP(Ruimtestaat[[#This Row],[Code]],Locaties[[#All],[Code]:[Postcode]],5,FALSE)</f>
        <v>7524 CK</v>
      </c>
      <c r="E596" s="176" t="str">
        <f>VLOOKUP(Ruimtestaat[[#This Row],[Code]],Locaties[#All],6,FALSE)</f>
        <v>Lonneker</v>
      </c>
      <c r="F596" s="183"/>
      <c r="G596" s="99" t="s">
        <v>1646</v>
      </c>
      <c r="H596" s="99" t="s">
        <v>1689</v>
      </c>
      <c r="I596" s="183" t="s">
        <v>1658</v>
      </c>
      <c r="J596" s="99">
        <v>6</v>
      </c>
      <c r="K596" s="183" t="str">
        <f>VLOOKUP(Ruimtestaat[[#This Row],[Ruimte code]],Ruimtegroepen[[#All],[Code]:[Ruimte omschrijving]],2,FALSE)</f>
        <v>Gangen/hallen</v>
      </c>
      <c r="L596" s="99" t="s">
        <v>100</v>
      </c>
      <c r="M596" s="99" t="s">
        <v>1697</v>
      </c>
      <c r="N596" s="177">
        <v>24.4</v>
      </c>
      <c r="O596" s="177"/>
      <c r="P596" s="178" t="str">
        <f>VLOOKUP(Ruimtestaat[[#This Row],[Ruimte code]],Ruimtegroepen[],4,FALSE)</f>
        <v>Ve</v>
      </c>
      <c r="Q596" s="149">
        <v>40</v>
      </c>
      <c r="R596" s="149" t="s">
        <v>2</v>
      </c>
      <c r="S596" s="285">
        <f>IF(Q596&gt;0,IF(RIGHT(Ruimtestaat[[#This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6" s="286">
        <f>IF(S596&gt;0,VLOOKUP($J596,Ruimtegroepen[],3,FALSE)*VLOOKUP($L596,Vloersoorten[],3,FALSE)*VLOOKUP($R596,Frequenties[],3,FALSE)*VLOOKUP($A596,Locaties[],3,FALSE),0)</f>
        <v>0</v>
      </c>
      <c r="U596" s="287">
        <f>Ruimtestaat[[#This Row],[Uitvoeringen werkdagen]]*Ruimtestaat[[#This Row],[Oppervlak (netto)]]</f>
        <v>4880</v>
      </c>
      <c r="V596" s="288">
        <f>IF(T596&gt;0,Ruimtestaat[[#This Row],[Prest. (m2 /jaar) werkdagen]]/Ruimtestaat[[#This Row],[Norm (m2/uur) werkdagen]],0)</f>
        <v>0</v>
      </c>
      <c r="W596" s="289">
        <f>Ruimtestaat[[#This Row],[uren / jaar werkdagen]]*Tariefsopbouw!$E$35</f>
        <v>0</v>
      </c>
      <c r="X596" s="226"/>
      <c r="Y596" s="290">
        <f>IF(Ruimtestaat[[#This Row],[Frequentie weekend]]&gt;0,VALUE(LEFT(X596,1))*Q596,0)</f>
        <v>0</v>
      </c>
      <c r="Z596" s="287">
        <f>IF($Y596&gt;0,VLOOKUP($J596,Ruimtegroepen[],3,FALSE)*VLOOKUP($L596,Vloersoorten[],3,FALSE)*VLOOKUP($X596,Frequenties[],3,FALSE)*VLOOKUP(#REF!,Locaties[],3,FALSE),0)</f>
        <v>0</v>
      </c>
      <c r="AA596" s="291">
        <f>Ruimtestaat[[#This Row],[Uitvoeringen weekend]]*Ruimtestaat[[#This Row],[Oppervlak (netto)]]</f>
        <v>0</v>
      </c>
      <c r="AB596" s="291">
        <f>IF(Z596&gt;0,Ruimtestaat[[#This Row],[Prest. (m2 /jaar) weekend]]/Ruimtestaat[[#This Row],[Norm (m2/uur) weekend]],0)</f>
        <v>0</v>
      </c>
      <c r="AC596" s="180">
        <f>Ruimtestaat[[#This Row],[uren / jaar weekend]]*Tariefsopbouw!$D$40</f>
        <v>0</v>
      </c>
      <c r="AD596" s="179">
        <f>Ruimtestaat[[#This Row],[Prest. (m2 /jaar) weekend]]+Ruimtestaat[[#This Row],[Prest. (m2 /jaar) werkdagen]]</f>
        <v>4880</v>
      </c>
      <c r="AE596" s="179">
        <f>Ruimtestaat[[#This Row],[uren / jaar weekend]]+Ruimtestaat[[#This Row],[uren / jaar werkdagen]]</f>
        <v>0</v>
      </c>
      <c r="AF596" s="174">
        <f>Ruimtestaat[[#This Row],[kosten / jaar weekend]]+Ruimtestaat[[#This Row],[kosten / jaar werkdagen]]</f>
        <v>0</v>
      </c>
      <c r="AG596" s="174"/>
      <c r="AH596" s="174" t="str">
        <f>IF(Ruimtestaat[[#This Row],[Frequentie werkdagen]]="","",_xlfn.CONCAT(Ruimtestaat[[#This Row],[Ruimte code]],"-",Ruimtestaat[[#This Row],[Frequentie werkdagen]]," ",Ruimtestaat[[#This Row],[Vloer code]]))</f>
        <v>6-5w L</v>
      </c>
      <c r="AI596" s="182" t="str">
        <f>_xlfn.IFNA(VLOOKUP($AH596,Programma!$F$3:$G$1101,2,0),"")</f>
        <v>_</v>
      </c>
      <c r="AJ596" s="182" t="str">
        <f>_xlfn.IFNA(VLOOKUP($AH596,Programma!$F$3:$H$1101,3,0),"")</f>
        <v>_</v>
      </c>
      <c r="AK596" s="182" t="str">
        <f>_xlfn.IFNA(VLOOKUP($AH596,Programma!$F$3:$I$1101,4,0),"")</f>
        <v>_</v>
      </c>
      <c r="AL596" s="182" t="str">
        <f>_xlfn.IFNA(VLOOKUP($AH596,Programma!$F$3:$J$1101,5,0),"")</f>
        <v>5w</v>
      </c>
      <c r="AM596" s="182" t="str">
        <f>_xlfn.IFNA(VLOOKUP($AH596,Programma!$F$3:$K$1101,6,0),"")</f>
        <v>_</v>
      </c>
      <c r="AN596" s="182" t="str">
        <f>_xlfn.IFNA(VLOOKUP($AH596,Programma!$F$3:$L$1101,7,0),"")</f>
        <v>_</v>
      </c>
      <c r="AO596" s="182" t="str">
        <f>_xlfn.IFNA(VLOOKUP($AH596,Programma!$F$3:$M$1101,8,0),"")</f>
        <v>_</v>
      </c>
      <c r="AP596" s="182" t="str">
        <f>_xlfn.IFNA(VLOOKUP($AH596,Programma!$F$3:$N$1101,9,0),"")</f>
        <v>_</v>
      </c>
      <c r="AQ596" s="182" t="str">
        <f>_xlfn.IFNA(VLOOKUP($AH596,Programma!$F$3:$O$1101,10,0),"")</f>
        <v>5w</v>
      </c>
      <c r="AR596" s="182" t="str">
        <f>_xlfn.IFNA(VLOOKUP($AH596,Programma!$F$3:$P$1101,11,0),"")</f>
        <v>5w</v>
      </c>
      <c r="AS596" s="182" t="str">
        <f>_xlfn.IFNA(VLOOKUP($AH596,Programma!$F$3:$Q$1101,12,0),"")</f>
        <v>1w</v>
      </c>
      <c r="AT596" s="182" t="str">
        <f>_xlfn.IFNA(VLOOKUP($AH596,Programma!$F$3:$R$1101,13,0),"")</f>
        <v>1w</v>
      </c>
      <c r="AU596" s="182" t="str">
        <f>_xlfn.IFNA(VLOOKUP($AH596,Programma!$F$3:$S$1101,14,0),"")</f>
        <v>1m</v>
      </c>
      <c r="AV596" s="182" t="str">
        <f>_xlfn.IFNA(VLOOKUP($AH596,Programma!$F$3:$T$1101,15,0),"")</f>
        <v>2j</v>
      </c>
      <c r="AW596" s="182" t="str">
        <f>_xlfn.IFNA(VLOOKUP($AH596,Programma!$F$3:$U$1101,16,0),"")</f>
        <v>1j</v>
      </c>
      <c r="AX596" s="182" t="str">
        <f>_xlfn.IFNA(VLOOKUP($AH596,Programma!$F$3:$V$1101,17,0),"")</f>
        <v>_</v>
      </c>
      <c r="AY596" s="182" t="str">
        <f>_xlfn.IFNA(VLOOKUP($AH596,Programma!$F$3:$W$1101,18,0),"")</f>
        <v>_</v>
      </c>
      <c r="AZ596" s="182" t="str">
        <f>_xlfn.IFNA(VLOOKUP($AH596,Programma!$F$3:$X$1101,19,0),"")</f>
        <v>_</v>
      </c>
      <c r="BA596" s="182" t="str">
        <f>_xlfn.IFNA(VLOOKUP($AH596,Programma!$F$3:$Y$1101,20,0),"")</f>
        <v>_</v>
      </c>
      <c r="BB596" s="182"/>
      <c r="BC596" s="174" t="str">
        <f>IF(Ruimtestaat[[#This Row],[Frequentie weekend]]="","",_xlfn.CONCAT(Ruimtestaat[[#This Row],[Ruimte code]],"-",Ruimtestaat[[#This Row],[Frequentie weekend]]," ",Ruimtestaat[[#This Row],[Vloer code]]))</f>
        <v/>
      </c>
      <c r="BD596" s="182" t="str">
        <f>_xlfn.IFNA(VLOOKUP($BC596,Programma!$F$3:$G$1101,2,0),"")</f>
        <v/>
      </c>
      <c r="BE596" s="182" t="str">
        <f>_xlfn.IFNA(VLOOKUP($BC596,Programma!$F$3:$H$1101,3,0),"")</f>
        <v/>
      </c>
      <c r="BF596" s="182" t="str">
        <f>_xlfn.IFNA(VLOOKUP($BC596,Programma!$F$3:$I$1101,4,0),"")</f>
        <v/>
      </c>
      <c r="BG596" s="182" t="str">
        <f>_xlfn.IFNA(VLOOKUP($BC596,Programma!$F$3:$J$1101,5,0),"")</f>
        <v/>
      </c>
      <c r="BH596" s="182" t="str">
        <f>_xlfn.IFNA(VLOOKUP($BC596,Programma!$F$3:$K$1101,6,0),"")</f>
        <v/>
      </c>
      <c r="BI596" s="182" t="str">
        <f>_xlfn.IFNA(VLOOKUP($BC596,Programma!$F$3:$L$1101,7,0),"")</f>
        <v/>
      </c>
      <c r="BJ596" s="182" t="str">
        <f>_xlfn.IFNA(VLOOKUP($BC596,Programma!$F$3:$M$1101,8,0),"")</f>
        <v/>
      </c>
      <c r="BK596" s="182" t="str">
        <f>_xlfn.IFNA(VLOOKUP($BC596,Programma!$F$3:$N$1101,9,0),"")</f>
        <v/>
      </c>
      <c r="BL596" s="182" t="str">
        <f>_xlfn.IFNA(VLOOKUP($BC596,Programma!$F$3:$O$1101,10,0),"")</f>
        <v/>
      </c>
      <c r="BM596" s="182" t="str">
        <f>_xlfn.IFNA(VLOOKUP($BC596,Programma!$F$3:$P$1101,11,0),"")</f>
        <v/>
      </c>
      <c r="BN596" s="182" t="str">
        <f>_xlfn.IFNA(VLOOKUP($BC596,Programma!$F$3:$Q$1101,12,0),"")</f>
        <v/>
      </c>
      <c r="BO596" s="182" t="str">
        <f>_xlfn.IFNA(VLOOKUP($BC596,Programma!$F$3:$R$1101,13,0),"")</f>
        <v/>
      </c>
      <c r="BP596" s="182" t="str">
        <f>_xlfn.IFNA(VLOOKUP($BC596,Programma!$F$3:$S$1101,14,0),"")</f>
        <v/>
      </c>
      <c r="BQ596" s="182" t="str">
        <f>_xlfn.IFNA(VLOOKUP($BC596,Programma!$F$3:$T$1101,15,0),"")</f>
        <v/>
      </c>
      <c r="BR596" s="182" t="str">
        <f>_xlfn.IFNA(VLOOKUP($BC596,Programma!$F$3:$U$1101,16,0),"")</f>
        <v/>
      </c>
      <c r="BS596" s="182" t="str">
        <f>_xlfn.IFNA(VLOOKUP($BC596,Programma!$F$3:$V$1101,17,0),"")</f>
        <v/>
      </c>
      <c r="BT596" s="182" t="str">
        <f>_xlfn.IFNA(VLOOKUP($BC596,Programma!$F$3:$W$1101,18,0),"")</f>
        <v/>
      </c>
      <c r="BU596" s="182" t="str">
        <f>_xlfn.IFNA(VLOOKUP($BC596,Programma!$F$3:$X$1101,19,0),"")</f>
        <v/>
      </c>
      <c r="BV596" s="182" t="str">
        <f>_xlfn.IFNA(VLOOKUP($BC596,Programma!$F$3:$Y$1101,20,0),"")</f>
        <v/>
      </c>
    </row>
    <row r="597" spans="1:74" ht="15" customHeight="1">
      <c r="A597" s="99">
        <v>17</v>
      </c>
      <c r="B597" s="176" t="str">
        <f>VLOOKUP(Ruimtestaat[[#This Row],[Code]],Locaties[[Code]:[Locatie]],2,FALSE)</f>
        <v>ODBS Lonneker</v>
      </c>
      <c r="C597" s="176" t="str">
        <f>VLOOKUP(Ruimtestaat[[#This Row],[Code]],Locaties[[#All],[Code]:[Adres]],4,FALSE)</f>
        <v>Dorpsstraat 104</v>
      </c>
      <c r="D597" s="176" t="str">
        <f>VLOOKUP(Ruimtestaat[[#This Row],[Code]],Locaties[[#All],[Code]:[Postcode]],5,FALSE)</f>
        <v>7524 CK</v>
      </c>
      <c r="E597" s="176" t="str">
        <f>VLOOKUP(Ruimtestaat[[#This Row],[Code]],Locaties[#All],6,FALSE)</f>
        <v>Lonneker</v>
      </c>
      <c r="F597" s="183"/>
      <c r="G597" s="99" t="s">
        <v>1646</v>
      </c>
      <c r="H597" s="99" t="s">
        <v>1691</v>
      </c>
      <c r="I597" s="183" t="s">
        <v>1685</v>
      </c>
      <c r="J597" s="99">
        <v>20</v>
      </c>
      <c r="K597" s="183" t="str">
        <f>VLOOKUP(Ruimtestaat[[#This Row],[Ruimte code]],Ruimtegroepen[[#All],[Code]:[Ruimte omschrijving]],2,FALSE)</f>
        <v>Niet in Onderhoud</v>
      </c>
      <c r="L597" s="99" t="s">
        <v>100</v>
      </c>
      <c r="M597" s="99" t="s">
        <v>1697</v>
      </c>
      <c r="N597" s="177"/>
      <c r="O597" s="177">
        <v>2</v>
      </c>
      <c r="P597" s="178">
        <f>VLOOKUP(Ruimtestaat[[#This Row],[Ruimte code]],Ruimtegroepen[],4,FALSE)</f>
        <v>0</v>
      </c>
      <c r="Q597" s="149"/>
      <c r="R597" s="149"/>
      <c r="S597" s="285">
        <f>IF(Q597&gt;0,IF(RIGHT(Ruimtestaat[[#This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97" s="286">
        <f>IF(S597&gt;0,VLOOKUP($J597,Ruimtegroepen[],3,FALSE)*VLOOKUP($L597,Vloersoorten[],3,FALSE)*VLOOKUP($R597,Frequenties[],3,FALSE)*VLOOKUP($A597,Locaties[],3,FALSE),0)</f>
        <v>0</v>
      </c>
      <c r="U597" s="287">
        <f>Ruimtestaat[[#This Row],[Uitvoeringen werkdagen]]*Ruimtestaat[[#This Row],[Oppervlak (netto)]]</f>
        <v>0</v>
      </c>
      <c r="V597" s="288">
        <f>IF(T597&gt;0,Ruimtestaat[[#This Row],[Prest. (m2 /jaar) werkdagen]]/Ruimtestaat[[#This Row],[Norm (m2/uur) werkdagen]],0)</f>
        <v>0</v>
      </c>
      <c r="W597" s="289">
        <f>Ruimtestaat[[#This Row],[uren / jaar werkdagen]]*Tariefsopbouw!$E$35</f>
        <v>0</v>
      </c>
      <c r="X597" s="226"/>
      <c r="Y597" s="290">
        <f>IF(Ruimtestaat[[#This Row],[Frequentie weekend]]&gt;0,VALUE(LEFT(X597,1))*Q597,0)</f>
        <v>0</v>
      </c>
      <c r="Z597" s="287">
        <f>IF($Y597&gt;0,VLOOKUP($J597,Ruimtegroepen[],3,FALSE)*VLOOKUP($L597,Vloersoorten[],3,FALSE)*VLOOKUP($X597,Frequenties[],3,FALSE)*VLOOKUP(#REF!,Locaties[],3,FALSE),0)</f>
        <v>0</v>
      </c>
      <c r="AA597" s="291">
        <f>Ruimtestaat[[#This Row],[Uitvoeringen weekend]]*Ruimtestaat[[#This Row],[Oppervlak (netto)]]</f>
        <v>0</v>
      </c>
      <c r="AB597" s="291">
        <f>IF(Z597&gt;0,Ruimtestaat[[#This Row],[Prest. (m2 /jaar) weekend]]/Ruimtestaat[[#This Row],[Norm (m2/uur) weekend]],0)</f>
        <v>0</v>
      </c>
      <c r="AC597" s="180">
        <f>Ruimtestaat[[#This Row],[uren / jaar weekend]]*Tariefsopbouw!$D$40</f>
        <v>0</v>
      </c>
      <c r="AD597" s="179">
        <f>Ruimtestaat[[#This Row],[Prest. (m2 /jaar) weekend]]+Ruimtestaat[[#This Row],[Prest. (m2 /jaar) werkdagen]]</f>
        <v>0</v>
      </c>
      <c r="AE597" s="179">
        <f>Ruimtestaat[[#This Row],[uren / jaar weekend]]+Ruimtestaat[[#This Row],[uren / jaar werkdagen]]</f>
        <v>0</v>
      </c>
      <c r="AF597" s="174">
        <f>Ruimtestaat[[#This Row],[kosten / jaar weekend]]+Ruimtestaat[[#This Row],[kosten / jaar werkdagen]]</f>
        <v>0</v>
      </c>
      <c r="AG597" s="174"/>
      <c r="AH597" s="174" t="str">
        <f>IF(Ruimtestaat[[#This Row],[Frequentie werkdagen]]="","",_xlfn.CONCAT(Ruimtestaat[[#This Row],[Ruimte code]],"-",Ruimtestaat[[#This Row],[Frequentie werkdagen]]," ",Ruimtestaat[[#This Row],[Vloer code]]))</f>
        <v/>
      </c>
      <c r="AI597" s="182" t="str">
        <f>_xlfn.IFNA(VLOOKUP($AH597,Programma!$F$3:$G$1101,2,0),"")</f>
        <v/>
      </c>
      <c r="AJ597" s="182" t="str">
        <f>_xlfn.IFNA(VLOOKUP($AH597,Programma!$F$3:$H$1101,3,0),"")</f>
        <v/>
      </c>
      <c r="AK597" s="182" t="str">
        <f>_xlfn.IFNA(VLOOKUP($AH597,Programma!$F$3:$I$1101,4,0),"")</f>
        <v/>
      </c>
      <c r="AL597" s="182" t="str">
        <f>_xlfn.IFNA(VLOOKUP($AH597,Programma!$F$3:$J$1101,5,0),"")</f>
        <v/>
      </c>
      <c r="AM597" s="182" t="str">
        <f>_xlfn.IFNA(VLOOKUP($AH597,Programma!$F$3:$K$1101,6,0),"")</f>
        <v/>
      </c>
      <c r="AN597" s="182" t="str">
        <f>_xlfn.IFNA(VLOOKUP($AH597,Programma!$F$3:$L$1101,7,0),"")</f>
        <v/>
      </c>
      <c r="AO597" s="182" t="str">
        <f>_xlfn.IFNA(VLOOKUP($AH597,Programma!$F$3:$M$1101,8,0),"")</f>
        <v/>
      </c>
      <c r="AP597" s="182" t="str">
        <f>_xlfn.IFNA(VLOOKUP($AH597,Programma!$F$3:$N$1101,9,0),"")</f>
        <v/>
      </c>
      <c r="AQ597" s="182" t="str">
        <f>_xlfn.IFNA(VLOOKUP($AH597,Programma!$F$3:$O$1101,10,0),"")</f>
        <v/>
      </c>
      <c r="AR597" s="182" t="str">
        <f>_xlfn.IFNA(VLOOKUP($AH597,Programma!$F$3:$P$1101,11,0),"")</f>
        <v/>
      </c>
      <c r="AS597" s="182" t="str">
        <f>_xlfn.IFNA(VLOOKUP($AH597,Programma!$F$3:$Q$1101,12,0),"")</f>
        <v/>
      </c>
      <c r="AT597" s="182" t="str">
        <f>_xlfn.IFNA(VLOOKUP($AH597,Programma!$F$3:$R$1101,13,0),"")</f>
        <v/>
      </c>
      <c r="AU597" s="182" t="str">
        <f>_xlfn.IFNA(VLOOKUP($AH597,Programma!$F$3:$S$1101,14,0),"")</f>
        <v/>
      </c>
      <c r="AV597" s="182" t="str">
        <f>_xlfn.IFNA(VLOOKUP($AH597,Programma!$F$3:$T$1101,15,0),"")</f>
        <v/>
      </c>
      <c r="AW597" s="182" t="str">
        <f>_xlfn.IFNA(VLOOKUP($AH597,Programma!$F$3:$U$1101,16,0),"")</f>
        <v/>
      </c>
      <c r="AX597" s="182" t="str">
        <f>_xlfn.IFNA(VLOOKUP($AH597,Programma!$F$3:$V$1101,17,0),"")</f>
        <v/>
      </c>
      <c r="AY597" s="182" t="str">
        <f>_xlfn.IFNA(VLOOKUP($AH597,Programma!$F$3:$W$1101,18,0),"")</f>
        <v/>
      </c>
      <c r="AZ597" s="182" t="str">
        <f>_xlfn.IFNA(VLOOKUP($AH597,Programma!$F$3:$X$1101,19,0),"")</f>
        <v/>
      </c>
      <c r="BA597" s="182" t="str">
        <f>_xlfn.IFNA(VLOOKUP($AH597,Programma!$F$3:$Y$1101,20,0),"")</f>
        <v/>
      </c>
      <c r="BB597" s="182"/>
      <c r="BC597" s="174" t="str">
        <f>IF(Ruimtestaat[[#This Row],[Frequentie weekend]]="","",_xlfn.CONCAT(Ruimtestaat[[#This Row],[Ruimte code]],"-",Ruimtestaat[[#This Row],[Frequentie weekend]]," ",Ruimtestaat[[#This Row],[Vloer code]]))</f>
        <v/>
      </c>
      <c r="BD597" s="182" t="str">
        <f>_xlfn.IFNA(VLOOKUP($BC597,Programma!$F$3:$G$1101,2,0),"")</f>
        <v/>
      </c>
      <c r="BE597" s="182" t="str">
        <f>_xlfn.IFNA(VLOOKUP($BC597,Programma!$F$3:$H$1101,3,0),"")</f>
        <v/>
      </c>
      <c r="BF597" s="182" t="str">
        <f>_xlfn.IFNA(VLOOKUP($BC597,Programma!$F$3:$I$1101,4,0),"")</f>
        <v/>
      </c>
      <c r="BG597" s="182" t="str">
        <f>_xlfn.IFNA(VLOOKUP($BC597,Programma!$F$3:$J$1101,5,0),"")</f>
        <v/>
      </c>
      <c r="BH597" s="182" t="str">
        <f>_xlfn.IFNA(VLOOKUP($BC597,Programma!$F$3:$K$1101,6,0),"")</f>
        <v/>
      </c>
      <c r="BI597" s="182" t="str">
        <f>_xlfn.IFNA(VLOOKUP($BC597,Programma!$F$3:$L$1101,7,0),"")</f>
        <v/>
      </c>
      <c r="BJ597" s="182" t="str">
        <f>_xlfn.IFNA(VLOOKUP($BC597,Programma!$F$3:$M$1101,8,0),"")</f>
        <v/>
      </c>
      <c r="BK597" s="182" t="str">
        <f>_xlfn.IFNA(VLOOKUP($BC597,Programma!$F$3:$N$1101,9,0),"")</f>
        <v/>
      </c>
      <c r="BL597" s="182" t="str">
        <f>_xlfn.IFNA(VLOOKUP($BC597,Programma!$F$3:$O$1101,10,0),"")</f>
        <v/>
      </c>
      <c r="BM597" s="182" t="str">
        <f>_xlfn.IFNA(VLOOKUP($BC597,Programma!$F$3:$P$1101,11,0),"")</f>
        <v/>
      </c>
      <c r="BN597" s="182" t="str">
        <f>_xlfn.IFNA(VLOOKUP($BC597,Programma!$F$3:$Q$1101,12,0),"")</f>
        <v/>
      </c>
      <c r="BO597" s="182" t="str">
        <f>_xlfn.IFNA(VLOOKUP($BC597,Programma!$F$3:$R$1101,13,0),"")</f>
        <v/>
      </c>
      <c r="BP597" s="182" t="str">
        <f>_xlfn.IFNA(VLOOKUP($BC597,Programma!$F$3:$S$1101,14,0),"")</f>
        <v/>
      </c>
      <c r="BQ597" s="182" t="str">
        <f>_xlfn.IFNA(VLOOKUP($BC597,Programma!$F$3:$T$1101,15,0),"")</f>
        <v/>
      </c>
      <c r="BR597" s="182" t="str">
        <f>_xlfn.IFNA(VLOOKUP($BC597,Programma!$F$3:$U$1101,16,0),"")</f>
        <v/>
      </c>
      <c r="BS597" s="182" t="str">
        <f>_xlfn.IFNA(VLOOKUP($BC597,Programma!$F$3:$V$1101,17,0),"")</f>
        <v/>
      </c>
      <c r="BT597" s="182" t="str">
        <f>_xlfn.IFNA(VLOOKUP($BC597,Programma!$F$3:$W$1101,18,0),"")</f>
        <v/>
      </c>
      <c r="BU597" s="182" t="str">
        <f>_xlfn.IFNA(VLOOKUP($BC597,Programma!$F$3:$X$1101,19,0),"")</f>
        <v/>
      </c>
      <c r="BV597" s="182" t="str">
        <f>_xlfn.IFNA(VLOOKUP($BC597,Programma!$F$3:$Y$1101,20,0),"")</f>
        <v/>
      </c>
    </row>
    <row r="598" spans="1:74" ht="15" customHeight="1">
      <c r="A598" s="99">
        <v>17</v>
      </c>
      <c r="B598" s="176" t="str">
        <f>VLOOKUP(Ruimtestaat[[#This Row],[Code]],Locaties[[Code]:[Locatie]],2,FALSE)</f>
        <v>ODBS Lonneker</v>
      </c>
      <c r="C598" s="176" t="str">
        <f>VLOOKUP(Ruimtestaat[[#This Row],[Code]],Locaties[[#All],[Code]:[Adres]],4,FALSE)</f>
        <v>Dorpsstraat 104</v>
      </c>
      <c r="D598" s="176" t="str">
        <f>VLOOKUP(Ruimtestaat[[#This Row],[Code]],Locaties[[#All],[Code]:[Postcode]],5,FALSE)</f>
        <v>7524 CK</v>
      </c>
      <c r="E598" s="176" t="str">
        <f>VLOOKUP(Ruimtestaat[[#This Row],[Code]],Locaties[#All],6,FALSE)</f>
        <v>Lonneker</v>
      </c>
      <c r="F598" s="183"/>
      <c r="G598" s="99" t="s">
        <v>1646</v>
      </c>
      <c r="H598" s="99" t="s">
        <v>1692</v>
      </c>
      <c r="I598" s="183" t="s">
        <v>1684</v>
      </c>
      <c r="J598" s="99">
        <v>5</v>
      </c>
      <c r="K598" s="183" t="str">
        <f>VLOOKUP(Ruimtestaat[[#This Row],[Ruimte code]],Ruimtegroepen[[#All],[Code]:[Ruimte omschrijving]],2,FALSE)</f>
        <v>Sanitair</v>
      </c>
      <c r="L598" s="99" t="s">
        <v>101</v>
      </c>
      <c r="M598" s="99" t="s">
        <v>1682</v>
      </c>
      <c r="N598" s="177">
        <v>4.7</v>
      </c>
      <c r="O598" s="177"/>
      <c r="P598" s="178" t="str">
        <f>VLOOKUP(Ruimtestaat[[#This Row],[Ruimte code]],Ruimtegroepen[],4,FALSE)</f>
        <v>Sa</v>
      </c>
      <c r="Q598" s="149">
        <v>40</v>
      </c>
      <c r="R598" s="149" t="s">
        <v>2</v>
      </c>
      <c r="S598" s="285">
        <f>IF(Q598&gt;0,IF(RIGHT(Ruimtestaat[[#This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8" s="286">
        <f>IF(S598&gt;0,VLOOKUP($J598,Ruimtegroepen[],3,FALSE)*VLOOKUP($L598,Vloersoorten[],3,FALSE)*VLOOKUP($R598,Frequenties[],3,FALSE)*VLOOKUP($A598,Locaties[],3,FALSE),0)</f>
        <v>0</v>
      </c>
      <c r="U598" s="287">
        <f>Ruimtestaat[[#This Row],[Uitvoeringen werkdagen]]*Ruimtestaat[[#This Row],[Oppervlak (netto)]]</f>
        <v>940</v>
      </c>
      <c r="V598" s="288">
        <f>IF(T598&gt;0,Ruimtestaat[[#This Row],[Prest. (m2 /jaar) werkdagen]]/Ruimtestaat[[#This Row],[Norm (m2/uur) werkdagen]],0)</f>
        <v>0</v>
      </c>
      <c r="W598" s="289">
        <f>Ruimtestaat[[#This Row],[uren / jaar werkdagen]]*Tariefsopbouw!$E$35</f>
        <v>0</v>
      </c>
      <c r="X598" s="226"/>
      <c r="Y598" s="290">
        <f>IF(Ruimtestaat[[#This Row],[Frequentie weekend]]&gt;0,VALUE(LEFT(X598,1))*Q598,0)</f>
        <v>0</v>
      </c>
      <c r="Z598" s="287">
        <f>IF($Y598&gt;0,VLOOKUP($J598,Ruimtegroepen[],3,FALSE)*VLOOKUP($L598,Vloersoorten[],3,FALSE)*VLOOKUP($X598,Frequenties[],3,FALSE)*VLOOKUP(#REF!,Locaties[],3,FALSE),0)</f>
        <v>0</v>
      </c>
      <c r="AA598" s="291">
        <f>Ruimtestaat[[#This Row],[Uitvoeringen weekend]]*Ruimtestaat[[#This Row],[Oppervlak (netto)]]</f>
        <v>0</v>
      </c>
      <c r="AB598" s="291">
        <f>IF(Z598&gt;0,Ruimtestaat[[#This Row],[Prest. (m2 /jaar) weekend]]/Ruimtestaat[[#This Row],[Norm (m2/uur) weekend]],0)</f>
        <v>0</v>
      </c>
      <c r="AC598" s="180">
        <f>Ruimtestaat[[#This Row],[uren / jaar weekend]]*Tariefsopbouw!$D$40</f>
        <v>0</v>
      </c>
      <c r="AD598" s="179">
        <f>Ruimtestaat[[#This Row],[Prest. (m2 /jaar) weekend]]+Ruimtestaat[[#This Row],[Prest. (m2 /jaar) werkdagen]]</f>
        <v>940</v>
      </c>
      <c r="AE598" s="179">
        <f>Ruimtestaat[[#This Row],[uren / jaar weekend]]+Ruimtestaat[[#This Row],[uren / jaar werkdagen]]</f>
        <v>0</v>
      </c>
      <c r="AF598" s="174">
        <f>Ruimtestaat[[#This Row],[kosten / jaar weekend]]+Ruimtestaat[[#This Row],[kosten / jaar werkdagen]]</f>
        <v>0</v>
      </c>
      <c r="AG598" s="174"/>
      <c r="AH598" s="174" t="str">
        <f>IF(Ruimtestaat[[#This Row],[Frequentie werkdagen]]="","",_xlfn.CONCAT(Ruimtestaat[[#This Row],[Ruimte code]],"-",Ruimtestaat[[#This Row],[Frequentie werkdagen]]," ",Ruimtestaat[[#This Row],[Vloer code]]))</f>
        <v>5-5w S</v>
      </c>
      <c r="AI598" s="182" t="str">
        <f>_xlfn.IFNA(VLOOKUP($AH598,Programma!$F$3:$G$1101,2,0),"")</f>
        <v>_</v>
      </c>
      <c r="AJ598" s="182" t="str">
        <f>_xlfn.IFNA(VLOOKUP($AH598,Programma!$F$3:$H$1101,3,0),"")</f>
        <v>_</v>
      </c>
      <c r="AK598" s="182" t="str">
        <f>_xlfn.IFNA(VLOOKUP($AH598,Programma!$F$3:$I$1101,4,0),"")</f>
        <v>_</v>
      </c>
      <c r="AL598" s="182" t="str">
        <f>_xlfn.IFNA(VLOOKUP($AH598,Programma!$F$3:$J$1101,5,0),"")</f>
        <v>4w</v>
      </c>
      <c r="AM598" s="182" t="str">
        <f>_xlfn.IFNA(VLOOKUP($AH598,Programma!$F$3:$K$1101,6,0),"")</f>
        <v>1w</v>
      </c>
      <c r="AN598" s="182" t="str">
        <f>_xlfn.IFNA(VLOOKUP($AH598,Programma!$F$3:$L$1101,7,0),"")</f>
        <v>_</v>
      </c>
      <c r="AO598" s="182" t="str">
        <f>_xlfn.IFNA(VLOOKUP($AH598,Programma!$F$3:$M$1101,8,0),"")</f>
        <v>_</v>
      </c>
      <c r="AP598" s="182" t="str">
        <f>_xlfn.IFNA(VLOOKUP($AH598,Programma!$F$3:$N$1101,9,0),"")</f>
        <v>_</v>
      </c>
      <c r="AQ598" s="182" t="str">
        <f>_xlfn.IFNA(VLOOKUP($AH598,Programma!$F$3:$O$1101,10,0),"")</f>
        <v>_</v>
      </c>
      <c r="AR598" s="182" t="str">
        <f>_xlfn.IFNA(VLOOKUP($AH598,Programma!$F$3:$P$1101,11,0),"")</f>
        <v>_</v>
      </c>
      <c r="AS598" s="182" t="str">
        <f>_xlfn.IFNA(VLOOKUP($AH598,Programma!$F$3:$Q$1101,12,0),"")</f>
        <v>_</v>
      </c>
      <c r="AT598" s="182" t="str">
        <f>_xlfn.IFNA(VLOOKUP($AH598,Programma!$F$3:$R$1101,13,0),"")</f>
        <v>_</v>
      </c>
      <c r="AU598" s="182" t="str">
        <f>_xlfn.IFNA(VLOOKUP($AH598,Programma!$F$3:$S$1101,14,0),"")</f>
        <v>_</v>
      </c>
      <c r="AV598" s="182" t="str">
        <f>_xlfn.IFNA(VLOOKUP($AH598,Programma!$F$3:$T$1101,15,0),"")</f>
        <v>_</v>
      </c>
      <c r="AW598" s="182" t="str">
        <f>_xlfn.IFNA(VLOOKUP($AH598,Programma!$F$3:$U$1101,16,0),"")</f>
        <v>_</v>
      </c>
      <c r="AX598" s="182" t="str">
        <f>_xlfn.IFNA(VLOOKUP($AH598,Programma!$F$3:$V$1101,17,0),"")</f>
        <v>_</v>
      </c>
      <c r="AY598" s="182" t="str">
        <f>_xlfn.IFNA(VLOOKUP($AH598,Programma!$F$3:$W$1101,18,0),"")</f>
        <v>4w</v>
      </c>
      <c r="AZ598" s="182" t="str">
        <f>_xlfn.IFNA(VLOOKUP($AH598,Programma!$F$3:$X$1101,19,0),"")</f>
        <v>1w</v>
      </c>
      <c r="BA598" s="182" t="str">
        <f>_xlfn.IFNA(VLOOKUP($AH598,Programma!$F$3:$Y$1101,20,0),"")</f>
        <v>_</v>
      </c>
      <c r="BB598" s="182"/>
      <c r="BC598" s="174" t="str">
        <f>IF(Ruimtestaat[[#This Row],[Frequentie weekend]]="","",_xlfn.CONCAT(Ruimtestaat[[#This Row],[Ruimte code]],"-",Ruimtestaat[[#This Row],[Frequentie weekend]]," ",Ruimtestaat[[#This Row],[Vloer code]]))</f>
        <v/>
      </c>
      <c r="BD598" s="182" t="str">
        <f>_xlfn.IFNA(VLOOKUP($BC598,Programma!$F$3:$G$1101,2,0),"")</f>
        <v/>
      </c>
      <c r="BE598" s="182" t="str">
        <f>_xlfn.IFNA(VLOOKUP($BC598,Programma!$F$3:$H$1101,3,0),"")</f>
        <v/>
      </c>
      <c r="BF598" s="182" t="str">
        <f>_xlfn.IFNA(VLOOKUP($BC598,Programma!$F$3:$I$1101,4,0),"")</f>
        <v/>
      </c>
      <c r="BG598" s="182" t="str">
        <f>_xlfn.IFNA(VLOOKUP($BC598,Programma!$F$3:$J$1101,5,0),"")</f>
        <v/>
      </c>
      <c r="BH598" s="182" t="str">
        <f>_xlfn.IFNA(VLOOKUP($BC598,Programma!$F$3:$K$1101,6,0),"")</f>
        <v/>
      </c>
      <c r="BI598" s="182" t="str">
        <f>_xlfn.IFNA(VLOOKUP($BC598,Programma!$F$3:$L$1101,7,0),"")</f>
        <v/>
      </c>
      <c r="BJ598" s="182" t="str">
        <f>_xlfn.IFNA(VLOOKUP($BC598,Programma!$F$3:$M$1101,8,0),"")</f>
        <v/>
      </c>
      <c r="BK598" s="182" t="str">
        <f>_xlfn.IFNA(VLOOKUP($BC598,Programma!$F$3:$N$1101,9,0),"")</f>
        <v/>
      </c>
      <c r="BL598" s="182" t="str">
        <f>_xlfn.IFNA(VLOOKUP($BC598,Programma!$F$3:$O$1101,10,0),"")</f>
        <v/>
      </c>
      <c r="BM598" s="182" t="str">
        <f>_xlfn.IFNA(VLOOKUP($BC598,Programma!$F$3:$P$1101,11,0),"")</f>
        <v/>
      </c>
      <c r="BN598" s="182" t="str">
        <f>_xlfn.IFNA(VLOOKUP($BC598,Programma!$F$3:$Q$1101,12,0),"")</f>
        <v/>
      </c>
      <c r="BO598" s="182" t="str">
        <f>_xlfn.IFNA(VLOOKUP($BC598,Programma!$F$3:$R$1101,13,0),"")</f>
        <v/>
      </c>
      <c r="BP598" s="182" t="str">
        <f>_xlfn.IFNA(VLOOKUP($BC598,Programma!$F$3:$S$1101,14,0),"")</f>
        <v/>
      </c>
      <c r="BQ598" s="182" t="str">
        <f>_xlfn.IFNA(VLOOKUP($BC598,Programma!$F$3:$T$1101,15,0),"")</f>
        <v/>
      </c>
      <c r="BR598" s="182" t="str">
        <f>_xlfn.IFNA(VLOOKUP($BC598,Programma!$F$3:$U$1101,16,0),"")</f>
        <v/>
      </c>
      <c r="BS598" s="182" t="str">
        <f>_xlfn.IFNA(VLOOKUP($BC598,Programma!$F$3:$V$1101,17,0),"")</f>
        <v/>
      </c>
      <c r="BT598" s="182" t="str">
        <f>_xlfn.IFNA(VLOOKUP($BC598,Programma!$F$3:$W$1101,18,0),"")</f>
        <v/>
      </c>
      <c r="BU598" s="182" t="str">
        <f>_xlfn.IFNA(VLOOKUP($BC598,Programma!$F$3:$X$1101,19,0),"")</f>
        <v/>
      </c>
      <c r="BV598" s="182" t="str">
        <f>_xlfn.IFNA(VLOOKUP($BC598,Programma!$F$3:$Y$1101,20,0),"")</f>
        <v/>
      </c>
    </row>
    <row r="599" spans="1:74" ht="15" customHeight="1">
      <c r="A599" s="99">
        <v>17</v>
      </c>
      <c r="B599" s="176" t="str">
        <f>VLOOKUP(Ruimtestaat[[#This Row],[Code]],Locaties[[Code]:[Locatie]],2,FALSE)</f>
        <v>ODBS Lonneker</v>
      </c>
      <c r="C599" s="176" t="str">
        <f>VLOOKUP(Ruimtestaat[[#This Row],[Code]],Locaties[[#All],[Code]:[Adres]],4,FALSE)</f>
        <v>Dorpsstraat 104</v>
      </c>
      <c r="D599" s="176" t="str">
        <f>VLOOKUP(Ruimtestaat[[#This Row],[Code]],Locaties[[#All],[Code]:[Postcode]],5,FALSE)</f>
        <v>7524 CK</v>
      </c>
      <c r="E599" s="176" t="str">
        <f>VLOOKUP(Ruimtestaat[[#This Row],[Code]],Locaties[#All],6,FALSE)</f>
        <v>Lonneker</v>
      </c>
      <c r="F599" s="183"/>
      <c r="G599" s="99" t="s">
        <v>1646</v>
      </c>
      <c r="H599" s="99" t="s">
        <v>1715</v>
      </c>
      <c r="I599" s="183" t="s">
        <v>1789</v>
      </c>
      <c r="J599" s="99">
        <v>10</v>
      </c>
      <c r="K599" s="183" t="str">
        <f>VLOOKUP(Ruimtestaat[[#This Row],[Ruimte code]],Ruimtegroepen[[#All],[Code]:[Ruimte omschrijving]],2,FALSE)</f>
        <v>Trappenhuizen/lift</v>
      </c>
      <c r="L599" s="99" t="s">
        <v>1309</v>
      </c>
      <c r="M599" s="99" t="s">
        <v>248</v>
      </c>
      <c r="N599" s="177">
        <v>3.6</v>
      </c>
      <c r="O599" s="177"/>
      <c r="P599" s="178" t="str">
        <f>VLOOKUP(Ruimtestaat[[#This Row],[Ruimte code]],Ruimtegroepen[],4,FALSE)</f>
        <v>Ve</v>
      </c>
      <c r="Q599" s="149">
        <v>40</v>
      </c>
      <c r="R599" s="149" t="s">
        <v>2</v>
      </c>
      <c r="S599" s="285">
        <f>IF(Q599&gt;0,IF(RIGHT(Ruimtestaat[[#This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9" s="286">
        <f>IF(S599&gt;0,VLOOKUP($J599,Ruimtegroepen[],3,FALSE)*VLOOKUP($L599,Vloersoorten[],3,FALSE)*VLOOKUP($R599,Frequenties[],3,FALSE)*VLOOKUP($A599,Locaties[],3,FALSE),0)</f>
        <v>0</v>
      </c>
      <c r="U599" s="287">
        <f>Ruimtestaat[[#This Row],[Uitvoeringen werkdagen]]*Ruimtestaat[[#This Row],[Oppervlak (netto)]]</f>
        <v>720</v>
      </c>
      <c r="V599" s="288">
        <f>IF(T599&gt;0,Ruimtestaat[[#This Row],[Prest. (m2 /jaar) werkdagen]]/Ruimtestaat[[#This Row],[Norm (m2/uur) werkdagen]],0)</f>
        <v>0</v>
      </c>
      <c r="W599" s="289">
        <f>Ruimtestaat[[#This Row],[uren / jaar werkdagen]]*Tariefsopbouw!$E$35</f>
        <v>0</v>
      </c>
      <c r="X599" s="226"/>
      <c r="Y599" s="290">
        <f>IF(Ruimtestaat[[#This Row],[Frequentie weekend]]&gt;0,VALUE(LEFT(X599,1))*Q599,0)</f>
        <v>0</v>
      </c>
      <c r="Z599" s="287">
        <f>IF($Y599&gt;0,VLOOKUP($J599,Ruimtegroepen[],3,FALSE)*VLOOKUP($L599,Vloersoorten[],3,FALSE)*VLOOKUP($X599,Frequenties[],3,FALSE)*VLOOKUP(#REF!,Locaties[],3,FALSE),0)</f>
        <v>0</v>
      </c>
      <c r="AA599" s="291">
        <f>Ruimtestaat[[#This Row],[Uitvoeringen weekend]]*Ruimtestaat[[#This Row],[Oppervlak (netto)]]</f>
        <v>0</v>
      </c>
      <c r="AB599" s="291">
        <f>IF(Z599&gt;0,Ruimtestaat[[#This Row],[Prest. (m2 /jaar) weekend]]/Ruimtestaat[[#This Row],[Norm (m2/uur) weekend]],0)</f>
        <v>0</v>
      </c>
      <c r="AC599" s="180">
        <f>Ruimtestaat[[#This Row],[uren / jaar weekend]]*Tariefsopbouw!$D$40</f>
        <v>0</v>
      </c>
      <c r="AD599" s="179">
        <f>Ruimtestaat[[#This Row],[Prest. (m2 /jaar) weekend]]+Ruimtestaat[[#This Row],[Prest. (m2 /jaar) werkdagen]]</f>
        <v>720</v>
      </c>
      <c r="AE599" s="179">
        <f>Ruimtestaat[[#This Row],[uren / jaar weekend]]+Ruimtestaat[[#This Row],[uren / jaar werkdagen]]</f>
        <v>0</v>
      </c>
      <c r="AF599" s="174">
        <f>Ruimtestaat[[#This Row],[kosten / jaar weekend]]+Ruimtestaat[[#This Row],[kosten / jaar werkdagen]]</f>
        <v>0</v>
      </c>
      <c r="AG599" s="174"/>
      <c r="AH599" s="174" t="str">
        <f>IF(Ruimtestaat[[#This Row],[Frequentie werkdagen]]="","",_xlfn.CONCAT(Ruimtestaat[[#This Row],[Ruimte code]],"-",Ruimtestaat[[#This Row],[Frequentie werkdagen]]," ",Ruimtestaat[[#This Row],[Vloer code]]))</f>
        <v>10-5w H</v>
      </c>
      <c r="AI599" s="182" t="str">
        <f>_xlfn.IFNA(VLOOKUP($AH599,Programma!$F$3:$G$1101,2,0),"")</f>
        <v>_</v>
      </c>
      <c r="AJ599" s="182" t="str">
        <f>_xlfn.IFNA(VLOOKUP($AH599,Programma!$F$3:$H$1101,3,0),"")</f>
        <v>_</v>
      </c>
      <c r="AK599" s="182" t="str">
        <f>_xlfn.IFNA(VLOOKUP($AH599,Programma!$F$3:$I$1101,4,0),"")</f>
        <v>5w</v>
      </c>
      <c r="AL599" s="182" t="str">
        <f>_xlfn.IFNA(VLOOKUP($AH599,Programma!$F$3:$J$1101,5,0),"")</f>
        <v>_</v>
      </c>
      <c r="AM599" s="182" t="str">
        <f>_xlfn.IFNA(VLOOKUP($AH599,Programma!$F$3:$K$1101,6,0),"")</f>
        <v>4j</v>
      </c>
      <c r="AN599" s="182" t="str">
        <f>_xlfn.IFNA(VLOOKUP($AH599,Programma!$F$3:$L$1101,7,0),"")</f>
        <v>_</v>
      </c>
      <c r="AO599" s="182" t="str">
        <f>_xlfn.IFNA(VLOOKUP($AH599,Programma!$F$3:$M$1101,8,0),"")</f>
        <v>_</v>
      </c>
      <c r="AP599" s="182" t="str">
        <f>_xlfn.IFNA(VLOOKUP($AH599,Programma!$F$3:$N$1101,9,0),"")</f>
        <v>_</v>
      </c>
      <c r="AQ599" s="182" t="str">
        <f>_xlfn.IFNA(VLOOKUP($AH599,Programma!$F$3:$O$1101,10,0),"")</f>
        <v>5w</v>
      </c>
      <c r="AR599" s="182" t="str">
        <f>_xlfn.IFNA(VLOOKUP($AH599,Programma!$F$3:$P$1101,11,0),"")</f>
        <v>5w</v>
      </c>
      <c r="AS599" s="182" t="str">
        <f>_xlfn.IFNA(VLOOKUP($AH599,Programma!$F$3:$Q$1101,12,0),"")</f>
        <v>1w</v>
      </c>
      <c r="AT599" s="182" t="str">
        <f>_xlfn.IFNA(VLOOKUP($AH599,Programma!$F$3:$R$1101,13,0),"")</f>
        <v>1w</v>
      </c>
      <c r="AU599" s="182" t="str">
        <f>_xlfn.IFNA(VLOOKUP($AH599,Programma!$F$3:$S$1101,14,0),"")</f>
        <v>1m</v>
      </c>
      <c r="AV599" s="182" t="str">
        <f>_xlfn.IFNA(VLOOKUP($AH599,Programma!$F$3:$T$1101,15,0),"")</f>
        <v>2j</v>
      </c>
      <c r="AW599" s="182" t="str">
        <f>_xlfn.IFNA(VLOOKUP($AH599,Programma!$F$3:$U$1101,16,0),"")</f>
        <v>1j</v>
      </c>
      <c r="AX599" s="182" t="str">
        <f>_xlfn.IFNA(VLOOKUP($AH599,Programma!$F$3:$V$1101,17,0),"")</f>
        <v>_</v>
      </c>
      <c r="AY599" s="182" t="str">
        <f>_xlfn.IFNA(VLOOKUP($AH599,Programma!$F$3:$W$1101,18,0),"")</f>
        <v>_</v>
      </c>
      <c r="AZ599" s="182" t="str">
        <f>_xlfn.IFNA(VLOOKUP($AH599,Programma!$F$3:$X$1101,19,0),"")</f>
        <v>_</v>
      </c>
      <c r="BA599" s="182" t="str">
        <f>_xlfn.IFNA(VLOOKUP($AH599,Programma!$F$3:$Y$1101,20,0),"")</f>
        <v>_</v>
      </c>
      <c r="BB599" s="182"/>
      <c r="BC599" s="174" t="str">
        <f>IF(Ruimtestaat[[#This Row],[Frequentie weekend]]="","",_xlfn.CONCAT(Ruimtestaat[[#This Row],[Ruimte code]],"-",Ruimtestaat[[#This Row],[Frequentie weekend]]," ",Ruimtestaat[[#This Row],[Vloer code]]))</f>
        <v/>
      </c>
      <c r="BD599" s="182" t="str">
        <f>_xlfn.IFNA(VLOOKUP($BC599,Programma!$F$3:$G$1101,2,0),"")</f>
        <v/>
      </c>
      <c r="BE599" s="182" t="str">
        <f>_xlfn.IFNA(VLOOKUP($BC599,Programma!$F$3:$H$1101,3,0),"")</f>
        <v/>
      </c>
      <c r="BF599" s="182" t="str">
        <f>_xlfn.IFNA(VLOOKUP($BC599,Programma!$F$3:$I$1101,4,0),"")</f>
        <v/>
      </c>
      <c r="BG599" s="182" t="str">
        <f>_xlfn.IFNA(VLOOKUP($BC599,Programma!$F$3:$J$1101,5,0),"")</f>
        <v/>
      </c>
      <c r="BH599" s="182" t="str">
        <f>_xlfn.IFNA(VLOOKUP($BC599,Programma!$F$3:$K$1101,6,0),"")</f>
        <v/>
      </c>
      <c r="BI599" s="182" t="str">
        <f>_xlfn.IFNA(VLOOKUP($BC599,Programma!$F$3:$L$1101,7,0),"")</f>
        <v/>
      </c>
      <c r="BJ599" s="182" t="str">
        <f>_xlfn.IFNA(VLOOKUP($BC599,Programma!$F$3:$M$1101,8,0),"")</f>
        <v/>
      </c>
      <c r="BK599" s="182" t="str">
        <f>_xlfn.IFNA(VLOOKUP($BC599,Programma!$F$3:$N$1101,9,0),"")</f>
        <v/>
      </c>
      <c r="BL599" s="182" t="str">
        <f>_xlfn.IFNA(VLOOKUP($BC599,Programma!$F$3:$O$1101,10,0),"")</f>
        <v/>
      </c>
      <c r="BM599" s="182" t="str">
        <f>_xlfn.IFNA(VLOOKUP($BC599,Programma!$F$3:$P$1101,11,0),"")</f>
        <v/>
      </c>
      <c r="BN599" s="182" t="str">
        <f>_xlfn.IFNA(VLOOKUP($BC599,Programma!$F$3:$Q$1101,12,0),"")</f>
        <v/>
      </c>
      <c r="BO599" s="182" t="str">
        <f>_xlfn.IFNA(VLOOKUP($BC599,Programma!$F$3:$R$1101,13,0),"")</f>
        <v/>
      </c>
      <c r="BP599" s="182" t="str">
        <f>_xlfn.IFNA(VLOOKUP($BC599,Programma!$F$3:$S$1101,14,0),"")</f>
        <v/>
      </c>
      <c r="BQ599" s="182" t="str">
        <f>_xlfn.IFNA(VLOOKUP($BC599,Programma!$F$3:$T$1101,15,0),"")</f>
        <v/>
      </c>
      <c r="BR599" s="182" t="str">
        <f>_xlfn.IFNA(VLOOKUP($BC599,Programma!$F$3:$U$1101,16,0),"")</f>
        <v/>
      </c>
      <c r="BS599" s="182" t="str">
        <f>_xlfn.IFNA(VLOOKUP($BC599,Programma!$F$3:$V$1101,17,0),"")</f>
        <v/>
      </c>
      <c r="BT599" s="182" t="str">
        <f>_xlfn.IFNA(VLOOKUP($BC599,Programma!$F$3:$W$1101,18,0),"")</f>
        <v/>
      </c>
      <c r="BU599" s="182" t="str">
        <f>_xlfn.IFNA(VLOOKUP($BC599,Programma!$F$3:$X$1101,19,0),"")</f>
        <v/>
      </c>
      <c r="BV599" s="182" t="str">
        <f>_xlfn.IFNA(VLOOKUP($BC599,Programma!$F$3:$Y$1101,20,0),"")</f>
        <v/>
      </c>
    </row>
    <row r="600" spans="1:74" ht="15" customHeight="1">
      <c r="A600" s="99">
        <v>17</v>
      </c>
      <c r="B600" s="176" t="str">
        <f>VLOOKUP(Ruimtestaat[[#This Row],[Code]],Locaties[[Code]:[Locatie]],2,FALSE)</f>
        <v>ODBS Lonneker</v>
      </c>
      <c r="C600" s="176" t="str">
        <f>VLOOKUP(Ruimtestaat[[#This Row],[Code]],Locaties[[#All],[Code]:[Adres]],4,FALSE)</f>
        <v>Dorpsstraat 104</v>
      </c>
      <c r="D600" s="176" t="str">
        <f>VLOOKUP(Ruimtestaat[[#This Row],[Code]],Locaties[[#All],[Code]:[Postcode]],5,FALSE)</f>
        <v>7524 CK</v>
      </c>
      <c r="E600" s="176" t="str">
        <f>VLOOKUP(Ruimtestaat[[#This Row],[Code]],Locaties[#All],6,FALSE)</f>
        <v>Lonneker</v>
      </c>
      <c r="F600" s="183"/>
      <c r="G600" s="99" t="s">
        <v>1646</v>
      </c>
      <c r="H600" s="99" t="s">
        <v>1716</v>
      </c>
      <c r="I600" s="183" t="s">
        <v>1649</v>
      </c>
      <c r="J600" s="99">
        <v>2</v>
      </c>
      <c r="K600" s="183" t="str">
        <f>VLOOKUP(Ruimtestaat[[#This Row],[Ruimte code]],Ruimtegroepen[[#All],[Code]:[Ruimte omschrijving]],2,FALSE)</f>
        <v>Kantoren</v>
      </c>
      <c r="L600" s="99" t="s">
        <v>99</v>
      </c>
      <c r="M600" s="99" t="s">
        <v>36</v>
      </c>
      <c r="N600" s="177">
        <v>10.199999999999999</v>
      </c>
      <c r="O600" s="177"/>
      <c r="P600" s="178" t="str">
        <f>VLOOKUP(Ruimtestaat[[#This Row],[Ruimte code]],Ruimtegroepen[],4,FALSE)</f>
        <v>Bu</v>
      </c>
      <c r="Q600" s="149">
        <v>40</v>
      </c>
      <c r="R600" s="149" t="s">
        <v>18</v>
      </c>
      <c r="S600" s="285">
        <f>IF(Q600&gt;0,IF(RIGHT(Ruimtestaat[[#This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00" s="286">
        <f>IF(S600&gt;0,VLOOKUP($J600,Ruimtegroepen[],3,FALSE)*VLOOKUP($L600,Vloersoorten[],3,FALSE)*VLOOKUP($R600,Frequenties[],3,FALSE)*VLOOKUP($A600,Locaties[],3,FALSE),0)</f>
        <v>0</v>
      </c>
      <c r="U600" s="287">
        <f>Ruimtestaat[[#This Row],[Uitvoeringen werkdagen]]*Ruimtestaat[[#This Row],[Oppervlak (netto)]]</f>
        <v>1224</v>
      </c>
      <c r="V600" s="288">
        <f>IF(T600&gt;0,Ruimtestaat[[#This Row],[Prest. (m2 /jaar) werkdagen]]/Ruimtestaat[[#This Row],[Norm (m2/uur) werkdagen]],0)</f>
        <v>0</v>
      </c>
      <c r="W600" s="289">
        <f>Ruimtestaat[[#This Row],[uren / jaar werkdagen]]*Tariefsopbouw!$E$35</f>
        <v>0</v>
      </c>
      <c r="X600" s="226"/>
      <c r="Y600" s="290">
        <f>IF(Ruimtestaat[[#This Row],[Frequentie weekend]]&gt;0,VALUE(LEFT(X600,1))*Q600,0)</f>
        <v>0</v>
      </c>
      <c r="Z600" s="287">
        <f>IF($Y600&gt;0,VLOOKUP($J600,Ruimtegroepen[],3,FALSE)*VLOOKUP($L600,Vloersoorten[],3,FALSE)*VLOOKUP($X600,Frequenties[],3,FALSE)*VLOOKUP(#REF!,Locaties[],3,FALSE),0)</f>
        <v>0</v>
      </c>
      <c r="AA600" s="291">
        <f>Ruimtestaat[[#This Row],[Uitvoeringen weekend]]*Ruimtestaat[[#This Row],[Oppervlak (netto)]]</f>
        <v>0</v>
      </c>
      <c r="AB600" s="291">
        <f>IF(Z600&gt;0,Ruimtestaat[[#This Row],[Prest. (m2 /jaar) weekend]]/Ruimtestaat[[#This Row],[Norm (m2/uur) weekend]],0)</f>
        <v>0</v>
      </c>
      <c r="AC600" s="180">
        <f>Ruimtestaat[[#This Row],[uren / jaar weekend]]*Tariefsopbouw!$D$40</f>
        <v>0</v>
      </c>
      <c r="AD600" s="179">
        <f>Ruimtestaat[[#This Row],[Prest. (m2 /jaar) weekend]]+Ruimtestaat[[#This Row],[Prest. (m2 /jaar) werkdagen]]</f>
        <v>1224</v>
      </c>
      <c r="AE600" s="179">
        <f>Ruimtestaat[[#This Row],[uren / jaar weekend]]+Ruimtestaat[[#This Row],[uren / jaar werkdagen]]</f>
        <v>0</v>
      </c>
      <c r="AF600" s="174">
        <f>Ruimtestaat[[#This Row],[kosten / jaar weekend]]+Ruimtestaat[[#This Row],[kosten / jaar werkdagen]]</f>
        <v>0</v>
      </c>
      <c r="AG600" s="174"/>
      <c r="AH600" s="174" t="str">
        <f>IF(Ruimtestaat[[#This Row],[Frequentie werkdagen]]="","",_xlfn.CONCAT(Ruimtestaat[[#This Row],[Ruimte code]],"-",Ruimtestaat[[#This Row],[Frequentie werkdagen]]," ",Ruimtestaat[[#This Row],[Vloer code]]))</f>
        <v>2-3w T</v>
      </c>
      <c r="AI600" s="182" t="str">
        <f>_xlfn.IFNA(VLOOKUP($AH600,Programma!$F$3:$G$1101,2,0),"")</f>
        <v>2w</v>
      </c>
      <c r="AJ600" s="182" t="str">
        <f>_xlfn.IFNA(VLOOKUP($AH600,Programma!$F$3:$H$1101,3,0),"")</f>
        <v>1w</v>
      </c>
      <c r="AK600" s="182" t="str">
        <f>_xlfn.IFNA(VLOOKUP($AH600,Programma!$F$3:$I$1101,4,0),"")</f>
        <v>_</v>
      </c>
      <c r="AL600" s="182" t="str">
        <f>_xlfn.IFNA(VLOOKUP($AH600,Programma!$F$3:$J$1101,5,0),"")</f>
        <v>_</v>
      </c>
      <c r="AM600" s="182" t="str">
        <f>_xlfn.IFNA(VLOOKUP($AH600,Programma!$F$3:$K$1101,6,0),"")</f>
        <v>_</v>
      </c>
      <c r="AN600" s="182" t="str">
        <f>_xlfn.IFNA(VLOOKUP($AH600,Programma!$F$3:$L$1101,7,0),"")</f>
        <v>_</v>
      </c>
      <c r="AO600" s="182" t="str">
        <f>_xlfn.IFNA(VLOOKUP($AH600,Programma!$F$3:$M$1101,8,0),"")</f>
        <v>_</v>
      </c>
      <c r="AP600" s="182" t="str">
        <f>_xlfn.IFNA(VLOOKUP($AH600,Programma!$F$3:$N$1101,9,0),"")</f>
        <v>_</v>
      </c>
      <c r="AQ600" s="182" t="str">
        <f>_xlfn.IFNA(VLOOKUP($AH600,Programma!$F$3:$O$1101,10,0),"")</f>
        <v>3w</v>
      </c>
      <c r="AR600" s="182" t="str">
        <f>_xlfn.IFNA(VLOOKUP($AH600,Programma!$F$3:$P$1101,11,0),"")</f>
        <v>3w</v>
      </c>
      <c r="AS600" s="182" t="str">
        <f>_xlfn.IFNA(VLOOKUP($AH600,Programma!$F$3:$Q$1101,12,0),"")</f>
        <v>1w</v>
      </c>
      <c r="AT600" s="182" t="str">
        <f>_xlfn.IFNA(VLOOKUP($AH600,Programma!$F$3:$R$1101,13,0),"")</f>
        <v>1w</v>
      </c>
      <c r="AU600" s="182" t="str">
        <f>_xlfn.IFNA(VLOOKUP($AH600,Programma!$F$3:$S$1101,14,0),"")</f>
        <v>1m</v>
      </c>
      <c r="AV600" s="182" t="str">
        <f>_xlfn.IFNA(VLOOKUP($AH600,Programma!$F$3:$T$1101,15,0),"")</f>
        <v>2j</v>
      </c>
      <c r="AW600" s="182" t="str">
        <f>_xlfn.IFNA(VLOOKUP($AH600,Programma!$F$3:$U$1101,16,0),"")</f>
        <v>1j</v>
      </c>
      <c r="AX600" s="182" t="str">
        <f>_xlfn.IFNA(VLOOKUP($AH600,Programma!$F$3:$V$1101,17,0),"")</f>
        <v>_</v>
      </c>
      <c r="AY600" s="182" t="str">
        <f>_xlfn.IFNA(VLOOKUP($AH600,Programma!$F$3:$W$1101,18,0),"")</f>
        <v>_</v>
      </c>
      <c r="AZ600" s="182" t="str">
        <f>_xlfn.IFNA(VLOOKUP($AH600,Programma!$F$3:$X$1101,19,0),"")</f>
        <v>_</v>
      </c>
      <c r="BA600" s="182" t="str">
        <f>_xlfn.IFNA(VLOOKUP($AH600,Programma!$F$3:$Y$1101,20,0),"")</f>
        <v>_</v>
      </c>
      <c r="BB600" s="182"/>
      <c r="BC600" s="174" t="str">
        <f>IF(Ruimtestaat[[#This Row],[Frequentie weekend]]="","",_xlfn.CONCAT(Ruimtestaat[[#This Row],[Ruimte code]],"-",Ruimtestaat[[#This Row],[Frequentie weekend]]," ",Ruimtestaat[[#This Row],[Vloer code]]))</f>
        <v/>
      </c>
      <c r="BD600" s="182" t="str">
        <f>_xlfn.IFNA(VLOOKUP($BC600,Programma!$F$3:$G$1101,2,0),"")</f>
        <v/>
      </c>
      <c r="BE600" s="182" t="str">
        <f>_xlfn.IFNA(VLOOKUP($BC600,Programma!$F$3:$H$1101,3,0),"")</f>
        <v/>
      </c>
      <c r="BF600" s="182" t="str">
        <f>_xlfn.IFNA(VLOOKUP($BC600,Programma!$F$3:$I$1101,4,0),"")</f>
        <v/>
      </c>
      <c r="BG600" s="182" t="str">
        <f>_xlfn.IFNA(VLOOKUP($BC600,Programma!$F$3:$J$1101,5,0),"")</f>
        <v/>
      </c>
      <c r="BH600" s="182" t="str">
        <f>_xlfn.IFNA(VLOOKUP($BC600,Programma!$F$3:$K$1101,6,0),"")</f>
        <v/>
      </c>
      <c r="BI600" s="182" t="str">
        <f>_xlfn.IFNA(VLOOKUP($BC600,Programma!$F$3:$L$1101,7,0),"")</f>
        <v/>
      </c>
      <c r="BJ600" s="182" t="str">
        <f>_xlfn.IFNA(VLOOKUP($BC600,Programma!$F$3:$M$1101,8,0),"")</f>
        <v/>
      </c>
      <c r="BK600" s="182" t="str">
        <f>_xlfn.IFNA(VLOOKUP($BC600,Programma!$F$3:$N$1101,9,0),"")</f>
        <v/>
      </c>
      <c r="BL600" s="182" t="str">
        <f>_xlfn.IFNA(VLOOKUP($BC600,Programma!$F$3:$O$1101,10,0),"")</f>
        <v/>
      </c>
      <c r="BM600" s="182" t="str">
        <f>_xlfn.IFNA(VLOOKUP($BC600,Programma!$F$3:$P$1101,11,0),"")</f>
        <v/>
      </c>
      <c r="BN600" s="182" t="str">
        <f>_xlfn.IFNA(VLOOKUP($BC600,Programma!$F$3:$Q$1101,12,0),"")</f>
        <v/>
      </c>
      <c r="BO600" s="182" t="str">
        <f>_xlfn.IFNA(VLOOKUP($BC600,Programma!$F$3:$R$1101,13,0),"")</f>
        <v/>
      </c>
      <c r="BP600" s="182" t="str">
        <f>_xlfn.IFNA(VLOOKUP($BC600,Programma!$F$3:$S$1101,14,0),"")</f>
        <v/>
      </c>
      <c r="BQ600" s="182" t="str">
        <f>_xlfn.IFNA(VLOOKUP($BC600,Programma!$F$3:$T$1101,15,0),"")</f>
        <v/>
      </c>
      <c r="BR600" s="182" t="str">
        <f>_xlfn.IFNA(VLOOKUP($BC600,Programma!$F$3:$U$1101,16,0),"")</f>
        <v/>
      </c>
      <c r="BS600" s="182" t="str">
        <f>_xlfn.IFNA(VLOOKUP($BC600,Programma!$F$3:$V$1101,17,0),"")</f>
        <v/>
      </c>
      <c r="BT600" s="182" t="str">
        <f>_xlfn.IFNA(VLOOKUP($BC600,Programma!$F$3:$W$1101,18,0),"")</f>
        <v/>
      </c>
      <c r="BU600" s="182" t="str">
        <f>_xlfn.IFNA(VLOOKUP($BC600,Programma!$F$3:$X$1101,19,0),"")</f>
        <v/>
      </c>
      <c r="BV600" s="182" t="str">
        <f>_xlfn.IFNA(VLOOKUP($BC600,Programma!$F$3:$Y$1101,20,0),"")</f>
        <v/>
      </c>
    </row>
    <row r="601" spans="1:74" ht="15" customHeight="1">
      <c r="A601" s="99">
        <v>17</v>
      </c>
      <c r="B601" s="176" t="str">
        <f>VLOOKUP(Ruimtestaat[[#This Row],[Code]],Locaties[[Code]:[Locatie]],2,FALSE)</f>
        <v>ODBS Lonneker</v>
      </c>
      <c r="C601" s="176" t="str">
        <f>VLOOKUP(Ruimtestaat[[#This Row],[Code]],Locaties[[#All],[Code]:[Adres]],4,FALSE)</f>
        <v>Dorpsstraat 104</v>
      </c>
      <c r="D601" s="176" t="str">
        <f>VLOOKUP(Ruimtestaat[[#This Row],[Code]],Locaties[[#All],[Code]:[Postcode]],5,FALSE)</f>
        <v>7524 CK</v>
      </c>
      <c r="E601" s="176" t="str">
        <f>VLOOKUP(Ruimtestaat[[#This Row],[Code]],Locaties[#All],6,FALSE)</f>
        <v>Lonneker</v>
      </c>
      <c r="F601" s="183"/>
      <c r="G601" s="99" t="s">
        <v>1646</v>
      </c>
      <c r="H601" s="99" t="s">
        <v>1659</v>
      </c>
      <c r="I601" s="183" t="s">
        <v>1658</v>
      </c>
      <c r="J601" s="99">
        <v>6</v>
      </c>
      <c r="K601" s="183" t="str">
        <f>VLOOKUP(Ruimtestaat[[#This Row],[Ruimte code]],Ruimtegroepen[[#All],[Code]:[Ruimte omschrijving]],2,FALSE)</f>
        <v>Gangen/hallen</v>
      </c>
      <c r="L601" s="99" t="s">
        <v>101</v>
      </c>
      <c r="M601" s="99" t="s">
        <v>1698</v>
      </c>
      <c r="N601" s="177">
        <v>1</v>
      </c>
      <c r="O601" s="177"/>
      <c r="P601" s="178" t="str">
        <f>VLOOKUP(Ruimtestaat[[#This Row],[Ruimte code]],Ruimtegroepen[],4,FALSE)</f>
        <v>Ve</v>
      </c>
      <c r="Q601" s="149">
        <v>40</v>
      </c>
      <c r="R601" s="149" t="s">
        <v>2</v>
      </c>
      <c r="S601" s="285">
        <f>IF(Q601&gt;0,IF(RIGHT(Ruimtestaat[[#This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1" s="286">
        <f>IF(S601&gt;0,VLOOKUP($J601,Ruimtegroepen[],3,FALSE)*VLOOKUP($L601,Vloersoorten[],3,FALSE)*VLOOKUP($R601,Frequenties[],3,FALSE)*VLOOKUP($A601,Locaties[],3,FALSE),0)</f>
        <v>0</v>
      </c>
      <c r="U601" s="287">
        <f>Ruimtestaat[[#This Row],[Uitvoeringen werkdagen]]*Ruimtestaat[[#This Row],[Oppervlak (netto)]]</f>
        <v>200</v>
      </c>
      <c r="V601" s="288">
        <f>IF(T601&gt;0,Ruimtestaat[[#This Row],[Prest. (m2 /jaar) werkdagen]]/Ruimtestaat[[#This Row],[Norm (m2/uur) werkdagen]],0)</f>
        <v>0</v>
      </c>
      <c r="W601" s="289">
        <f>Ruimtestaat[[#This Row],[uren / jaar werkdagen]]*Tariefsopbouw!$E$35</f>
        <v>0</v>
      </c>
      <c r="X601" s="226"/>
      <c r="Y601" s="290">
        <f>IF(Ruimtestaat[[#This Row],[Frequentie weekend]]&gt;0,VALUE(LEFT(X601,1))*Q601,0)</f>
        <v>0</v>
      </c>
      <c r="Z601" s="287">
        <f>IF($Y601&gt;0,VLOOKUP($J601,Ruimtegroepen[],3,FALSE)*VLOOKUP($L601,Vloersoorten[],3,FALSE)*VLOOKUP($X601,Frequenties[],3,FALSE)*VLOOKUP(#REF!,Locaties[],3,FALSE),0)</f>
        <v>0</v>
      </c>
      <c r="AA601" s="291">
        <f>Ruimtestaat[[#This Row],[Uitvoeringen weekend]]*Ruimtestaat[[#This Row],[Oppervlak (netto)]]</f>
        <v>0</v>
      </c>
      <c r="AB601" s="291">
        <f>IF(Z601&gt;0,Ruimtestaat[[#This Row],[Prest. (m2 /jaar) weekend]]/Ruimtestaat[[#This Row],[Norm (m2/uur) weekend]],0)</f>
        <v>0</v>
      </c>
      <c r="AC601" s="180">
        <f>Ruimtestaat[[#This Row],[uren / jaar weekend]]*Tariefsopbouw!$D$40</f>
        <v>0</v>
      </c>
      <c r="AD601" s="179">
        <f>Ruimtestaat[[#This Row],[Prest. (m2 /jaar) weekend]]+Ruimtestaat[[#This Row],[Prest. (m2 /jaar) werkdagen]]</f>
        <v>200</v>
      </c>
      <c r="AE601" s="179">
        <f>Ruimtestaat[[#This Row],[uren / jaar weekend]]+Ruimtestaat[[#This Row],[uren / jaar werkdagen]]</f>
        <v>0</v>
      </c>
      <c r="AF601" s="174">
        <f>Ruimtestaat[[#This Row],[kosten / jaar weekend]]+Ruimtestaat[[#This Row],[kosten / jaar werkdagen]]</f>
        <v>0</v>
      </c>
      <c r="AG601" s="174"/>
      <c r="AH601" s="174" t="str">
        <f>IF(Ruimtestaat[[#This Row],[Frequentie werkdagen]]="","",_xlfn.CONCAT(Ruimtestaat[[#This Row],[Ruimte code]],"-",Ruimtestaat[[#This Row],[Frequentie werkdagen]]," ",Ruimtestaat[[#This Row],[Vloer code]]))</f>
        <v>6-5w S</v>
      </c>
      <c r="AI601" s="182" t="str">
        <f>_xlfn.IFNA(VLOOKUP($AH601,Programma!$F$3:$G$1101,2,0),"")</f>
        <v>_</v>
      </c>
      <c r="AJ601" s="182" t="str">
        <f>_xlfn.IFNA(VLOOKUP($AH601,Programma!$F$3:$H$1101,3,0),"")</f>
        <v>_</v>
      </c>
      <c r="AK601" s="182" t="str">
        <f>_xlfn.IFNA(VLOOKUP($AH601,Programma!$F$3:$I$1101,4,0),"")</f>
        <v>5w</v>
      </c>
      <c r="AL601" s="182" t="str">
        <f>_xlfn.IFNA(VLOOKUP($AH601,Programma!$F$3:$J$1101,5,0),"")</f>
        <v>_</v>
      </c>
      <c r="AM601" s="182" t="str">
        <f>_xlfn.IFNA(VLOOKUP($AH601,Programma!$F$3:$K$1101,6,0),"")</f>
        <v>5w</v>
      </c>
      <c r="AN601" s="182" t="str">
        <f>_xlfn.IFNA(VLOOKUP($AH601,Programma!$F$3:$L$1101,7,0),"")</f>
        <v>_</v>
      </c>
      <c r="AO601" s="182" t="str">
        <f>_xlfn.IFNA(VLOOKUP($AH601,Programma!$F$3:$M$1101,8,0),"")</f>
        <v>_</v>
      </c>
      <c r="AP601" s="182" t="str">
        <f>_xlfn.IFNA(VLOOKUP($AH601,Programma!$F$3:$N$1101,9,0),"")</f>
        <v>_</v>
      </c>
      <c r="AQ601" s="182" t="str">
        <f>_xlfn.IFNA(VLOOKUP($AH601,Programma!$F$3:$O$1101,10,0),"")</f>
        <v>5w</v>
      </c>
      <c r="AR601" s="182" t="str">
        <f>_xlfn.IFNA(VLOOKUP($AH601,Programma!$F$3:$P$1101,11,0),"")</f>
        <v>5w</v>
      </c>
      <c r="AS601" s="182" t="str">
        <f>_xlfn.IFNA(VLOOKUP($AH601,Programma!$F$3:$Q$1101,12,0),"")</f>
        <v>1w</v>
      </c>
      <c r="AT601" s="182" t="str">
        <f>_xlfn.IFNA(VLOOKUP($AH601,Programma!$F$3:$R$1101,13,0),"")</f>
        <v>1w</v>
      </c>
      <c r="AU601" s="182" t="str">
        <f>_xlfn.IFNA(VLOOKUP($AH601,Programma!$F$3:$S$1101,14,0),"")</f>
        <v>1m</v>
      </c>
      <c r="AV601" s="182" t="str">
        <f>_xlfn.IFNA(VLOOKUP($AH601,Programma!$F$3:$T$1101,15,0),"")</f>
        <v>2j</v>
      </c>
      <c r="AW601" s="182" t="str">
        <f>_xlfn.IFNA(VLOOKUP($AH601,Programma!$F$3:$U$1101,16,0),"")</f>
        <v>1j</v>
      </c>
      <c r="AX601" s="182" t="str">
        <f>_xlfn.IFNA(VLOOKUP($AH601,Programma!$F$3:$V$1101,17,0),"")</f>
        <v>_</v>
      </c>
      <c r="AY601" s="182" t="str">
        <f>_xlfn.IFNA(VLOOKUP($AH601,Programma!$F$3:$W$1101,18,0),"")</f>
        <v>_</v>
      </c>
      <c r="AZ601" s="182" t="str">
        <f>_xlfn.IFNA(VLOOKUP($AH601,Programma!$F$3:$X$1101,19,0),"")</f>
        <v>_</v>
      </c>
      <c r="BA601" s="182" t="str">
        <f>_xlfn.IFNA(VLOOKUP($AH601,Programma!$F$3:$Y$1101,20,0),"")</f>
        <v>_</v>
      </c>
      <c r="BB601" s="182"/>
      <c r="BC601" s="174" t="str">
        <f>IF(Ruimtestaat[[#This Row],[Frequentie weekend]]="","",_xlfn.CONCAT(Ruimtestaat[[#This Row],[Ruimte code]],"-",Ruimtestaat[[#This Row],[Frequentie weekend]]," ",Ruimtestaat[[#This Row],[Vloer code]]))</f>
        <v/>
      </c>
      <c r="BD601" s="182" t="str">
        <f>_xlfn.IFNA(VLOOKUP($BC601,Programma!$F$3:$G$1101,2,0),"")</f>
        <v/>
      </c>
      <c r="BE601" s="182" t="str">
        <f>_xlfn.IFNA(VLOOKUP($BC601,Programma!$F$3:$H$1101,3,0),"")</f>
        <v/>
      </c>
      <c r="BF601" s="182" t="str">
        <f>_xlfn.IFNA(VLOOKUP($BC601,Programma!$F$3:$I$1101,4,0),"")</f>
        <v/>
      </c>
      <c r="BG601" s="182" t="str">
        <f>_xlfn.IFNA(VLOOKUP($BC601,Programma!$F$3:$J$1101,5,0),"")</f>
        <v/>
      </c>
      <c r="BH601" s="182" t="str">
        <f>_xlfn.IFNA(VLOOKUP($BC601,Programma!$F$3:$K$1101,6,0),"")</f>
        <v/>
      </c>
      <c r="BI601" s="182" t="str">
        <f>_xlfn.IFNA(VLOOKUP($BC601,Programma!$F$3:$L$1101,7,0),"")</f>
        <v/>
      </c>
      <c r="BJ601" s="182" t="str">
        <f>_xlfn.IFNA(VLOOKUP($BC601,Programma!$F$3:$M$1101,8,0),"")</f>
        <v/>
      </c>
      <c r="BK601" s="182" t="str">
        <f>_xlfn.IFNA(VLOOKUP($BC601,Programma!$F$3:$N$1101,9,0),"")</f>
        <v/>
      </c>
      <c r="BL601" s="182" t="str">
        <f>_xlfn.IFNA(VLOOKUP($BC601,Programma!$F$3:$O$1101,10,0),"")</f>
        <v/>
      </c>
      <c r="BM601" s="182" t="str">
        <f>_xlfn.IFNA(VLOOKUP($BC601,Programma!$F$3:$P$1101,11,0),"")</f>
        <v/>
      </c>
      <c r="BN601" s="182" t="str">
        <f>_xlfn.IFNA(VLOOKUP($BC601,Programma!$F$3:$Q$1101,12,0),"")</f>
        <v/>
      </c>
      <c r="BO601" s="182" t="str">
        <f>_xlfn.IFNA(VLOOKUP($BC601,Programma!$F$3:$R$1101,13,0),"")</f>
        <v/>
      </c>
      <c r="BP601" s="182" t="str">
        <f>_xlfn.IFNA(VLOOKUP($BC601,Programma!$F$3:$S$1101,14,0),"")</f>
        <v/>
      </c>
      <c r="BQ601" s="182" t="str">
        <f>_xlfn.IFNA(VLOOKUP($BC601,Programma!$F$3:$T$1101,15,0),"")</f>
        <v/>
      </c>
      <c r="BR601" s="182" t="str">
        <f>_xlfn.IFNA(VLOOKUP($BC601,Programma!$F$3:$U$1101,16,0),"")</f>
        <v/>
      </c>
      <c r="BS601" s="182" t="str">
        <f>_xlfn.IFNA(VLOOKUP($BC601,Programma!$F$3:$V$1101,17,0),"")</f>
        <v/>
      </c>
      <c r="BT601" s="182" t="str">
        <f>_xlfn.IFNA(VLOOKUP($BC601,Programma!$F$3:$W$1101,18,0),"")</f>
        <v/>
      </c>
      <c r="BU601" s="182" t="str">
        <f>_xlfn.IFNA(VLOOKUP($BC601,Programma!$F$3:$X$1101,19,0),"")</f>
        <v/>
      </c>
      <c r="BV601" s="182" t="str">
        <f>_xlfn.IFNA(VLOOKUP($BC601,Programma!$F$3:$Y$1101,20,0),"")</f>
        <v/>
      </c>
    </row>
    <row r="602" spans="1:74" ht="15" customHeight="1">
      <c r="A602" s="99">
        <v>17</v>
      </c>
      <c r="B602" s="176" t="str">
        <f>VLOOKUP(Ruimtestaat[[#This Row],[Code]],Locaties[[Code]:[Locatie]],2,FALSE)</f>
        <v>ODBS Lonneker</v>
      </c>
      <c r="C602" s="176" t="str">
        <f>VLOOKUP(Ruimtestaat[[#This Row],[Code]],Locaties[[#All],[Code]:[Adres]],4,FALSE)</f>
        <v>Dorpsstraat 104</v>
      </c>
      <c r="D602" s="176" t="str">
        <f>VLOOKUP(Ruimtestaat[[#This Row],[Code]],Locaties[[#All],[Code]:[Postcode]],5,FALSE)</f>
        <v>7524 CK</v>
      </c>
      <c r="E602" s="176" t="str">
        <f>VLOOKUP(Ruimtestaat[[#This Row],[Code]],Locaties[#All],6,FALSE)</f>
        <v>Lonneker</v>
      </c>
      <c r="F602" s="183"/>
      <c r="G602" s="99" t="s">
        <v>1646</v>
      </c>
      <c r="H602" s="99" t="s">
        <v>1657</v>
      </c>
      <c r="I602" s="183" t="s">
        <v>1722</v>
      </c>
      <c r="J602" s="99">
        <v>20</v>
      </c>
      <c r="K602" s="183" t="str">
        <f>VLOOKUP(Ruimtestaat[[#This Row],[Ruimte code]],Ruimtegroepen[[#All],[Code]:[Ruimte omschrijving]],2,FALSE)</f>
        <v>Niet in Onderhoud</v>
      </c>
      <c r="L602" s="99" t="s">
        <v>101</v>
      </c>
      <c r="M602" s="99" t="s">
        <v>1698</v>
      </c>
      <c r="N602" s="177"/>
      <c r="O602" s="177">
        <v>1</v>
      </c>
      <c r="P602" s="178">
        <f>VLOOKUP(Ruimtestaat[[#This Row],[Ruimte code]],Ruimtegroepen[],4,FALSE)</f>
        <v>0</v>
      </c>
      <c r="Q602" s="149"/>
      <c r="R602" s="149"/>
      <c r="S602" s="285">
        <f>IF(Q602&gt;0,IF(RIGHT(Ruimtestaat[[#This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02" s="286">
        <f>IF(S602&gt;0,VLOOKUP($J602,Ruimtegroepen[],3,FALSE)*VLOOKUP($L602,Vloersoorten[],3,FALSE)*VLOOKUP($R602,Frequenties[],3,FALSE)*VLOOKUP($A602,Locaties[],3,FALSE),0)</f>
        <v>0</v>
      </c>
      <c r="U602" s="287">
        <f>Ruimtestaat[[#This Row],[Uitvoeringen werkdagen]]*Ruimtestaat[[#This Row],[Oppervlak (netto)]]</f>
        <v>0</v>
      </c>
      <c r="V602" s="288">
        <f>IF(T602&gt;0,Ruimtestaat[[#This Row],[Prest. (m2 /jaar) werkdagen]]/Ruimtestaat[[#This Row],[Norm (m2/uur) werkdagen]],0)</f>
        <v>0</v>
      </c>
      <c r="W602" s="289">
        <f>Ruimtestaat[[#This Row],[uren / jaar werkdagen]]*Tariefsopbouw!$E$35</f>
        <v>0</v>
      </c>
      <c r="X602" s="226"/>
      <c r="Y602" s="290">
        <f>IF(Ruimtestaat[[#This Row],[Frequentie weekend]]&gt;0,VALUE(LEFT(X602,1))*Q602,0)</f>
        <v>0</v>
      </c>
      <c r="Z602" s="287">
        <f>IF($Y602&gt;0,VLOOKUP($J602,Ruimtegroepen[],3,FALSE)*VLOOKUP($L602,Vloersoorten[],3,FALSE)*VLOOKUP($X602,Frequenties[],3,FALSE)*VLOOKUP(#REF!,Locaties[],3,FALSE),0)</f>
        <v>0</v>
      </c>
      <c r="AA602" s="291">
        <f>Ruimtestaat[[#This Row],[Uitvoeringen weekend]]*Ruimtestaat[[#This Row],[Oppervlak (netto)]]</f>
        <v>0</v>
      </c>
      <c r="AB602" s="291">
        <f>IF(Z602&gt;0,Ruimtestaat[[#This Row],[Prest. (m2 /jaar) weekend]]/Ruimtestaat[[#This Row],[Norm (m2/uur) weekend]],0)</f>
        <v>0</v>
      </c>
      <c r="AC602" s="180">
        <f>Ruimtestaat[[#This Row],[uren / jaar weekend]]*Tariefsopbouw!$D$40</f>
        <v>0</v>
      </c>
      <c r="AD602" s="179">
        <f>Ruimtestaat[[#This Row],[Prest. (m2 /jaar) weekend]]+Ruimtestaat[[#This Row],[Prest. (m2 /jaar) werkdagen]]</f>
        <v>0</v>
      </c>
      <c r="AE602" s="179">
        <f>Ruimtestaat[[#This Row],[uren / jaar weekend]]+Ruimtestaat[[#This Row],[uren / jaar werkdagen]]</f>
        <v>0</v>
      </c>
      <c r="AF602" s="174">
        <f>Ruimtestaat[[#This Row],[kosten / jaar weekend]]+Ruimtestaat[[#This Row],[kosten / jaar werkdagen]]</f>
        <v>0</v>
      </c>
      <c r="AG602" s="174"/>
      <c r="AH602" s="174" t="str">
        <f>IF(Ruimtestaat[[#This Row],[Frequentie werkdagen]]="","",_xlfn.CONCAT(Ruimtestaat[[#This Row],[Ruimte code]],"-",Ruimtestaat[[#This Row],[Frequentie werkdagen]]," ",Ruimtestaat[[#This Row],[Vloer code]]))</f>
        <v/>
      </c>
      <c r="AI602" s="182" t="str">
        <f>_xlfn.IFNA(VLOOKUP($AH602,Programma!$F$3:$G$1101,2,0),"")</f>
        <v/>
      </c>
      <c r="AJ602" s="182" t="str">
        <f>_xlfn.IFNA(VLOOKUP($AH602,Programma!$F$3:$H$1101,3,0),"")</f>
        <v/>
      </c>
      <c r="AK602" s="182" t="str">
        <f>_xlfn.IFNA(VLOOKUP($AH602,Programma!$F$3:$I$1101,4,0),"")</f>
        <v/>
      </c>
      <c r="AL602" s="182" t="str">
        <f>_xlfn.IFNA(VLOOKUP($AH602,Programma!$F$3:$J$1101,5,0),"")</f>
        <v/>
      </c>
      <c r="AM602" s="182" t="str">
        <f>_xlfn.IFNA(VLOOKUP($AH602,Programma!$F$3:$K$1101,6,0),"")</f>
        <v/>
      </c>
      <c r="AN602" s="182" t="str">
        <f>_xlfn.IFNA(VLOOKUP($AH602,Programma!$F$3:$L$1101,7,0),"")</f>
        <v/>
      </c>
      <c r="AO602" s="182" t="str">
        <f>_xlfn.IFNA(VLOOKUP($AH602,Programma!$F$3:$M$1101,8,0),"")</f>
        <v/>
      </c>
      <c r="AP602" s="182" t="str">
        <f>_xlfn.IFNA(VLOOKUP($AH602,Programma!$F$3:$N$1101,9,0),"")</f>
        <v/>
      </c>
      <c r="AQ602" s="182" t="str">
        <f>_xlfn.IFNA(VLOOKUP($AH602,Programma!$F$3:$O$1101,10,0),"")</f>
        <v/>
      </c>
      <c r="AR602" s="182" t="str">
        <f>_xlfn.IFNA(VLOOKUP($AH602,Programma!$F$3:$P$1101,11,0),"")</f>
        <v/>
      </c>
      <c r="AS602" s="182" t="str">
        <f>_xlfn.IFNA(VLOOKUP($AH602,Programma!$F$3:$Q$1101,12,0),"")</f>
        <v/>
      </c>
      <c r="AT602" s="182" t="str">
        <f>_xlfn.IFNA(VLOOKUP($AH602,Programma!$F$3:$R$1101,13,0),"")</f>
        <v/>
      </c>
      <c r="AU602" s="182" t="str">
        <f>_xlfn.IFNA(VLOOKUP($AH602,Programma!$F$3:$S$1101,14,0),"")</f>
        <v/>
      </c>
      <c r="AV602" s="182" t="str">
        <f>_xlfn.IFNA(VLOOKUP($AH602,Programma!$F$3:$T$1101,15,0),"")</f>
        <v/>
      </c>
      <c r="AW602" s="182" t="str">
        <f>_xlfn.IFNA(VLOOKUP($AH602,Programma!$F$3:$U$1101,16,0),"")</f>
        <v/>
      </c>
      <c r="AX602" s="182" t="str">
        <f>_xlfn.IFNA(VLOOKUP($AH602,Programma!$F$3:$V$1101,17,0),"")</f>
        <v/>
      </c>
      <c r="AY602" s="182" t="str">
        <f>_xlfn.IFNA(VLOOKUP($AH602,Programma!$F$3:$W$1101,18,0),"")</f>
        <v/>
      </c>
      <c r="AZ602" s="182" t="str">
        <f>_xlfn.IFNA(VLOOKUP($AH602,Programma!$F$3:$X$1101,19,0),"")</f>
        <v/>
      </c>
      <c r="BA602" s="182" t="str">
        <f>_xlfn.IFNA(VLOOKUP($AH602,Programma!$F$3:$Y$1101,20,0),"")</f>
        <v/>
      </c>
      <c r="BB602" s="182"/>
      <c r="BC602" s="174" t="str">
        <f>IF(Ruimtestaat[[#This Row],[Frequentie weekend]]="","",_xlfn.CONCAT(Ruimtestaat[[#This Row],[Ruimte code]],"-",Ruimtestaat[[#This Row],[Frequentie weekend]]," ",Ruimtestaat[[#This Row],[Vloer code]]))</f>
        <v/>
      </c>
      <c r="BD602" s="182" t="str">
        <f>_xlfn.IFNA(VLOOKUP($BC602,Programma!$F$3:$G$1101,2,0),"")</f>
        <v/>
      </c>
      <c r="BE602" s="182" t="str">
        <f>_xlfn.IFNA(VLOOKUP($BC602,Programma!$F$3:$H$1101,3,0),"")</f>
        <v/>
      </c>
      <c r="BF602" s="182" t="str">
        <f>_xlfn.IFNA(VLOOKUP($BC602,Programma!$F$3:$I$1101,4,0),"")</f>
        <v/>
      </c>
      <c r="BG602" s="182" t="str">
        <f>_xlfn.IFNA(VLOOKUP($BC602,Programma!$F$3:$J$1101,5,0),"")</f>
        <v/>
      </c>
      <c r="BH602" s="182" t="str">
        <f>_xlfn.IFNA(VLOOKUP($BC602,Programma!$F$3:$K$1101,6,0),"")</f>
        <v/>
      </c>
      <c r="BI602" s="182" t="str">
        <f>_xlfn.IFNA(VLOOKUP($BC602,Programma!$F$3:$L$1101,7,0),"")</f>
        <v/>
      </c>
      <c r="BJ602" s="182" t="str">
        <f>_xlfn.IFNA(VLOOKUP($BC602,Programma!$F$3:$M$1101,8,0),"")</f>
        <v/>
      </c>
      <c r="BK602" s="182" t="str">
        <f>_xlfn.IFNA(VLOOKUP($BC602,Programma!$F$3:$N$1101,9,0),"")</f>
        <v/>
      </c>
      <c r="BL602" s="182" t="str">
        <f>_xlfn.IFNA(VLOOKUP($BC602,Programma!$F$3:$O$1101,10,0),"")</f>
        <v/>
      </c>
      <c r="BM602" s="182" t="str">
        <f>_xlfn.IFNA(VLOOKUP($BC602,Programma!$F$3:$P$1101,11,0),"")</f>
        <v/>
      </c>
      <c r="BN602" s="182" t="str">
        <f>_xlfn.IFNA(VLOOKUP($BC602,Programma!$F$3:$Q$1101,12,0),"")</f>
        <v/>
      </c>
      <c r="BO602" s="182" t="str">
        <f>_xlfn.IFNA(VLOOKUP($BC602,Programma!$F$3:$R$1101,13,0),"")</f>
        <v/>
      </c>
      <c r="BP602" s="182" t="str">
        <f>_xlfn.IFNA(VLOOKUP($BC602,Programma!$F$3:$S$1101,14,0),"")</f>
        <v/>
      </c>
      <c r="BQ602" s="182" t="str">
        <f>_xlfn.IFNA(VLOOKUP($BC602,Programma!$F$3:$T$1101,15,0),"")</f>
        <v/>
      </c>
      <c r="BR602" s="182" t="str">
        <f>_xlfn.IFNA(VLOOKUP($BC602,Programma!$F$3:$U$1101,16,0),"")</f>
        <v/>
      </c>
      <c r="BS602" s="182" t="str">
        <f>_xlfn.IFNA(VLOOKUP($BC602,Programma!$F$3:$V$1101,17,0),"")</f>
        <v/>
      </c>
      <c r="BT602" s="182" t="str">
        <f>_xlfn.IFNA(VLOOKUP($BC602,Programma!$F$3:$W$1101,18,0),"")</f>
        <v/>
      </c>
      <c r="BU602" s="182" t="str">
        <f>_xlfn.IFNA(VLOOKUP($BC602,Programma!$F$3:$X$1101,19,0),"")</f>
        <v/>
      </c>
      <c r="BV602" s="182" t="str">
        <f>_xlfn.IFNA(VLOOKUP($BC602,Programma!$F$3:$Y$1101,20,0),"")</f>
        <v/>
      </c>
    </row>
    <row r="603" spans="1:74" ht="15" customHeight="1">
      <c r="A603" s="99">
        <v>17</v>
      </c>
      <c r="B603" s="176" t="str">
        <f>VLOOKUP(Ruimtestaat[[#This Row],[Code]],Locaties[[Code]:[Locatie]],2,FALSE)</f>
        <v>ODBS Lonneker</v>
      </c>
      <c r="C603" s="176" t="str">
        <f>VLOOKUP(Ruimtestaat[[#This Row],[Code]],Locaties[[#All],[Code]:[Adres]],4,FALSE)</f>
        <v>Dorpsstraat 104</v>
      </c>
      <c r="D603" s="176" t="str">
        <f>VLOOKUP(Ruimtestaat[[#This Row],[Code]],Locaties[[#All],[Code]:[Postcode]],5,FALSE)</f>
        <v>7524 CK</v>
      </c>
      <c r="E603" s="176" t="str">
        <f>VLOOKUP(Ruimtestaat[[#This Row],[Code]],Locaties[#All],6,FALSE)</f>
        <v>Lonneker</v>
      </c>
      <c r="F603" s="183"/>
      <c r="G603" s="99" t="s">
        <v>1646</v>
      </c>
      <c r="H603" s="99" t="s">
        <v>1660</v>
      </c>
      <c r="I603" s="183" t="s">
        <v>1722</v>
      </c>
      <c r="J603" s="99">
        <v>20</v>
      </c>
      <c r="K603" s="183" t="str">
        <f>VLOOKUP(Ruimtestaat[[#This Row],[Ruimte code]],Ruimtegroepen[[#All],[Code]:[Ruimte omschrijving]],2,FALSE)</f>
        <v>Niet in Onderhoud</v>
      </c>
      <c r="L603" s="99" t="s">
        <v>101</v>
      </c>
      <c r="M603" s="99" t="s">
        <v>1698</v>
      </c>
      <c r="N603" s="177"/>
      <c r="O603" s="177">
        <v>8</v>
      </c>
      <c r="P603" s="178">
        <f>VLOOKUP(Ruimtestaat[[#This Row],[Ruimte code]],Ruimtegroepen[],4,FALSE)</f>
        <v>0</v>
      </c>
      <c r="Q603" s="149"/>
      <c r="R603" s="149"/>
      <c r="S603" s="285">
        <f>IF(Q603&gt;0,IF(RIGHT(Ruimtestaat[[#This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03" s="286">
        <f>IF(S603&gt;0,VLOOKUP($J603,Ruimtegroepen[],3,FALSE)*VLOOKUP($L603,Vloersoorten[],3,FALSE)*VLOOKUP($R603,Frequenties[],3,FALSE)*VLOOKUP($A603,Locaties[],3,FALSE),0)</f>
        <v>0</v>
      </c>
      <c r="U603" s="287">
        <f>Ruimtestaat[[#This Row],[Uitvoeringen werkdagen]]*Ruimtestaat[[#This Row],[Oppervlak (netto)]]</f>
        <v>0</v>
      </c>
      <c r="V603" s="288">
        <f>IF(T603&gt;0,Ruimtestaat[[#This Row],[Prest. (m2 /jaar) werkdagen]]/Ruimtestaat[[#This Row],[Norm (m2/uur) werkdagen]],0)</f>
        <v>0</v>
      </c>
      <c r="W603" s="289">
        <f>Ruimtestaat[[#This Row],[uren / jaar werkdagen]]*Tariefsopbouw!$E$35</f>
        <v>0</v>
      </c>
      <c r="X603" s="226"/>
      <c r="Y603" s="290">
        <f>IF(Ruimtestaat[[#This Row],[Frequentie weekend]]&gt;0,VALUE(LEFT(X603,1))*Q603,0)</f>
        <v>0</v>
      </c>
      <c r="Z603" s="287">
        <f>IF($Y603&gt;0,VLOOKUP($J603,Ruimtegroepen[],3,FALSE)*VLOOKUP($L603,Vloersoorten[],3,FALSE)*VLOOKUP($X603,Frequenties[],3,FALSE)*VLOOKUP(#REF!,Locaties[],3,FALSE),0)</f>
        <v>0</v>
      </c>
      <c r="AA603" s="291">
        <f>Ruimtestaat[[#This Row],[Uitvoeringen weekend]]*Ruimtestaat[[#This Row],[Oppervlak (netto)]]</f>
        <v>0</v>
      </c>
      <c r="AB603" s="291">
        <f>IF(Z603&gt;0,Ruimtestaat[[#This Row],[Prest. (m2 /jaar) weekend]]/Ruimtestaat[[#This Row],[Norm (m2/uur) weekend]],0)</f>
        <v>0</v>
      </c>
      <c r="AC603" s="180">
        <f>Ruimtestaat[[#This Row],[uren / jaar weekend]]*Tariefsopbouw!$D$40</f>
        <v>0</v>
      </c>
      <c r="AD603" s="179">
        <f>Ruimtestaat[[#This Row],[Prest. (m2 /jaar) weekend]]+Ruimtestaat[[#This Row],[Prest. (m2 /jaar) werkdagen]]</f>
        <v>0</v>
      </c>
      <c r="AE603" s="179">
        <f>Ruimtestaat[[#This Row],[uren / jaar weekend]]+Ruimtestaat[[#This Row],[uren / jaar werkdagen]]</f>
        <v>0</v>
      </c>
      <c r="AF603" s="174">
        <f>Ruimtestaat[[#This Row],[kosten / jaar weekend]]+Ruimtestaat[[#This Row],[kosten / jaar werkdagen]]</f>
        <v>0</v>
      </c>
      <c r="AG603" s="174"/>
      <c r="AH603" s="174" t="str">
        <f>IF(Ruimtestaat[[#This Row],[Frequentie werkdagen]]="","",_xlfn.CONCAT(Ruimtestaat[[#This Row],[Ruimte code]],"-",Ruimtestaat[[#This Row],[Frequentie werkdagen]]," ",Ruimtestaat[[#This Row],[Vloer code]]))</f>
        <v/>
      </c>
      <c r="AI603" s="182" t="str">
        <f>_xlfn.IFNA(VLOOKUP($AH603,Programma!$F$3:$G$1101,2,0),"")</f>
        <v/>
      </c>
      <c r="AJ603" s="182" t="str">
        <f>_xlfn.IFNA(VLOOKUP($AH603,Programma!$F$3:$H$1101,3,0),"")</f>
        <v/>
      </c>
      <c r="AK603" s="182" t="str">
        <f>_xlfn.IFNA(VLOOKUP($AH603,Programma!$F$3:$I$1101,4,0),"")</f>
        <v/>
      </c>
      <c r="AL603" s="182" t="str">
        <f>_xlfn.IFNA(VLOOKUP($AH603,Programma!$F$3:$J$1101,5,0),"")</f>
        <v/>
      </c>
      <c r="AM603" s="182" t="str">
        <f>_xlfn.IFNA(VLOOKUP($AH603,Programma!$F$3:$K$1101,6,0),"")</f>
        <v/>
      </c>
      <c r="AN603" s="182" t="str">
        <f>_xlfn.IFNA(VLOOKUP($AH603,Programma!$F$3:$L$1101,7,0),"")</f>
        <v/>
      </c>
      <c r="AO603" s="182" t="str">
        <f>_xlfn.IFNA(VLOOKUP($AH603,Programma!$F$3:$M$1101,8,0),"")</f>
        <v/>
      </c>
      <c r="AP603" s="182" t="str">
        <f>_xlfn.IFNA(VLOOKUP($AH603,Programma!$F$3:$N$1101,9,0),"")</f>
        <v/>
      </c>
      <c r="AQ603" s="182" t="str">
        <f>_xlfn.IFNA(VLOOKUP($AH603,Programma!$F$3:$O$1101,10,0),"")</f>
        <v/>
      </c>
      <c r="AR603" s="182" t="str">
        <f>_xlfn.IFNA(VLOOKUP($AH603,Programma!$F$3:$P$1101,11,0),"")</f>
        <v/>
      </c>
      <c r="AS603" s="182" t="str">
        <f>_xlfn.IFNA(VLOOKUP($AH603,Programma!$F$3:$Q$1101,12,0),"")</f>
        <v/>
      </c>
      <c r="AT603" s="182" t="str">
        <f>_xlfn.IFNA(VLOOKUP($AH603,Programma!$F$3:$R$1101,13,0),"")</f>
        <v/>
      </c>
      <c r="AU603" s="182" t="str">
        <f>_xlfn.IFNA(VLOOKUP($AH603,Programma!$F$3:$S$1101,14,0),"")</f>
        <v/>
      </c>
      <c r="AV603" s="182" t="str">
        <f>_xlfn.IFNA(VLOOKUP($AH603,Programma!$F$3:$T$1101,15,0),"")</f>
        <v/>
      </c>
      <c r="AW603" s="182" t="str">
        <f>_xlfn.IFNA(VLOOKUP($AH603,Programma!$F$3:$U$1101,16,0),"")</f>
        <v/>
      </c>
      <c r="AX603" s="182" t="str">
        <f>_xlfn.IFNA(VLOOKUP($AH603,Programma!$F$3:$V$1101,17,0),"")</f>
        <v/>
      </c>
      <c r="AY603" s="182" t="str">
        <f>_xlfn.IFNA(VLOOKUP($AH603,Programma!$F$3:$W$1101,18,0),"")</f>
        <v/>
      </c>
      <c r="AZ603" s="182" t="str">
        <f>_xlfn.IFNA(VLOOKUP($AH603,Programma!$F$3:$X$1101,19,0),"")</f>
        <v/>
      </c>
      <c r="BA603" s="182" t="str">
        <f>_xlfn.IFNA(VLOOKUP($AH603,Programma!$F$3:$Y$1101,20,0),"")</f>
        <v/>
      </c>
      <c r="BB603" s="182"/>
      <c r="BC603" s="174" t="str">
        <f>IF(Ruimtestaat[[#This Row],[Frequentie weekend]]="","",_xlfn.CONCAT(Ruimtestaat[[#This Row],[Ruimte code]],"-",Ruimtestaat[[#This Row],[Frequentie weekend]]," ",Ruimtestaat[[#This Row],[Vloer code]]))</f>
        <v/>
      </c>
      <c r="BD603" s="182" t="str">
        <f>_xlfn.IFNA(VLOOKUP($BC603,Programma!$F$3:$G$1101,2,0),"")</f>
        <v/>
      </c>
      <c r="BE603" s="182" t="str">
        <f>_xlfn.IFNA(VLOOKUP($BC603,Programma!$F$3:$H$1101,3,0),"")</f>
        <v/>
      </c>
      <c r="BF603" s="182" t="str">
        <f>_xlfn.IFNA(VLOOKUP($BC603,Programma!$F$3:$I$1101,4,0),"")</f>
        <v/>
      </c>
      <c r="BG603" s="182" t="str">
        <f>_xlfn.IFNA(VLOOKUP($BC603,Programma!$F$3:$J$1101,5,0),"")</f>
        <v/>
      </c>
      <c r="BH603" s="182" t="str">
        <f>_xlfn.IFNA(VLOOKUP($BC603,Programma!$F$3:$K$1101,6,0),"")</f>
        <v/>
      </c>
      <c r="BI603" s="182" t="str">
        <f>_xlfn.IFNA(VLOOKUP($BC603,Programma!$F$3:$L$1101,7,0),"")</f>
        <v/>
      </c>
      <c r="BJ603" s="182" t="str">
        <f>_xlfn.IFNA(VLOOKUP($BC603,Programma!$F$3:$M$1101,8,0),"")</f>
        <v/>
      </c>
      <c r="BK603" s="182" t="str">
        <f>_xlfn.IFNA(VLOOKUP($BC603,Programma!$F$3:$N$1101,9,0),"")</f>
        <v/>
      </c>
      <c r="BL603" s="182" t="str">
        <f>_xlfn.IFNA(VLOOKUP($BC603,Programma!$F$3:$O$1101,10,0),"")</f>
        <v/>
      </c>
      <c r="BM603" s="182" t="str">
        <f>_xlfn.IFNA(VLOOKUP($BC603,Programma!$F$3:$P$1101,11,0),"")</f>
        <v/>
      </c>
      <c r="BN603" s="182" t="str">
        <f>_xlfn.IFNA(VLOOKUP($BC603,Programma!$F$3:$Q$1101,12,0),"")</f>
        <v/>
      </c>
      <c r="BO603" s="182" t="str">
        <f>_xlfn.IFNA(VLOOKUP($BC603,Programma!$F$3:$R$1101,13,0),"")</f>
        <v/>
      </c>
      <c r="BP603" s="182" t="str">
        <f>_xlfn.IFNA(VLOOKUP($BC603,Programma!$F$3:$S$1101,14,0),"")</f>
        <v/>
      </c>
      <c r="BQ603" s="182" t="str">
        <f>_xlfn.IFNA(VLOOKUP($BC603,Programma!$F$3:$T$1101,15,0),"")</f>
        <v/>
      </c>
      <c r="BR603" s="182" t="str">
        <f>_xlfn.IFNA(VLOOKUP($BC603,Programma!$F$3:$U$1101,16,0),"")</f>
        <v/>
      </c>
      <c r="BS603" s="182" t="str">
        <f>_xlfn.IFNA(VLOOKUP($BC603,Programma!$F$3:$V$1101,17,0),"")</f>
        <v/>
      </c>
      <c r="BT603" s="182" t="str">
        <f>_xlfn.IFNA(VLOOKUP($BC603,Programma!$F$3:$W$1101,18,0),"")</f>
        <v/>
      </c>
      <c r="BU603" s="182" t="str">
        <f>_xlfn.IFNA(VLOOKUP($BC603,Programma!$F$3:$X$1101,19,0),"")</f>
        <v/>
      </c>
      <c r="BV603" s="182" t="str">
        <f>_xlfn.IFNA(VLOOKUP($BC603,Programma!$F$3:$Y$1101,20,0),"")</f>
        <v/>
      </c>
    </row>
    <row r="604" spans="1:74" ht="15" customHeight="1">
      <c r="A604" s="99">
        <v>17</v>
      </c>
      <c r="B604" s="176" t="str">
        <f>VLOOKUP(Ruimtestaat[[#This Row],[Code]],Locaties[[Code]:[Locatie]],2,FALSE)</f>
        <v>ODBS Lonneker</v>
      </c>
      <c r="C604" s="176" t="str">
        <f>VLOOKUP(Ruimtestaat[[#This Row],[Code]],Locaties[[#All],[Code]:[Adres]],4,FALSE)</f>
        <v>Dorpsstraat 104</v>
      </c>
      <c r="D604" s="176" t="str">
        <f>VLOOKUP(Ruimtestaat[[#This Row],[Code]],Locaties[[#All],[Code]:[Postcode]],5,FALSE)</f>
        <v>7524 CK</v>
      </c>
      <c r="E604" s="176" t="str">
        <f>VLOOKUP(Ruimtestaat[[#This Row],[Code]],Locaties[#All],6,FALSE)</f>
        <v>Lonneker</v>
      </c>
      <c r="F604" s="183"/>
      <c r="G604" s="99" t="s">
        <v>1646</v>
      </c>
      <c r="H604" s="99" t="s">
        <v>1661</v>
      </c>
      <c r="I604" s="183" t="s">
        <v>121</v>
      </c>
      <c r="J604" s="99">
        <v>15</v>
      </c>
      <c r="K604" s="183" t="str">
        <f>VLOOKUP(Ruimtestaat[[#This Row],[Ruimte code]],Ruimtegroepen[[#All],[Code]:[Ruimte omschrijving]],2,FALSE)</f>
        <v>Keuken/pantry</v>
      </c>
      <c r="L604" s="99" t="s">
        <v>100</v>
      </c>
      <c r="M604" s="99" t="s">
        <v>1697</v>
      </c>
      <c r="N604" s="177">
        <v>3.5</v>
      </c>
      <c r="O604" s="177"/>
      <c r="P604" s="178" t="str">
        <f>VLOOKUP(Ruimtestaat[[#This Row],[Ruimte code]],Ruimtegroepen[],4,FALSE)</f>
        <v>Ve</v>
      </c>
      <c r="Q604" s="149">
        <v>40</v>
      </c>
      <c r="R604" s="149" t="s">
        <v>2</v>
      </c>
      <c r="S604" s="285">
        <f>IF(Q604&gt;0,IF(RIGHT(Ruimtestaat[[#This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4" s="286">
        <f>IF(S604&gt;0,VLOOKUP($J604,Ruimtegroepen[],3,FALSE)*VLOOKUP($L604,Vloersoorten[],3,FALSE)*VLOOKUP($R604,Frequenties[],3,FALSE)*VLOOKUP($A604,Locaties[],3,FALSE),0)</f>
        <v>0</v>
      </c>
      <c r="U604" s="287">
        <f>Ruimtestaat[[#This Row],[Uitvoeringen werkdagen]]*Ruimtestaat[[#This Row],[Oppervlak (netto)]]</f>
        <v>700</v>
      </c>
      <c r="V604" s="288">
        <f>IF(T604&gt;0,Ruimtestaat[[#This Row],[Prest. (m2 /jaar) werkdagen]]/Ruimtestaat[[#This Row],[Norm (m2/uur) werkdagen]],0)</f>
        <v>0</v>
      </c>
      <c r="W604" s="289">
        <f>Ruimtestaat[[#This Row],[uren / jaar werkdagen]]*Tariefsopbouw!$E$35</f>
        <v>0</v>
      </c>
      <c r="X604" s="226"/>
      <c r="Y604" s="290">
        <f>IF(Ruimtestaat[[#This Row],[Frequentie weekend]]&gt;0,VALUE(LEFT(X604,1))*Q604,0)</f>
        <v>0</v>
      </c>
      <c r="Z604" s="287">
        <f>IF($Y604&gt;0,VLOOKUP($J604,Ruimtegroepen[],3,FALSE)*VLOOKUP($L604,Vloersoorten[],3,FALSE)*VLOOKUP($X604,Frequenties[],3,FALSE)*VLOOKUP(#REF!,Locaties[],3,FALSE),0)</f>
        <v>0</v>
      </c>
      <c r="AA604" s="291">
        <f>Ruimtestaat[[#This Row],[Uitvoeringen weekend]]*Ruimtestaat[[#This Row],[Oppervlak (netto)]]</f>
        <v>0</v>
      </c>
      <c r="AB604" s="291">
        <f>IF(Z604&gt;0,Ruimtestaat[[#This Row],[Prest. (m2 /jaar) weekend]]/Ruimtestaat[[#This Row],[Norm (m2/uur) weekend]],0)</f>
        <v>0</v>
      </c>
      <c r="AC604" s="180">
        <f>Ruimtestaat[[#This Row],[uren / jaar weekend]]*Tariefsopbouw!$D$40</f>
        <v>0</v>
      </c>
      <c r="AD604" s="179">
        <f>Ruimtestaat[[#This Row],[Prest. (m2 /jaar) weekend]]+Ruimtestaat[[#This Row],[Prest. (m2 /jaar) werkdagen]]</f>
        <v>700</v>
      </c>
      <c r="AE604" s="179">
        <f>Ruimtestaat[[#This Row],[uren / jaar weekend]]+Ruimtestaat[[#This Row],[uren / jaar werkdagen]]</f>
        <v>0</v>
      </c>
      <c r="AF604" s="174">
        <f>Ruimtestaat[[#This Row],[kosten / jaar weekend]]+Ruimtestaat[[#This Row],[kosten / jaar werkdagen]]</f>
        <v>0</v>
      </c>
      <c r="AG604" s="174"/>
      <c r="AH604" s="174" t="str">
        <f>IF(Ruimtestaat[[#This Row],[Frequentie werkdagen]]="","",_xlfn.CONCAT(Ruimtestaat[[#This Row],[Ruimte code]],"-",Ruimtestaat[[#This Row],[Frequentie werkdagen]]," ",Ruimtestaat[[#This Row],[Vloer code]]))</f>
        <v>15-5w L</v>
      </c>
      <c r="AI604" s="182" t="str">
        <f>_xlfn.IFNA(VLOOKUP($AH604,Programma!$F$3:$G$1101,2,0),"")</f>
        <v>_</v>
      </c>
      <c r="AJ604" s="182" t="str">
        <f>_xlfn.IFNA(VLOOKUP($AH604,Programma!$F$3:$H$1101,3,0),"")</f>
        <v>_</v>
      </c>
      <c r="AK604" s="182" t="str">
        <f>_xlfn.IFNA(VLOOKUP($AH604,Programma!$F$3:$I$1101,4,0),"")</f>
        <v>_</v>
      </c>
      <c r="AL604" s="182" t="str">
        <f>_xlfn.IFNA(VLOOKUP($AH604,Programma!$F$3:$J$1101,5,0),"")</f>
        <v>5w</v>
      </c>
      <c r="AM604" s="182" t="str">
        <f>_xlfn.IFNA(VLOOKUP($AH604,Programma!$F$3:$K$1101,6,0),"")</f>
        <v>_</v>
      </c>
      <c r="AN604" s="182" t="str">
        <f>_xlfn.IFNA(VLOOKUP($AH604,Programma!$F$3:$L$1101,7,0),"")</f>
        <v>_</v>
      </c>
      <c r="AO604" s="182" t="str">
        <f>_xlfn.IFNA(VLOOKUP($AH604,Programma!$F$3:$M$1101,8,0),"")</f>
        <v>_</v>
      </c>
      <c r="AP604" s="182" t="str">
        <f>_xlfn.IFNA(VLOOKUP($AH604,Programma!$F$3:$N$1101,9,0),"")</f>
        <v>_</v>
      </c>
      <c r="AQ604" s="182" t="str">
        <f>_xlfn.IFNA(VLOOKUP($AH604,Programma!$F$3:$O$1101,10,0),"")</f>
        <v>5w</v>
      </c>
      <c r="AR604" s="182" t="str">
        <f>_xlfn.IFNA(VLOOKUP($AH604,Programma!$F$3:$P$1101,11,0),"")</f>
        <v>5w</v>
      </c>
      <c r="AS604" s="182" t="str">
        <f>_xlfn.IFNA(VLOOKUP($AH604,Programma!$F$3:$Q$1101,12,0),"")</f>
        <v>1w</v>
      </c>
      <c r="AT604" s="182" t="str">
        <f>_xlfn.IFNA(VLOOKUP($AH604,Programma!$F$3:$R$1101,13,0),"")</f>
        <v>1w</v>
      </c>
      <c r="AU604" s="182" t="str">
        <f>_xlfn.IFNA(VLOOKUP($AH604,Programma!$F$3:$S$1101,14,0),"")</f>
        <v>1m</v>
      </c>
      <c r="AV604" s="182" t="str">
        <f>_xlfn.IFNA(VLOOKUP($AH604,Programma!$F$3:$T$1101,15,0),"")</f>
        <v>2j</v>
      </c>
      <c r="AW604" s="182" t="str">
        <f>_xlfn.IFNA(VLOOKUP($AH604,Programma!$F$3:$U$1101,16,0),"")</f>
        <v>1j</v>
      </c>
      <c r="AX604" s="182" t="str">
        <f>_xlfn.IFNA(VLOOKUP($AH604,Programma!$F$3:$V$1101,17,0),"")</f>
        <v>_</v>
      </c>
      <c r="AY604" s="182" t="str">
        <f>_xlfn.IFNA(VLOOKUP($AH604,Programma!$F$3:$W$1101,18,0),"")</f>
        <v>_</v>
      </c>
      <c r="AZ604" s="182" t="str">
        <f>_xlfn.IFNA(VLOOKUP($AH604,Programma!$F$3:$X$1101,19,0),"")</f>
        <v>_</v>
      </c>
      <c r="BA604" s="182" t="str">
        <f>_xlfn.IFNA(VLOOKUP($AH604,Programma!$F$3:$Y$1101,20,0),"")</f>
        <v>_</v>
      </c>
      <c r="BB604" s="182"/>
      <c r="BC604" s="174" t="str">
        <f>IF(Ruimtestaat[[#This Row],[Frequentie weekend]]="","",_xlfn.CONCAT(Ruimtestaat[[#This Row],[Ruimte code]],"-",Ruimtestaat[[#This Row],[Frequentie weekend]]," ",Ruimtestaat[[#This Row],[Vloer code]]))</f>
        <v/>
      </c>
      <c r="BD604" s="182" t="str">
        <f>_xlfn.IFNA(VLOOKUP($BC604,Programma!$F$3:$G$1101,2,0),"")</f>
        <v/>
      </c>
      <c r="BE604" s="182" t="str">
        <f>_xlfn.IFNA(VLOOKUP($BC604,Programma!$F$3:$H$1101,3,0),"")</f>
        <v/>
      </c>
      <c r="BF604" s="182" t="str">
        <f>_xlfn.IFNA(VLOOKUP($BC604,Programma!$F$3:$I$1101,4,0),"")</f>
        <v/>
      </c>
      <c r="BG604" s="182" t="str">
        <f>_xlfn.IFNA(VLOOKUP($BC604,Programma!$F$3:$J$1101,5,0),"")</f>
        <v/>
      </c>
      <c r="BH604" s="182" t="str">
        <f>_xlfn.IFNA(VLOOKUP($BC604,Programma!$F$3:$K$1101,6,0),"")</f>
        <v/>
      </c>
      <c r="BI604" s="182" t="str">
        <f>_xlfn.IFNA(VLOOKUP($BC604,Programma!$F$3:$L$1101,7,0),"")</f>
        <v/>
      </c>
      <c r="BJ604" s="182" t="str">
        <f>_xlfn.IFNA(VLOOKUP($BC604,Programma!$F$3:$M$1101,8,0),"")</f>
        <v/>
      </c>
      <c r="BK604" s="182" t="str">
        <f>_xlfn.IFNA(VLOOKUP($BC604,Programma!$F$3:$N$1101,9,0),"")</f>
        <v/>
      </c>
      <c r="BL604" s="182" t="str">
        <f>_xlfn.IFNA(VLOOKUP($BC604,Programma!$F$3:$O$1101,10,0),"")</f>
        <v/>
      </c>
      <c r="BM604" s="182" t="str">
        <f>_xlfn.IFNA(VLOOKUP($BC604,Programma!$F$3:$P$1101,11,0),"")</f>
        <v/>
      </c>
      <c r="BN604" s="182" t="str">
        <f>_xlfn.IFNA(VLOOKUP($BC604,Programma!$F$3:$Q$1101,12,0),"")</f>
        <v/>
      </c>
      <c r="BO604" s="182" t="str">
        <f>_xlfn.IFNA(VLOOKUP($BC604,Programma!$F$3:$R$1101,13,0),"")</f>
        <v/>
      </c>
      <c r="BP604" s="182" t="str">
        <f>_xlfn.IFNA(VLOOKUP($BC604,Programma!$F$3:$S$1101,14,0),"")</f>
        <v/>
      </c>
      <c r="BQ604" s="182" t="str">
        <f>_xlfn.IFNA(VLOOKUP($BC604,Programma!$F$3:$T$1101,15,0),"")</f>
        <v/>
      </c>
      <c r="BR604" s="182" t="str">
        <f>_xlfn.IFNA(VLOOKUP($BC604,Programma!$F$3:$U$1101,16,0),"")</f>
        <v/>
      </c>
      <c r="BS604" s="182" t="str">
        <f>_xlfn.IFNA(VLOOKUP($BC604,Programma!$F$3:$V$1101,17,0),"")</f>
        <v/>
      </c>
      <c r="BT604" s="182" t="str">
        <f>_xlfn.IFNA(VLOOKUP($BC604,Programma!$F$3:$W$1101,18,0),"")</f>
        <v/>
      </c>
      <c r="BU604" s="182" t="str">
        <f>_xlfn.IFNA(VLOOKUP($BC604,Programma!$F$3:$X$1101,19,0),"")</f>
        <v/>
      </c>
      <c r="BV604" s="182" t="str">
        <f>_xlfn.IFNA(VLOOKUP($BC604,Programma!$F$3:$Y$1101,20,0),"")</f>
        <v/>
      </c>
    </row>
    <row r="605" spans="1:74" ht="15" customHeight="1">
      <c r="A605" s="99">
        <v>17</v>
      </c>
      <c r="B605" s="176" t="str">
        <f>VLOOKUP(Ruimtestaat[[#This Row],[Code]],Locaties[[Code]:[Locatie]],2,FALSE)</f>
        <v>ODBS Lonneker</v>
      </c>
      <c r="C605" s="176" t="str">
        <f>VLOOKUP(Ruimtestaat[[#This Row],[Code]],Locaties[[#All],[Code]:[Adres]],4,FALSE)</f>
        <v>Dorpsstraat 104</v>
      </c>
      <c r="D605" s="176" t="str">
        <f>VLOOKUP(Ruimtestaat[[#This Row],[Code]],Locaties[[#All],[Code]:[Postcode]],5,FALSE)</f>
        <v>7524 CK</v>
      </c>
      <c r="E605" s="176" t="str">
        <f>VLOOKUP(Ruimtestaat[[#This Row],[Code]],Locaties[#All],6,FALSE)</f>
        <v>Lonneker</v>
      </c>
      <c r="F605" s="183"/>
      <c r="G605" s="99" t="s">
        <v>1646</v>
      </c>
      <c r="H605" s="99" t="s">
        <v>1662</v>
      </c>
      <c r="I605" s="183" t="s">
        <v>1728</v>
      </c>
      <c r="J605" s="99">
        <v>12</v>
      </c>
      <c r="K605" s="183" t="str">
        <f>VLOOKUP(Ruimtestaat[[#This Row],[Ruimte code]],Ruimtegroepen[[#All],[Code]:[Ruimte omschrijving]],2,FALSE)</f>
        <v>Kantine/Aula</v>
      </c>
      <c r="L605" s="99" t="s">
        <v>100</v>
      </c>
      <c r="M605" s="99" t="s">
        <v>1697</v>
      </c>
      <c r="N605" s="177">
        <v>132</v>
      </c>
      <c r="O605" s="177"/>
      <c r="P605" s="178" t="str">
        <f>VLOOKUP(Ruimtestaat[[#This Row],[Ruimte code]],Ruimtegroepen[],4,FALSE)</f>
        <v>Ve</v>
      </c>
      <c r="Q605" s="149">
        <v>40</v>
      </c>
      <c r="R605" s="149" t="s">
        <v>2</v>
      </c>
      <c r="S605" s="285">
        <f>IF(Q605&gt;0,IF(RIGHT(Ruimtestaat[[#This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5" s="286">
        <f>IF(S605&gt;0,VLOOKUP($J605,Ruimtegroepen[],3,FALSE)*VLOOKUP($L605,Vloersoorten[],3,FALSE)*VLOOKUP($R605,Frequenties[],3,FALSE)*VLOOKUP($A605,Locaties[],3,FALSE),0)</f>
        <v>0</v>
      </c>
      <c r="U605" s="287">
        <f>Ruimtestaat[[#This Row],[Uitvoeringen werkdagen]]*Ruimtestaat[[#This Row],[Oppervlak (netto)]]</f>
        <v>26400</v>
      </c>
      <c r="V605" s="288">
        <f>IF(T605&gt;0,Ruimtestaat[[#This Row],[Prest. (m2 /jaar) werkdagen]]/Ruimtestaat[[#This Row],[Norm (m2/uur) werkdagen]],0)</f>
        <v>0</v>
      </c>
      <c r="W605" s="289">
        <f>Ruimtestaat[[#This Row],[uren / jaar werkdagen]]*Tariefsopbouw!$E$35</f>
        <v>0</v>
      </c>
      <c r="X605" s="226"/>
      <c r="Y605" s="290">
        <f>IF(Ruimtestaat[[#This Row],[Frequentie weekend]]&gt;0,VALUE(LEFT(X605,1))*Q605,0)</f>
        <v>0</v>
      </c>
      <c r="Z605" s="287">
        <f>IF($Y605&gt;0,VLOOKUP($J605,Ruimtegroepen[],3,FALSE)*VLOOKUP($L605,Vloersoorten[],3,FALSE)*VLOOKUP($X605,Frequenties[],3,FALSE)*VLOOKUP(#REF!,Locaties[],3,FALSE),0)</f>
        <v>0</v>
      </c>
      <c r="AA605" s="291">
        <f>Ruimtestaat[[#This Row],[Uitvoeringen weekend]]*Ruimtestaat[[#This Row],[Oppervlak (netto)]]</f>
        <v>0</v>
      </c>
      <c r="AB605" s="291">
        <f>IF(Z605&gt;0,Ruimtestaat[[#This Row],[Prest. (m2 /jaar) weekend]]/Ruimtestaat[[#This Row],[Norm (m2/uur) weekend]],0)</f>
        <v>0</v>
      </c>
      <c r="AC605" s="180">
        <f>Ruimtestaat[[#This Row],[uren / jaar weekend]]*Tariefsopbouw!$D$40</f>
        <v>0</v>
      </c>
      <c r="AD605" s="179">
        <f>Ruimtestaat[[#This Row],[Prest. (m2 /jaar) weekend]]+Ruimtestaat[[#This Row],[Prest. (m2 /jaar) werkdagen]]</f>
        <v>26400</v>
      </c>
      <c r="AE605" s="179">
        <f>Ruimtestaat[[#This Row],[uren / jaar weekend]]+Ruimtestaat[[#This Row],[uren / jaar werkdagen]]</f>
        <v>0</v>
      </c>
      <c r="AF605" s="174">
        <f>Ruimtestaat[[#This Row],[kosten / jaar weekend]]+Ruimtestaat[[#This Row],[kosten / jaar werkdagen]]</f>
        <v>0</v>
      </c>
      <c r="AG605" s="174"/>
      <c r="AH605" s="174" t="str">
        <f>IF(Ruimtestaat[[#This Row],[Frequentie werkdagen]]="","",_xlfn.CONCAT(Ruimtestaat[[#This Row],[Ruimte code]],"-",Ruimtestaat[[#This Row],[Frequentie werkdagen]]," ",Ruimtestaat[[#This Row],[Vloer code]]))</f>
        <v>12-5w L</v>
      </c>
      <c r="AI605" s="182" t="str">
        <f>_xlfn.IFNA(VLOOKUP($AH605,Programma!$F$3:$G$1101,2,0),"")</f>
        <v>_</v>
      </c>
      <c r="AJ605" s="182" t="str">
        <f>_xlfn.IFNA(VLOOKUP($AH605,Programma!$F$3:$H$1101,3,0),"")</f>
        <v>_</v>
      </c>
      <c r="AK605" s="182" t="str">
        <f>_xlfn.IFNA(VLOOKUP($AH605,Programma!$F$3:$I$1101,4,0),"")</f>
        <v>_</v>
      </c>
      <c r="AL605" s="182" t="str">
        <f>_xlfn.IFNA(VLOOKUP($AH605,Programma!$F$3:$J$1101,5,0),"")</f>
        <v>5w</v>
      </c>
      <c r="AM605" s="182" t="str">
        <f>_xlfn.IFNA(VLOOKUP($AH605,Programma!$F$3:$K$1101,6,0),"")</f>
        <v>_</v>
      </c>
      <c r="AN605" s="182" t="str">
        <f>_xlfn.IFNA(VLOOKUP($AH605,Programma!$F$3:$L$1101,7,0),"")</f>
        <v>_</v>
      </c>
      <c r="AO605" s="182" t="str">
        <f>_xlfn.IFNA(VLOOKUP($AH605,Programma!$F$3:$M$1101,8,0),"")</f>
        <v>_</v>
      </c>
      <c r="AP605" s="182" t="str">
        <f>_xlfn.IFNA(VLOOKUP($AH605,Programma!$F$3:$N$1101,9,0),"")</f>
        <v>_</v>
      </c>
      <c r="AQ605" s="182" t="str">
        <f>_xlfn.IFNA(VLOOKUP($AH605,Programma!$F$3:$O$1101,10,0),"")</f>
        <v>5w</v>
      </c>
      <c r="AR605" s="182" t="str">
        <f>_xlfn.IFNA(VLOOKUP($AH605,Programma!$F$3:$P$1101,11,0),"")</f>
        <v>5w</v>
      </c>
      <c r="AS605" s="182" t="str">
        <f>_xlfn.IFNA(VLOOKUP($AH605,Programma!$F$3:$Q$1101,12,0),"")</f>
        <v>1w</v>
      </c>
      <c r="AT605" s="182" t="str">
        <f>_xlfn.IFNA(VLOOKUP($AH605,Programma!$F$3:$R$1101,13,0),"")</f>
        <v>1w</v>
      </c>
      <c r="AU605" s="182" t="str">
        <f>_xlfn.IFNA(VLOOKUP($AH605,Programma!$F$3:$S$1101,14,0),"")</f>
        <v>1m</v>
      </c>
      <c r="AV605" s="182" t="str">
        <f>_xlfn.IFNA(VLOOKUP($AH605,Programma!$F$3:$T$1101,15,0),"")</f>
        <v>2j</v>
      </c>
      <c r="AW605" s="182" t="str">
        <f>_xlfn.IFNA(VLOOKUP($AH605,Programma!$F$3:$U$1101,16,0),"")</f>
        <v>1j</v>
      </c>
      <c r="AX605" s="182" t="str">
        <f>_xlfn.IFNA(VLOOKUP($AH605,Programma!$F$3:$V$1101,17,0),"")</f>
        <v>_</v>
      </c>
      <c r="AY605" s="182" t="str">
        <f>_xlfn.IFNA(VLOOKUP($AH605,Programma!$F$3:$W$1101,18,0),"")</f>
        <v>_</v>
      </c>
      <c r="AZ605" s="182" t="str">
        <f>_xlfn.IFNA(VLOOKUP($AH605,Programma!$F$3:$X$1101,19,0),"")</f>
        <v>_</v>
      </c>
      <c r="BA605" s="182" t="str">
        <f>_xlfn.IFNA(VLOOKUP($AH605,Programma!$F$3:$Y$1101,20,0),"")</f>
        <v>_</v>
      </c>
      <c r="BB605" s="182"/>
      <c r="BC605" s="174" t="str">
        <f>IF(Ruimtestaat[[#This Row],[Frequentie weekend]]="","",_xlfn.CONCAT(Ruimtestaat[[#This Row],[Ruimte code]],"-",Ruimtestaat[[#This Row],[Frequentie weekend]]," ",Ruimtestaat[[#This Row],[Vloer code]]))</f>
        <v/>
      </c>
      <c r="BD605" s="182" t="str">
        <f>_xlfn.IFNA(VLOOKUP($BC605,Programma!$F$3:$G$1101,2,0),"")</f>
        <v/>
      </c>
      <c r="BE605" s="182" t="str">
        <f>_xlfn.IFNA(VLOOKUP($BC605,Programma!$F$3:$H$1101,3,0),"")</f>
        <v/>
      </c>
      <c r="BF605" s="182" t="str">
        <f>_xlfn.IFNA(VLOOKUP($BC605,Programma!$F$3:$I$1101,4,0),"")</f>
        <v/>
      </c>
      <c r="BG605" s="182" t="str">
        <f>_xlfn.IFNA(VLOOKUP($BC605,Programma!$F$3:$J$1101,5,0),"")</f>
        <v/>
      </c>
      <c r="BH605" s="182" t="str">
        <f>_xlfn.IFNA(VLOOKUP($BC605,Programma!$F$3:$K$1101,6,0),"")</f>
        <v/>
      </c>
      <c r="BI605" s="182" t="str">
        <f>_xlfn.IFNA(VLOOKUP($BC605,Programma!$F$3:$L$1101,7,0),"")</f>
        <v/>
      </c>
      <c r="BJ605" s="182" t="str">
        <f>_xlfn.IFNA(VLOOKUP($BC605,Programma!$F$3:$M$1101,8,0),"")</f>
        <v/>
      </c>
      <c r="BK605" s="182" t="str">
        <f>_xlfn.IFNA(VLOOKUP($BC605,Programma!$F$3:$N$1101,9,0),"")</f>
        <v/>
      </c>
      <c r="BL605" s="182" t="str">
        <f>_xlfn.IFNA(VLOOKUP($BC605,Programma!$F$3:$O$1101,10,0),"")</f>
        <v/>
      </c>
      <c r="BM605" s="182" t="str">
        <f>_xlfn.IFNA(VLOOKUP($BC605,Programma!$F$3:$P$1101,11,0),"")</f>
        <v/>
      </c>
      <c r="BN605" s="182" t="str">
        <f>_xlfn.IFNA(VLOOKUP($BC605,Programma!$F$3:$Q$1101,12,0),"")</f>
        <v/>
      </c>
      <c r="BO605" s="182" t="str">
        <f>_xlfn.IFNA(VLOOKUP($BC605,Programma!$F$3:$R$1101,13,0),"")</f>
        <v/>
      </c>
      <c r="BP605" s="182" t="str">
        <f>_xlfn.IFNA(VLOOKUP($BC605,Programma!$F$3:$S$1101,14,0),"")</f>
        <v/>
      </c>
      <c r="BQ605" s="182" t="str">
        <f>_xlfn.IFNA(VLOOKUP($BC605,Programma!$F$3:$T$1101,15,0),"")</f>
        <v/>
      </c>
      <c r="BR605" s="182" t="str">
        <f>_xlfn.IFNA(VLOOKUP($BC605,Programma!$F$3:$U$1101,16,0),"")</f>
        <v/>
      </c>
      <c r="BS605" s="182" t="str">
        <f>_xlfn.IFNA(VLOOKUP($BC605,Programma!$F$3:$V$1101,17,0),"")</f>
        <v/>
      </c>
      <c r="BT605" s="182" t="str">
        <f>_xlfn.IFNA(VLOOKUP($BC605,Programma!$F$3:$W$1101,18,0),"")</f>
        <v/>
      </c>
      <c r="BU605" s="182" t="str">
        <f>_xlfn.IFNA(VLOOKUP($BC605,Programma!$F$3:$X$1101,19,0),"")</f>
        <v/>
      </c>
      <c r="BV605" s="182" t="str">
        <f>_xlfn.IFNA(VLOOKUP($BC605,Programma!$F$3:$Y$1101,20,0),"")</f>
        <v/>
      </c>
    </row>
    <row r="606" spans="1:74" ht="15" customHeight="1">
      <c r="A606" s="99">
        <v>17</v>
      </c>
      <c r="B606" s="176" t="str">
        <f>VLOOKUP(Ruimtestaat[[#This Row],[Code]],Locaties[[Code]:[Locatie]],2,FALSE)</f>
        <v>ODBS Lonneker</v>
      </c>
      <c r="C606" s="176" t="str">
        <f>VLOOKUP(Ruimtestaat[[#This Row],[Code]],Locaties[[#All],[Code]:[Adres]],4,FALSE)</f>
        <v>Dorpsstraat 104</v>
      </c>
      <c r="D606" s="176" t="str">
        <f>VLOOKUP(Ruimtestaat[[#This Row],[Code]],Locaties[[#All],[Code]:[Postcode]],5,FALSE)</f>
        <v>7524 CK</v>
      </c>
      <c r="E606" s="176" t="str">
        <f>VLOOKUP(Ruimtestaat[[#This Row],[Code]],Locaties[#All],6,FALSE)</f>
        <v>Lonneker</v>
      </c>
      <c r="F606" s="183"/>
      <c r="G606" s="99" t="s">
        <v>1646</v>
      </c>
      <c r="H606" s="99" t="s">
        <v>1663</v>
      </c>
      <c r="I606" s="183" t="s">
        <v>1686</v>
      </c>
      <c r="J606" s="99">
        <v>16</v>
      </c>
      <c r="K606" s="183" t="str">
        <f>VLOOKUP(Ruimtestaat[[#This Row],[Ruimte code]],Ruimtegroepen[[#All],[Code]:[Ruimte omschrijving]],2,FALSE)</f>
        <v>Leslokalen</v>
      </c>
      <c r="L606" s="99" t="s">
        <v>100</v>
      </c>
      <c r="M606" s="99" t="s">
        <v>1697</v>
      </c>
      <c r="N606" s="177">
        <v>57.2</v>
      </c>
      <c r="O606" s="177"/>
      <c r="P606" s="178" t="str">
        <f>VLOOKUP(Ruimtestaat[[#This Row],[Ruimte code]],Ruimtegroepen[],4,FALSE)</f>
        <v>Le</v>
      </c>
      <c r="Q606" s="149">
        <v>40</v>
      </c>
      <c r="R606" s="149" t="s">
        <v>2</v>
      </c>
      <c r="S606" s="285">
        <f>IF(Q606&gt;0,IF(RIGHT(Ruimtestaat[[#This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6" s="286">
        <f>IF(S606&gt;0,VLOOKUP($J606,Ruimtegroepen[],3,FALSE)*VLOOKUP($L606,Vloersoorten[],3,FALSE)*VLOOKUP($R606,Frequenties[],3,FALSE)*VLOOKUP($A606,Locaties[],3,FALSE),0)</f>
        <v>0</v>
      </c>
      <c r="U606" s="287">
        <f>Ruimtestaat[[#This Row],[Uitvoeringen werkdagen]]*Ruimtestaat[[#This Row],[Oppervlak (netto)]]</f>
        <v>11440</v>
      </c>
      <c r="V606" s="288">
        <f>IF(T606&gt;0,Ruimtestaat[[#This Row],[Prest. (m2 /jaar) werkdagen]]/Ruimtestaat[[#This Row],[Norm (m2/uur) werkdagen]],0)</f>
        <v>0</v>
      </c>
      <c r="W606" s="289">
        <f>Ruimtestaat[[#This Row],[uren / jaar werkdagen]]*Tariefsopbouw!$E$35</f>
        <v>0</v>
      </c>
      <c r="X606" s="226"/>
      <c r="Y606" s="290">
        <f>IF(Ruimtestaat[[#This Row],[Frequentie weekend]]&gt;0,VALUE(LEFT(X606,1))*Q606,0)</f>
        <v>0</v>
      </c>
      <c r="Z606" s="287">
        <f>IF($Y606&gt;0,VLOOKUP($J606,Ruimtegroepen[],3,FALSE)*VLOOKUP($L606,Vloersoorten[],3,FALSE)*VLOOKUP($X606,Frequenties[],3,FALSE)*VLOOKUP(#REF!,Locaties[],3,FALSE),0)</f>
        <v>0</v>
      </c>
      <c r="AA606" s="291">
        <f>Ruimtestaat[[#This Row],[Uitvoeringen weekend]]*Ruimtestaat[[#This Row],[Oppervlak (netto)]]</f>
        <v>0</v>
      </c>
      <c r="AB606" s="291">
        <f>IF(Z606&gt;0,Ruimtestaat[[#This Row],[Prest. (m2 /jaar) weekend]]/Ruimtestaat[[#This Row],[Norm (m2/uur) weekend]],0)</f>
        <v>0</v>
      </c>
      <c r="AC606" s="180">
        <f>Ruimtestaat[[#This Row],[uren / jaar weekend]]*Tariefsopbouw!$D$40</f>
        <v>0</v>
      </c>
      <c r="AD606" s="179">
        <f>Ruimtestaat[[#This Row],[Prest. (m2 /jaar) weekend]]+Ruimtestaat[[#This Row],[Prest. (m2 /jaar) werkdagen]]</f>
        <v>11440</v>
      </c>
      <c r="AE606" s="179">
        <f>Ruimtestaat[[#This Row],[uren / jaar weekend]]+Ruimtestaat[[#This Row],[uren / jaar werkdagen]]</f>
        <v>0</v>
      </c>
      <c r="AF606" s="174">
        <f>Ruimtestaat[[#This Row],[kosten / jaar weekend]]+Ruimtestaat[[#This Row],[kosten / jaar werkdagen]]</f>
        <v>0</v>
      </c>
      <c r="AG606" s="174"/>
      <c r="AH606" s="174" t="str">
        <f>IF(Ruimtestaat[[#This Row],[Frequentie werkdagen]]="","",_xlfn.CONCAT(Ruimtestaat[[#This Row],[Ruimte code]],"-",Ruimtestaat[[#This Row],[Frequentie werkdagen]]," ",Ruimtestaat[[#This Row],[Vloer code]]))</f>
        <v>16-5w L</v>
      </c>
      <c r="AI606" s="182" t="str">
        <f>_xlfn.IFNA(VLOOKUP($AH606,Programma!$F$3:$G$1101,2,0),"")</f>
        <v>_</v>
      </c>
      <c r="AJ606" s="182" t="str">
        <f>_xlfn.IFNA(VLOOKUP($AH606,Programma!$F$3:$H$1101,3,0),"")</f>
        <v>_</v>
      </c>
      <c r="AK606" s="182" t="str">
        <f>_xlfn.IFNA(VLOOKUP($AH606,Programma!$F$3:$I$1101,4,0),"")</f>
        <v>4w</v>
      </c>
      <c r="AL606" s="182" t="str">
        <f>_xlfn.IFNA(VLOOKUP($AH606,Programma!$F$3:$J$1101,5,0),"")</f>
        <v>1w</v>
      </c>
      <c r="AM606" s="182" t="str">
        <f>_xlfn.IFNA(VLOOKUP($AH606,Programma!$F$3:$K$1101,6,0),"")</f>
        <v>_</v>
      </c>
      <c r="AN606" s="182" t="str">
        <f>_xlfn.IFNA(VLOOKUP($AH606,Programma!$F$3:$L$1101,7,0),"")</f>
        <v>_</v>
      </c>
      <c r="AO606" s="182" t="str">
        <f>_xlfn.IFNA(VLOOKUP($AH606,Programma!$F$3:$M$1101,8,0),"")</f>
        <v>_</v>
      </c>
      <c r="AP606" s="182" t="str">
        <f>_xlfn.IFNA(VLOOKUP($AH606,Programma!$F$3:$N$1101,9,0),"")</f>
        <v>_</v>
      </c>
      <c r="AQ606" s="182" t="str">
        <f>_xlfn.IFNA(VLOOKUP($AH606,Programma!$F$3:$O$1101,10,0),"")</f>
        <v>5w</v>
      </c>
      <c r="AR606" s="182" t="str">
        <f>_xlfn.IFNA(VLOOKUP($AH606,Programma!$F$3:$P$1101,11,0),"")</f>
        <v>5w</v>
      </c>
      <c r="AS606" s="182" t="str">
        <f>_xlfn.IFNA(VLOOKUP($AH606,Programma!$F$3:$Q$1101,12,0),"")</f>
        <v>1w</v>
      </c>
      <c r="AT606" s="182" t="str">
        <f>_xlfn.IFNA(VLOOKUP($AH606,Programma!$F$3:$R$1101,13,0),"")</f>
        <v>1w</v>
      </c>
      <c r="AU606" s="182" t="str">
        <f>_xlfn.IFNA(VLOOKUP($AH606,Programma!$F$3:$S$1101,14,0),"")</f>
        <v>1m</v>
      </c>
      <c r="AV606" s="182" t="str">
        <f>_xlfn.IFNA(VLOOKUP($AH606,Programma!$F$3:$T$1101,15,0),"")</f>
        <v>2j</v>
      </c>
      <c r="AW606" s="182" t="str">
        <f>_xlfn.IFNA(VLOOKUP($AH606,Programma!$F$3:$U$1101,16,0),"")</f>
        <v>1j</v>
      </c>
      <c r="AX606" s="182" t="str">
        <f>_xlfn.IFNA(VLOOKUP($AH606,Programma!$F$3:$V$1101,17,0),"")</f>
        <v>_</v>
      </c>
      <c r="AY606" s="182" t="str">
        <f>_xlfn.IFNA(VLOOKUP($AH606,Programma!$F$3:$W$1101,18,0),"")</f>
        <v>_</v>
      </c>
      <c r="AZ606" s="182" t="str">
        <f>_xlfn.IFNA(VLOOKUP($AH606,Programma!$F$3:$X$1101,19,0),"")</f>
        <v>_</v>
      </c>
      <c r="BA606" s="182" t="str">
        <f>_xlfn.IFNA(VLOOKUP($AH606,Programma!$F$3:$Y$1101,20,0),"")</f>
        <v>_</v>
      </c>
      <c r="BB606" s="182"/>
      <c r="BC606" s="174" t="str">
        <f>IF(Ruimtestaat[[#This Row],[Frequentie weekend]]="","",_xlfn.CONCAT(Ruimtestaat[[#This Row],[Ruimte code]],"-",Ruimtestaat[[#This Row],[Frequentie weekend]]," ",Ruimtestaat[[#This Row],[Vloer code]]))</f>
        <v/>
      </c>
      <c r="BD606" s="182" t="str">
        <f>_xlfn.IFNA(VLOOKUP($BC606,Programma!$F$3:$G$1101,2,0),"")</f>
        <v/>
      </c>
      <c r="BE606" s="182" t="str">
        <f>_xlfn.IFNA(VLOOKUP($BC606,Programma!$F$3:$H$1101,3,0),"")</f>
        <v/>
      </c>
      <c r="BF606" s="182" t="str">
        <f>_xlfn.IFNA(VLOOKUP($BC606,Programma!$F$3:$I$1101,4,0),"")</f>
        <v/>
      </c>
      <c r="BG606" s="182" t="str">
        <f>_xlfn.IFNA(VLOOKUP($BC606,Programma!$F$3:$J$1101,5,0),"")</f>
        <v/>
      </c>
      <c r="BH606" s="182" t="str">
        <f>_xlfn.IFNA(VLOOKUP($BC606,Programma!$F$3:$K$1101,6,0),"")</f>
        <v/>
      </c>
      <c r="BI606" s="182" t="str">
        <f>_xlfn.IFNA(VLOOKUP($BC606,Programma!$F$3:$L$1101,7,0),"")</f>
        <v/>
      </c>
      <c r="BJ606" s="182" t="str">
        <f>_xlfn.IFNA(VLOOKUP($BC606,Programma!$F$3:$M$1101,8,0),"")</f>
        <v/>
      </c>
      <c r="BK606" s="182" t="str">
        <f>_xlfn.IFNA(VLOOKUP($BC606,Programma!$F$3:$N$1101,9,0),"")</f>
        <v/>
      </c>
      <c r="BL606" s="182" t="str">
        <f>_xlfn.IFNA(VLOOKUP($BC606,Programma!$F$3:$O$1101,10,0),"")</f>
        <v/>
      </c>
      <c r="BM606" s="182" t="str">
        <f>_xlfn.IFNA(VLOOKUP($BC606,Programma!$F$3:$P$1101,11,0),"")</f>
        <v/>
      </c>
      <c r="BN606" s="182" t="str">
        <f>_xlfn.IFNA(VLOOKUP($BC606,Programma!$F$3:$Q$1101,12,0),"")</f>
        <v/>
      </c>
      <c r="BO606" s="182" t="str">
        <f>_xlfn.IFNA(VLOOKUP($BC606,Programma!$F$3:$R$1101,13,0),"")</f>
        <v/>
      </c>
      <c r="BP606" s="182" t="str">
        <f>_xlfn.IFNA(VLOOKUP($BC606,Programma!$F$3:$S$1101,14,0),"")</f>
        <v/>
      </c>
      <c r="BQ606" s="182" t="str">
        <f>_xlfn.IFNA(VLOOKUP($BC606,Programma!$F$3:$T$1101,15,0),"")</f>
        <v/>
      </c>
      <c r="BR606" s="182" t="str">
        <f>_xlfn.IFNA(VLOOKUP($BC606,Programma!$F$3:$U$1101,16,0),"")</f>
        <v/>
      </c>
      <c r="BS606" s="182" t="str">
        <f>_xlfn.IFNA(VLOOKUP($BC606,Programma!$F$3:$V$1101,17,0),"")</f>
        <v/>
      </c>
      <c r="BT606" s="182" t="str">
        <f>_xlfn.IFNA(VLOOKUP($BC606,Programma!$F$3:$W$1101,18,0),"")</f>
        <v/>
      </c>
      <c r="BU606" s="182" t="str">
        <f>_xlfn.IFNA(VLOOKUP($BC606,Programma!$F$3:$X$1101,19,0),"")</f>
        <v/>
      </c>
      <c r="BV606" s="182" t="str">
        <f>_xlfn.IFNA(VLOOKUP($BC606,Programma!$F$3:$Y$1101,20,0),"")</f>
        <v/>
      </c>
    </row>
    <row r="607" spans="1:74" ht="15" customHeight="1">
      <c r="A607" s="99">
        <v>17</v>
      </c>
      <c r="B607" s="176" t="str">
        <f>VLOOKUP(Ruimtestaat[[#This Row],[Code]],Locaties[[Code]:[Locatie]],2,FALSE)</f>
        <v>ODBS Lonneker</v>
      </c>
      <c r="C607" s="176" t="str">
        <f>VLOOKUP(Ruimtestaat[[#This Row],[Code]],Locaties[[#All],[Code]:[Adres]],4,FALSE)</f>
        <v>Dorpsstraat 104</v>
      </c>
      <c r="D607" s="176" t="str">
        <f>VLOOKUP(Ruimtestaat[[#This Row],[Code]],Locaties[[#All],[Code]:[Postcode]],5,FALSE)</f>
        <v>7524 CK</v>
      </c>
      <c r="E607" s="176" t="str">
        <f>VLOOKUP(Ruimtestaat[[#This Row],[Code]],Locaties[#All],6,FALSE)</f>
        <v>Lonneker</v>
      </c>
      <c r="F607" s="183"/>
      <c r="G607" s="99" t="s">
        <v>1646</v>
      </c>
      <c r="H607" s="99" t="s">
        <v>1664</v>
      </c>
      <c r="I607" s="183" t="s">
        <v>1688</v>
      </c>
      <c r="J607" s="99">
        <v>16</v>
      </c>
      <c r="K607" s="183" t="str">
        <f>VLOOKUP(Ruimtestaat[[#This Row],[Ruimte code]],Ruimtegroepen[[#All],[Code]:[Ruimte omschrijving]],2,FALSE)</f>
        <v>Leslokalen</v>
      </c>
      <c r="L607" s="99" t="s">
        <v>100</v>
      </c>
      <c r="M607" s="99" t="s">
        <v>1697</v>
      </c>
      <c r="N607" s="177">
        <v>57.2</v>
      </c>
      <c r="O607" s="177"/>
      <c r="P607" s="178" t="str">
        <f>VLOOKUP(Ruimtestaat[[#This Row],[Ruimte code]],Ruimtegroepen[],4,FALSE)</f>
        <v>Le</v>
      </c>
      <c r="Q607" s="149">
        <v>40</v>
      </c>
      <c r="R607" s="149" t="s">
        <v>2</v>
      </c>
      <c r="S607" s="285">
        <f>IF(Q607&gt;0,IF(RIGHT(Ruimtestaat[[#This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7" s="286">
        <f>IF(S607&gt;0,VLOOKUP($J607,Ruimtegroepen[],3,FALSE)*VLOOKUP($L607,Vloersoorten[],3,FALSE)*VLOOKUP($R607,Frequenties[],3,FALSE)*VLOOKUP($A607,Locaties[],3,FALSE),0)</f>
        <v>0</v>
      </c>
      <c r="U607" s="287">
        <f>Ruimtestaat[[#This Row],[Uitvoeringen werkdagen]]*Ruimtestaat[[#This Row],[Oppervlak (netto)]]</f>
        <v>11440</v>
      </c>
      <c r="V607" s="288">
        <f>IF(T607&gt;0,Ruimtestaat[[#This Row],[Prest. (m2 /jaar) werkdagen]]/Ruimtestaat[[#This Row],[Norm (m2/uur) werkdagen]],0)</f>
        <v>0</v>
      </c>
      <c r="W607" s="289">
        <f>Ruimtestaat[[#This Row],[uren / jaar werkdagen]]*Tariefsopbouw!$E$35</f>
        <v>0</v>
      </c>
      <c r="X607" s="226"/>
      <c r="Y607" s="290">
        <f>IF(Ruimtestaat[[#This Row],[Frequentie weekend]]&gt;0,VALUE(LEFT(X607,1))*Q607,0)</f>
        <v>0</v>
      </c>
      <c r="Z607" s="287">
        <f>IF($Y607&gt;0,VLOOKUP($J607,Ruimtegroepen[],3,FALSE)*VLOOKUP($L607,Vloersoorten[],3,FALSE)*VLOOKUP($X607,Frequenties[],3,FALSE)*VLOOKUP(#REF!,Locaties[],3,FALSE),0)</f>
        <v>0</v>
      </c>
      <c r="AA607" s="291">
        <f>Ruimtestaat[[#This Row],[Uitvoeringen weekend]]*Ruimtestaat[[#This Row],[Oppervlak (netto)]]</f>
        <v>0</v>
      </c>
      <c r="AB607" s="291">
        <f>IF(Z607&gt;0,Ruimtestaat[[#This Row],[Prest. (m2 /jaar) weekend]]/Ruimtestaat[[#This Row],[Norm (m2/uur) weekend]],0)</f>
        <v>0</v>
      </c>
      <c r="AC607" s="180">
        <f>Ruimtestaat[[#This Row],[uren / jaar weekend]]*Tariefsopbouw!$D$40</f>
        <v>0</v>
      </c>
      <c r="AD607" s="179">
        <f>Ruimtestaat[[#This Row],[Prest. (m2 /jaar) weekend]]+Ruimtestaat[[#This Row],[Prest. (m2 /jaar) werkdagen]]</f>
        <v>11440</v>
      </c>
      <c r="AE607" s="179">
        <f>Ruimtestaat[[#This Row],[uren / jaar weekend]]+Ruimtestaat[[#This Row],[uren / jaar werkdagen]]</f>
        <v>0</v>
      </c>
      <c r="AF607" s="174">
        <f>Ruimtestaat[[#This Row],[kosten / jaar weekend]]+Ruimtestaat[[#This Row],[kosten / jaar werkdagen]]</f>
        <v>0</v>
      </c>
      <c r="AG607" s="174"/>
      <c r="AH607" s="174" t="str">
        <f>IF(Ruimtestaat[[#This Row],[Frequentie werkdagen]]="","",_xlfn.CONCAT(Ruimtestaat[[#This Row],[Ruimte code]],"-",Ruimtestaat[[#This Row],[Frequentie werkdagen]]," ",Ruimtestaat[[#This Row],[Vloer code]]))</f>
        <v>16-5w L</v>
      </c>
      <c r="AI607" s="182" t="str">
        <f>_xlfn.IFNA(VLOOKUP($AH607,Programma!$F$3:$G$1101,2,0),"")</f>
        <v>_</v>
      </c>
      <c r="AJ607" s="182" t="str">
        <f>_xlfn.IFNA(VLOOKUP($AH607,Programma!$F$3:$H$1101,3,0),"")</f>
        <v>_</v>
      </c>
      <c r="AK607" s="182" t="str">
        <f>_xlfn.IFNA(VLOOKUP($AH607,Programma!$F$3:$I$1101,4,0),"")</f>
        <v>4w</v>
      </c>
      <c r="AL607" s="182" t="str">
        <f>_xlfn.IFNA(VLOOKUP($AH607,Programma!$F$3:$J$1101,5,0),"")</f>
        <v>1w</v>
      </c>
      <c r="AM607" s="182" t="str">
        <f>_xlfn.IFNA(VLOOKUP($AH607,Programma!$F$3:$K$1101,6,0),"")</f>
        <v>_</v>
      </c>
      <c r="AN607" s="182" t="str">
        <f>_xlfn.IFNA(VLOOKUP($AH607,Programma!$F$3:$L$1101,7,0),"")</f>
        <v>_</v>
      </c>
      <c r="AO607" s="182" t="str">
        <f>_xlfn.IFNA(VLOOKUP($AH607,Programma!$F$3:$M$1101,8,0),"")</f>
        <v>_</v>
      </c>
      <c r="AP607" s="182" t="str">
        <f>_xlfn.IFNA(VLOOKUP($AH607,Programma!$F$3:$N$1101,9,0),"")</f>
        <v>_</v>
      </c>
      <c r="AQ607" s="182" t="str">
        <f>_xlfn.IFNA(VLOOKUP($AH607,Programma!$F$3:$O$1101,10,0),"")</f>
        <v>5w</v>
      </c>
      <c r="AR607" s="182" t="str">
        <f>_xlfn.IFNA(VLOOKUP($AH607,Programma!$F$3:$P$1101,11,0),"")</f>
        <v>5w</v>
      </c>
      <c r="AS607" s="182" t="str">
        <f>_xlfn.IFNA(VLOOKUP($AH607,Programma!$F$3:$Q$1101,12,0),"")</f>
        <v>1w</v>
      </c>
      <c r="AT607" s="182" t="str">
        <f>_xlfn.IFNA(VLOOKUP($AH607,Programma!$F$3:$R$1101,13,0),"")</f>
        <v>1w</v>
      </c>
      <c r="AU607" s="182" t="str">
        <f>_xlfn.IFNA(VLOOKUP($AH607,Programma!$F$3:$S$1101,14,0),"")</f>
        <v>1m</v>
      </c>
      <c r="AV607" s="182" t="str">
        <f>_xlfn.IFNA(VLOOKUP($AH607,Programma!$F$3:$T$1101,15,0),"")</f>
        <v>2j</v>
      </c>
      <c r="AW607" s="182" t="str">
        <f>_xlfn.IFNA(VLOOKUP($AH607,Programma!$F$3:$U$1101,16,0),"")</f>
        <v>1j</v>
      </c>
      <c r="AX607" s="182" t="str">
        <f>_xlfn.IFNA(VLOOKUP($AH607,Programma!$F$3:$V$1101,17,0),"")</f>
        <v>_</v>
      </c>
      <c r="AY607" s="182" t="str">
        <f>_xlfn.IFNA(VLOOKUP($AH607,Programma!$F$3:$W$1101,18,0),"")</f>
        <v>_</v>
      </c>
      <c r="AZ607" s="182" t="str">
        <f>_xlfn.IFNA(VLOOKUP($AH607,Programma!$F$3:$X$1101,19,0),"")</f>
        <v>_</v>
      </c>
      <c r="BA607" s="182" t="str">
        <f>_xlfn.IFNA(VLOOKUP($AH607,Programma!$F$3:$Y$1101,20,0),"")</f>
        <v>_</v>
      </c>
      <c r="BB607" s="182"/>
      <c r="BC607" s="174" t="str">
        <f>IF(Ruimtestaat[[#This Row],[Frequentie weekend]]="","",_xlfn.CONCAT(Ruimtestaat[[#This Row],[Ruimte code]],"-",Ruimtestaat[[#This Row],[Frequentie weekend]]," ",Ruimtestaat[[#This Row],[Vloer code]]))</f>
        <v/>
      </c>
      <c r="BD607" s="182" t="str">
        <f>_xlfn.IFNA(VLOOKUP($BC607,Programma!$F$3:$G$1101,2,0),"")</f>
        <v/>
      </c>
      <c r="BE607" s="182" t="str">
        <f>_xlfn.IFNA(VLOOKUP($BC607,Programma!$F$3:$H$1101,3,0),"")</f>
        <v/>
      </c>
      <c r="BF607" s="182" t="str">
        <f>_xlfn.IFNA(VLOOKUP($BC607,Programma!$F$3:$I$1101,4,0),"")</f>
        <v/>
      </c>
      <c r="BG607" s="182" t="str">
        <f>_xlfn.IFNA(VLOOKUP($BC607,Programma!$F$3:$J$1101,5,0),"")</f>
        <v/>
      </c>
      <c r="BH607" s="182" t="str">
        <f>_xlfn.IFNA(VLOOKUP($BC607,Programma!$F$3:$K$1101,6,0),"")</f>
        <v/>
      </c>
      <c r="BI607" s="182" t="str">
        <f>_xlfn.IFNA(VLOOKUP($BC607,Programma!$F$3:$L$1101,7,0),"")</f>
        <v/>
      </c>
      <c r="BJ607" s="182" t="str">
        <f>_xlfn.IFNA(VLOOKUP($BC607,Programma!$F$3:$M$1101,8,0),"")</f>
        <v/>
      </c>
      <c r="BK607" s="182" t="str">
        <f>_xlfn.IFNA(VLOOKUP($BC607,Programma!$F$3:$N$1101,9,0),"")</f>
        <v/>
      </c>
      <c r="BL607" s="182" t="str">
        <f>_xlfn.IFNA(VLOOKUP($BC607,Programma!$F$3:$O$1101,10,0),"")</f>
        <v/>
      </c>
      <c r="BM607" s="182" t="str">
        <f>_xlfn.IFNA(VLOOKUP($BC607,Programma!$F$3:$P$1101,11,0),"")</f>
        <v/>
      </c>
      <c r="BN607" s="182" t="str">
        <f>_xlfn.IFNA(VLOOKUP($BC607,Programma!$F$3:$Q$1101,12,0),"")</f>
        <v/>
      </c>
      <c r="BO607" s="182" t="str">
        <f>_xlfn.IFNA(VLOOKUP($BC607,Programma!$F$3:$R$1101,13,0),"")</f>
        <v/>
      </c>
      <c r="BP607" s="182" t="str">
        <f>_xlfn.IFNA(VLOOKUP($BC607,Programma!$F$3:$S$1101,14,0),"")</f>
        <v/>
      </c>
      <c r="BQ607" s="182" t="str">
        <f>_xlfn.IFNA(VLOOKUP($BC607,Programma!$F$3:$T$1101,15,0),"")</f>
        <v/>
      </c>
      <c r="BR607" s="182" t="str">
        <f>_xlfn.IFNA(VLOOKUP($BC607,Programma!$F$3:$U$1101,16,0),"")</f>
        <v/>
      </c>
      <c r="BS607" s="182" t="str">
        <f>_xlfn.IFNA(VLOOKUP($BC607,Programma!$F$3:$V$1101,17,0),"")</f>
        <v/>
      </c>
      <c r="BT607" s="182" t="str">
        <f>_xlfn.IFNA(VLOOKUP($BC607,Programma!$F$3:$W$1101,18,0),"")</f>
        <v/>
      </c>
      <c r="BU607" s="182" t="str">
        <f>_xlfn.IFNA(VLOOKUP($BC607,Programma!$F$3:$X$1101,19,0),"")</f>
        <v/>
      </c>
      <c r="BV607" s="182" t="str">
        <f>_xlfn.IFNA(VLOOKUP($BC607,Programma!$F$3:$Y$1101,20,0),"")</f>
        <v/>
      </c>
    </row>
    <row r="608" spans="1:74" ht="15" customHeight="1">
      <c r="A608" s="99">
        <v>17</v>
      </c>
      <c r="B608" s="176" t="str">
        <f>VLOOKUP(Ruimtestaat[[#This Row],[Code]],Locaties[[Code]:[Locatie]],2,FALSE)</f>
        <v>ODBS Lonneker</v>
      </c>
      <c r="C608" s="176" t="str">
        <f>VLOOKUP(Ruimtestaat[[#This Row],[Code]],Locaties[[#All],[Code]:[Adres]],4,FALSE)</f>
        <v>Dorpsstraat 104</v>
      </c>
      <c r="D608" s="176" t="str">
        <f>VLOOKUP(Ruimtestaat[[#This Row],[Code]],Locaties[[#All],[Code]:[Postcode]],5,FALSE)</f>
        <v>7524 CK</v>
      </c>
      <c r="E608" s="176" t="str">
        <f>VLOOKUP(Ruimtestaat[[#This Row],[Code]],Locaties[#All],6,FALSE)</f>
        <v>Lonneker</v>
      </c>
      <c r="F608" s="183"/>
      <c r="G608" s="99" t="s">
        <v>1646</v>
      </c>
      <c r="H608" s="99" t="s">
        <v>1666</v>
      </c>
      <c r="I608" s="183" t="s">
        <v>1658</v>
      </c>
      <c r="J608" s="99">
        <v>6</v>
      </c>
      <c r="K608" s="183" t="str">
        <f>VLOOKUP(Ruimtestaat[[#This Row],[Ruimte code]],Ruimtegroepen[[#All],[Code]:[Ruimte omschrijving]],2,FALSE)</f>
        <v>Gangen/hallen</v>
      </c>
      <c r="L608" s="99" t="s">
        <v>100</v>
      </c>
      <c r="M608" s="99" t="s">
        <v>1697</v>
      </c>
      <c r="N608" s="177">
        <v>6.7</v>
      </c>
      <c r="O608" s="177"/>
      <c r="P608" s="178" t="str">
        <f>VLOOKUP(Ruimtestaat[[#This Row],[Ruimte code]],Ruimtegroepen[],4,FALSE)</f>
        <v>Ve</v>
      </c>
      <c r="Q608" s="149">
        <v>40</v>
      </c>
      <c r="R608" s="149" t="s">
        <v>2</v>
      </c>
      <c r="S608" s="285">
        <f>IF(Q608&gt;0,IF(RIGHT(Ruimtestaat[[#This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8" s="286">
        <f>IF(S608&gt;0,VLOOKUP($J608,Ruimtegroepen[],3,FALSE)*VLOOKUP($L608,Vloersoorten[],3,FALSE)*VLOOKUP($R608,Frequenties[],3,FALSE)*VLOOKUP($A608,Locaties[],3,FALSE),0)</f>
        <v>0</v>
      </c>
      <c r="U608" s="287">
        <f>Ruimtestaat[[#This Row],[Uitvoeringen werkdagen]]*Ruimtestaat[[#This Row],[Oppervlak (netto)]]</f>
        <v>1340</v>
      </c>
      <c r="V608" s="288">
        <f>IF(T608&gt;0,Ruimtestaat[[#This Row],[Prest. (m2 /jaar) werkdagen]]/Ruimtestaat[[#This Row],[Norm (m2/uur) werkdagen]],0)</f>
        <v>0</v>
      </c>
      <c r="W608" s="289">
        <f>Ruimtestaat[[#This Row],[uren / jaar werkdagen]]*Tariefsopbouw!$E$35</f>
        <v>0</v>
      </c>
      <c r="X608" s="226"/>
      <c r="Y608" s="290">
        <f>IF(Ruimtestaat[[#This Row],[Frequentie weekend]]&gt;0,VALUE(LEFT(X608,1))*Q608,0)</f>
        <v>0</v>
      </c>
      <c r="Z608" s="287">
        <f>IF($Y608&gt;0,VLOOKUP($J608,Ruimtegroepen[],3,FALSE)*VLOOKUP($L608,Vloersoorten[],3,FALSE)*VLOOKUP($X608,Frequenties[],3,FALSE)*VLOOKUP(#REF!,Locaties[],3,FALSE),0)</f>
        <v>0</v>
      </c>
      <c r="AA608" s="291">
        <f>Ruimtestaat[[#This Row],[Uitvoeringen weekend]]*Ruimtestaat[[#This Row],[Oppervlak (netto)]]</f>
        <v>0</v>
      </c>
      <c r="AB608" s="291">
        <f>IF(Z608&gt;0,Ruimtestaat[[#This Row],[Prest. (m2 /jaar) weekend]]/Ruimtestaat[[#This Row],[Norm (m2/uur) weekend]],0)</f>
        <v>0</v>
      </c>
      <c r="AC608" s="180">
        <f>Ruimtestaat[[#This Row],[uren / jaar weekend]]*Tariefsopbouw!$D$40</f>
        <v>0</v>
      </c>
      <c r="AD608" s="179">
        <f>Ruimtestaat[[#This Row],[Prest. (m2 /jaar) weekend]]+Ruimtestaat[[#This Row],[Prest. (m2 /jaar) werkdagen]]</f>
        <v>1340</v>
      </c>
      <c r="AE608" s="179">
        <f>Ruimtestaat[[#This Row],[uren / jaar weekend]]+Ruimtestaat[[#This Row],[uren / jaar werkdagen]]</f>
        <v>0</v>
      </c>
      <c r="AF608" s="174">
        <f>Ruimtestaat[[#This Row],[kosten / jaar weekend]]+Ruimtestaat[[#This Row],[kosten / jaar werkdagen]]</f>
        <v>0</v>
      </c>
      <c r="AG608" s="174"/>
      <c r="AH608" s="174" t="str">
        <f>IF(Ruimtestaat[[#This Row],[Frequentie werkdagen]]="","",_xlfn.CONCAT(Ruimtestaat[[#This Row],[Ruimte code]],"-",Ruimtestaat[[#This Row],[Frequentie werkdagen]]," ",Ruimtestaat[[#This Row],[Vloer code]]))</f>
        <v>6-5w L</v>
      </c>
      <c r="AI608" s="182" t="str">
        <f>_xlfn.IFNA(VLOOKUP($AH608,Programma!$F$3:$G$1101,2,0),"")</f>
        <v>_</v>
      </c>
      <c r="AJ608" s="182" t="str">
        <f>_xlfn.IFNA(VLOOKUP($AH608,Programma!$F$3:$H$1101,3,0),"")</f>
        <v>_</v>
      </c>
      <c r="AK608" s="182" t="str">
        <f>_xlfn.IFNA(VLOOKUP($AH608,Programma!$F$3:$I$1101,4,0),"")</f>
        <v>_</v>
      </c>
      <c r="AL608" s="182" t="str">
        <f>_xlfn.IFNA(VLOOKUP($AH608,Programma!$F$3:$J$1101,5,0),"")</f>
        <v>5w</v>
      </c>
      <c r="AM608" s="182" t="str">
        <f>_xlfn.IFNA(VLOOKUP($AH608,Programma!$F$3:$K$1101,6,0),"")</f>
        <v>_</v>
      </c>
      <c r="AN608" s="182" t="str">
        <f>_xlfn.IFNA(VLOOKUP($AH608,Programma!$F$3:$L$1101,7,0),"")</f>
        <v>_</v>
      </c>
      <c r="AO608" s="182" t="str">
        <f>_xlfn.IFNA(VLOOKUP($AH608,Programma!$F$3:$M$1101,8,0),"")</f>
        <v>_</v>
      </c>
      <c r="AP608" s="182" t="str">
        <f>_xlfn.IFNA(VLOOKUP($AH608,Programma!$F$3:$N$1101,9,0),"")</f>
        <v>_</v>
      </c>
      <c r="AQ608" s="182" t="str">
        <f>_xlfn.IFNA(VLOOKUP($AH608,Programma!$F$3:$O$1101,10,0),"")</f>
        <v>5w</v>
      </c>
      <c r="AR608" s="182" t="str">
        <f>_xlfn.IFNA(VLOOKUP($AH608,Programma!$F$3:$P$1101,11,0),"")</f>
        <v>5w</v>
      </c>
      <c r="AS608" s="182" t="str">
        <f>_xlfn.IFNA(VLOOKUP($AH608,Programma!$F$3:$Q$1101,12,0),"")</f>
        <v>1w</v>
      </c>
      <c r="AT608" s="182" t="str">
        <f>_xlfn.IFNA(VLOOKUP($AH608,Programma!$F$3:$R$1101,13,0),"")</f>
        <v>1w</v>
      </c>
      <c r="AU608" s="182" t="str">
        <f>_xlfn.IFNA(VLOOKUP($AH608,Programma!$F$3:$S$1101,14,0),"")</f>
        <v>1m</v>
      </c>
      <c r="AV608" s="182" t="str">
        <f>_xlfn.IFNA(VLOOKUP($AH608,Programma!$F$3:$T$1101,15,0),"")</f>
        <v>2j</v>
      </c>
      <c r="AW608" s="182" t="str">
        <f>_xlfn.IFNA(VLOOKUP($AH608,Programma!$F$3:$U$1101,16,0),"")</f>
        <v>1j</v>
      </c>
      <c r="AX608" s="182" t="str">
        <f>_xlfn.IFNA(VLOOKUP($AH608,Programma!$F$3:$V$1101,17,0),"")</f>
        <v>_</v>
      </c>
      <c r="AY608" s="182" t="str">
        <f>_xlfn.IFNA(VLOOKUP($AH608,Programma!$F$3:$W$1101,18,0),"")</f>
        <v>_</v>
      </c>
      <c r="AZ608" s="182" t="str">
        <f>_xlfn.IFNA(VLOOKUP($AH608,Programma!$F$3:$X$1101,19,0),"")</f>
        <v>_</v>
      </c>
      <c r="BA608" s="182" t="str">
        <f>_xlfn.IFNA(VLOOKUP($AH608,Programma!$F$3:$Y$1101,20,0),"")</f>
        <v>_</v>
      </c>
      <c r="BB608" s="182"/>
      <c r="BC608" s="174" t="str">
        <f>IF(Ruimtestaat[[#This Row],[Frequentie weekend]]="","",_xlfn.CONCAT(Ruimtestaat[[#This Row],[Ruimte code]],"-",Ruimtestaat[[#This Row],[Frequentie weekend]]," ",Ruimtestaat[[#This Row],[Vloer code]]))</f>
        <v/>
      </c>
      <c r="BD608" s="182" t="str">
        <f>_xlfn.IFNA(VLOOKUP($BC608,Programma!$F$3:$G$1101,2,0),"")</f>
        <v/>
      </c>
      <c r="BE608" s="182" t="str">
        <f>_xlfn.IFNA(VLOOKUP($BC608,Programma!$F$3:$H$1101,3,0),"")</f>
        <v/>
      </c>
      <c r="BF608" s="182" t="str">
        <f>_xlfn.IFNA(VLOOKUP($BC608,Programma!$F$3:$I$1101,4,0),"")</f>
        <v/>
      </c>
      <c r="BG608" s="182" t="str">
        <f>_xlfn.IFNA(VLOOKUP($BC608,Programma!$F$3:$J$1101,5,0),"")</f>
        <v/>
      </c>
      <c r="BH608" s="182" t="str">
        <f>_xlfn.IFNA(VLOOKUP($BC608,Programma!$F$3:$K$1101,6,0),"")</f>
        <v/>
      </c>
      <c r="BI608" s="182" t="str">
        <f>_xlfn.IFNA(VLOOKUP($BC608,Programma!$F$3:$L$1101,7,0),"")</f>
        <v/>
      </c>
      <c r="BJ608" s="182" t="str">
        <f>_xlfn.IFNA(VLOOKUP($BC608,Programma!$F$3:$M$1101,8,0),"")</f>
        <v/>
      </c>
      <c r="BK608" s="182" t="str">
        <f>_xlfn.IFNA(VLOOKUP($BC608,Programma!$F$3:$N$1101,9,0),"")</f>
        <v/>
      </c>
      <c r="BL608" s="182" t="str">
        <f>_xlfn.IFNA(VLOOKUP($BC608,Programma!$F$3:$O$1101,10,0),"")</f>
        <v/>
      </c>
      <c r="BM608" s="182" t="str">
        <f>_xlfn.IFNA(VLOOKUP($BC608,Programma!$F$3:$P$1101,11,0),"")</f>
        <v/>
      </c>
      <c r="BN608" s="182" t="str">
        <f>_xlfn.IFNA(VLOOKUP($BC608,Programma!$F$3:$Q$1101,12,0),"")</f>
        <v/>
      </c>
      <c r="BO608" s="182" t="str">
        <f>_xlfn.IFNA(VLOOKUP($BC608,Programma!$F$3:$R$1101,13,0),"")</f>
        <v/>
      </c>
      <c r="BP608" s="182" t="str">
        <f>_xlfn.IFNA(VLOOKUP($BC608,Programma!$F$3:$S$1101,14,0),"")</f>
        <v/>
      </c>
      <c r="BQ608" s="182" t="str">
        <f>_xlfn.IFNA(VLOOKUP($BC608,Programma!$F$3:$T$1101,15,0),"")</f>
        <v/>
      </c>
      <c r="BR608" s="182" t="str">
        <f>_xlfn.IFNA(VLOOKUP($BC608,Programma!$F$3:$U$1101,16,0),"")</f>
        <v/>
      </c>
      <c r="BS608" s="182" t="str">
        <f>_xlfn.IFNA(VLOOKUP($BC608,Programma!$F$3:$V$1101,17,0),"")</f>
        <v/>
      </c>
      <c r="BT608" s="182" t="str">
        <f>_xlfn.IFNA(VLOOKUP($BC608,Programma!$F$3:$W$1101,18,0),"")</f>
        <v/>
      </c>
      <c r="BU608" s="182" t="str">
        <f>_xlfn.IFNA(VLOOKUP($BC608,Programma!$F$3:$X$1101,19,0),"")</f>
        <v/>
      </c>
      <c r="BV608" s="182" t="str">
        <f>_xlfn.IFNA(VLOOKUP($BC608,Programma!$F$3:$Y$1101,20,0),"")</f>
        <v/>
      </c>
    </row>
    <row r="609" spans="1:74" ht="15" customHeight="1">
      <c r="A609" s="99">
        <v>17</v>
      </c>
      <c r="B609" s="176" t="str">
        <f>VLOOKUP(Ruimtestaat[[#This Row],[Code]],Locaties[[Code]:[Locatie]],2,FALSE)</f>
        <v>ODBS Lonneker</v>
      </c>
      <c r="C609" s="176" t="str">
        <f>VLOOKUP(Ruimtestaat[[#This Row],[Code]],Locaties[[#All],[Code]:[Adres]],4,FALSE)</f>
        <v>Dorpsstraat 104</v>
      </c>
      <c r="D609" s="176" t="str">
        <f>VLOOKUP(Ruimtestaat[[#This Row],[Code]],Locaties[[#All],[Code]:[Postcode]],5,FALSE)</f>
        <v>7524 CK</v>
      </c>
      <c r="E609" s="176" t="str">
        <f>VLOOKUP(Ruimtestaat[[#This Row],[Code]],Locaties[#All],6,FALSE)</f>
        <v>Lonneker</v>
      </c>
      <c r="F609" s="183"/>
      <c r="G609" s="99" t="s">
        <v>1646</v>
      </c>
      <c r="H609" s="99" t="s">
        <v>1668</v>
      </c>
      <c r="I609" s="183" t="s">
        <v>1684</v>
      </c>
      <c r="J609" s="99">
        <v>5</v>
      </c>
      <c r="K609" s="183" t="str">
        <f>VLOOKUP(Ruimtestaat[[#This Row],[Ruimte code]],Ruimtegroepen[[#All],[Code]:[Ruimte omschrijving]],2,FALSE)</f>
        <v>Sanitair</v>
      </c>
      <c r="L609" s="99" t="s">
        <v>101</v>
      </c>
      <c r="M609" s="99" t="s">
        <v>1682</v>
      </c>
      <c r="N609" s="177">
        <v>3.6</v>
      </c>
      <c r="O609" s="177"/>
      <c r="P609" s="178" t="str">
        <f>VLOOKUP(Ruimtestaat[[#This Row],[Ruimte code]],Ruimtegroepen[],4,FALSE)</f>
        <v>Sa</v>
      </c>
      <c r="Q609" s="149">
        <v>40</v>
      </c>
      <c r="R609" s="149" t="s">
        <v>2</v>
      </c>
      <c r="S609" s="285">
        <f>IF(Q609&gt;0,IF(RIGHT(Ruimtestaat[[#This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9" s="286">
        <f>IF(S609&gt;0,VLOOKUP($J609,Ruimtegroepen[],3,FALSE)*VLOOKUP($L609,Vloersoorten[],3,FALSE)*VLOOKUP($R609,Frequenties[],3,FALSE)*VLOOKUP($A609,Locaties[],3,FALSE),0)</f>
        <v>0</v>
      </c>
      <c r="U609" s="287">
        <f>Ruimtestaat[[#This Row],[Uitvoeringen werkdagen]]*Ruimtestaat[[#This Row],[Oppervlak (netto)]]</f>
        <v>720</v>
      </c>
      <c r="V609" s="288">
        <f>IF(T609&gt;0,Ruimtestaat[[#This Row],[Prest. (m2 /jaar) werkdagen]]/Ruimtestaat[[#This Row],[Norm (m2/uur) werkdagen]],0)</f>
        <v>0</v>
      </c>
      <c r="W609" s="289">
        <f>Ruimtestaat[[#This Row],[uren / jaar werkdagen]]*Tariefsopbouw!$E$35</f>
        <v>0</v>
      </c>
      <c r="X609" s="226"/>
      <c r="Y609" s="290">
        <f>IF(Ruimtestaat[[#This Row],[Frequentie weekend]]&gt;0,VALUE(LEFT(X609,1))*Q609,0)</f>
        <v>0</v>
      </c>
      <c r="Z609" s="287">
        <f>IF($Y609&gt;0,VLOOKUP($J609,Ruimtegroepen[],3,FALSE)*VLOOKUP($L609,Vloersoorten[],3,FALSE)*VLOOKUP($X609,Frequenties[],3,FALSE)*VLOOKUP(#REF!,Locaties[],3,FALSE),0)</f>
        <v>0</v>
      </c>
      <c r="AA609" s="291">
        <f>Ruimtestaat[[#This Row],[Uitvoeringen weekend]]*Ruimtestaat[[#This Row],[Oppervlak (netto)]]</f>
        <v>0</v>
      </c>
      <c r="AB609" s="291">
        <f>IF(Z609&gt;0,Ruimtestaat[[#This Row],[Prest. (m2 /jaar) weekend]]/Ruimtestaat[[#This Row],[Norm (m2/uur) weekend]],0)</f>
        <v>0</v>
      </c>
      <c r="AC609" s="180">
        <f>Ruimtestaat[[#This Row],[uren / jaar weekend]]*Tariefsopbouw!$D$40</f>
        <v>0</v>
      </c>
      <c r="AD609" s="179">
        <f>Ruimtestaat[[#This Row],[Prest. (m2 /jaar) weekend]]+Ruimtestaat[[#This Row],[Prest. (m2 /jaar) werkdagen]]</f>
        <v>720</v>
      </c>
      <c r="AE609" s="179">
        <f>Ruimtestaat[[#This Row],[uren / jaar weekend]]+Ruimtestaat[[#This Row],[uren / jaar werkdagen]]</f>
        <v>0</v>
      </c>
      <c r="AF609" s="174">
        <f>Ruimtestaat[[#This Row],[kosten / jaar weekend]]+Ruimtestaat[[#This Row],[kosten / jaar werkdagen]]</f>
        <v>0</v>
      </c>
      <c r="AG609" s="174"/>
      <c r="AH609" s="174" t="str">
        <f>IF(Ruimtestaat[[#This Row],[Frequentie werkdagen]]="","",_xlfn.CONCAT(Ruimtestaat[[#This Row],[Ruimte code]],"-",Ruimtestaat[[#This Row],[Frequentie werkdagen]]," ",Ruimtestaat[[#This Row],[Vloer code]]))</f>
        <v>5-5w S</v>
      </c>
      <c r="AI609" s="182" t="str">
        <f>_xlfn.IFNA(VLOOKUP($AH609,Programma!$F$3:$G$1101,2,0),"")</f>
        <v>_</v>
      </c>
      <c r="AJ609" s="182" t="str">
        <f>_xlfn.IFNA(VLOOKUP($AH609,Programma!$F$3:$H$1101,3,0),"")</f>
        <v>_</v>
      </c>
      <c r="AK609" s="182" t="str">
        <f>_xlfn.IFNA(VLOOKUP($AH609,Programma!$F$3:$I$1101,4,0),"")</f>
        <v>_</v>
      </c>
      <c r="AL609" s="182" t="str">
        <f>_xlfn.IFNA(VLOOKUP($AH609,Programma!$F$3:$J$1101,5,0),"")</f>
        <v>4w</v>
      </c>
      <c r="AM609" s="182" t="str">
        <f>_xlfn.IFNA(VLOOKUP($AH609,Programma!$F$3:$K$1101,6,0),"")</f>
        <v>1w</v>
      </c>
      <c r="AN609" s="182" t="str">
        <f>_xlfn.IFNA(VLOOKUP($AH609,Programma!$F$3:$L$1101,7,0),"")</f>
        <v>_</v>
      </c>
      <c r="AO609" s="182" t="str">
        <f>_xlfn.IFNA(VLOOKUP($AH609,Programma!$F$3:$M$1101,8,0),"")</f>
        <v>_</v>
      </c>
      <c r="AP609" s="182" t="str">
        <f>_xlfn.IFNA(VLOOKUP($AH609,Programma!$F$3:$N$1101,9,0),"")</f>
        <v>_</v>
      </c>
      <c r="AQ609" s="182" t="str">
        <f>_xlfn.IFNA(VLOOKUP($AH609,Programma!$F$3:$O$1101,10,0),"")</f>
        <v>_</v>
      </c>
      <c r="AR609" s="182" t="str">
        <f>_xlfn.IFNA(VLOOKUP($AH609,Programma!$F$3:$P$1101,11,0),"")</f>
        <v>_</v>
      </c>
      <c r="AS609" s="182" t="str">
        <f>_xlfn.IFNA(VLOOKUP($AH609,Programma!$F$3:$Q$1101,12,0),"")</f>
        <v>_</v>
      </c>
      <c r="AT609" s="182" t="str">
        <f>_xlfn.IFNA(VLOOKUP($AH609,Programma!$F$3:$R$1101,13,0),"")</f>
        <v>_</v>
      </c>
      <c r="AU609" s="182" t="str">
        <f>_xlfn.IFNA(VLOOKUP($AH609,Programma!$F$3:$S$1101,14,0),"")</f>
        <v>_</v>
      </c>
      <c r="AV609" s="182" t="str">
        <f>_xlfn.IFNA(VLOOKUP($AH609,Programma!$F$3:$T$1101,15,0),"")</f>
        <v>_</v>
      </c>
      <c r="AW609" s="182" t="str">
        <f>_xlfn.IFNA(VLOOKUP($AH609,Programma!$F$3:$U$1101,16,0),"")</f>
        <v>_</v>
      </c>
      <c r="AX609" s="182" t="str">
        <f>_xlfn.IFNA(VLOOKUP($AH609,Programma!$F$3:$V$1101,17,0),"")</f>
        <v>_</v>
      </c>
      <c r="AY609" s="182" t="str">
        <f>_xlfn.IFNA(VLOOKUP($AH609,Programma!$F$3:$W$1101,18,0),"")</f>
        <v>4w</v>
      </c>
      <c r="AZ609" s="182" t="str">
        <f>_xlfn.IFNA(VLOOKUP($AH609,Programma!$F$3:$X$1101,19,0),"")</f>
        <v>1w</v>
      </c>
      <c r="BA609" s="182" t="str">
        <f>_xlfn.IFNA(VLOOKUP($AH609,Programma!$F$3:$Y$1101,20,0),"")</f>
        <v>_</v>
      </c>
      <c r="BB609" s="182"/>
      <c r="BC609" s="174" t="str">
        <f>IF(Ruimtestaat[[#This Row],[Frequentie weekend]]="","",_xlfn.CONCAT(Ruimtestaat[[#This Row],[Ruimte code]],"-",Ruimtestaat[[#This Row],[Frequentie weekend]]," ",Ruimtestaat[[#This Row],[Vloer code]]))</f>
        <v/>
      </c>
      <c r="BD609" s="182" t="str">
        <f>_xlfn.IFNA(VLOOKUP($BC609,Programma!$F$3:$G$1101,2,0),"")</f>
        <v/>
      </c>
      <c r="BE609" s="182" t="str">
        <f>_xlfn.IFNA(VLOOKUP($BC609,Programma!$F$3:$H$1101,3,0),"")</f>
        <v/>
      </c>
      <c r="BF609" s="182" t="str">
        <f>_xlfn.IFNA(VLOOKUP($BC609,Programma!$F$3:$I$1101,4,0),"")</f>
        <v/>
      </c>
      <c r="BG609" s="182" t="str">
        <f>_xlfn.IFNA(VLOOKUP($BC609,Programma!$F$3:$J$1101,5,0),"")</f>
        <v/>
      </c>
      <c r="BH609" s="182" t="str">
        <f>_xlfn.IFNA(VLOOKUP($BC609,Programma!$F$3:$K$1101,6,0),"")</f>
        <v/>
      </c>
      <c r="BI609" s="182" t="str">
        <f>_xlfn.IFNA(VLOOKUP($BC609,Programma!$F$3:$L$1101,7,0),"")</f>
        <v/>
      </c>
      <c r="BJ609" s="182" t="str">
        <f>_xlfn.IFNA(VLOOKUP($BC609,Programma!$F$3:$M$1101,8,0),"")</f>
        <v/>
      </c>
      <c r="BK609" s="182" t="str">
        <f>_xlfn.IFNA(VLOOKUP($BC609,Programma!$F$3:$N$1101,9,0),"")</f>
        <v/>
      </c>
      <c r="BL609" s="182" t="str">
        <f>_xlfn.IFNA(VLOOKUP($BC609,Programma!$F$3:$O$1101,10,0),"")</f>
        <v/>
      </c>
      <c r="BM609" s="182" t="str">
        <f>_xlfn.IFNA(VLOOKUP($BC609,Programma!$F$3:$P$1101,11,0),"")</f>
        <v/>
      </c>
      <c r="BN609" s="182" t="str">
        <f>_xlfn.IFNA(VLOOKUP($BC609,Programma!$F$3:$Q$1101,12,0),"")</f>
        <v/>
      </c>
      <c r="BO609" s="182" t="str">
        <f>_xlfn.IFNA(VLOOKUP($BC609,Programma!$F$3:$R$1101,13,0),"")</f>
        <v/>
      </c>
      <c r="BP609" s="182" t="str">
        <f>_xlfn.IFNA(VLOOKUP($BC609,Programma!$F$3:$S$1101,14,0),"")</f>
        <v/>
      </c>
      <c r="BQ609" s="182" t="str">
        <f>_xlfn.IFNA(VLOOKUP($BC609,Programma!$F$3:$T$1101,15,0),"")</f>
        <v/>
      </c>
      <c r="BR609" s="182" t="str">
        <f>_xlfn.IFNA(VLOOKUP($BC609,Programma!$F$3:$U$1101,16,0),"")</f>
        <v/>
      </c>
      <c r="BS609" s="182" t="str">
        <f>_xlfn.IFNA(VLOOKUP($BC609,Programma!$F$3:$V$1101,17,0),"")</f>
        <v/>
      </c>
      <c r="BT609" s="182" t="str">
        <f>_xlfn.IFNA(VLOOKUP($BC609,Programma!$F$3:$W$1101,18,0),"")</f>
        <v/>
      </c>
      <c r="BU609" s="182" t="str">
        <f>_xlfn.IFNA(VLOOKUP($BC609,Programma!$F$3:$X$1101,19,0),"")</f>
        <v/>
      </c>
      <c r="BV609" s="182" t="str">
        <f>_xlfn.IFNA(VLOOKUP($BC609,Programma!$F$3:$Y$1101,20,0),"")</f>
        <v/>
      </c>
    </row>
    <row r="610" spans="1:74" ht="15" customHeight="1">
      <c r="A610" s="99">
        <v>17</v>
      </c>
      <c r="B610" s="176" t="str">
        <f>VLOOKUP(Ruimtestaat[[#This Row],[Code]],Locaties[[Code]:[Locatie]],2,FALSE)</f>
        <v>ODBS Lonneker</v>
      </c>
      <c r="C610" s="176" t="str">
        <f>VLOOKUP(Ruimtestaat[[#This Row],[Code]],Locaties[[#All],[Code]:[Adres]],4,FALSE)</f>
        <v>Dorpsstraat 104</v>
      </c>
      <c r="D610" s="176" t="str">
        <f>VLOOKUP(Ruimtestaat[[#This Row],[Code]],Locaties[[#All],[Code]:[Postcode]],5,FALSE)</f>
        <v>7524 CK</v>
      </c>
      <c r="E610" s="176" t="str">
        <f>VLOOKUP(Ruimtestaat[[#This Row],[Code]],Locaties[#All],6,FALSE)</f>
        <v>Lonneker</v>
      </c>
      <c r="F610" s="183"/>
      <c r="G610" s="99" t="s">
        <v>1646</v>
      </c>
      <c r="H610" s="99" t="s">
        <v>1669</v>
      </c>
      <c r="I610" s="183" t="s">
        <v>1658</v>
      </c>
      <c r="J610" s="99">
        <v>6</v>
      </c>
      <c r="K610" s="183" t="str">
        <f>VLOOKUP(Ruimtestaat[[#This Row],[Ruimte code]],Ruimtegroepen[[#All],[Code]:[Ruimte omschrijving]],2,FALSE)</f>
        <v>Gangen/hallen</v>
      </c>
      <c r="L610" s="99" t="s">
        <v>100</v>
      </c>
      <c r="M610" s="99" t="s">
        <v>1697</v>
      </c>
      <c r="N610" s="177">
        <v>29.7</v>
      </c>
      <c r="O610" s="177"/>
      <c r="P610" s="178" t="str">
        <f>VLOOKUP(Ruimtestaat[[#This Row],[Ruimte code]],Ruimtegroepen[],4,FALSE)</f>
        <v>Ve</v>
      </c>
      <c r="Q610" s="149">
        <v>40</v>
      </c>
      <c r="R610" s="149" t="s">
        <v>2</v>
      </c>
      <c r="S610" s="285">
        <f>IF(Q610&gt;0,IF(RIGHT(Ruimtestaat[[#This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0" s="286">
        <f>IF(S610&gt;0,VLOOKUP($J610,Ruimtegroepen[],3,FALSE)*VLOOKUP($L610,Vloersoorten[],3,FALSE)*VLOOKUP($R610,Frequenties[],3,FALSE)*VLOOKUP($A610,Locaties[],3,FALSE),0)</f>
        <v>0</v>
      </c>
      <c r="U610" s="287">
        <f>Ruimtestaat[[#This Row],[Uitvoeringen werkdagen]]*Ruimtestaat[[#This Row],[Oppervlak (netto)]]</f>
        <v>5940</v>
      </c>
      <c r="V610" s="288">
        <f>IF(T610&gt;0,Ruimtestaat[[#This Row],[Prest. (m2 /jaar) werkdagen]]/Ruimtestaat[[#This Row],[Norm (m2/uur) werkdagen]],0)</f>
        <v>0</v>
      </c>
      <c r="W610" s="289">
        <f>Ruimtestaat[[#This Row],[uren / jaar werkdagen]]*Tariefsopbouw!$E$35</f>
        <v>0</v>
      </c>
      <c r="X610" s="226"/>
      <c r="Y610" s="290">
        <f>IF(Ruimtestaat[[#This Row],[Frequentie weekend]]&gt;0,VALUE(LEFT(X610,1))*Q610,0)</f>
        <v>0</v>
      </c>
      <c r="Z610" s="287">
        <f>IF($Y610&gt;0,VLOOKUP($J610,Ruimtegroepen[],3,FALSE)*VLOOKUP($L610,Vloersoorten[],3,FALSE)*VLOOKUP($X610,Frequenties[],3,FALSE)*VLOOKUP(#REF!,Locaties[],3,FALSE),0)</f>
        <v>0</v>
      </c>
      <c r="AA610" s="291">
        <f>Ruimtestaat[[#This Row],[Uitvoeringen weekend]]*Ruimtestaat[[#This Row],[Oppervlak (netto)]]</f>
        <v>0</v>
      </c>
      <c r="AB610" s="291">
        <f>IF(Z610&gt;0,Ruimtestaat[[#This Row],[Prest. (m2 /jaar) weekend]]/Ruimtestaat[[#This Row],[Norm (m2/uur) weekend]],0)</f>
        <v>0</v>
      </c>
      <c r="AC610" s="180">
        <f>Ruimtestaat[[#This Row],[uren / jaar weekend]]*Tariefsopbouw!$D$40</f>
        <v>0</v>
      </c>
      <c r="AD610" s="179">
        <f>Ruimtestaat[[#This Row],[Prest. (m2 /jaar) weekend]]+Ruimtestaat[[#This Row],[Prest. (m2 /jaar) werkdagen]]</f>
        <v>5940</v>
      </c>
      <c r="AE610" s="179">
        <f>Ruimtestaat[[#This Row],[uren / jaar weekend]]+Ruimtestaat[[#This Row],[uren / jaar werkdagen]]</f>
        <v>0</v>
      </c>
      <c r="AF610" s="174">
        <f>Ruimtestaat[[#This Row],[kosten / jaar weekend]]+Ruimtestaat[[#This Row],[kosten / jaar werkdagen]]</f>
        <v>0</v>
      </c>
      <c r="AG610" s="174"/>
      <c r="AH610" s="174" t="str">
        <f>IF(Ruimtestaat[[#This Row],[Frequentie werkdagen]]="","",_xlfn.CONCAT(Ruimtestaat[[#This Row],[Ruimte code]],"-",Ruimtestaat[[#This Row],[Frequentie werkdagen]]," ",Ruimtestaat[[#This Row],[Vloer code]]))</f>
        <v>6-5w L</v>
      </c>
      <c r="AI610" s="182" t="str">
        <f>_xlfn.IFNA(VLOOKUP($AH610,Programma!$F$3:$G$1101,2,0),"")</f>
        <v>_</v>
      </c>
      <c r="AJ610" s="182" t="str">
        <f>_xlfn.IFNA(VLOOKUP($AH610,Programma!$F$3:$H$1101,3,0),"")</f>
        <v>_</v>
      </c>
      <c r="AK610" s="182" t="str">
        <f>_xlfn.IFNA(VLOOKUP($AH610,Programma!$F$3:$I$1101,4,0),"")</f>
        <v>_</v>
      </c>
      <c r="AL610" s="182" t="str">
        <f>_xlfn.IFNA(VLOOKUP($AH610,Programma!$F$3:$J$1101,5,0),"")</f>
        <v>5w</v>
      </c>
      <c r="AM610" s="182" t="str">
        <f>_xlfn.IFNA(VLOOKUP($AH610,Programma!$F$3:$K$1101,6,0),"")</f>
        <v>_</v>
      </c>
      <c r="AN610" s="182" t="str">
        <f>_xlfn.IFNA(VLOOKUP($AH610,Programma!$F$3:$L$1101,7,0),"")</f>
        <v>_</v>
      </c>
      <c r="AO610" s="182" t="str">
        <f>_xlfn.IFNA(VLOOKUP($AH610,Programma!$F$3:$M$1101,8,0),"")</f>
        <v>_</v>
      </c>
      <c r="AP610" s="182" t="str">
        <f>_xlfn.IFNA(VLOOKUP($AH610,Programma!$F$3:$N$1101,9,0),"")</f>
        <v>_</v>
      </c>
      <c r="AQ610" s="182" t="str">
        <f>_xlfn.IFNA(VLOOKUP($AH610,Programma!$F$3:$O$1101,10,0),"")</f>
        <v>5w</v>
      </c>
      <c r="AR610" s="182" t="str">
        <f>_xlfn.IFNA(VLOOKUP($AH610,Programma!$F$3:$P$1101,11,0),"")</f>
        <v>5w</v>
      </c>
      <c r="AS610" s="182" t="str">
        <f>_xlfn.IFNA(VLOOKUP($AH610,Programma!$F$3:$Q$1101,12,0),"")</f>
        <v>1w</v>
      </c>
      <c r="AT610" s="182" t="str">
        <f>_xlfn.IFNA(VLOOKUP($AH610,Programma!$F$3:$R$1101,13,0),"")</f>
        <v>1w</v>
      </c>
      <c r="AU610" s="182" t="str">
        <f>_xlfn.IFNA(VLOOKUP($AH610,Programma!$F$3:$S$1101,14,0),"")</f>
        <v>1m</v>
      </c>
      <c r="AV610" s="182" t="str">
        <f>_xlfn.IFNA(VLOOKUP($AH610,Programma!$F$3:$T$1101,15,0),"")</f>
        <v>2j</v>
      </c>
      <c r="AW610" s="182" t="str">
        <f>_xlfn.IFNA(VLOOKUP($AH610,Programma!$F$3:$U$1101,16,0),"")</f>
        <v>1j</v>
      </c>
      <c r="AX610" s="182" t="str">
        <f>_xlfn.IFNA(VLOOKUP($AH610,Programma!$F$3:$V$1101,17,0),"")</f>
        <v>_</v>
      </c>
      <c r="AY610" s="182" t="str">
        <f>_xlfn.IFNA(VLOOKUP($AH610,Programma!$F$3:$W$1101,18,0),"")</f>
        <v>_</v>
      </c>
      <c r="AZ610" s="182" t="str">
        <f>_xlfn.IFNA(VLOOKUP($AH610,Programma!$F$3:$X$1101,19,0),"")</f>
        <v>_</v>
      </c>
      <c r="BA610" s="182" t="str">
        <f>_xlfn.IFNA(VLOOKUP($AH610,Programma!$F$3:$Y$1101,20,0),"")</f>
        <v>_</v>
      </c>
      <c r="BB610" s="182"/>
      <c r="BC610" s="174" t="str">
        <f>IF(Ruimtestaat[[#This Row],[Frequentie weekend]]="","",_xlfn.CONCAT(Ruimtestaat[[#This Row],[Ruimte code]],"-",Ruimtestaat[[#This Row],[Frequentie weekend]]," ",Ruimtestaat[[#This Row],[Vloer code]]))</f>
        <v/>
      </c>
      <c r="BD610" s="182" t="str">
        <f>_xlfn.IFNA(VLOOKUP($BC610,Programma!$F$3:$G$1101,2,0),"")</f>
        <v/>
      </c>
      <c r="BE610" s="182" t="str">
        <f>_xlfn.IFNA(VLOOKUP($BC610,Programma!$F$3:$H$1101,3,0),"")</f>
        <v/>
      </c>
      <c r="BF610" s="182" t="str">
        <f>_xlfn.IFNA(VLOOKUP($BC610,Programma!$F$3:$I$1101,4,0),"")</f>
        <v/>
      </c>
      <c r="BG610" s="182" t="str">
        <f>_xlfn.IFNA(VLOOKUP($BC610,Programma!$F$3:$J$1101,5,0),"")</f>
        <v/>
      </c>
      <c r="BH610" s="182" t="str">
        <f>_xlfn.IFNA(VLOOKUP($BC610,Programma!$F$3:$K$1101,6,0),"")</f>
        <v/>
      </c>
      <c r="BI610" s="182" t="str">
        <f>_xlfn.IFNA(VLOOKUP($BC610,Programma!$F$3:$L$1101,7,0),"")</f>
        <v/>
      </c>
      <c r="BJ610" s="182" t="str">
        <f>_xlfn.IFNA(VLOOKUP($BC610,Programma!$F$3:$M$1101,8,0),"")</f>
        <v/>
      </c>
      <c r="BK610" s="182" t="str">
        <f>_xlfn.IFNA(VLOOKUP($BC610,Programma!$F$3:$N$1101,9,0),"")</f>
        <v/>
      </c>
      <c r="BL610" s="182" t="str">
        <f>_xlfn.IFNA(VLOOKUP($BC610,Programma!$F$3:$O$1101,10,0),"")</f>
        <v/>
      </c>
      <c r="BM610" s="182" t="str">
        <f>_xlfn.IFNA(VLOOKUP($BC610,Programma!$F$3:$P$1101,11,0),"")</f>
        <v/>
      </c>
      <c r="BN610" s="182" t="str">
        <f>_xlfn.IFNA(VLOOKUP($BC610,Programma!$F$3:$Q$1101,12,0),"")</f>
        <v/>
      </c>
      <c r="BO610" s="182" t="str">
        <f>_xlfn.IFNA(VLOOKUP($BC610,Programma!$F$3:$R$1101,13,0),"")</f>
        <v/>
      </c>
      <c r="BP610" s="182" t="str">
        <f>_xlfn.IFNA(VLOOKUP($BC610,Programma!$F$3:$S$1101,14,0),"")</f>
        <v/>
      </c>
      <c r="BQ610" s="182" t="str">
        <f>_xlfn.IFNA(VLOOKUP($BC610,Programma!$F$3:$T$1101,15,0),"")</f>
        <v/>
      </c>
      <c r="BR610" s="182" t="str">
        <f>_xlfn.IFNA(VLOOKUP($BC610,Programma!$F$3:$U$1101,16,0),"")</f>
        <v/>
      </c>
      <c r="BS610" s="182" t="str">
        <f>_xlfn.IFNA(VLOOKUP($BC610,Programma!$F$3:$V$1101,17,0),"")</f>
        <v/>
      </c>
      <c r="BT610" s="182" t="str">
        <f>_xlfn.IFNA(VLOOKUP($BC610,Programma!$F$3:$W$1101,18,0),"")</f>
        <v/>
      </c>
      <c r="BU610" s="182" t="str">
        <f>_xlfn.IFNA(VLOOKUP($BC610,Programma!$F$3:$X$1101,19,0),"")</f>
        <v/>
      </c>
      <c r="BV610" s="182" t="str">
        <f>_xlfn.IFNA(VLOOKUP($BC610,Programma!$F$3:$Y$1101,20,0),"")</f>
        <v/>
      </c>
    </row>
    <row r="611" spans="1:74" ht="15" customHeight="1">
      <c r="A611" s="99">
        <v>17</v>
      </c>
      <c r="B611" s="176" t="str">
        <f>VLOOKUP(Ruimtestaat[[#This Row],[Code]],Locaties[[Code]:[Locatie]],2,FALSE)</f>
        <v>ODBS Lonneker</v>
      </c>
      <c r="C611" s="176" t="str">
        <f>VLOOKUP(Ruimtestaat[[#This Row],[Code]],Locaties[[#All],[Code]:[Adres]],4,FALSE)</f>
        <v>Dorpsstraat 104</v>
      </c>
      <c r="D611" s="176" t="str">
        <f>VLOOKUP(Ruimtestaat[[#This Row],[Code]],Locaties[[#All],[Code]:[Postcode]],5,FALSE)</f>
        <v>7524 CK</v>
      </c>
      <c r="E611" s="176" t="str">
        <f>VLOOKUP(Ruimtestaat[[#This Row],[Code]],Locaties[#All],6,FALSE)</f>
        <v>Lonneker</v>
      </c>
      <c r="F611" s="183"/>
      <c r="G611" s="99" t="s">
        <v>1646</v>
      </c>
      <c r="H611" s="99" t="s">
        <v>1670</v>
      </c>
      <c r="I611" s="183" t="s">
        <v>1658</v>
      </c>
      <c r="J611" s="99">
        <v>6</v>
      </c>
      <c r="K611" s="183" t="str">
        <f>VLOOKUP(Ruimtestaat[[#This Row],[Ruimte code]],Ruimtegroepen[[#All],[Code]:[Ruimte omschrijving]],2,FALSE)</f>
        <v>Gangen/hallen</v>
      </c>
      <c r="L611" s="99" t="s">
        <v>100</v>
      </c>
      <c r="M611" s="99" t="s">
        <v>1697</v>
      </c>
      <c r="N611" s="177">
        <v>14.5</v>
      </c>
      <c r="O611" s="177"/>
      <c r="P611" s="178" t="str">
        <f>VLOOKUP(Ruimtestaat[[#This Row],[Ruimte code]],Ruimtegroepen[],4,FALSE)</f>
        <v>Ve</v>
      </c>
      <c r="Q611" s="149">
        <v>40</v>
      </c>
      <c r="R611" s="149" t="s">
        <v>2</v>
      </c>
      <c r="S611" s="285">
        <f>IF(Q611&gt;0,IF(RIGHT(Ruimtestaat[[#This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1" s="286">
        <f>IF(S611&gt;0,VLOOKUP($J611,Ruimtegroepen[],3,FALSE)*VLOOKUP($L611,Vloersoorten[],3,FALSE)*VLOOKUP($R611,Frequenties[],3,FALSE)*VLOOKUP($A611,Locaties[],3,FALSE),0)</f>
        <v>0</v>
      </c>
      <c r="U611" s="287">
        <f>Ruimtestaat[[#This Row],[Uitvoeringen werkdagen]]*Ruimtestaat[[#This Row],[Oppervlak (netto)]]</f>
        <v>2900</v>
      </c>
      <c r="V611" s="288">
        <f>IF(T611&gt;0,Ruimtestaat[[#This Row],[Prest. (m2 /jaar) werkdagen]]/Ruimtestaat[[#This Row],[Norm (m2/uur) werkdagen]],0)</f>
        <v>0</v>
      </c>
      <c r="W611" s="289">
        <f>Ruimtestaat[[#This Row],[uren / jaar werkdagen]]*Tariefsopbouw!$E$35</f>
        <v>0</v>
      </c>
      <c r="X611" s="226"/>
      <c r="Y611" s="290">
        <f>IF(Ruimtestaat[[#This Row],[Frequentie weekend]]&gt;0,VALUE(LEFT(X611,1))*Q611,0)</f>
        <v>0</v>
      </c>
      <c r="Z611" s="287">
        <f>IF($Y611&gt;0,VLOOKUP($J611,Ruimtegroepen[],3,FALSE)*VLOOKUP($L611,Vloersoorten[],3,FALSE)*VLOOKUP($X611,Frequenties[],3,FALSE)*VLOOKUP(#REF!,Locaties[],3,FALSE),0)</f>
        <v>0</v>
      </c>
      <c r="AA611" s="291">
        <f>Ruimtestaat[[#This Row],[Uitvoeringen weekend]]*Ruimtestaat[[#This Row],[Oppervlak (netto)]]</f>
        <v>0</v>
      </c>
      <c r="AB611" s="291">
        <f>IF(Z611&gt;0,Ruimtestaat[[#This Row],[Prest. (m2 /jaar) weekend]]/Ruimtestaat[[#This Row],[Norm (m2/uur) weekend]],0)</f>
        <v>0</v>
      </c>
      <c r="AC611" s="180">
        <f>Ruimtestaat[[#This Row],[uren / jaar weekend]]*Tariefsopbouw!$D$40</f>
        <v>0</v>
      </c>
      <c r="AD611" s="179">
        <f>Ruimtestaat[[#This Row],[Prest. (m2 /jaar) weekend]]+Ruimtestaat[[#This Row],[Prest. (m2 /jaar) werkdagen]]</f>
        <v>2900</v>
      </c>
      <c r="AE611" s="179">
        <f>Ruimtestaat[[#This Row],[uren / jaar weekend]]+Ruimtestaat[[#This Row],[uren / jaar werkdagen]]</f>
        <v>0</v>
      </c>
      <c r="AF611" s="174">
        <f>Ruimtestaat[[#This Row],[kosten / jaar weekend]]+Ruimtestaat[[#This Row],[kosten / jaar werkdagen]]</f>
        <v>0</v>
      </c>
      <c r="AG611" s="174"/>
      <c r="AH611" s="174" t="str">
        <f>IF(Ruimtestaat[[#This Row],[Frequentie werkdagen]]="","",_xlfn.CONCAT(Ruimtestaat[[#This Row],[Ruimte code]],"-",Ruimtestaat[[#This Row],[Frequentie werkdagen]]," ",Ruimtestaat[[#This Row],[Vloer code]]))</f>
        <v>6-5w L</v>
      </c>
      <c r="AI611" s="182" t="str">
        <f>_xlfn.IFNA(VLOOKUP($AH611,Programma!$F$3:$G$1101,2,0),"")</f>
        <v>_</v>
      </c>
      <c r="AJ611" s="182" t="str">
        <f>_xlfn.IFNA(VLOOKUP($AH611,Programma!$F$3:$H$1101,3,0),"")</f>
        <v>_</v>
      </c>
      <c r="AK611" s="182" t="str">
        <f>_xlfn.IFNA(VLOOKUP($AH611,Programma!$F$3:$I$1101,4,0),"")</f>
        <v>_</v>
      </c>
      <c r="AL611" s="182" t="str">
        <f>_xlfn.IFNA(VLOOKUP($AH611,Programma!$F$3:$J$1101,5,0),"")</f>
        <v>5w</v>
      </c>
      <c r="AM611" s="182" t="str">
        <f>_xlfn.IFNA(VLOOKUP($AH611,Programma!$F$3:$K$1101,6,0),"")</f>
        <v>_</v>
      </c>
      <c r="AN611" s="182" t="str">
        <f>_xlfn.IFNA(VLOOKUP($AH611,Programma!$F$3:$L$1101,7,0),"")</f>
        <v>_</v>
      </c>
      <c r="AO611" s="182" t="str">
        <f>_xlfn.IFNA(VLOOKUP($AH611,Programma!$F$3:$M$1101,8,0),"")</f>
        <v>_</v>
      </c>
      <c r="AP611" s="182" t="str">
        <f>_xlfn.IFNA(VLOOKUP($AH611,Programma!$F$3:$N$1101,9,0),"")</f>
        <v>_</v>
      </c>
      <c r="AQ611" s="182" t="str">
        <f>_xlfn.IFNA(VLOOKUP($AH611,Programma!$F$3:$O$1101,10,0),"")</f>
        <v>5w</v>
      </c>
      <c r="AR611" s="182" t="str">
        <f>_xlfn.IFNA(VLOOKUP($AH611,Programma!$F$3:$P$1101,11,0),"")</f>
        <v>5w</v>
      </c>
      <c r="AS611" s="182" t="str">
        <f>_xlfn.IFNA(VLOOKUP($AH611,Programma!$F$3:$Q$1101,12,0),"")</f>
        <v>1w</v>
      </c>
      <c r="AT611" s="182" t="str">
        <f>_xlfn.IFNA(VLOOKUP($AH611,Programma!$F$3:$R$1101,13,0),"")</f>
        <v>1w</v>
      </c>
      <c r="AU611" s="182" t="str">
        <f>_xlfn.IFNA(VLOOKUP($AH611,Programma!$F$3:$S$1101,14,0),"")</f>
        <v>1m</v>
      </c>
      <c r="AV611" s="182" t="str">
        <f>_xlfn.IFNA(VLOOKUP($AH611,Programma!$F$3:$T$1101,15,0),"")</f>
        <v>2j</v>
      </c>
      <c r="AW611" s="182" t="str">
        <f>_xlfn.IFNA(VLOOKUP($AH611,Programma!$F$3:$U$1101,16,0),"")</f>
        <v>1j</v>
      </c>
      <c r="AX611" s="182" t="str">
        <f>_xlfn.IFNA(VLOOKUP($AH611,Programma!$F$3:$V$1101,17,0),"")</f>
        <v>_</v>
      </c>
      <c r="AY611" s="182" t="str">
        <f>_xlfn.IFNA(VLOOKUP($AH611,Programma!$F$3:$W$1101,18,0),"")</f>
        <v>_</v>
      </c>
      <c r="AZ611" s="182" t="str">
        <f>_xlfn.IFNA(VLOOKUP($AH611,Programma!$F$3:$X$1101,19,0),"")</f>
        <v>_</v>
      </c>
      <c r="BA611" s="182" t="str">
        <f>_xlfn.IFNA(VLOOKUP($AH611,Programma!$F$3:$Y$1101,20,0),"")</f>
        <v>_</v>
      </c>
      <c r="BB611" s="182"/>
      <c r="BC611" s="174" t="str">
        <f>IF(Ruimtestaat[[#This Row],[Frequentie weekend]]="","",_xlfn.CONCAT(Ruimtestaat[[#This Row],[Ruimte code]],"-",Ruimtestaat[[#This Row],[Frequentie weekend]]," ",Ruimtestaat[[#This Row],[Vloer code]]))</f>
        <v/>
      </c>
      <c r="BD611" s="182" t="str">
        <f>_xlfn.IFNA(VLOOKUP($BC611,Programma!$F$3:$G$1101,2,0),"")</f>
        <v/>
      </c>
      <c r="BE611" s="182" t="str">
        <f>_xlfn.IFNA(VLOOKUP($BC611,Programma!$F$3:$H$1101,3,0),"")</f>
        <v/>
      </c>
      <c r="BF611" s="182" t="str">
        <f>_xlfn.IFNA(VLOOKUP($BC611,Programma!$F$3:$I$1101,4,0),"")</f>
        <v/>
      </c>
      <c r="BG611" s="182" t="str">
        <f>_xlfn.IFNA(VLOOKUP($BC611,Programma!$F$3:$J$1101,5,0),"")</f>
        <v/>
      </c>
      <c r="BH611" s="182" t="str">
        <f>_xlfn.IFNA(VLOOKUP($BC611,Programma!$F$3:$K$1101,6,0),"")</f>
        <v/>
      </c>
      <c r="BI611" s="182" t="str">
        <f>_xlfn.IFNA(VLOOKUP($BC611,Programma!$F$3:$L$1101,7,0),"")</f>
        <v/>
      </c>
      <c r="BJ611" s="182" t="str">
        <f>_xlfn.IFNA(VLOOKUP($BC611,Programma!$F$3:$M$1101,8,0),"")</f>
        <v/>
      </c>
      <c r="BK611" s="182" t="str">
        <f>_xlfn.IFNA(VLOOKUP($BC611,Programma!$F$3:$N$1101,9,0),"")</f>
        <v/>
      </c>
      <c r="BL611" s="182" t="str">
        <f>_xlfn.IFNA(VLOOKUP($BC611,Programma!$F$3:$O$1101,10,0),"")</f>
        <v/>
      </c>
      <c r="BM611" s="182" t="str">
        <f>_xlfn.IFNA(VLOOKUP($BC611,Programma!$F$3:$P$1101,11,0),"")</f>
        <v/>
      </c>
      <c r="BN611" s="182" t="str">
        <f>_xlfn.IFNA(VLOOKUP($BC611,Programma!$F$3:$Q$1101,12,0),"")</f>
        <v/>
      </c>
      <c r="BO611" s="182" t="str">
        <f>_xlfn.IFNA(VLOOKUP($BC611,Programma!$F$3:$R$1101,13,0),"")</f>
        <v/>
      </c>
      <c r="BP611" s="182" t="str">
        <f>_xlfn.IFNA(VLOOKUP($BC611,Programma!$F$3:$S$1101,14,0),"")</f>
        <v/>
      </c>
      <c r="BQ611" s="182" t="str">
        <f>_xlfn.IFNA(VLOOKUP($BC611,Programma!$F$3:$T$1101,15,0),"")</f>
        <v/>
      </c>
      <c r="BR611" s="182" t="str">
        <f>_xlfn.IFNA(VLOOKUP($BC611,Programma!$F$3:$U$1101,16,0),"")</f>
        <v/>
      </c>
      <c r="BS611" s="182" t="str">
        <f>_xlfn.IFNA(VLOOKUP($BC611,Programma!$F$3:$V$1101,17,0),"")</f>
        <v/>
      </c>
      <c r="BT611" s="182" t="str">
        <f>_xlfn.IFNA(VLOOKUP($BC611,Programma!$F$3:$W$1101,18,0),"")</f>
        <v/>
      </c>
      <c r="BU611" s="182" t="str">
        <f>_xlfn.IFNA(VLOOKUP($BC611,Programma!$F$3:$X$1101,19,0),"")</f>
        <v/>
      </c>
      <c r="BV611" s="182" t="str">
        <f>_xlfn.IFNA(VLOOKUP($BC611,Programma!$F$3:$Y$1101,20,0),"")</f>
        <v/>
      </c>
    </row>
    <row r="612" spans="1:74" ht="15" customHeight="1">
      <c r="A612" s="99">
        <v>17</v>
      </c>
      <c r="B612" s="176" t="str">
        <f>VLOOKUP(Ruimtestaat[[#This Row],[Code]],Locaties[[Code]:[Locatie]],2,FALSE)</f>
        <v>ODBS Lonneker</v>
      </c>
      <c r="C612" s="176" t="str">
        <f>VLOOKUP(Ruimtestaat[[#This Row],[Code]],Locaties[[#All],[Code]:[Adres]],4,FALSE)</f>
        <v>Dorpsstraat 104</v>
      </c>
      <c r="D612" s="176" t="str">
        <f>VLOOKUP(Ruimtestaat[[#This Row],[Code]],Locaties[[#All],[Code]:[Postcode]],5,FALSE)</f>
        <v>7524 CK</v>
      </c>
      <c r="E612" s="176" t="str">
        <f>VLOOKUP(Ruimtestaat[[#This Row],[Code]],Locaties[#All],6,FALSE)</f>
        <v>Lonneker</v>
      </c>
      <c r="F612" s="183"/>
      <c r="G612" s="99" t="s">
        <v>1646</v>
      </c>
      <c r="H612" s="99" t="s">
        <v>1671</v>
      </c>
      <c r="I612" s="183" t="s">
        <v>38</v>
      </c>
      <c r="J612" s="99">
        <v>7</v>
      </c>
      <c r="K612" s="183" t="str">
        <f>VLOOKUP(Ruimtestaat[[#This Row],[Ruimte code]],Ruimtegroepen[[#All],[Code]:[Ruimte omschrijving]],2,FALSE)</f>
        <v>Entree</v>
      </c>
      <c r="L612" s="99" t="s">
        <v>99</v>
      </c>
      <c r="M612" s="99" t="s">
        <v>1700</v>
      </c>
      <c r="N612" s="177">
        <v>4.0999999999999996</v>
      </c>
      <c r="O612" s="177"/>
      <c r="P612" s="178" t="str">
        <f>VLOOKUP(Ruimtestaat[[#This Row],[Ruimte code]],Ruimtegroepen[],4,FALSE)</f>
        <v>Ve</v>
      </c>
      <c r="Q612" s="149">
        <v>40</v>
      </c>
      <c r="R612" s="149" t="s">
        <v>2</v>
      </c>
      <c r="S612" s="285">
        <f>IF(Q612&gt;0,IF(RIGHT(Ruimtestaat[[#This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2" s="286">
        <f>IF(S612&gt;0,VLOOKUP($J612,Ruimtegroepen[],3,FALSE)*VLOOKUP($L612,Vloersoorten[],3,FALSE)*VLOOKUP($R612,Frequenties[],3,FALSE)*VLOOKUP($A612,Locaties[],3,FALSE),0)</f>
        <v>0</v>
      </c>
      <c r="U612" s="287">
        <f>Ruimtestaat[[#This Row],[Uitvoeringen werkdagen]]*Ruimtestaat[[#This Row],[Oppervlak (netto)]]</f>
        <v>819.99999999999989</v>
      </c>
      <c r="V612" s="288">
        <f>IF(T612&gt;0,Ruimtestaat[[#This Row],[Prest. (m2 /jaar) werkdagen]]/Ruimtestaat[[#This Row],[Norm (m2/uur) werkdagen]],0)</f>
        <v>0</v>
      </c>
      <c r="W612" s="289">
        <f>Ruimtestaat[[#This Row],[uren / jaar werkdagen]]*Tariefsopbouw!$E$35</f>
        <v>0</v>
      </c>
      <c r="X612" s="226"/>
      <c r="Y612" s="290">
        <f>IF(Ruimtestaat[[#This Row],[Frequentie weekend]]&gt;0,VALUE(LEFT(X612,1))*Q612,0)</f>
        <v>0</v>
      </c>
      <c r="Z612" s="287">
        <f>IF($Y612&gt;0,VLOOKUP($J612,Ruimtegroepen[],3,FALSE)*VLOOKUP($L612,Vloersoorten[],3,FALSE)*VLOOKUP($X612,Frequenties[],3,FALSE)*VLOOKUP(#REF!,Locaties[],3,FALSE),0)</f>
        <v>0</v>
      </c>
      <c r="AA612" s="291">
        <f>Ruimtestaat[[#This Row],[Uitvoeringen weekend]]*Ruimtestaat[[#This Row],[Oppervlak (netto)]]</f>
        <v>0</v>
      </c>
      <c r="AB612" s="291">
        <f>IF(Z612&gt;0,Ruimtestaat[[#This Row],[Prest. (m2 /jaar) weekend]]/Ruimtestaat[[#This Row],[Norm (m2/uur) weekend]],0)</f>
        <v>0</v>
      </c>
      <c r="AC612" s="180">
        <f>Ruimtestaat[[#This Row],[uren / jaar weekend]]*Tariefsopbouw!$D$40</f>
        <v>0</v>
      </c>
      <c r="AD612" s="179">
        <f>Ruimtestaat[[#This Row],[Prest. (m2 /jaar) weekend]]+Ruimtestaat[[#This Row],[Prest. (m2 /jaar) werkdagen]]</f>
        <v>819.99999999999989</v>
      </c>
      <c r="AE612" s="179">
        <f>Ruimtestaat[[#This Row],[uren / jaar weekend]]+Ruimtestaat[[#This Row],[uren / jaar werkdagen]]</f>
        <v>0</v>
      </c>
      <c r="AF612" s="174">
        <f>Ruimtestaat[[#This Row],[kosten / jaar weekend]]+Ruimtestaat[[#This Row],[kosten / jaar werkdagen]]</f>
        <v>0</v>
      </c>
      <c r="AG612" s="174"/>
      <c r="AH612" s="174" t="str">
        <f>IF(Ruimtestaat[[#This Row],[Frequentie werkdagen]]="","",_xlfn.CONCAT(Ruimtestaat[[#This Row],[Ruimte code]],"-",Ruimtestaat[[#This Row],[Frequentie werkdagen]]," ",Ruimtestaat[[#This Row],[Vloer code]]))</f>
        <v>7-5w T</v>
      </c>
      <c r="AI612" s="182" t="str">
        <f>_xlfn.IFNA(VLOOKUP($AH612,Programma!$F$3:$G$1101,2,0),"")</f>
        <v>_</v>
      </c>
      <c r="AJ612" s="182" t="str">
        <f>_xlfn.IFNA(VLOOKUP($AH612,Programma!$F$3:$H$1101,3,0),"")</f>
        <v>5w</v>
      </c>
      <c r="AK612" s="182" t="str">
        <f>_xlfn.IFNA(VLOOKUP($AH612,Programma!$F$3:$I$1101,4,0),"")</f>
        <v>_</v>
      </c>
      <c r="AL612" s="182" t="str">
        <f>_xlfn.IFNA(VLOOKUP($AH612,Programma!$F$3:$J$1101,5,0),"")</f>
        <v>_</v>
      </c>
      <c r="AM612" s="182" t="str">
        <f>_xlfn.IFNA(VLOOKUP($AH612,Programma!$F$3:$K$1101,6,0),"")</f>
        <v>_</v>
      </c>
      <c r="AN612" s="182" t="str">
        <f>_xlfn.IFNA(VLOOKUP($AH612,Programma!$F$3:$L$1101,7,0),"")</f>
        <v>_</v>
      </c>
      <c r="AO612" s="182" t="str">
        <f>_xlfn.IFNA(VLOOKUP($AH612,Programma!$F$3:$M$1101,8,0),"")</f>
        <v>_</v>
      </c>
      <c r="AP612" s="182" t="str">
        <f>_xlfn.IFNA(VLOOKUP($AH612,Programma!$F$3:$N$1101,9,0),"")</f>
        <v>_</v>
      </c>
      <c r="AQ612" s="182" t="str">
        <f>_xlfn.IFNA(VLOOKUP($AH612,Programma!$F$3:$O$1101,10,0),"")</f>
        <v>5w</v>
      </c>
      <c r="AR612" s="182" t="str">
        <f>_xlfn.IFNA(VLOOKUP($AH612,Programma!$F$3:$P$1101,11,0),"")</f>
        <v>5w</v>
      </c>
      <c r="AS612" s="182" t="str">
        <f>_xlfn.IFNA(VLOOKUP($AH612,Programma!$F$3:$Q$1101,12,0),"")</f>
        <v>1w</v>
      </c>
      <c r="AT612" s="182" t="str">
        <f>_xlfn.IFNA(VLOOKUP($AH612,Programma!$F$3:$R$1101,13,0),"")</f>
        <v>1w</v>
      </c>
      <c r="AU612" s="182" t="str">
        <f>_xlfn.IFNA(VLOOKUP($AH612,Programma!$F$3:$S$1101,14,0),"")</f>
        <v>1m</v>
      </c>
      <c r="AV612" s="182" t="str">
        <f>_xlfn.IFNA(VLOOKUP($AH612,Programma!$F$3:$T$1101,15,0),"")</f>
        <v>2j</v>
      </c>
      <c r="AW612" s="182" t="str">
        <f>_xlfn.IFNA(VLOOKUP($AH612,Programma!$F$3:$U$1101,16,0),"")</f>
        <v>1j</v>
      </c>
      <c r="AX612" s="182" t="str">
        <f>_xlfn.IFNA(VLOOKUP($AH612,Programma!$F$3:$V$1101,17,0),"")</f>
        <v>_</v>
      </c>
      <c r="AY612" s="182" t="str">
        <f>_xlfn.IFNA(VLOOKUP($AH612,Programma!$F$3:$W$1101,18,0),"")</f>
        <v>_</v>
      </c>
      <c r="AZ612" s="182" t="str">
        <f>_xlfn.IFNA(VLOOKUP($AH612,Programma!$F$3:$X$1101,19,0),"")</f>
        <v>_</v>
      </c>
      <c r="BA612" s="182" t="str">
        <f>_xlfn.IFNA(VLOOKUP($AH612,Programma!$F$3:$Y$1101,20,0),"")</f>
        <v>_</v>
      </c>
      <c r="BB612" s="182"/>
      <c r="BC612" s="174" t="str">
        <f>IF(Ruimtestaat[[#This Row],[Frequentie weekend]]="","",_xlfn.CONCAT(Ruimtestaat[[#This Row],[Ruimte code]],"-",Ruimtestaat[[#This Row],[Frequentie weekend]]," ",Ruimtestaat[[#This Row],[Vloer code]]))</f>
        <v/>
      </c>
      <c r="BD612" s="182" t="str">
        <f>_xlfn.IFNA(VLOOKUP($BC612,Programma!$F$3:$G$1101,2,0),"")</f>
        <v/>
      </c>
      <c r="BE612" s="182" t="str">
        <f>_xlfn.IFNA(VLOOKUP($BC612,Programma!$F$3:$H$1101,3,0),"")</f>
        <v/>
      </c>
      <c r="BF612" s="182" t="str">
        <f>_xlfn.IFNA(VLOOKUP($BC612,Programma!$F$3:$I$1101,4,0),"")</f>
        <v/>
      </c>
      <c r="BG612" s="182" t="str">
        <f>_xlfn.IFNA(VLOOKUP($BC612,Programma!$F$3:$J$1101,5,0),"")</f>
        <v/>
      </c>
      <c r="BH612" s="182" t="str">
        <f>_xlfn.IFNA(VLOOKUP($BC612,Programma!$F$3:$K$1101,6,0),"")</f>
        <v/>
      </c>
      <c r="BI612" s="182" t="str">
        <f>_xlfn.IFNA(VLOOKUP($BC612,Programma!$F$3:$L$1101,7,0),"")</f>
        <v/>
      </c>
      <c r="BJ612" s="182" t="str">
        <f>_xlfn.IFNA(VLOOKUP($BC612,Programma!$F$3:$M$1101,8,0),"")</f>
        <v/>
      </c>
      <c r="BK612" s="182" t="str">
        <f>_xlfn.IFNA(VLOOKUP($BC612,Programma!$F$3:$N$1101,9,0),"")</f>
        <v/>
      </c>
      <c r="BL612" s="182" t="str">
        <f>_xlfn.IFNA(VLOOKUP($BC612,Programma!$F$3:$O$1101,10,0),"")</f>
        <v/>
      </c>
      <c r="BM612" s="182" t="str">
        <f>_xlfn.IFNA(VLOOKUP($BC612,Programma!$F$3:$P$1101,11,0),"")</f>
        <v/>
      </c>
      <c r="BN612" s="182" t="str">
        <f>_xlfn.IFNA(VLOOKUP($BC612,Programma!$F$3:$Q$1101,12,0),"")</f>
        <v/>
      </c>
      <c r="BO612" s="182" t="str">
        <f>_xlfn.IFNA(VLOOKUP($BC612,Programma!$F$3:$R$1101,13,0),"")</f>
        <v/>
      </c>
      <c r="BP612" s="182" t="str">
        <f>_xlfn.IFNA(VLOOKUP($BC612,Programma!$F$3:$S$1101,14,0),"")</f>
        <v/>
      </c>
      <c r="BQ612" s="182" t="str">
        <f>_xlfn.IFNA(VLOOKUP($BC612,Programma!$F$3:$T$1101,15,0),"")</f>
        <v/>
      </c>
      <c r="BR612" s="182" t="str">
        <f>_xlfn.IFNA(VLOOKUP($BC612,Programma!$F$3:$U$1101,16,0),"")</f>
        <v/>
      </c>
      <c r="BS612" s="182" t="str">
        <f>_xlfn.IFNA(VLOOKUP($BC612,Programma!$F$3:$V$1101,17,0),"")</f>
        <v/>
      </c>
      <c r="BT612" s="182" t="str">
        <f>_xlfn.IFNA(VLOOKUP($BC612,Programma!$F$3:$W$1101,18,0),"")</f>
        <v/>
      </c>
      <c r="BU612" s="182" t="str">
        <f>_xlfn.IFNA(VLOOKUP($BC612,Programma!$F$3:$X$1101,19,0),"")</f>
        <v/>
      </c>
      <c r="BV612" s="182" t="str">
        <f>_xlfn.IFNA(VLOOKUP($BC612,Programma!$F$3:$Y$1101,20,0),"")</f>
        <v/>
      </c>
    </row>
    <row r="613" spans="1:74" ht="15" customHeight="1">
      <c r="A613" s="99">
        <v>17</v>
      </c>
      <c r="B613" s="176" t="str">
        <f>VLOOKUP(Ruimtestaat[[#This Row],[Code]],Locaties[[Code]:[Locatie]],2,FALSE)</f>
        <v>ODBS Lonneker</v>
      </c>
      <c r="C613" s="176" t="str">
        <f>VLOOKUP(Ruimtestaat[[#This Row],[Code]],Locaties[[#All],[Code]:[Adres]],4,FALSE)</f>
        <v>Dorpsstraat 104</v>
      </c>
      <c r="D613" s="176" t="str">
        <f>VLOOKUP(Ruimtestaat[[#This Row],[Code]],Locaties[[#All],[Code]:[Postcode]],5,FALSE)</f>
        <v>7524 CK</v>
      </c>
      <c r="E613" s="176" t="str">
        <f>VLOOKUP(Ruimtestaat[[#This Row],[Code]],Locaties[#All],6,FALSE)</f>
        <v>Lonneker</v>
      </c>
      <c r="F613" s="183"/>
      <c r="G613" s="99" t="s">
        <v>1646</v>
      </c>
      <c r="H613" s="99" t="s">
        <v>1672</v>
      </c>
      <c r="I613" s="183" t="s">
        <v>1683</v>
      </c>
      <c r="J613" s="99">
        <v>20</v>
      </c>
      <c r="K613" s="183" t="str">
        <f>VLOOKUP(Ruimtestaat[[#This Row],[Ruimte code]],Ruimtegroepen[[#All],[Code]:[Ruimte omschrijving]],2,FALSE)</f>
        <v>Niet in Onderhoud</v>
      </c>
      <c r="L613" s="99" t="s">
        <v>100</v>
      </c>
      <c r="M613" s="99" t="s">
        <v>1697</v>
      </c>
      <c r="N613" s="177"/>
      <c r="O613" s="177">
        <v>4</v>
      </c>
      <c r="P613" s="178">
        <f>VLOOKUP(Ruimtestaat[[#This Row],[Ruimte code]],Ruimtegroepen[],4,FALSE)</f>
        <v>0</v>
      </c>
      <c r="Q613" s="149"/>
      <c r="R613" s="149"/>
      <c r="S613" s="285">
        <f>IF(Q613&gt;0,IF(RIGHT(Ruimtestaat[[#This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3" s="286">
        <f>IF(S613&gt;0,VLOOKUP($J613,Ruimtegroepen[],3,FALSE)*VLOOKUP($L613,Vloersoorten[],3,FALSE)*VLOOKUP($R613,Frequenties[],3,FALSE)*VLOOKUP($A613,Locaties[],3,FALSE),0)</f>
        <v>0</v>
      </c>
      <c r="U613" s="287">
        <f>Ruimtestaat[[#This Row],[Uitvoeringen werkdagen]]*Ruimtestaat[[#This Row],[Oppervlak (netto)]]</f>
        <v>0</v>
      </c>
      <c r="V613" s="288">
        <f>IF(T613&gt;0,Ruimtestaat[[#This Row],[Prest. (m2 /jaar) werkdagen]]/Ruimtestaat[[#This Row],[Norm (m2/uur) werkdagen]],0)</f>
        <v>0</v>
      </c>
      <c r="W613" s="289">
        <f>Ruimtestaat[[#This Row],[uren / jaar werkdagen]]*Tariefsopbouw!$E$35</f>
        <v>0</v>
      </c>
      <c r="X613" s="226"/>
      <c r="Y613" s="290">
        <f>IF(Ruimtestaat[[#This Row],[Frequentie weekend]]&gt;0,VALUE(LEFT(X613,1))*Q613,0)</f>
        <v>0</v>
      </c>
      <c r="Z613" s="287">
        <f>IF($Y613&gt;0,VLOOKUP($J613,Ruimtegroepen[],3,FALSE)*VLOOKUP($L613,Vloersoorten[],3,FALSE)*VLOOKUP($X613,Frequenties[],3,FALSE)*VLOOKUP(#REF!,Locaties[],3,FALSE),0)</f>
        <v>0</v>
      </c>
      <c r="AA613" s="291">
        <f>Ruimtestaat[[#This Row],[Uitvoeringen weekend]]*Ruimtestaat[[#This Row],[Oppervlak (netto)]]</f>
        <v>0</v>
      </c>
      <c r="AB613" s="291">
        <f>IF(Z613&gt;0,Ruimtestaat[[#This Row],[Prest. (m2 /jaar) weekend]]/Ruimtestaat[[#This Row],[Norm (m2/uur) weekend]],0)</f>
        <v>0</v>
      </c>
      <c r="AC613" s="180">
        <f>Ruimtestaat[[#This Row],[uren / jaar weekend]]*Tariefsopbouw!$D$40</f>
        <v>0</v>
      </c>
      <c r="AD613" s="179">
        <f>Ruimtestaat[[#This Row],[Prest. (m2 /jaar) weekend]]+Ruimtestaat[[#This Row],[Prest. (m2 /jaar) werkdagen]]</f>
        <v>0</v>
      </c>
      <c r="AE613" s="179">
        <f>Ruimtestaat[[#This Row],[uren / jaar weekend]]+Ruimtestaat[[#This Row],[uren / jaar werkdagen]]</f>
        <v>0</v>
      </c>
      <c r="AF613" s="174">
        <f>Ruimtestaat[[#This Row],[kosten / jaar weekend]]+Ruimtestaat[[#This Row],[kosten / jaar werkdagen]]</f>
        <v>0</v>
      </c>
      <c r="AG613" s="174"/>
      <c r="AH613" s="174" t="str">
        <f>IF(Ruimtestaat[[#This Row],[Frequentie werkdagen]]="","",_xlfn.CONCAT(Ruimtestaat[[#This Row],[Ruimte code]],"-",Ruimtestaat[[#This Row],[Frequentie werkdagen]]," ",Ruimtestaat[[#This Row],[Vloer code]]))</f>
        <v/>
      </c>
      <c r="AI613" s="182" t="str">
        <f>_xlfn.IFNA(VLOOKUP($AH613,Programma!$F$3:$G$1101,2,0),"")</f>
        <v/>
      </c>
      <c r="AJ613" s="182" t="str">
        <f>_xlfn.IFNA(VLOOKUP($AH613,Programma!$F$3:$H$1101,3,0),"")</f>
        <v/>
      </c>
      <c r="AK613" s="182" t="str">
        <f>_xlfn.IFNA(VLOOKUP($AH613,Programma!$F$3:$I$1101,4,0),"")</f>
        <v/>
      </c>
      <c r="AL613" s="182" t="str">
        <f>_xlfn.IFNA(VLOOKUP($AH613,Programma!$F$3:$J$1101,5,0),"")</f>
        <v/>
      </c>
      <c r="AM613" s="182" t="str">
        <f>_xlfn.IFNA(VLOOKUP($AH613,Programma!$F$3:$K$1101,6,0),"")</f>
        <v/>
      </c>
      <c r="AN613" s="182" t="str">
        <f>_xlfn.IFNA(VLOOKUP($AH613,Programma!$F$3:$L$1101,7,0),"")</f>
        <v/>
      </c>
      <c r="AO613" s="182" t="str">
        <f>_xlfn.IFNA(VLOOKUP($AH613,Programma!$F$3:$M$1101,8,0),"")</f>
        <v/>
      </c>
      <c r="AP613" s="182" t="str">
        <f>_xlfn.IFNA(VLOOKUP($AH613,Programma!$F$3:$N$1101,9,0),"")</f>
        <v/>
      </c>
      <c r="AQ613" s="182" t="str">
        <f>_xlfn.IFNA(VLOOKUP($AH613,Programma!$F$3:$O$1101,10,0),"")</f>
        <v/>
      </c>
      <c r="AR613" s="182" t="str">
        <f>_xlfn.IFNA(VLOOKUP($AH613,Programma!$F$3:$P$1101,11,0),"")</f>
        <v/>
      </c>
      <c r="AS613" s="182" t="str">
        <f>_xlfn.IFNA(VLOOKUP($AH613,Programma!$F$3:$Q$1101,12,0),"")</f>
        <v/>
      </c>
      <c r="AT613" s="182" t="str">
        <f>_xlfn.IFNA(VLOOKUP($AH613,Programma!$F$3:$R$1101,13,0),"")</f>
        <v/>
      </c>
      <c r="AU613" s="182" t="str">
        <f>_xlfn.IFNA(VLOOKUP($AH613,Programma!$F$3:$S$1101,14,0),"")</f>
        <v/>
      </c>
      <c r="AV613" s="182" t="str">
        <f>_xlfn.IFNA(VLOOKUP($AH613,Programma!$F$3:$T$1101,15,0),"")</f>
        <v/>
      </c>
      <c r="AW613" s="182" t="str">
        <f>_xlfn.IFNA(VLOOKUP($AH613,Programma!$F$3:$U$1101,16,0),"")</f>
        <v/>
      </c>
      <c r="AX613" s="182" t="str">
        <f>_xlfn.IFNA(VLOOKUP($AH613,Programma!$F$3:$V$1101,17,0),"")</f>
        <v/>
      </c>
      <c r="AY613" s="182" t="str">
        <f>_xlfn.IFNA(VLOOKUP($AH613,Programma!$F$3:$W$1101,18,0),"")</f>
        <v/>
      </c>
      <c r="AZ613" s="182" t="str">
        <f>_xlfn.IFNA(VLOOKUP($AH613,Programma!$F$3:$X$1101,19,0),"")</f>
        <v/>
      </c>
      <c r="BA613" s="182" t="str">
        <f>_xlfn.IFNA(VLOOKUP($AH613,Programma!$F$3:$Y$1101,20,0),"")</f>
        <v/>
      </c>
      <c r="BB613" s="182"/>
      <c r="BC613" s="174" t="str">
        <f>IF(Ruimtestaat[[#This Row],[Frequentie weekend]]="","",_xlfn.CONCAT(Ruimtestaat[[#This Row],[Ruimte code]],"-",Ruimtestaat[[#This Row],[Frequentie weekend]]," ",Ruimtestaat[[#This Row],[Vloer code]]))</f>
        <v/>
      </c>
      <c r="BD613" s="182" t="str">
        <f>_xlfn.IFNA(VLOOKUP($BC613,Programma!$F$3:$G$1101,2,0),"")</f>
        <v/>
      </c>
      <c r="BE613" s="182" t="str">
        <f>_xlfn.IFNA(VLOOKUP($BC613,Programma!$F$3:$H$1101,3,0),"")</f>
        <v/>
      </c>
      <c r="BF613" s="182" t="str">
        <f>_xlfn.IFNA(VLOOKUP($BC613,Programma!$F$3:$I$1101,4,0),"")</f>
        <v/>
      </c>
      <c r="BG613" s="182" t="str">
        <f>_xlfn.IFNA(VLOOKUP($BC613,Programma!$F$3:$J$1101,5,0),"")</f>
        <v/>
      </c>
      <c r="BH613" s="182" t="str">
        <f>_xlfn.IFNA(VLOOKUP($BC613,Programma!$F$3:$K$1101,6,0),"")</f>
        <v/>
      </c>
      <c r="BI613" s="182" t="str">
        <f>_xlfn.IFNA(VLOOKUP($BC613,Programma!$F$3:$L$1101,7,0),"")</f>
        <v/>
      </c>
      <c r="BJ613" s="182" t="str">
        <f>_xlfn.IFNA(VLOOKUP($BC613,Programma!$F$3:$M$1101,8,0),"")</f>
        <v/>
      </c>
      <c r="BK613" s="182" t="str">
        <f>_xlfn.IFNA(VLOOKUP($BC613,Programma!$F$3:$N$1101,9,0),"")</f>
        <v/>
      </c>
      <c r="BL613" s="182" t="str">
        <f>_xlfn.IFNA(VLOOKUP($BC613,Programma!$F$3:$O$1101,10,0),"")</f>
        <v/>
      </c>
      <c r="BM613" s="182" t="str">
        <f>_xlfn.IFNA(VLOOKUP($BC613,Programma!$F$3:$P$1101,11,0),"")</f>
        <v/>
      </c>
      <c r="BN613" s="182" t="str">
        <f>_xlfn.IFNA(VLOOKUP($BC613,Programma!$F$3:$Q$1101,12,0),"")</f>
        <v/>
      </c>
      <c r="BO613" s="182" t="str">
        <f>_xlfn.IFNA(VLOOKUP($BC613,Programma!$F$3:$R$1101,13,0),"")</f>
        <v/>
      </c>
      <c r="BP613" s="182" t="str">
        <f>_xlfn.IFNA(VLOOKUP($BC613,Programma!$F$3:$S$1101,14,0),"")</f>
        <v/>
      </c>
      <c r="BQ613" s="182" t="str">
        <f>_xlfn.IFNA(VLOOKUP($BC613,Programma!$F$3:$T$1101,15,0),"")</f>
        <v/>
      </c>
      <c r="BR613" s="182" t="str">
        <f>_xlfn.IFNA(VLOOKUP($BC613,Programma!$F$3:$U$1101,16,0),"")</f>
        <v/>
      </c>
      <c r="BS613" s="182" t="str">
        <f>_xlfn.IFNA(VLOOKUP($BC613,Programma!$F$3:$V$1101,17,0),"")</f>
        <v/>
      </c>
      <c r="BT613" s="182" t="str">
        <f>_xlfn.IFNA(VLOOKUP($BC613,Programma!$F$3:$W$1101,18,0),"")</f>
        <v/>
      </c>
      <c r="BU613" s="182" t="str">
        <f>_xlfn.IFNA(VLOOKUP($BC613,Programma!$F$3:$X$1101,19,0),"")</f>
        <v/>
      </c>
      <c r="BV613" s="182" t="str">
        <f>_xlfn.IFNA(VLOOKUP($BC613,Programma!$F$3:$Y$1101,20,0),"")</f>
        <v/>
      </c>
    </row>
    <row r="614" spans="1:74" ht="15" customHeight="1">
      <c r="A614" s="99">
        <v>17</v>
      </c>
      <c r="B614" s="176" t="str">
        <f>VLOOKUP(Ruimtestaat[[#This Row],[Code]],Locaties[[Code]:[Locatie]],2,FALSE)</f>
        <v>ODBS Lonneker</v>
      </c>
      <c r="C614" s="176" t="str">
        <f>VLOOKUP(Ruimtestaat[[#This Row],[Code]],Locaties[[#All],[Code]:[Adres]],4,FALSE)</f>
        <v>Dorpsstraat 104</v>
      </c>
      <c r="D614" s="176" t="str">
        <f>VLOOKUP(Ruimtestaat[[#This Row],[Code]],Locaties[[#All],[Code]:[Postcode]],5,FALSE)</f>
        <v>7524 CK</v>
      </c>
      <c r="E614" s="176" t="str">
        <f>VLOOKUP(Ruimtestaat[[#This Row],[Code]],Locaties[#All],6,FALSE)</f>
        <v>Lonneker</v>
      </c>
      <c r="F614" s="183"/>
      <c r="G614" s="99" t="s">
        <v>1646</v>
      </c>
      <c r="H614" s="99" t="s">
        <v>1673</v>
      </c>
      <c r="I614" s="183" t="s">
        <v>1684</v>
      </c>
      <c r="J614" s="99">
        <v>5</v>
      </c>
      <c r="K614" s="183" t="str">
        <f>VLOOKUP(Ruimtestaat[[#This Row],[Ruimte code]],Ruimtegroepen[[#All],[Code]:[Ruimte omschrijving]],2,FALSE)</f>
        <v>Sanitair</v>
      </c>
      <c r="L614" s="99" t="s">
        <v>101</v>
      </c>
      <c r="M614" s="99" t="s">
        <v>1682</v>
      </c>
      <c r="N614" s="177">
        <v>2.4</v>
      </c>
      <c r="O614" s="177"/>
      <c r="P614" s="178" t="str">
        <f>VLOOKUP(Ruimtestaat[[#This Row],[Ruimte code]],Ruimtegroepen[],4,FALSE)</f>
        <v>Sa</v>
      </c>
      <c r="Q614" s="149">
        <v>40</v>
      </c>
      <c r="R614" s="149" t="s">
        <v>2</v>
      </c>
      <c r="S614" s="285">
        <f>IF(Q614&gt;0,IF(RIGHT(Ruimtestaat[[#This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4" s="286">
        <f>IF(S614&gt;0,VLOOKUP($J614,Ruimtegroepen[],3,FALSE)*VLOOKUP($L614,Vloersoorten[],3,FALSE)*VLOOKUP($R614,Frequenties[],3,FALSE)*VLOOKUP($A614,Locaties[],3,FALSE),0)</f>
        <v>0</v>
      </c>
      <c r="U614" s="287">
        <f>Ruimtestaat[[#This Row],[Uitvoeringen werkdagen]]*Ruimtestaat[[#This Row],[Oppervlak (netto)]]</f>
        <v>480</v>
      </c>
      <c r="V614" s="288">
        <f>IF(T614&gt;0,Ruimtestaat[[#This Row],[Prest. (m2 /jaar) werkdagen]]/Ruimtestaat[[#This Row],[Norm (m2/uur) werkdagen]],0)</f>
        <v>0</v>
      </c>
      <c r="W614" s="289">
        <f>Ruimtestaat[[#This Row],[uren / jaar werkdagen]]*Tariefsopbouw!$E$35</f>
        <v>0</v>
      </c>
      <c r="X614" s="226"/>
      <c r="Y614" s="290">
        <f>IF(Ruimtestaat[[#This Row],[Frequentie weekend]]&gt;0,VALUE(LEFT(X614,1))*Q614,0)</f>
        <v>0</v>
      </c>
      <c r="Z614" s="287">
        <f>IF($Y614&gt;0,VLOOKUP($J614,Ruimtegroepen[],3,FALSE)*VLOOKUP($L614,Vloersoorten[],3,FALSE)*VLOOKUP($X614,Frequenties[],3,FALSE)*VLOOKUP(#REF!,Locaties[],3,FALSE),0)</f>
        <v>0</v>
      </c>
      <c r="AA614" s="291">
        <f>Ruimtestaat[[#This Row],[Uitvoeringen weekend]]*Ruimtestaat[[#This Row],[Oppervlak (netto)]]</f>
        <v>0</v>
      </c>
      <c r="AB614" s="291">
        <f>IF(Z614&gt;0,Ruimtestaat[[#This Row],[Prest. (m2 /jaar) weekend]]/Ruimtestaat[[#This Row],[Norm (m2/uur) weekend]],0)</f>
        <v>0</v>
      </c>
      <c r="AC614" s="180">
        <f>Ruimtestaat[[#This Row],[uren / jaar weekend]]*Tariefsopbouw!$D$40</f>
        <v>0</v>
      </c>
      <c r="AD614" s="179">
        <f>Ruimtestaat[[#This Row],[Prest. (m2 /jaar) weekend]]+Ruimtestaat[[#This Row],[Prest. (m2 /jaar) werkdagen]]</f>
        <v>480</v>
      </c>
      <c r="AE614" s="179">
        <f>Ruimtestaat[[#This Row],[uren / jaar weekend]]+Ruimtestaat[[#This Row],[uren / jaar werkdagen]]</f>
        <v>0</v>
      </c>
      <c r="AF614" s="174">
        <f>Ruimtestaat[[#This Row],[kosten / jaar weekend]]+Ruimtestaat[[#This Row],[kosten / jaar werkdagen]]</f>
        <v>0</v>
      </c>
      <c r="AG614" s="174"/>
      <c r="AH614" s="174" t="str">
        <f>IF(Ruimtestaat[[#This Row],[Frequentie werkdagen]]="","",_xlfn.CONCAT(Ruimtestaat[[#This Row],[Ruimte code]],"-",Ruimtestaat[[#This Row],[Frequentie werkdagen]]," ",Ruimtestaat[[#This Row],[Vloer code]]))</f>
        <v>5-5w S</v>
      </c>
      <c r="AI614" s="182" t="str">
        <f>_xlfn.IFNA(VLOOKUP($AH614,Programma!$F$3:$G$1101,2,0),"")</f>
        <v>_</v>
      </c>
      <c r="AJ614" s="182" t="str">
        <f>_xlfn.IFNA(VLOOKUP($AH614,Programma!$F$3:$H$1101,3,0),"")</f>
        <v>_</v>
      </c>
      <c r="AK614" s="182" t="str">
        <f>_xlfn.IFNA(VLOOKUP($AH614,Programma!$F$3:$I$1101,4,0),"")</f>
        <v>_</v>
      </c>
      <c r="AL614" s="182" t="str">
        <f>_xlfn.IFNA(VLOOKUP($AH614,Programma!$F$3:$J$1101,5,0),"")</f>
        <v>4w</v>
      </c>
      <c r="AM614" s="182" t="str">
        <f>_xlfn.IFNA(VLOOKUP($AH614,Programma!$F$3:$K$1101,6,0),"")</f>
        <v>1w</v>
      </c>
      <c r="AN614" s="182" t="str">
        <f>_xlfn.IFNA(VLOOKUP($AH614,Programma!$F$3:$L$1101,7,0),"")</f>
        <v>_</v>
      </c>
      <c r="AO614" s="182" t="str">
        <f>_xlfn.IFNA(VLOOKUP($AH614,Programma!$F$3:$M$1101,8,0),"")</f>
        <v>_</v>
      </c>
      <c r="AP614" s="182" t="str">
        <f>_xlfn.IFNA(VLOOKUP($AH614,Programma!$F$3:$N$1101,9,0),"")</f>
        <v>_</v>
      </c>
      <c r="AQ614" s="182" t="str">
        <f>_xlfn.IFNA(VLOOKUP($AH614,Programma!$F$3:$O$1101,10,0),"")</f>
        <v>_</v>
      </c>
      <c r="AR614" s="182" t="str">
        <f>_xlfn.IFNA(VLOOKUP($AH614,Programma!$F$3:$P$1101,11,0),"")</f>
        <v>_</v>
      </c>
      <c r="AS614" s="182" t="str">
        <f>_xlfn.IFNA(VLOOKUP($AH614,Programma!$F$3:$Q$1101,12,0),"")</f>
        <v>_</v>
      </c>
      <c r="AT614" s="182" t="str">
        <f>_xlfn.IFNA(VLOOKUP($AH614,Programma!$F$3:$R$1101,13,0),"")</f>
        <v>_</v>
      </c>
      <c r="AU614" s="182" t="str">
        <f>_xlfn.IFNA(VLOOKUP($AH614,Programma!$F$3:$S$1101,14,0),"")</f>
        <v>_</v>
      </c>
      <c r="AV614" s="182" t="str">
        <f>_xlfn.IFNA(VLOOKUP($AH614,Programma!$F$3:$T$1101,15,0),"")</f>
        <v>_</v>
      </c>
      <c r="AW614" s="182" t="str">
        <f>_xlfn.IFNA(VLOOKUP($AH614,Programma!$F$3:$U$1101,16,0),"")</f>
        <v>_</v>
      </c>
      <c r="AX614" s="182" t="str">
        <f>_xlfn.IFNA(VLOOKUP($AH614,Programma!$F$3:$V$1101,17,0),"")</f>
        <v>_</v>
      </c>
      <c r="AY614" s="182" t="str">
        <f>_xlfn.IFNA(VLOOKUP($AH614,Programma!$F$3:$W$1101,18,0),"")</f>
        <v>4w</v>
      </c>
      <c r="AZ614" s="182" t="str">
        <f>_xlfn.IFNA(VLOOKUP($AH614,Programma!$F$3:$X$1101,19,0),"")</f>
        <v>1w</v>
      </c>
      <c r="BA614" s="182" t="str">
        <f>_xlfn.IFNA(VLOOKUP($AH614,Programma!$F$3:$Y$1101,20,0),"")</f>
        <v>_</v>
      </c>
      <c r="BB614" s="182"/>
      <c r="BC614" s="174" t="str">
        <f>IF(Ruimtestaat[[#This Row],[Frequentie weekend]]="","",_xlfn.CONCAT(Ruimtestaat[[#This Row],[Ruimte code]],"-",Ruimtestaat[[#This Row],[Frequentie weekend]]," ",Ruimtestaat[[#This Row],[Vloer code]]))</f>
        <v/>
      </c>
      <c r="BD614" s="182" t="str">
        <f>_xlfn.IFNA(VLOOKUP($BC614,Programma!$F$3:$G$1101,2,0),"")</f>
        <v/>
      </c>
      <c r="BE614" s="182" t="str">
        <f>_xlfn.IFNA(VLOOKUP($BC614,Programma!$F$3:$H$1101,3,0),"")</f>
        <v/>
      </c>
      <c r="BF614" s="182" t="str">
        <f>_xlfn.IFNA(VLOOKUP($BC614,Programma!$F$3:$I$1101,4,0),"")</f>
        <v/>
      </c>
      <c r="BG614" s="182" t="str">
        <f>_xlfn.IFNA(VLOOKUP($BC614,Programma!$F$3:$J$1101,5,0),"")</f>
        <v/>
      </c>
      <c r="BH614" s="182" t="str">
        <f>_xlfn.IFNA(VLOOKUP($BC614,Programma!$F$3:$K$1101,6,0),"")</f>
        <v/>
      </c>
      <c r="BI614" s="182" t="str">
        <f>_xlfn.IFNA(VLOOKUP($BC614,Programma!$F$3:$L$1101,7,0),"")</f>
        <v/>
      </c>
      <c r="BJ614" s="182" t="str">
        <f>_xlfn.IFNA(VLOOKUP($BC614,Programma!$F$3:$M$1101,8,0),"")</f>
        <v/>
      </c>
      <c r="BK614" s="182" t="str">
        <f>_xlfn.IFNA(VLOOKUP($BC614,Programma!$F$3:$N$1101,9,0),"")</f>
        <v/>
      </c>
      <c r="BL614" s="182" t="str">
        <f>_xlfn.IFNA(VLOOKUP($BC614,Programma!$F$3:$O$1101,10,0),"")</f>
        <v/>
      </c>
      <c r="BM614" s="182" t="str">
        <f>_xlfn.IFNA(VLOOKUP($BC614,Programma!$F$3:$P$1101,11,0),"")</f>
        <v/>
      </c>
      <c r="BN614" s="182" t="str">
        <f>_xlfn.IFNA(VLOOKUP($BC614,Programma!$F$3:$Q$1101,12,0),"")</f>
        <v/>
      </c>
      <c r="BO614" s="182" t="str">
        <f>_xlfn.IFNA(VLOOKUP($BC614,Programma!$F$3:$R$1101,13,0),"")</f>
        <v/>
      </c>
      <c r="BP614" s="182" t="str">
        <f>_xlfn.IFNA(VLOOKUP($BC614,Programma!$F$3:$S$1101,14,0),"")</f>
        <v/>
      </c>
      <c r="BQ614" s="182" t="str">
        <f>_xlfn.IFNA(VLOOKUP($BC614,Programma!$F$3:$T$1101,15,0),"")</f>
        <v/>
      </c>
      <c r="BR614" s="182" t="str">
        <f>_xlfn.IFNA(VLOOKUP($BC614,Programma!$F$3:$U$1101,16,0),"")</f>
        <v/>
      </c>
      <c r="BS614" s="182" t="str">
        <f>_xlfn.IFNA(VLOOKUP($BC614,Programma!$F$3:$V$1101,17,0),"")</f>
        <v/>
      </c>
      <c r="BT614" s="182" t="str">
        <f>_xlfn.IFNA(VLOOKUP($BC614,Programma!$F$3:$W$1101,18,0),"")</f>
        <v/>
      </c>
      <c r="BU614" s="182" t="str">
        <f>_xlfn.IFNA(VLOOKUP($BC614,Programma!$F$3:$X$1101,19,0),"")</f>
        <v/>
      </c>
      <c r="BV614" s="182" t="str">
        <f>_xlfn.IFNA(VLOOKUP($BC614,Programma!$F$3:$Y$1101,20,0),"")</f>
        <v/>
      </c>
    </row>
    <row r="615" spans="1:74" ht="15" customHeight="1">
      <c r="A615" s="99">
        <v>17</v>
      </c>
      <c r="B615" s="176" t="str">
        <f>VLOOKUP(Ruimtestaat[[#This Row],[Code]],Locaties[[Code]:[Locatie]],2,FALSE)</f>
        <v>ODBS Lonneker</v>
      </c>
      <c r="C615" s="176" t="str">
        <f>VLOOKUP(Ruimtestaat[[#This Row],[Code]],Locaties[[#All],[Code]:[Adres]],4,FALSE)</f>
        <v>Dorpsstraat 104</v>
      </c>
      <c r="D615" s="176" t="str">
        <f>VLOOKUP(Ruimtestaat[[#This Row],[Code]],Locaties[[#All],[Code]:[Postcode]],5,FALSE)</f>
        <v>7524 CK</v>
      </c>
      <c r="E615" s="176" t="str">
        <f>VLOOKUP(Ruimtestaat[[#This Row],[Code]],Locaties[#All],6,FALSE)</f>
        <v>Lonneker</v>
      </c>
      <c r="F615" s="183"/>
      <c r="G615" s="99" t="s">
        <v>1646</v>
      </c>
      <c r="H615" s="99" t="s">
        <v>1674</v>
      </c>
      <c r="I615" s="183" t="s">
        <v>1684</v>
      </c>
      <c r="J615" s="99">
        <v>5</v>
      </c>
      <c r="K615" s="183" t="str">
        <f>VLOOKUP(Ruimtestaat[[#This Row],[Ruimte code]],Ruimtegroepen[[#All],[Code]:[Ruimte omschrijving]],2,FALSE)</f>
        <v>Sanitair</v>
      </c>
      <c r="L615" s="99" t="s">
        <v>101</v>
      </c>
      <c r="M615" s="99" t="s">
        <v>1682</v>
      </c>
      <c r="N615" s="177">
        <v>4.5999999999999996</v>
      </c>
      <c r="O615" s="177"/>
      <c r="P615" s="178" t="str">
        <f>VLOOKUP(Ruimtestaat[[#This Row],[Ruimte code]],Ruimtegroepen[],4,FALSE)</f>
        <v>Sa</v>
      </c>
      <c r="Q615" s="149">
        <v>40</v>
      </c>
      <c r="R615" s="149" t="s">
        <v>2</v>
      </c>
      <c r="S615" s="285">
        <f>IF(Q615&gt;0,IF(RIGHT(Ruimtestaat[[#This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5" s="286">
        <f>IF(S615&gt;0,VLOOKUP($J615,Ruimtegroepen[],3,FALSE)*VLOOKUP($L615,Vloersoorten[],3,FALSE)*VLOOKUP($R615,Frequenties[],3,FALSE)*VLOOKUP($A615,Locaties[],3,FALSE),0)</f>
        <v>0</v>
      </c>
      <c r="U615" s="287">
        <f>Ruimtestaat[[#This Row],[Uitvoeringen werkdagen]]*Ruimtestaat[[#This Row],[Oppervlak (netto)]]</f>
        <v>919.99999999999989</v>
      </c>
      <c r="V615" s="288">
        <f>IF(T615&gt;0,Ruimtestaat[[#This Row],[Prest. (m2 /jaar) werkdagen]]/Ruimtestaat[[#This Row],[Norm (m2/uur) werkdagen]],0)</f>
        <v>0</v>
      </c>
      <c r="W615" s="289">
        <f>Ruimtestaat[[#This Row],[uren / jaar werkdagen]]*Tariefsopbouw!$E$35</f>
        <v>0</v>
      </c>
      <c r="X615" s="226"/>
      <c r="Y615" s="290">
        <f>IF(Ruimtestaat[[#This Row],[Frequentie weekend]]&gt;0,VALUE(LEFT(X615,1))*Q615,0)</f>
        <v>0</v>
      </c>
      <c r="Z615" s="287">
        <f>IF($Y615&gt;0,VLOOKUP($J615,Ruimtegroepen[],3,FALSE)*VLOOKUP($L615,Vloersoorten[],3,FALSE)*VLOOKUP($X615,Frequenties[],3,FALSE)*VLOOKUP(#REF!,Locaties[],3,FALSE),0)</f>
        <v>0</v>
      </c>
      <c r="AA615" s="291">
        <f>Ruimtestaat[[#This Row],[Uitvoeringen weekend]]*Ruimtestaat[[#This Row],[Oppervlak (netto)]]</f>
        <v>0</v>
      </c>
      <c r="AB615" s="291">
        <f>IF(Z615&gt;0,Ruimtestaat[[#This Row],[Prest. (m2 /jaar) weekend]]/Ruimtestaat[[#This Row],[Norm (m2/uur) weekend]],0)</f>
        <v>0</v>
      </c>
      <c r="AC615" s="180">
        <f>Ruimtestaat[[#This Row],[uren / jaar weekend]]*Tariefsopbouw!$D$40</f>
        <v>0</v>
      </c>
      <c r="AD615" s="179">
        <f>Ruimtestaat[[#This Row],[Prest. (m2 /jaar) weekend]]+Ruimtestaat[[#This Row],[Prest. (m2 /jaar) werkdagen]]</f>
        <v>919.99999999999989</v>
      </c>
      <c r="AE615" s="179">
        <f>Ruimtestaat[[#This Row],[uren / jaar weekend]]+Ruimtestaat[[#This Row],[uren / jaar werkdagen]]</f>
        <v>0</v>
      </c>
      <c r="AF615" s="174">
        <f>Ruimtestaat[[#This Row],[kosten / jaar weekend]]+Ruimtestaat[[#This Row],[kosten / jaar werkdagen]]</f>
        <v>0</v>
      </c>
      <c r="AG615" s="174"/>
      <c r="AH615" s="174" t="str">
        <f>IF(Ruimtestaat[[#This Row],[Frequentie werkdagen]]="","",_xlfn.CONCAT(Ruimtestaat[[#This Row],[Ruimte code]],"-",Ruimtestaat[[#This Row],[Frequentie werkdagen]]," ",Ruimtestaat[[#This Row],[Vloer code]]))</f>
        <v>5-5w S</v>
      </c>
      <c r="AI615" s="182" t="str">
        <f>_xlfn.IFNA(VLOOKUP($AH615,Programma!$F$3:$G$1101,2,0),"")</f>
        <v>_</v>
      </c>
      <c r="AJ615" s="182" t="str">
        <f>_xlfn.IFNA(VLOOKUP($AH615,Programma!$F$3:$H$1101,3,0),"")</f>
        <v>_</v>
      </c>
      <c r="AK615" s="182" t="str">
        <f>_xlfn.IFNA(VLOOKUP($AH615,Programma!$F$3:$I$1101,4,0),"")</f>
        <v>_</v>
      </c>
      <c r="AL615" s="182" t="str">
        <f>_xlfn.IFNA(VLOOKUP($AH615,Programma!$F$3:$J$1101,5,0),"")</f>
        <v>4w</v>
      </c>
      <c r="AM615" s="182" t="str">
        <f>_xlfn.IFNA(VLOOKUP($AH615,Programma!$F$3:$K$1101,6,0),"")</f>
        <v>1w</v>
      </c>
      <c r="AN615" s="182" t="str">
        <f>_xlfn.IFNA(VLOOKUP($AH615,Programma!$F$3:$L$1101,7,0),"")</f>
        <v>_</v>
      </c>
      <c r="AO615" s="182" t="str">
        <f>_xlfn.IFNA(VLOOKUP($AH615,Programma!$F$3:$M$1101,8,0),"")</f>
        <v>_</v>
      </c>
      <c r="AP615" s="182" t="str">
        <f>_xlfn.IFNA(VLOOKUP($AH615,Programma!$F$3:$N$1101,9,0),"")</f>
        <v>_</v>
      </c>
      <c r="AQ615" s="182" t="str">
        <f>_xlfn.IFNA(VLOOKUP($AH615,Programma!$F$3:$O$1101,10,0),"")</f>
        <v>_</v>
      </c>
      <c r="AR615" s="182" t="str">
        <f>_xlfn.IFNA(VLOOKUP($AH615,Programma!$F$3:$P$1101,11,0),"")</f>
        <v>_</v>
      </c>
      <c r="AS615" s="182" t="str">
        <f>_xlfn.IFNA(VLOOKUP($AH615,Programma!$F$3:$Q$1101,12,0),"")</f>
        <v>_</v>
      </c>
      <c r="AT615" s="182" t="str">
        <f>_xlfn.IFNA(VLOOKUP($AH615,Programma!$F$3:$R$1101,13,0),"")</f>
        <v>_</v>
      </c>
      <c r="AU615" s="182" t="str">
        <f>_xlfn.IFNA(VLOOKUP($AH615,Programma!$F$3:$S$1101,14,0),"")</f>
        <v>_</v>
      </c>
      <c r="AV615" s="182" t="str">
        <f>_xlfn.IFNA(VLOOKUP($AH615,Programma!$F$3:$T$1101,15,0),"")</f>
        <v>_</v>
      </c>
      <c r="AW615" s="182" t="str">
        <f>_xlfn.IFNA(VLOOKUP($AH615,Programma!$F$3:$U$1101,16,0),"")</f>
        <v>_</v>
      </c>
      <c r="AX615" s="182" t="str">
        <f>_xlfn.IFNA(VLOOKUP($AH615,Programma!$F$3:$V$1101,17,0),"")</f>
        <v>_</v>
      </c>
      <c r="AY615" s="182" t="str">
        <f>_xlfn.IFNA(VLOOKUP($AH615,Programma!$F$3:$W$1101,18,0),"")</f>
        <v>4w</v>
      </c>
      <c r="AZ615" s="182" t="str">
        <f>_xlfn.IFNA(VLOOKUP($AH615,Programma!$F$3:$X$1101,19,0),"")</f>
        <v>1w</v>
      </c>
      <c r="BA615" s="182" t="str">
        <f>_xlfn.IFNA(VLOOKUP($AH615,Programma!$F$3:$Y$1101,20,0),"")</f>
        <v>_</v>
      </c>
      <c r="BB615" s="182"/>
      <c r="BC615" s="174" t="str">
        <f>IF(Ruimtestaat[[#This Row],[Frequentie weekend]]="","",_xlfn.CONCAT(Ruimtestaat[[#This Row],[Ruimte code]],"-",Ruimtestaat[[#This Row],[Frequentie weekend]]," ",Ruimtestaat[[#This Row],[Vloer code]]))</f>
        <v/>
      </c>
      <c r="BD615" s="182" t="str">
        <f>_xlfn.IFNA(VLOOKUP($BC615,Programma!$F$3:$G$1101,2,0),"")</f>
        <v/>
      </c>
      <c r="BE615" s="182" t="str">
        <f>_xlfn.IFNA(VLOOKUP($BC615,Programma!$F$3:$H$1101,3,0),"")</f>
        <v/>
      </c>
      <c r="BF615" s="182" t="str">
        <f>_xlfn.IFNA(VLOOKUP($BC615,Programma!$F$3:$I$1101,4,0),"")</f>
        <v/>
      </c>
      <c r="BG615" s="182" t="str">
        <f>_xlfn.IFNA(VLOOKUP($BC615,Programma!$F$3:$J$1101,5,0),"")</f>
        <v/>
      </c>
      <c r="BH615" s="182" t="str">
        <f>_xlfn.IFNA(VLOOKUP($BC615,Programma!$F$3:$K$1101,6,0),"")</f>
        <v/>
      </c>
      <c r="BI615" s="182" t="str">
        <f>_xlfn.IFNA(VLOOKUP($BC615,Programma!$F$3:$L$1101,7,0),"")</f>
        <v/>
      </c>
      <c r="BJ615" s="182" t="str">
        <f>_xlfn.IFNA(VLOOKUP($BC615,Programma!$F$3:$M$1101,8,0),"")</f>
        <v/>
      </c>
      <c r="BK615" s="182" t="str">
        <f>_xlfn.IFNA(VLOOKUP($BC615,Programma!$F$3:$N$1101,9,0),"")</f>
        <v/>
      </c>
      <c r="BL615" s="182" t="str">
        <f>_xlfn.IFNA(VLOOKUP($BC615,Programma!$F$3:$O$1101,10,0),"")</f>
        <v/>
      </c>
      <c r="BM615" s="182" t="str">
        <f>_xlfn.IFNA(VLOOKUP($BC615,Programma!$F$3:$P$1101,11,0),"")</f>
        <v/>
      </c>
      <c r="BN615" s="182" t="str">
        <f>_xlfn.IFNA(VLOOKUP($BC615,Programma!$F$3:$Q$1101,12,0),"")</f>
        <v/>
      </c>
      <c r="BO615" s="182" t="str">
        <f>_xlfn.IFNA(VLOOKUP($BC615,Programma!$F$3:$R$1101,13,0),"")</f>
        <v/>
      </c>
      <c r="BP615" s="182" t="str">
        <f>_xlfn.IFNA(VLOOKUP($BC615,Programma!$F$3:$S$1101,14,0),"")</f>
        <v/>
      </c>
      <c r="BQ615" s="182" t="str">
        <f>_xlfn.IFNA(VLOOKUP($BC615,Programma!$F$3:$T$1101,15,0),"")</f>
        <v/>
      </c>
      <c r="BR615" s="182" t="str">
        <f>_xlfn.IFNA(VLOOKUP($BC615,Programma!$F$3:$U$1101,16,0),"")</f>
        <v/>
      </c>
      <c r="BS615" s="182" t="str">
        <f>_xlfn.IFNA(VLOOKUP($BC615,Programma!$F$3:$V$1101,17,0),"")</f>
        <v/>
      </c>
      <c r="BT615" s="182" t="str">
        <f>_xlfn.IFNA(VLOOKUP($BC615,Programma!$F$3:$W$1101,18,0),"")</f>
        <v/>
      </c>
      <c r="BU615" s="182" t="str">
        <f>_xlfn.IFNA(VLOOKUP($BC615,Programma!$F$3:$X$1101,19,0),"")</f>
        <v/>
      </c>
      <c r="BV615" s="182" t="str">
        <f>_xlfn.IFNA(VLOOKUP($BC615,Programma!$F$3:$Y$1101,20,0),"")</f>
        <v/>
      </c>
    </row>
    <row r="616" spans="1:74" ht="15" customHeight="1">
      <c r="A616" s="99">
        <v>17</v>
      </c>
      <c r="B616" s="176" t="str">
        <f>VLOOKUP(Ruimtestaat[[#This Row],[Code]],Locaties[[Code]:[Locatie]],2,FALSE)</f>
        <v>ODBS Lonneker</v>
      </c>
      <c r="C616" s="176" t="str">
        <f>VLOOKUP(Ruimtestaat[[#This Row],[Code]],Locaties[[#All],[Code]:[Adres]],4,FALSE)</f>
        <v>Dorpsstraat 104</v>
      </c>
      <c r="D616" s="176" t="str">
        <f>VLOOKUP(Ruimtestaat[[#This Row],[Code]],Locaties[[#All],[Code]:[Postcode]],5,FALSE)</f>
        <v>7524 CK</v>
      </c>
      <c r="E616" s="176" t="str">
        <f>VLOOKUP(Ruimtestaat[[#This Row],[Code]],Locaties[#All],6,FALSE)</f>
        <v>Lonneker</v>
      </c>
      <c r="F616" s="183"/>
      <c r="G616" s="99" t="s">
        <v>1646</v>
      </c>
      <c r="H616" s="99" t="s">
        <v>1675</v>
      </c>
      <c r="I616" s="183" t="s">
        <v>1688</v>
      </c>
      <c r="J616" s="99">
        <v>16</v>
      </c>
      <c r="K616" s="183" t="str">
        <f>VLOOKUP(Ruimtestaat[[#This Row],[Ruimte code]],Ruimtegroepen[[#All],[Code]:[Ruimte omschrijving]],2,FALSE)</f>
        <v>Leslokalen</v>
      </c>
      <c r="L616" s="99" t="s">
        <v>100</v>
      </c>
      <c r="M616" s="99" t="s">
        <v>1697</v>
      </c>
      <c r="N616" s="177">
        <v>79.599999999999994</v>
      </c>
      <c r="O616" s="177"/>
      <c r="P616" s="178" t="str">
        <f>VLOOKUP(Ruimtestaat[[#This Row],[Ruimte code]],Ruimtegroepen[],4,FALSE)</f>
        <v>Le</v>
      </c>
      <c r="Q616" s="149">
        <v>40</v>
      </c>
      <c r="R616" s="149" t="s">
        <v>2</v>
      </c>
      <c r="S616" s="285">
        <f>IF(Q616&gt;0,IF(RIGHT(Ruimtestaat[[#This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6" s="286">
        <f>IF(S616&gt;0,VLOOKUP($J616,Ruimtegroepen[],3,FALSE)*VLOOKUP($L616,Vloersoorten[],3,FALSE)*VLOOKUP($R616,Frequenties[],3,FALSE)*VLOOKUP($A616,Locaties[],3,FALSE),0)</f>
        <v>0</v>
      </c>
      <c r="U616" s="287">
        <f>Ruimtestaat[[#This Row],[Uitvoeringen werkdagen]]*Ruimtestaat[[#This Row],[Oppervlak (netto)]]</f>
        <v>15919.999999999998</v>
      </c>
      <c r="V616" s="288">
        <f>IF(T616&gt;0,Ruimtestaat[[#This Row],[Prest. (m2 /jaar) werkdagen]]/Ruimtestaat[[#This Row],[Norm (m2/uur) werkdagen]],0)</f>
        <v>0</v>
      </c>
      <c r="W616" s="289">
        <f>Ruimtestaat[[#This Row],[uren / jaar werkdagen]]*Tariefsopbouw!$E$35</f>
        <v>0</v>
      </c>
      <c r="X616" s="226"/>
      <c r="Y616" s="290">
        <f>IF(Ruimtestaat[[#This Row],[Frequentie weekend]]&gt;0,VALUE(LEFT(X616,1))*Q616,0)</f>
        <v>0</v>
      </c>
      <c r="Z616" s="287">
        <f>IF($Y616&gt;0,VLOOKUP($J616,Ruimtegroepen[],3,FALSE)*VLOOKUP($L616,Vloersoorten[],3,FALSE)*VLOOKUP($X616,Frequenties[],3,FALSE)*VLOOKUP(#REF!,Locaties[],3,FALSE),0)</f>
        <v>0</v>
      </c>
      <c r="AA616" s="291">
        <f>Ruimtestaat[[#This Row],[Uitvoeringen weekend]]*Ruimtestaat[[#This Row],[Oppervlak (netto)]]</f>
        <v>0</v>
      </c>
      <c r="AB616" s="291">
        <f>IF(Z616&gt;0,Ruimtestaat[[#This Row],[Prest. (m2 /jaar) weekend]]/Ruimtestaat[[#This Row],[Norm (m2/uur) weekend]],0)</f>
        <v>0</v>
      </c>
      <c r="AC616" s="180">
        <f>Ruimtestaat[[#This Row],[uren / jaar weekend]]*Tariefsopbouw!$D$40</f>
        <v>0</v>
      </c>
      <c r="AD616" s="179">
        <f>Ruimtestaat[[#This Row],[Prest. (m2 /jaar) weekend]]+Ruimtestaat[[#This Row],[Prest. (m2 /jaar) werkdagen]]</f>
        <v>15919.999999999998</v>
      </c>
      <c r="AE616" s="179">
        <f>Ruimtestaat[[#This Row],[uren / jaar weekend]]+Ruimtestaat[[#This Row],[uren / jaar werkdagen]]</f>
        <v>0</v>
      </c>
      <c r="AF616" s="174">
        <f>Ruimtestaat[[#This Row],[kosten / jaar weekend]]+Ruimtestaat[[#This Row],[kosten / jaar werkdagen]]</f>
        <v>0</v>
      </c>
      <c r="AG616" s="174"/>
      <c r="AH616" s="174" t="str">
        <f>IF(Ruimtestaat[[#This Row],[Frequentie werkdagen]]="","",_xlfn.CONCAT(Ruimtestaat[[#This Row],[Ruimte code]],"-",Ruimtestaat[[#This Row],[Frequentie werkdagen]]," ",Ruimtestaat[[#This Row],[Vloer code]]))</f>
        <v>16-5w L</v>
      </c>
      <c r="AI616" s="182" t="str">
        <f>_xlfn.IFNA(VLOOKUP($AH616,Programma!$F$3:$G$1101,2,0),"")</f>
        <v>_</v>
      </c>
      <c r="AJ616" s="182" t="str">
        <f>_xlfn.IFNA(VLOOKUP($AH616,Programma!$F$3:$H$1101,3,0),"")</f>
        <v>_</v>
      </c>
      <c r="AK616" s="182" t="str">
        <f>_xlfn.IFNA(VLOOKUP($AH616,Programma!$F$3:$I$1101,4,0),"")</f>
        <v>4w</v>
      </c>
      <c r="AL616" s="182" t="str">
        <f>_xlfn.IFNA(VLOOKUP($AH616,Programma!$F$3:$J$1101,5,0),"")</f>
        <v>1w</v>
      </c>
      <c r="AM616" s="182" t="str">
        <f>_xlfn.IFNA(VLOOKUP($AH616,Programma!$F$3:$K$1101,6,0),"")</f>
        <v>_</v>
      </c>
      <c r="AN616" s="182" t="str">
        <f>_xlfn.IFNA(VLOOKUP($AH616,Programma!$F$3:$L$1101,7,0),"")</f>
        <v>_</v>
      </c>
      <c r="AO616" s="182" t="str">
        <f>_xlfn.IFNA(VLOOKUP($AH616,Programma!$F$3:$M$1101,8,0),"")</f>
        <v>_</v>
      </c>
      <c r="AP616" s="182" t="str">
        <f>_xlfn.IFNA(VLOOKUP($AH616,Programma!$F$3:$N$1101,9,0),"")</f>
        <v>_</v>
      </c>
      <c r="AQ616" s="182" t="str">
        <f>_xlfn.IFNA(VLOOKUP($AH616,Programma!$F$3:$O$1101,10,0),"")</f>
        <v>5w</v>
      </c>
      <c r="AR616" s="182" t="str">
        <f>_xlfn.IFNA(VLOOKUP($AH616,Programma!$F$3:$P$1101,11,0),"")</f>
        <v>5w</v>
      </c>
      <c r="AS616" s="182" t="str">
        <f>_xlfn.IFNA(VLOOKUP($AH616,Programma!$F$3:$Q$1101,12,0),"")</f>
        <v>1w</v>
      </c>
      <c r="AT616" s="182" t="str">
        <f>_xlfn.IFNA(VLOOKUP($AH616,Programma!$F$3:$R$1101,13,0),"")</f>
        <v>1w</v>
      </c>
      <c r="AU616" s="182" t="str">
        <f>_xlfn.IFNA(VLOOKUP($AH616,Programma!$F$3:$S$1101,14,0),"")</f>
        <v>1m</v>
      </c>
      <c r="AV616" s="182" t="str">
        <f>_xlfn.IFNA(VLOOKUP($AH616,Programma!$F$3:$T$1101,15,0),"")</f>
        <v>2j</v>
      </c>
      <c r="AW616" s="182" t="str">
        <f>_xlfn.IFNA(VLOOKUP($AH616,Programma!$F$3:$U$1101,16,0),"")</f>
        <v>1j</v>
      </c>
      <c r="AX616" s="182" t="str">
        <f>_xlfn.IFNA(VLOOKUP($AH616,Programma!$F$3:$V$1101,17,0),"")</f>
        <v>_</v>
      </c>
      <c r="AY616" s="182" t="str">
        <f>_xlfn.IFNA(VLOOKUP($AH616,Programma!$F$3:$W$1101,18,0),"")</f>
        <v>_</v>
      </c>
      <c r="AZ616" s="182" t="str">
        <f>_xlfn.IFNA(VLOOKUP($AH616,Programma!$F$3:$X$1101,19,0),"")</f>
        <v>_</v>
      </c>
      <c r="BA616" s="182" t="str">
        <f>_xlfn.IFNA(VLOOKUP($AH616,Programma!$F$3:$Y$1101,20,0),"")</f>
        <v>_</v>
      </c>
      <c r="BB616" s="182"/>
      <c r="BC616" s="174" t="str">
        <f>IF(Ruimtestaat[[#This Row],[Frequentie weekend]]="","",_xlfn.CONCAT(Ruimtestaat[[#This Row],[Ruimte code]],"-",Ruimtestaat[[#This Row],[Frequentie weekend]]," ",Ruimtestaat[[#This Row],[Vloer code]]))</f>
        <v/>
      </c>
      <c r="BD616" s="182" t="str">
        <f>_xlfn.IFNA(VLOOKUP($BC616,Programma!$F$3:$G$1101,2,0),"")</f>
        <v/>
      </c>
      <c r="BE616" s="182" t="str">
        <f>_xlfn.IFNA(VLOOKUP($BC616,Programma!$F$3:$H$1101,3,0),"")</f>
        <v/>
      </c>
      <c r="BF616" s="182" t="str">
        <f>_xlfn.IFNA(VLOOKUP($BC616,Programma!$F$3:$I$1101,4,0),"")</f>
        <v/>
      </c>
      <c r="BG616" s="182" t="str">
        <f>_xlfn.IFNA(VLOOKUP($BC616,Programma!$F$3:$J$1101,5,0),"")</f>
        <v/>
      </c>
      <c r="BH616" s="182" t="str">
        <f>_xlfn.IFNA(VLOOKUP($BC616,Programma!$F$3:$K$1101,6,0),"")</f>
        <v/>
      </c>
      <c r="BI616" s="182" t="str">
        <f>_xlfn.IFNA(VLOOKUP($BC616,Programma!$F$3:$L$1101,7,0),"")</f>
        <v/>
      </c>
      <c r="BJ616" s="182" t="str">
        <f>_xlfn.IFNA(VLOOKUP($BC616,Programma!$F$3:$M$1101,8,0),"")</f>
        <v/>
      </c>
      <c r="BK616" s="182" t="str">
        <f>_xlfn.IFNA(VLOOKUP($BC616,Programma!$F$3:$N$1101,9,0),"")</f>
        <v/>
      </c>
      <c r="BL616" s="182" t="str">
        <f>_xlfn.IFNA(VLOOKUP($BC616,Programma!$F$3:$O$1101,10,0),"")</f>
        <v/>
      </c>
      <c r="BM616" s="182" t="str">
        <f>_xlfn.IFNA(VLOOKUP($BC616,Programma!$F$3:$P$1101,11,0),"")</f>
        <v/>
      </c>
      <c r="BN616" s="182" t="str">
        <f>_xlfn.IFNA(VLOOKUP($BC616,Programma!$F$3:$Q$1101,12,0),"")</f>
        <v/>
      </c>
      <c r="BO616" s="182" t="str">
        <f>_xlfn.IFNA(VLOOKUP($BC616,Programma!$F$3:$R$1101,13,0),"")</f>
        <v/>
      </c>
      <c r="BP616" s="182" t="str">
        <f>_xlfn.IFNA(VLOOKUP($BC616,Programma!$F$3:$S$1101,14,0),"")</f>
        <v/>
      </c>
      <c r="BQ616" s="182" t="str">
        <f>_xlfn.IFNA(VLOOKUP($BC616,Programma!$F$3:$T$1101,15,0),"")</f>
        <v/>
      </c>
      <c r="BR616" s="182" t="str">
        <f>_xlfn.IFNA(VLOOKUP($BC616,Programma!$F$3:$U$1101,16,0),"")</f>
        <v/>
      </c>
      <c r="BS616" s="182" t="str">
        <f>_xlfn.IFNA(VLOOKUP($BC616,Programma!$F$3:$V$1101,17,0),"")</f>
        <v/>
      </c>
      <c r="BT616" s="182" t="str">
        <f>_xlfn.IFNA(VLOOKUP($BC616,Programma!$F$3:$W$1101,18,0),"")</f>
        <v/>
      </c>
      <c r="BU616" s="182" t="str">
        <f>_xlfn.IFNA(VLOOKUP($BC616,Programma!$F$3:$X$1101,19,0),"")</f>
        <v/>
      </c>
      <c r="BV616" s="182" t="str">
        <f>_xlfn.IFNA(VLOOKUP($BC616,Programma!$F$3:$Y$1101,20,0),"")</f>
        <v/>
      </c>
    </row>
    <row r="617" spans="1:74" ht="15" customHeight="1">
      <c r="A617" s="99">
        <v>17</v>
      </c>
      <c r="B617" s="176" t="str">
        <f>VLOOKUP(Ruimtestaat[[#This Row],[Code]],Locaties[[Code]:[Locatie]],2,FALSE)</f>
        <v>ODBS Lonneker</v>
      </c>
      <c r="C617" s="176" t="str">
        <f>VLOOKUP(Ruimtestaat[[#This Row],[Code]],Locaties[[#All],[Code]:[Adres]],4,FALSE)</f>
        <v>Dorpsstraat 104</v>
      </c>
      <c r="D617" s="176" t="str">
        <f>VLOOKUP(Ruimtestaat[[#This Row],[Code]],Locaties[[#All],[Code]:[Postcode]],5,FALSE)</f>
        <v>7524 CK</v>
      </c>
      <c r="E617" s="176" t="str">
        <f>VLOOKUP(Ruimtestaat[[#This Row],[Code]],Locaties[#All],6,FALSE)</f>
        <v>Lonneker</v>
      </c>
      <c r="F617" s="183"/>
      <c r="G617" s="99" t="s">
        <v>1646</v>
      </c>
      <c r="H617" s="99" t="s">
        <v>1676</v>
      </c>
      <c r="I617" s="183" t="s">
        <v>1683</v>
      </c>
      <c r="J617" s="99">
        <v>20</v>
      </c>
      <c r="K617" s="183" t="str">
        <f>VLOOKUP(Ruimtestaat[[#This Row],[Ruimte code]],Ruimtegroepen[[#All],[Code]:[Ruimte omschrijving]],2,FALSE)</f>
        <v>Niet in Onderhoud</v>
      </c>
      <c r="L617" s="99" t="s">
        <v>100</v>
      </c>
      <c r="M617" s="99" t="s">
        <v>1697</v>
      </c>
      <c r="N617" s="177"/>
      <c r="O617" s="177">
        <v>7</v>
      </c>
      <c r="P617" s="178">
        <f>VLOOKUP(Ruimtestaat[[#This Row],[Ruimte code]],Ruimtegroepen[],4,FALSE)</f>
        <v>0</v>
      </c>
      <c r="Q617" s="149"/>
      <c r="R617" s="149"/>
      <c r="S617" s="285">
        <f>IF(Q617&gt;0,IF(RIGHT(Ruimtestaat[[#This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17" s="286">
        <f>IF(S617&gt;0,VLOOKUP($J617,Ruimtegroepen[],3,FALSE)*VLOOKUP($L617,Vloersoorten[],3,FALSE)*VLOOKUP($R617,Frequenties[],3,FALSE)*VLOOKUP($A617,Locaties[],3,FALSE),0)</f>
        <v>0</v>
      </c>
      <c r="U617" s="287">
        <f>Ruimtestaat[[#This Row],[Uitvoeringen werkdagen]]*Ruimtestaat[[#This Row],[Oppervlak (netto)]]</f>
        <v>0</v>
      </c>
      <c r="V617" s="288">
        <f>IF(T617&gt;0,Ruimtestaat[[#This Row],[Prest. (m2 /jaar) werkdagen]]/Ruimtestaat[[#This Row],[Norm (m2/uur) werkdagen]],0)</f>
        <v>0</v>
      </c>
      <c r="W617" s="289">
        <f>Ruimtestaat[[#This Row],[uren / jaar werkdagen]]*Tariefsopbouw!$E$35</f>
        <v>0</v>
      </c>
      <c r="X617" s="226"/>
      <c r="Y617" s="290">
        <f>IF(Ruimtestaat[[#This Row],[Frequentie weekend]]&gt;0,VALUE(LEFT(X617,1))*Q617,0)</f>
        <v>0</v>
      </c>
      <c r="Z617" s="287">
        <f>IF($Y617&gt;0,VLOOKUP($J617,Ruimtegroepen[],3,FALSE)*VLOOKUP($L617,Vloersoorten[],3,FALSE)*VLOOKUP($X617,Frequenties[],3,FALSE)*VLOOKUP(#REF!,Locaties[],3,FALSE),0)</f>
        <v>0</v>
      </c>
      <c r="AA617" s="291">
        <f>Ruimtestaat[[#This Row],[Uitvoeringen weekend]]*Ruimtestaat[[#This Row],[Oppervlak (netto)]]</f>
        <v>0</v>
      </c>
      <c r="AB617" s="291">
        <f>IF(Z617&gt;0,Ruimtestaat[[#This Row],[Prest. (m2 /jaar) weekend]]/Ruimtestaat[[#This Row],[Norm (m2/uur) weekend]],0)</f>
        <v>0</v>
      </c>
      <c r="AC617" s="180">
        <f>Ruimtestaat[[#This Row],[uren / jaar weekend]]*Tariefsopbouw!$D$40</f>
        <v>0</v>
      </c>
      <c r="AD617" s="179">
        <f>Ruimtestaat[[#This Row],[Prest. (m2 /jaar) weekend]]+Ruimtestaat[[#This Row],[Prest. (m2 /jaar) werkdagen]]</f>
        <v>0</v>
      </c>
      <c r="AE617" s="179">
        <f>Ruimtestaat[[#This Row],[uren / jaar weekend]]+Ruimtestaat[[#This Row],[uren / jaar werkdagen]]</f>
        <v>0</v>
      </c>
      <c r="AF617" s="174">
        <f>Ruimtestaat[[#This Row],[kosten / jaar weekend]]+Ruimtestaat[[#This Row],[kosten / jaar werkdagen]]</f>
        <v>0</v>
      </c>
      <c r="AG617" s="174"/>
      <c r="AH617" s="174" t="str">
        <f>IF(Ruimtestaat[[#This Row],[Frequentie werkdagen]]="","",_xlfn.CONCAT(Ruimtestaat[[#This Row],[Ruimte code]],"-",Ruimtestaat[[#This Row],[Frequentie werkdagen]]," ",Ruimtestaat[[#This Row],[Vloer code]]))</f>
        <v/>
      </c>
      <c r="AI617" s="182" t="str">
        <f>_xlfn.IFNA(VLOOKUP($AH617,Programma!$F$3:$G$1101,2,0),"")</f>
        <v/>
      </c>
      <c r="AJ617" s="182" t="str">
        <f>_xlfn.IFNA(VLOOKUP($AH617,Programma!$F$3:$H$1101,3,0),"")</f>
        <v/>
      </c>
      <c r="AK617" s="182" t="str">
        <f>_xlfn.IFNA(VLOOKUP($AH617,Programma!$F$3:$I$1101,4,0),"")</f>
        <v/>
      </c>
      <c r="AL617" s="182" t="str">
        <f>_xlfn.IFNA(VLOOKUP($AH617,Programma!$F$3:$J$1101,5,0),"")</f>
        <v/>
      </c>
      <c r="AM617" s="182" t="str">
        <f>_xlfn.IFNA(VLOOKUP($AH617,Programma!$F$3:$K$1101,6,0),"")</f>
        <v/>
      </c>
      <c r="AN617" s="182" t="str">
        <f>_xlfn.IFNA(VLOOKUP($AH617,Programma!$F$3:$L$1101,7,0),"")</f>
        <v/>
      </c>
      <c r="AO617" s="182" t="str">
        <f>_xlfn.IFNA(VLOOKUP($AH617,Programma!$F$3:$M$1101,8,0),"")</f>
        <v/>
      </c>
      <c r="AP617" s="182" t="str">
        <f>_xlfn.IFNA(VLOOKUP($AH617,Programma!$F$3:$N$1101,9,0),"")</f>
        <v/>
      </c>
      <c r="AQ617" s="182" t="str">
        <f>_xlfn.IFNA(VLOOKUP($AH617,Programma!$F$3:$O$1101,10,0),"")</f>
        <v/>
      </c>
      <c r="AR617" s="182" t="str">
        <f>_xlfn.IFNA(VLOOKUP($AH617,Programma!$F$3:$P$1101,11,0),"")</f>
        <v/>
      </c>
      <c r="AS617" s="182" t="str">
        <f>_xlfn.IFNA(VLOOKUP($AH617,Programma!$F$3:$Q$1101,12,0),"")</f>
        <v/>
      </c>
      <c r="AT617" s="182" t="str">
        <f>_xlfn.IFNA(VLOOKUP($AH617,Programma!$F$3:$R$1101,13,0),"")</f>
        <v/>
      </c>
      <c r="AU617" s="182" t="str">
        <f>_xlfn.IFNA(VLOOKUP($AH617,Programma!$F$3:$S$1101,14,0),"")</f>
        <v/>
      </c>
      <c r="AV617" s="182" t="str">
        <f>_xlfn.IFNA(VLOOKUP($AH617,Programma!$F$3:$T$1101,15,0),"")</f>
        <v/>
      </c>
      <c r="AW617" s="182" t="str">
        <f>_xlfn.IFNA(VLOOKUP($AH617,Programma!$F$3:$U$1101,16,0),"")</f>
        <v/>
      </c>
      <c r="AX617" s="182" t="str">
        <f>_xlfn.IFNA(VLOOKUP($AH617,Programma!$F$3:$V$1101,17,0),"")</f>
        <v/>
      </c>
      <c r="AY617" s="182" t="str">
        <f>_xlfn.IFNA(VLOOKUP($AH617,Programma!$F$3:$W$1101,18,0),"")</f>
        <v/>
      </c>
      <c r="AZ617" s="182" t="str">
        <f>_xlfn.IFNA(VLOOKUP($AH617,Programma!$F$3:$X$1101,19,0),"")</f>
        <v/>
      </c>
      <c r="BA617" s="182" t="str">
        <f>_xlfn.IFNA(VLOOKUP($AH617,Programma!$F$3:$Y$1101,20,0),"")</f>
        <v/>
      </c>
      <c r="BB617" s="182"/>
      <c r="BC617" s="174" t="str">
        <f>IF(Ruimtestaat[[#This Row],[Frequentie weekend]]="","",_xlfn.CONCAT(Ruimtestaat[[#This Row],[Ruimte code]],"-",Ruimtestaat[[#This Row],[Frequentie weekend]]," ",Ruimtestaat[[#This Row],[Vloer code]]))</f>
        <v/>
      </c>
      <c r="BD617" s="182" t="str">
        <f>_xlfn.IFNA(VLOOKUP($BC617,Programma!$F$3:$G$1101,2,0),"")</f>
        <v/>
      </c>
      <c r="BE617" s="182" t="str">
        <f>_xlfn.IFNA(VLOOKUP($BC617,Programma!$F$3:$H$1101,3,0),"")</f>
        <v/>
      </c>
      <c r="BF617" s="182" t="str">
        <f>_xlfn.IFNA(VLOOKUP($BC617,Programma!$F$3:$I$1101,4,0),"")</f>
        <v/>
      </c>
      <c r="BG617" s="182" t="str">
        <f>_xlfn.IFNA(VLOOKUP($BC617,Programma!$F$3:$J$1101,5,0),"")</f>
        <v/>
      </c>
      <c r="BH617" s="182" t="str">
        <f>_xlfn.IFNA(VLOOKUP($BC617,Programma!$F$3:$K$1101,6,0),"")</f>
        <v/>
      </c>
      <c r="BI617" s="182" t="str">
        <f>_xlfn.IFNA(VLOOKUP($BC617,Programma!$F$3:$L$1101,7,0),"")</f>
        <v/>
      </c>
      <c r="BJ617" s="182" t="str">
        <f>_xlfn.IFNA(VLOOKUP($BC617,Programma!$F$3:$M$1101,8,0),"")</f>
        <v/>
      </c>
      <c r="BK617" s="182" t="str">
        <f>_xlfn.IFNA(VLOOKUP($BC617,Programma!$F$3:$N$1101,9,0),"")</f>
        <v/>
      </c>
      <c r="BL617" s="182" t="str">
        <f>_xlfn.IFNA(VLOOKUP($BC617,Programma!$F$3:$O$1101,10,0),"")</f>
        <v/>
      </c>
      <c r="BM617" s="182" t="str">
        <f>_xlfn.IFNA(VLOOKUP($BC617,Programma!$F$3:$P$1101,11,0),"")</f>
        <v/>
      </c>
      <c r="BN617" s="182" t="str">
        <f>_xlfn.IFNA(VLOOKUP($BC617,Programma!$F$3:$Q$1101,12,0),"")</f>
        <v/>
      </c>
      <c r="BO617" s="182" t="str">
        <f>_xlfn.IFNA(VLOOKUP($BC617,Programma!$F$3:$R$1101,13,0),"")</f>
        <v/>
      </c>
      <c r="BP617" s="182" t="str">
        <f>_xlfn.IFNA(VLOOKUP($BC617,Programma!$F$3:$S$1101,14,0),"")</f>
        <v/>
      </c>
      <c r="BQ617" s="182" t="str">
        <f>_xlfn.IFNA(VLOOKUP($BC617,Programma!$F$3:$T$1101,15,0),"")</f>
        <v/>
      </c>
      <c r="BR617" s="182" t="str">
        <f>_xlfn.IFNA(VLOOKUP($BC617,Programma!$F$3:$U$1101,16,0),"")</f>
        <v/>
      </c>
      <c r="BS617" s="182" t="str">
        <f>_xlfn.IFNA(VLOOKUP($BC617,Programma!$F$3:$V$1101,17,0),"")</f>
        <v/>
      </c>
      <c r="BT617" s="182" t="str">
        <f>_xlfn.IFNA(VLOOKUP($BC617,Programma!$F$3:$W$1101,18,0),"")</f>
        <v/>
      </c>
      <c r="BU617" s="182" t="str">
        <f>_xlfn.IFNA(VLOOKUP($BC617,Programma!$F$3:$X$1101,19,0),"")</f>
        <v/>
      </c>
      <c r="BV617" s="182" t="str">
        <f>_xlfn.IFNA(VLOOKUP($BC617,Programma!$F$3:$Y$1101,20,0),"")</f>
        <v/>
      </c>
    </row>
    <row r="618" spans="1:74" ht="15" customHeight="1">
      <c r="A618" s="99">
        <v>17</v>
      </c>
      <c r="B618" s="176" t="str">
        <f>VLOOKUP(Ruimtestaat[[#This Row],[Code]],Locaties[[Code]:[Locatie]],2,FALSE)</f>
        <v>ODBS Lonneker</v>
      </c>
      <c r="C618" s="176" t="str">
        <f>VLOOKUP(Ruimtestaat[[#This Row],[Code]],Locaties[[#All],[Code]:[Adres]],4,FALSE)</f>
        <v>Dorpsstraat 104</v>
      </c>
      <c r="D618" s="176" t="str">
        <f>VLOOKUP(Ruimtestaat[[#This Row],[Code]],Locaties[[#All],[Code]:[Postcode]],5,FALSE)</f>
        <v>7524 CK</v>
      </c>
      <c r="E618" s="176" t="str">
        <f>VLOOKUP(Ruimtestaat[[#This Row],[Code]],Locaties[#All],6,FALSE)</f>
        <v>Lonneker</v>
      </c>
      <c r="F618" s="183"/>
      <c r="G618" s="99" t="s">
        <v>1646</v>
      </c>
      <c r="H618" s="99" t="s">
        <v>1678</v>
      </c>
      <c r="I618" s="183" t="s">
        <v>1688</v>
      </c>
      <c r="J618" s="99">
        <v>16</v>
      </c>
      <c r="K618" s="183" t="str">
        <f>VLOOKUP(Ruimtestaat[[#This Row],[Ruimte code]],Ruimtegroepen[[#All],[Code]:[Ruimte omschrijving]],2,FALSE)</f>
        <v>Leslokalen</v>
      </c>
      <c r="L618" s="99" t="s">
        <v>100</v>
      </c>
      <c r="M618" s="99" t="s">
        <v>1697</v>
      </c>
      <c r="N618" s="177">
        <v>56.4</v>
      </c>
      <c r="O618" s="177"/>
      <c r="P618" s="178" t="str">
        <f>VLOOKUP(Ruimtestaat[[#This Row],[Ruimte code]],Ruimtegroepen[],4,FALSE)</f>
        <v>Le</v>
      </c>
      <c r="Q618" s="149">
        <v>40</v>
      </c>
      <c r="R618" s="149" t="s">
        <v>2</v>
      </c>
      <c r="S618" s="285">
        <f>IF(Q618&gt;0,IF(RIGHT(Ruimtestaat[[#This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8" s="286">
        <f>IF(S618&gt;0,VLOOKUP($J618,Ruimtegroepen[],3,FALSE)*VLOOKUP($L618,Vloersoorten[],3,FALSE)*VLOOKUP($R618,Frequenties[],3,FALSE)*VLOOKUP($A618,Locaties[],3,FALSE),0)</f>
        <v>0</v>
      </c>
      <c r="U618" s="287">
        <f>Ruimtestaat[[#This Row],[Uitvoeringen werkdagen]]*Ruimtestaat[[#This Row],[Oppervlak (netto)]]</f>
        <v>11280</v>
      </c>
      <c r="V618" s="288">
        <f>IF(T618&gt;0,Ruimtestaat[[#This Row],[Prest. (m2 /jaar) werkdagen]]/Ruimtestaat[[#This Row],[Norm (m2/uur) werkdagen]],0)</f>
        <v>0</v>
      </c>
      <c r="W618" s="289">
        <f>Ruimtestaat[[#This Row],[uren / jaar werkdagen]]*Tariefsopbouw!$E$35</f>
        <v>0</v>
      </c>
      <c r="X618" s="226"/>
      <c r="Y618" s="290">
        <f>IF(Ruimtestaat[[#This Row],[Frequentie weekend]]&gt;0,VALUE(LEFT(X618,1))*Q618,0)</f>
        <v>0</v>
      </c>
      <c r="Z618" s="287">
        <f>IF($Y618&gt;0,VLOOKUP($J618,Ruimtegroepen[],3,FALSE)*VLOOKUP($L618,Vloersoorten[],3,FALSE)*VLOOKUP($X618,Frequenties[],3,FALSE)*VLOOKUP(#REF!,Locaties[],3,FALSE),0)</f>
        <v>0</v>
      </c>
      <c r="AA618" s="291">
        <f>Ruimtestaat[[#This Row],[Uitvoeringen weekend]]*Ruimtestaat[[#This Row],[Oppervlak (netto)]]</f>
        <v>0</v>
      </c>
      <c r="AB618" s="291">
        <f>IF(Z618&gt;0,Ruimtestaat[[#This Row],[Prest. (m2 /jaar) weekend]]/Ruimtestaat[[#This Row],[Norm (m2/uur) weekend]],0)</f>
        <v>0</v>
      </c>
      <c r="AC618" s="180">
        <f>Ruimtestaat[[#This Row],[uren / jaar weekend]]*Tariefsopbouw!$D$40</f>
        <v>0</v>
      </c>
      <c r="AD618" s="179">
        <f>Ruimtestaat[[#This Row],[Prest. (m2 /jaar) weekend]]+Ruimtestaat[[#This Row],[Prest. (m2 /jaar) werkdagen]]</f>
        <v>11280</v>
      </c>
      <c r="AE618" s="179">
        <f>Ruimtestaat[[#This Row],[uren / jaar weekend]]+Ruimtestaat[[#This Row],[uren / jaar werkdagen]]</f>
        <v>0</v>
      </c>
      <c r="AF618" s="174">
        <f>Ruimtestaat[[#This Row],[kosten / jaar weekend]]+Ruimtestaat[[#This Row],[kosten / jaar werkdagen]]</f>
        <v>0</v>
      </c>
      <c r="AG618" s="174"/>
      <c r="AH618" s="174" t="str">
        <f>IF(Ruimtestaat[[#This Row],[Frequentie werkdagen]]="","",_xlfn.CONCAT(Ruimtestaat[[#This Row],[Ruimte code]],"-",Ruimtestaat[[#This Row],[Frequentie werkdagen]]," ",Ruimtestaat[[#This Row],[Vloer code]]))</f>
        <v>16-5w L</v>
      </c>
      <c r="AI618" s="182" t="str">
        <f>_xlfn.IFNA(VLOOKUP($AH618,Programma!$F$3:$G$1101,2,0),"")</f>
        <v>_</v>
      </c>
      <c r="AJ618" s="182" t="str">
        <f>_xlfn.IFNA(VLOOKUP($AH618,Programma!$F$3:$H$1101,3,0),"")</f>
        <v>_</v>
      </c>
      <c r="AK618" s="182" t="str">
        <f>_xlfn.IFNA(VLOOKUP($AH618,Programma!$F$3:$I$1101,4,0),"")</f>
        <v>4w</v>
      </c>
      <c r="AL618" s="182" t="str">
        <f>_xlfn.IFNA(VLOOKUP($AH618,Programma!$F$3:$J$1101,5,0),"")</f>
        <v>1w</v>
      </c>
      <c r="AM618" s="182" t="str">
        <f>_xlfn.IFNA(VLOOKUP($AH618,Programma!$F$3:$K$1101,6,0),"")</f>
        <v>_</v>
      </c>
      <c r="AN618" s="182" t="str">
        <f>_xlfn.IFNA(VLOOKUP($AH618,Programma!$F$3:$L$1101,7,0),"")</f>
        <v>_</v>
      </c>
      <c r="AO618" s="182" t="str">
        <f>_xlfn.IFNA(VLOOKUP($AH618,Programma!$F$3:$M$1101,8,0),"")</f>
        <v>_</v>
      </c>
      <c r="AP618" s="182" t="str">
        <f>_xlfn.IFNA(VLOOKUP($AH618,Programma!$F$3:$N$1101,9,0),"")</f>
        <v>_</v>
      </c>
      <c r="AQ618" s="182" t="str">
        <f>_xlfn.IFNA(VLOOKUP($AH618,Programma!$F$3:$O$1101,10,0),"")</f>
        <v>5w</v>
      </c>
      <c r="AR618" s="182" t="str">
        <f>_xlfn.IFNA(VLOOKUP($AH618,Programma!$F$3:$P$1101,11,0),"")</f>
        <v>5w</v>
      </c>
      <c r="AS618" s="182" t="str">
        <f>_xlfn.IFNA(VLOOKUP($AH618,Programma!$F$3:$Q$1101,12,0),"")</f>
        <v>1w</v>
      </c>
      <c r="AT618" s="182" t="str">
        <f>_xlfn.IFNA(VLOOKUP($AH618,Programma!$F$3:$R$1101,13,0),"")</f>
        <v>1w</v>
      </c>
      <c r="AU618" s="182" t="str">
        <f>_xlfn.IFNA(VLOOKUP($AH618,Programma!$F$3:$S$1101,14,0),"")</f>
        <v>1m</v>
      </c>
      <c r="AV618" s="182" t="str">
        <f>_xlfn.IFNA(VLOOKUP($AH618,Programma!$F$3:$T$1101,15,0),"")</f>
        <v>2j</v>
      </c>
      <c r="AW618" s="182" t="str">
        <f>_xlfn.IFNA(VLOOKUP($AH618,Programma!$F$3:$U$1101,16,0),"")</f>
        <v>1j</v>
      </c>
      <c r="AX618" s="182" t="str">
        <f>_xlfn.IFNA(VLOOKUP($AH618,Programma!$F$3:$V$1101,17,0),"")</f>
        <v>_</v>
      </c>
      <c r="AY618" s="182" t="str">
        <f>_xlfn.IFNA(VLOOKUP($AH618,Programma!$F$3:$W$1101,18,0),"")</f>
        <v>_</v>
      </c>
      <c r="AZ618" s="182" t="str">
        <f>_xlfn.IFNA(VLOOKUP($AH618,Programma!$F$3:$X$1101,19,0),"")</f>
        <v>_</v>
      </c>
      <c r="BA618" s="182" t="str">
        <f>_xlfn.IFNA(VLOOKUP($AH618,Programma!$F$3:$Y$1101,20,0),"")</f>
        <v>_</v>
      </c>
      <c r="BB618" s="182"/>
      <c r="BC618" s="174" t="str">
        <f>IF(Ruimtestaat[[#This Row],[Frequentie weekend]]="","",_xlfn.CONCAT(Ruimtestaat[[#This Row],[Ruimte code]],"-",Ruimtestaat[[#This Row],[Frequentie weekend]]," ",Ruimtestaat[[#This Row],[Vloer code]]))</f>
        <v/>
      </c>
      <c r="BD618" s="182" t="str">
        <f>_xlfn.IFNA(VLOOKUP($BC618,Programma!$F$3:$G$1101,2,0),"")</f>
        <v/>
      </c>
      <c r="BE618" s="182" t="str">
        <f>_xlfn.IFNA(VLOOKUP($BC618,Programma!$F$3:$H$1101,3,0),"")</f>
        <v/>
      </c>
      <c r="BF618" s="182" t="str">
        <f>_xlfn.IFNA(VLOOKUP($BC618,Programma!$F$3:$I$1101,4,0),"")</f>
        <v/>
      </c>
      <c r="BG618" s="182" t="str">
        <f>_xlfn.IFNA(VLOOKUP($BC618,Programma!$F$3:$J$1101,5,0),"")</f>
        <v/>
      </c>
      <c r="BH618" s="182" t="str">
        <f>_xlfn.IFNA(VLOOKUP($BC618,Programma!$F$3:$K$1101,6,0),"")</f>
        <v/>
      </c>
      <c r="BI618" s="182" t="str">
        <f>_xlfn.IFNA(VLOOKUP($BC618,Programma!$F$3:$L$1101,7,0),"")</f>
        <v/>
      </c>
      <c r="BJ618" s="182" t="str">
        <f>_xlfn.IFNA(VLOOKUP($BC618,Programma!$F$3:$M$1101,8,0),"")</f>
        <v/>
      </c>
      <c r="BK618" s="182" t="str">
        <f>_xlfn.IFNA(VLOOKUP($BC618,Programma!$F$3:$N$1101,9,0),"")</f>
        <v/>
      </c>
      <c r="BL618" s="182" t="str">
        <f>_xlfn.IFNA(VLOOKUP($BC618,Programma!$F$3:$O$1101,10,0),"")</f>
        <v/>
      </c>
      <c r="BM618" s="182" t="str">
        <f>_xlfn.IFNA(VLOOKUP($BC618,Programma!$F$3:$P$1101,11,0),"")</f>
        <v/>
      </c>
      <c r="BN618" s="182" t="str">
        <f>_xlfn.IFNA(VLOOKUP($BC618,Programma!$F$3:$Q$1101,12,0),"")</f>
        <v/>
      </c>
      <c r="BO618" s="182" t="str">
        <f>_xlfn.IFNA(VLOOKUP($BC618,Programma!$F$3:$R$1101,13,0),"")</f>
        <v/>
      </c>
      <c r="BP618" s="182" t="str">
        <f>_xlfn.IFNA(VLOOKUP($BC618,Programma!$F$3:$S$1101,14,0),"")</f>
        <v/>
      </c>
      <c r="BQ618" s="182" t="str">
        <f>_xlfn.IFNA(VLOOKUP($BC618,Programma!$F$3:$T$1101,15,0),"")</f>
        <v/>
      </c>
      <c r="BR618" s="182" t="str">
        <f>_xlfn.IFNA(VLOOKUP($BC618,Programma!$F$3:$U$1101,16,0),"")</f>
        <v/>
      </c>
      <c r="BS618" s="182" t="str">
        <f>_xlfn.IFNA(VLOOKUP($BC618,Programma!$F$3:$V$1101,17,0),"")</f>
        <v/>
      </c>
      <c r="BT618" s="182" t="str">
        <f>_xlfn.IFNA(VLOOKUP($BC618,Programma!$F$3:$W$1101,18,0),"")</f>
        <v/>
      </c>
      <c r="BU618" s="182" t="str">
        <f>_xlfn.IFNA(VLOOKUP($BC618,Programma!$F$3:$X$1101,19,0),"")</f>
        <v/>
      </c>
      <c r="BV618" s="182" t="str">
        <f>_xlfn.IFNA(VLOOKUP($BC618,Programma!$F$3:$Y$1101,20,0),"")</f>
        <v/>
      </c>
    </row>
    <row r="619" spans="1:74" ht="15" customHeight="1">
      <c r="A619" s="99">
        <v>17</v>
      </c>
      <c r="B619" s="176" t="str">
        <f>VLOOKUP(Ruimtestaat[[#This Row],[Code]],Locaties[[Code]:[Locatie]],2,FALSE)</f>
        <v>ODBS Lonneker</v>
      </c>
      <c r="C619" s="176" t="str">
        <f>VLOOKUP(Ruimtestaat[[#This Row],[Code]],Locaties[[#All],[Code]:[Adres]],4,FALSE)</f>
        <v>Dorpsstraat 104</v>
      </c>
      <c r="D619" s="176" t="str">
        <f>VLOOKUP(Ruimtestaat[[#This Row],[Code]],Locaties[[#All],[Code]:[Postcode]],5,FALSE)</f>
        <v>7524 CK</v>
      </c>
      <c r="E619" s="176" t="str">
        <f>VLOOKUP(Ruimtestaat[[#This Row],[Code]],Locaties[#All],6,FALSE)</f>
        <v>Lonneker</v>
      </c>
      <c r="F619" s="183"/>
      <c r="G619" s="99" t="s">
        <v>1646</v>
      </c>
      <c r="H619" s="99" t="s">
        <v>1680</v>
      </c>
      <c r="I619" s="183" t="s">
        <v>1658</v>
      </c>
      <c r="J619" s="99">
        <v>6</v>
      </c>
      <c r="K619" s="183" t="str">
        <f>VLOOKUP(Ruimtestaat[[#This Row],[Ruimte code]],Ruimtegroepen[[#All],[Code]:[Ruimte omschrijving]],2,FALSE)</f>
        <v>Gangen/hallen</v>
      </c>
      <c r="L619" s="99" t="s">
        <v>100</v>
      </c>
      <c r="M619" s="99" t="s">
        <v>1697</v>
      </c>
      <c r="N619" s="177">
        <v>13.5</v>
      </c>
      <c r="O619" s="177"/>
      <c r="P619" s="178" t="str">
        <f>VLOOKUP(Ruimtestaat[[#This Row],[Ruimte code]],Ruimtegroepen[],4,FALSE)</f>
        <v>Ve</v>
      </c>
      <c r="Q619" s="149">
        <v>40</v>
      </c>
      <c r="R619" s="149" t="s">
        <v>2</v>
      </c>
      <c r="S619" s="285">
        <f>IF(Q619&gt;0,IF(RIGHT(Ruimtestaat[[#This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19" s="286">
        <f>IF(S619&gt;0,VLOOKUP($J619,Ruimtegroepen[],3,FALSE)*VLOOKUP($L619,Vloersoorten[],3,FALSE)*VLOOKUP($R619,Frequenties[],3,FALSE)*VLOOKUP($A619,Locaties[],3,FALSE),0)</f>
        <v>0</v>
      </c>
      <c r="U619" s="287">
        <f>Ruimtestaat[[#This Row],[Uitvoeringen werkdagen]]*Ruimtestaat[[#This Row],[Oppervlak (netto)]]</f>
        <v>2700</v>
      </c>
      <c r="V619" s="288">
        <f>IF(T619&gt;0,Ruimtestaat[[#This Row],[Prest. (m2 /jaar) werkdagen]]/Ruimtestaat[[#This Row],[Norm (m2/uur) werkdagen]],0)</f>
        <v>0</v>
      </c>
      <c r="W619" s="289">
        <f>Ruimtestaat[[#This Row],[uren / jaar werkdagen]]*Tariefsopbouw!$E$35</f>
        <v>0</v>
      </c>
      <c r="X619" s="226"/>
      <c r="Y619" s="290">
        <f>IF(Ruimtestaat[[#This Row],[Frequentie weekend]]&gt;0,VALUE(LEFT(X619,1))*Q619,0)</f>
        <v>0</v>
      </c>
      <c r="Z619" s="287">
        <f>IF($Y619&gt;0,VLOOKUP($J619,Ruimtegroepen[],3,FALSE)*VLOOKUP($L619,Vloersoorten[],3,FALSE)*VLOOKUP($X619,Frequenties[],3,FALSE)*VLOOKUP(#REF!,Locaties[],3,FALSE),0)</f>
        <v>0</v>
      </c>
      <c r="AA619" s="291">
        <f>Ruimtestaat[[#This Row],[Uitvoeringen weekend]]*Ruimtestaat[[#This Row],[Oppervlak (netto)]]</f>
        <v>0</v>
      </c>
      <c r="AB619" s="291">
        <f>IF(Z619&gt;0,Ruimtestaat[[#This Row],[Prest. (m2 /jaar) weekend]]/Ruimtestaat[[#This Row],[Norm (m2/uur) weekend]],0)</f>
        <v>0</v>
      </c>
      <c r="AC619" s="180">
        <f>Ruimtestaat[[#This Row],[uren / jaar weekend]]*Tariefsopbouw!$D$40</f>
        <v>0</v>
      </c>
      <c r="AD619" s="179">
        <f>Ruimtestaat[[#This Row],[Prest. (m2 /jaar) weekend]]+Ruimtestaat[[#This Row],[Prest. (m2 /jaar) werkdagen]]</f>
        <v>2700</v>
      </c>
      <c r="AE619" s="179">
        <f>Ruimtestaat[[#This Row],[uren / jaar weekend]]+Ruimtestaat[[#This Row],[uren / jaar werkdagen]]</f>
        <v>0</v>
      </c>
      <c r="AF619" s="174">
        <f>Ruimtestaat[[#This Row],[kosten / jaar weekend]]+Ruimtestaat[[#This Row],[kosten / jaar werkdagen]]</f>
        <v>0</v>
      </c>
      <c r="AG619" s="174"/>
      <c r="AH619" s="174" t="str">
        <f>IF(Ruimtestaat[[#This Row],[Frequentie werkdagen]]="","",_xlfn.CONCAT(Ruimtestaat[[#This Row],[Ruimte code]],"-",Ruimtestaat[[#This Row],[Frequentie werkdagen]]," ",Ruimtestaat[[#This Row],[Vloer code]]))</f>
        <v>6-5w L</v>
      </c>
      <c r="AI619" s="182" t="str">
        <f>_xlfn.IFNA(VLOOKUP($AH619,Programma!$F$3:$G$1101,2,0),"")</f>
        <v>_</v>
      </c>
      <c r="AJ619" s="182" t="str">
        <f>_xlfn.IFNA(VLOOKUP($AH619,Programma!$F$3:$H$1101,3,0),"")</f>
        <v>_</v>
      </c>
      <c r="AK619" s="182" t="str">
        <f>_xlfn.IFNA(VLOOKUP($AH619,Programma!$F$3:$I$1101,4,0),"")</f>
        <v>_</v>
      </c>
      <c r="AL619" s="182" t="str">
        <f>_xlfn.IFNA(VLOOKUP($AH619,Programma!$F$3:$J$1101,5,0),"")</f>
        <v>5w</v>
      </c>
      <c r="AM619" s="182" t="str">
        <f>_xlfn.IFNA(VLOOKUP($AH619,Programma!$F$3:$K$1101,6,0),"")</f>
        <v>_</v>
      </c>
      <c r="AN619" s="182" t="str">
        <f>_xlfn.IFNA(VLOOKUP($AH619,Programma!$F$3:$L$1101,7,0),"")</f>
        <v>_</v>
      </c>
      <c r="AO619" s="182" t="str">
        <f>_xlfn.IFNA(VLOOKUP($AH619,Programma!$F$3:$M$1101,8,0),"")</f>
        <v>_</v>
      </c>
      <c r="AP619" s="182" t="str">
        <f>_xlfn.IFNA(VLOOKUP($AH619,Programma!$F$3:$N$1101,9,0),"")</f>
        <v>_</v>
      </c>
      <c r="AQ619" s="182" t="str">
        <f>_xlfn.IFNA(VLOOKUP($AH619,Programma!$F$3:$O$1101,10,0),"")</f>
        <v>5w</v>
      </c>
      <c r="AR619" s="182" t="str">
        <f>_xlfn.IFNA(VLOOKUP($AH619,Programma!$F$3:$P$1101,11,0),"")</f>
        <v>5w</v>
      </c>
      <c r="AS619" s="182" t="str">
        <f>_xlfn.IFNA(VLOOKUP($AH619,Programma!$F$3:$Q$1101,12,0),"")</f>
        <v>1w</v>
      </c>
      <c r="AT619" s="182" t="str">
        <f>_xlfn.IFNA(VLOOKUP($AH619,Programma!$F$3:$R$1101,13,0),"")</f>
        <v>1w</v>
      </c>
      <c r="AU619" s="182" t="str">
        <f>_xlfn.IFNA(VLOOKUP($AH619,Programma!$F$3:$S$1101,14,0),"")</f>
        <v>1m</v>
      </c>
      <c r="AV619" s="182" t="str">
        <f>_xlfn.IFNA(VLOOKUP($AH619,Programma!$F$3:$T$1101,15,0),"")</f>
        <v>2j</v>
      </c>
      <c r="AW619" s="182" t="str">
        <f>_xlfn.IFNA(VLOOKUP($AH619,Programma!$F$3:$U$1101,16,0),"")</f>
        <v>1j</v>
      </c>
      <c r="AX619" s="182" t="str">
        <f>_xlfn.IFNA(VLOOKUP($AH619,Programma!$F$3:$V$1101,17,0),"")</f>
        <v>_</v>
      </c>
      <c r="AY619" s="182" t="str">
        <f>_xlfn.IFNA(VLOOKUP($AH619,Programma!$F$3:$W$1101,18,0),"")</f>
        <v>_</v>
      </c>
      <c r="AZ619" s="182" t="str">
        <f>_xlfn.IFNA(VLOOKUP($AH619,Programma!$F$3:$X$1101,19,0),"")</f>
        <v>_</v>
      </c>
      <c r="BA619" s="182" t="str">
        <f>_xlfn.IFNA(VLOOKUP($AH619,Programma!$F$3:$Y$1101,20,0),"")</f>
        <v>_</v>
      </c>
      <c r="BB619" s="182"/>
      <c r="BC619" s="174" t="str">
        <f>IF(Ruimtestaat[[#This Row],[Frequentie weekend]]="","",_xlfn.CONCAT(Ruimtestaat[[#This Row],[Ruimte code]],"-",Ruimtestaat[[#This Row],[Frequentie weekend]]," ",Ruimtestaat[[#This Row],[Vloer code]]))</f>
        <v/>
      </c>
      <c r="BD619" s="182" t="str">
        <f>_xlfn.IFNA(VLOOKUP($BC619,Programma!$F$3:$G$1101,2,0),"")</f>
        <v/>
      </c>
      <c r="BE619" s="182" t="str">
        <f>_xlfn.IFNA(VLOOKUP($BC619,Programma!$F$3:$H$1101,3,0),"")</f>
        <v/>
      </c>
      <c r="BF619" s="182" t="str">
        <f>_xlfn.IFNA(VLOOKUP($BC619,Programma!$F$3:$I$1101,4,0),"")</f>
        <v/>
      </c>
      <c r="BG619" s="182" t="str">
        <f>_xlfn.IFNA(VLOOKUP($BC619,Programma!$F$3:$J$1101,5,0),"")</f>
        <v/>
      </c>
      <c r="BH619" s="182" t="str">
        <f>_xlfn.IFNA(VLOOKUP($BC619,Programma!$F$3:$K$1101,6,0),"")</f>
        <v/>
      </c>
      <c r="BI619" s="182" t="str">
        <f>_xlfn.IFNA(VLOOKUP($BC619,Programma!$F$3:$L$1101,7,0),"")</f>
        <v/>
      </c>
      <c r="BJ619" s="182" t="str">
        <f>_xlfn.IFNA(VLOOKUP($BC619,Programma!$F$3:$M$1101,8,0),"")</f>
        <v/>
      </c>
      <c r="BK619" s="182" t="str">
        <f>_xlfn.IFNA(VLOOKUP($BC619,Programma!$F$3:$N$1101,9,0),"")</f>
        <v/>
      </c>
      <c r="BL619" s="182" t="str">
        <f>_xlfn.IFNA(VLOOKUP($BC619,Programma!$F$3:$O$1101,10,0),"")</f>
        <v/>
      </c>
      <c r="BM619" s="182" t="str">
        <f>_xlfn.IFNA(VLOOKUP($BC619,Programma!$F$3:$P$1101,11,0),"")</f>
        <v/>
      </c>
      <c r="BN619" s="182" t="str">
        <f>_xlfn.IFNA(VLOOKUP($BC619,Programma!$F$3:$Q$1101,12,0),"")</f>
        <v/>
      </c>
      <c r="BO619" s="182" t="str">
        <f>_xlfn.IFNA(VLOOKUP($BC619,Programma!$F$3:$R$1101,13,0),"")</f>
        <v/>
      </c>
      <c r="BP619" s="182" t="str">
        <f>_xlfn.IFNA(VLOOKUP($BC619,Programma!$F$3:$S$1101,14,0),"")</f>
        <v/>
      </c>
      <c r="BQ619" s="182" t="str">
        <f>_xlfn.IFNA(VLOOKUP($BC619,Programma!$F$3:$T$1101,15,0),"")</f>
        <v/>
      </c>
      <c r="BR619" s="182" t="str">
        <f>_xlfn.IFNA(VLOOKUP($BC619,Programma!$F$3:$U$1101,16,0),"")</f>
        <v/>
      </c>
      <c r="BS619" s="182" t="str">
        <f>_xlfn.IFNA(VLOOKUP($BC619,Programma!$F$3:$V$1101,17,0),"")</f>
        <v/>
      </c>
      <c r="BT619" s="182" t="str">
        <f>_xlfn.IFNA(VLOOKUP($BC619,Programma!$F$3:$W$1101,18,0),"")</f>
        <v/>
      </c>
      <c r="BU619" s="182" t="str">
        <f>_xlfn.IFNA(VLOOKUP($BC619,Programma!$F$3:$X$1101,19,0),"")</f>
        <v/>
      </c>
      <c r="BV619" s="182" t="str">
        <f>_xlfn.IFNA(VLOOKUP($BC619,Programma!$F$3:$Y$1101,20,0),"")</f>
        <v/>
      </c>
    </row>
    <row r="620" spans="1:74" ht="15" customHeight="1">
      <c r="A620" s="99">
        <v>17</v>
      </c>
      <c r="B620" s="176" t="str">
        <f>VLOOKUP(Ruimtestaat[[#This Row],[Code]],Locaties[[Code]:[Locatie]],2,FALSE)</f>
        <v>ODBS Lonneker</v>
      </c>
      <c r="C620" s="176" t="str">
        <f>VLOOKUP(Ruimtestaat[[#This Row],[Code]],Locaties[[#All],[Code]:[Adres]],4,FALSE)</f>
        <v>Dorpsstraat 104</v>
      </c>
      <c r="D620" s="176" t="str">
        <f>VLOOKUP(Ruimtestaat[[#This Row],[Code]],Locaties[[#All],[Code]:[Postcode]],5,FALSE)</f>
        <v>7524 CK</v>
      </c>
      <c r="E620" s="176" t="str">
        <f>VLOOKUP(Ruimtestaat[[#This Row],[Code]],Locaties[#All],6,FALSE)</f>
        <v>Lonneker</v>
      </c>
      <c r="F620" s="183"/>
      <c r="G620" s="99" t="s">
        <v>1646</v>
      </c>
      <c r="H620" s="99" t="s">
        <v>1689</v>
      </c>
      <c r="I620" s="183" t="s">
        <v>1684</v>
      </c>
      <c r="J620" s="99">
        <v>5</v>
      </c>
      <c r="K620" s="183" t="str">
        <f>VLOOKUP(Ruimtestaat[[#This Row],[Ruimte code]],Ruimtegroepen[[#All],[Code]:[Ruimte omschrijving]],2,FALSE)</f>
        <v>Sanitair</v>
      </c>
      <c r="L620" s="99" t="s">
        <v>101</v>
      </c>
      <c r="M620" s="99" t="s">
        <v>1682</v>
      </c>
      <c r="N620" s="177">
        <v>7</v>
      </c>
      <c r="O620" s="177"/>
      <c r="P620" s="178" t="str">
        <f>VLOOKUP(Ruimtestaat[[#This Row],[Ruimte code]],Ruimtegroepen[],4,FALSE)</f>
        <v>Sa</v>
      </c>
      <c r="Q620" s="149">
        <v>40</v>
      </c>
      <c r="R620" s="149" t="s">
        <v>2</v>
      </c>
      <c r="S620" s="285">
        <f>IF(Q620&gt;0,IF(RIGHT(Ruimtestaat[[#This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0" s="286">
        <f>IF(S620&gt;0,VLOOKUP($J620,Ruimtegroepen[],3,FALSE)*VLOOKUP($L620,Vloersoorten[],3,FALSE)*VLOOKUP($R620,Frequenties[],3,FALSE)*VLOOKUP($A620,Locaties[],3,FALSE),0)</f>
        <v>0</v>
      </c>
      <c r="U620" s="287">
        <f>Ruimtestaat[[#This Row],[Uitvoeringen werkdagen]]*Ruimtestaat[[#This Row],[Oppervlak (netto)]]</f>
        <v>1400</v>
      </c>
      <c r="V620" s="288">
        <f>IF(T620&gt;0,Ruimtestaat[[#This Row],[Prest. (m2 /jaar) werkdagen]]/Ruimtestaat[[#This Row],[Norm (m2/uur) werkdagen]],0)</f>
        <v>0</v>
      </c>
      <c r="W620" s="289">
        <f>Ruimtestaat[[#This Row],[uren / jaar werkdagen]]*Tariefsopbouw!$E$35</f>
        <v>0</v>
      </c>
      <c r="X620" s="226"/>
      <c r="Y620" s="290">
        <f>IF(Ruimtestaat[[#This Row],[Frequentie weekend]]&gt;0,VALUE(LEFT(X620,1))*Q620,0)</f>
        <v>0</v>
      </c>
      <c r="Z620" s="287">
        <f>IF($Y620&gt;0,VLOOKUP($J620,Ruimtegroepen[],3,FALSE)*VLOOKUP($L620,Vloersoorten[],3,FALSE)*VLOOKUP($X620,Frequenties[],3,FALSE)*VLOOKUP(#REF!,Locaties[],3,FALSE),0)</f>
        <v>0</v>
      </c>
      <c r="AA620" s="291">
        <f>Ruimtestaat[[#This Row],[Uitvoeringen weekend]]*Ruimtestaat[[#This Row],[Oppervlak (netto)]]</f>
        <v>0</v>
      </c>
      <c r="AB620" s="291">
        <f>IF(Z620&gt;0,Ruimtestaat[[#This Row],[Prest. (m2 /jaar) weekend]]/Ruimtestaat[[#This Row],[Norm (m2/uur) weekend]],0)</f>
        <v>0</v>
      </c>
      <c r="AC620" s="180">
        <f>Ruimtestaat[[#This Row],[uren / jaar weekend]]*Tariefsopbouw!$D$40</f>
        <v>0</v>
      </c>
      <c r="AD620" s="179">
        <f>Ruimtestaat[[#This Row],[Prest. (m2 /jaar) weekend]]+Ruimtestaat[[#This Row],[Prest. (m2 /jaar) werkdagen]]</f>
        <v>1400</v>
      </c>
      <c r="AE620" s="179">
        <f>Ruimtestaat[[#This Row],[uren / jaar weekend]]+Ruimtestaat[[#This Row],[uren / jaar werkdagen]]</f>
        <v>0</v>
      </c>
      <c r="AF620" s="174">
        <f>Ruimtestaat[[#This Row],[kosten / jaar weekend]]+Ruimtestaat[[#This Row],[kosten / jaar werkdagen]]</f>
        <v>0</v>
      </c>
      <c r="AG620" s="174"/>
      <c r="AH620" s="174" t="str">
        <f>IF(Ruimtestaat[[#This Row],[Frequentie werkdagen]]="","",_xlfn.CONCAT(Ruimtestaat[[#This Row],[Ruimte code]],"-",Ruimtestaat[[#This Row],[Frequentie werkdagen]]," ",Ruimtestaat[[#This Row],[Vloer code]]))</f>
        <v>5-5w S</v>
      </c>
      <c r="AI620" s="182" t="str">
        <f>_xlfn.IFNA(VLOOKUP($AH620,Programma!$F$3:$G$1101,2,0),"")</f>
        <v>_</v>
      </c>
      <c r="AJ620" s="182" t="str">
        <f>_xlfn.IFNA(VLOOKUP($AH620,Programma!$F$3:$H$1101,3,0),"")</f>
        <v>_</v>
      </c>
      <c r="AK620" s="182" t="str">
        <f>_xlfn.IFNA(VLOOKUP($AH620,Programma!$F$3:$I$1101,4,0),"")</f>
        <v>_</v>
      </c>
      <c r="AL620" s="182" t="str">
        <f>_xlfn.IFNA(VLOOKUP($AH620,Programma!$F$3:$J$1101,5,0),"")</f>
        <v>4w</v>
      </c>
      <c r="AM620" s="182" t="str">
        <f>_xlfn.IFNA(VLOOKUP($AH620,Programma!$F$3:$K$1101,6,0),"")</f>
        <v>1w</v>
      </c>
      <c r="AN620" s="182" t="str">
        <f>_xlfn.IFNA(VLOOKUP($AH620,Programma!$F$3:$L$1101,7,0),"")</f>
        <v>_</v>
      </c>
      <c r="AO620" s="182" t="str">
        <f>_xlfn.IFNA(VLOOKUP($AH620,Programma!$F$3:$M$1101,8,0),"")</f>
        <v>_</v>
      </c>
      <c r="AP620" s="182" t="str">
        <f>_xlfn.IFNA(VLOOKUP($AH620,Programma!$F$3:$N$1101,9,0),"")</f>
        <v>_</v>
      </c>
      <c r="AQ620" s="182" t="str">
        <f>_xlfn.IFNA(VLOOKUP($AH620,Programma!$F$3:$O$1101,10,0),"")</f>
        <v>_</v>
      </c>
      <c r="AR620" s="182" t="str">
        <f>_xlfn.IFNA(VLOOKUP($AH620,Programma!$F$3:$P$1101,11,0),"")</f>
        <v>_</v>
      </c>
      <c r="AS620" s="182" t="str">
        <f>_xlfn.IFNA(VLOOKUP($AH620,Programma!$F$3:$Q$1101,12,0),"")</f>
        <v>_</v>
      </c>
      <c r="AT620" s="182" t="str">
        <f>_xlfn.IFNA(VLOOKUP($AH620,Programma!$F$3:$R$1101,13,0),"")</f>
        <v>_</v>
      </c>
      <c r="AU620" s="182" t="str">
        <f>_xlfn.IFNA(VLOOKUP($AH620,Programma!$F$3:$S$1101,14,0),"")</f>
        <v>_</v>
      </c>
      <c r="AV620" s="182" t="str">
        <f>_xlfn.IFNA(VLOOKUP($AH620,Programma!$F$3:$T$1101,15,0),"")</f>
        <v>_</v>
      </c>
      <c r="AW620" s="182" t="str">
        <f>_xlfn.IFNA(VLOOKUP($AH620,Programma!$F$3:$U$1101,16,0),"")</f>
        <v>_</v>
      </c>
      <c r="AX620" s="182" t="str">
        <f>_xlfn.IFNA(VLOOKUP($AH620,Programma!$F$3:$V$1101,17,0),"")</f>
        <v>_</v>
      </c>
      <c r="AY620" s="182" t="str">
        <f>_xlfn.IFNA(VLOOKUP($AH620,Programma!$F$3:$W$1101,18,0),"")</f>
        <v>4w</v>
      </c>
      <c r="AZ620" s="182" t="str">
        <f>_xlfn.IFNA(VLOOKUP($AH620,Programma!$F$3:$X$1101,19,0),"")</f>
        <v>1w</v>
      </c>
      <c r="BA620" s="182" t="str">
        <f>_xlfn.IFNA(VLOOKUP($AH620,Programma!$F$3:$Y$1101,20,0),"")</f>
        <v>_</v>
      </c>
      <c r="BB620" s="182"/>
      <c r="BC620" s="174" t="str">
        <f>IF(Ruimtestaat[[#This Row],[Frequentie weekend]]="","",_xlfn.CONCAT(Ruimtestaat[[#This Row],[Ruimte code]],"-",Ruimtestaat[[#This Row],[Frequentie weekend]]," ",Ruimtestaat[[#This Row],[Vloer code]]))</f>
        <v/>
      </c>
      <c r="BD620" s="182" t="str">
        <f>_xlfn.IFNA(VLOOKUP($BC620,Programma!$F$3:$G$1101,2,0),"")</f>
        <v/>
      </c>
      <c r="BE620" s="182" t="str">
        <f>_xlfn.IFNA(VLOOKUP($BC620,Programma!$F$3:$H$1101,3,0),"")</f>
        <v/>
      </c>
      <c r="BF620" s="182" t="str">
        <f>_xlfn.IFNA(VLOOKUP($BC620,Programma!$F$3:$I$1101,4,0),"")</f>
        <v/>
      </c>
      <c r="BG620" s="182" t="str">
        <f>_xlfn.IFNA(VLOOKUP($BC620,Programma!$F$3:$J$1101,5,0),"")</f>
        <v/>
      </c>
      <c r="BH620" s="182" t="str">
        <f>_xlfn.IFNA(VLOOKUP($BC620,Programma!$F$3:$K$1101,6,0),"")</f>
        <v/>
      </c>
      <c r="BI620" s="182" t="str">
        <f>_xlfn.IFNA(VLOOKUP($BC620,Programma!$F$3:$L$1101,7,0),"")</f>
        <v/>
      </c>
      <c r="BJ620" s="182" t="str">
        <f>_xlfn.IFNA(VLOOKUP($BC620,Programma!$F$3:$M$1101,8,0),"")</f>
        <v/>
      </c>
      <c r="BK620" s="182" t="str">
        <f>_xlfn.IFNA(VLOOKUP($BC620,Programma!$F$3:$N$1101,9,0),"")</f>
        <v/>
      </c>
      <c r="BL620" s="182" t="str">
        <f>_xlfn.IFNA(VLOOKUP($BC620,Programma!$F$3:$O$1101,10,0),"")</f>
        <v/>
      </c>
      <c r="BM620" s="182" t="str">
        <f>_xlfn.IFNA(VLOOKUP($BC620,Programma!$F$3:$P$1101,11,0),"")</f>
        <v/>
      </c>
      <c r="BN620" s="182" t="str">
        <f>_xlfn.IFNA(VLOOKUP($BC620,Programma!$F$3:$Q$1101,12,0),"")</f>
        <v/>
      </c>
      <c r="BO620" s="182" t="str">
        <f>_xlfn.IFNA(VLOOKUP($BC620,Programma!$F$3:$R$1101,13,0),"")</f>
        <v/>
      </c>
      <c r="BP620" s="182" t="str">
        <f>_xlfn.IFNA(VLOOKUP($BC620,Programma!$F$3:$S$1101,14,0),"")</f>
        <v/>
      </c>
      <c r="BQ620" s="182" t="str">
        <f>_xlfn.IFNA(VLOOKUP($BC620,Programma!$F$3:$T$1101,15,0),"")</f>
        <v/>
      </c>
      <c r="BR620" s="182" t="str">
        <f>_xlfn.IFNA(VLOOKUP($BC620,Programma!$F$3:$U$1101,16,0),"")</f>
        <v/>
      </c>
      <c r="BS620" s="182" t="str">
        <f>_xlfn.IFNA(VLOOKUP($BC620,Programma!$F$3:$V$1101,17,0),"")</f>
        <v/>
      </c>
      <c r="BT620" s="182" t="str">
        <f>_xlfn.IFNA(VLOOKUP($BC620,Programma!$F$3:$W$1101,18,0),"")</f>
        <v/>
      </c>
      <c r="BU620" s="182" t="str">
        <f>_xlfn.IFNA(VLOOKUP($BC620,Programma!$F$3:$X$1101,19,0),"")</f>
        <v/>
      </c>
      <c r="BV620" s="182" t="str">
        <f>_xlfn.IFNA(VLOOKUP($BC620,Programma!$F$3:$Y$1101,20,0),"")</f>
        <v/>
      </c>
    </row>
    <row r="621" spans="1:74" ht="15" customHeight="1">
      <c r="A621" s="99">
        <v>17</v>
      </c>
      <c r="B621" s="176" t="str">
        <f>VLOOKUP(Ruimtestaat[[#This Row],[Code]],Locaties[[Code]:[Locatie]],2,FALSE)</f>
        <v>ODBS Lonneker</v>
      </c>
      <c r="C621" s="176" t="str">
        <f>VLOOKUP(Ruimtestaat[[#This Row],[Code]],Locaties[[#All],[Code]:[Adres]],4,FALSE)</f>
        <v>Dorpsstraat 104</v>
      </c>
      <c r="D621" s="176" t="str">
        <f>VLOOKUP(Ruimtestaat[[#This Row],[Code]],Locaties[[#All],[Code]:[Postcode]],5,FALSE)</f>
        <v>7524 CK</v>
      </c>
      <c r="E621" s="176" t="str">
        <f>VLOOKUP(Ruimtestaat[[#This Row],[Code]],Locaties[#All],6,FALSE)</f>
        <v>Lonneker</v>
      </c>
      <c r="F621" s="183"/>
      <c r="G621" s="99" t="s">
        <v>1646</v>
      </c>
      <c r="H621" s="99" t="s">
        <v>1693</v>
      </c>
      <c r="I621" s="183" t="s">
        <v>1686</v>
      </c>
      <c r="J621" s="99">
        <v>16</v>
      </c>
      <c r="K621" s="183" t="str">
        <f>VLOOKUP(Ruimtestaat[[#This Row],[Ruimte code]],Ruimtegroepen[[#All],[Code]:[Ruimte omschrijving]],2,FALSE)</f>
        <v>Leslokalen</v>
      </c>
      <c r="L621" s="99" t="s">
        <v>100</v>
      </c>
      <c r="M621" s="99" t="s">
        <v>1697</v>
      </c>
      <c r="N621" s="177">
        <v>52</v>
      </c>
      <c r="O621" s="177"/>
      <c r="P621" s="178" t="str">
        <f>VLOOKUP(Ruimtestaat[[#This Row],[Ruimte code]],Ruimtegroepen[],4,FALSE)</f>
        <v>Le</v>
      </c>
      <c r="Q621" s="149">
        <v>40</v>
      </c>
      <c r="R621" s="149" t="s">
        <v>2</v>
      </c>
      <c r="S621" s="285">
        <f>IF(Q621&gt;0,IF(RIGHT(Ruimtestaat[[#This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1" s="286">
        <f>IF(S621&gt;0,VLOOKUP($J621,Ruimtegroepen[],3,FALSE)*VLOOKUP($L621,Vloersoorten[],3,FALSE)*VLOOKUP($R621,Frequenties[],3,FALSE)*VLOOKUP($A621,Locaties[],3,FALSE),0)</f>
        <v>0</v>
      </c>
      <c r="U621" s="287">
        <f>Ruimtestaat[[#This Row],[Uitvoeringen werkdagen]]*Ruimtestaat[[#This Row],[Oppervlak (netto)]]</f>
        <v>10400</v>
      </c>
      <c r="V621" s="288">
        <f>IF(T621&gt;0,Ruimtestaat[[#This Row],[Prest. (m2 /jaar) werkdagen]]/Ruimtestaat[[#This Row],[Norm (m2/uur) werkdagen]],0)</f>
        <v>0</v>
      </c>
      <c r="W621" s="289">
        <f>Ruimtestaat[[#This Row],[uren / jaar werkdagen]]*Tariefsopbouw!$E$35</f>
        <v>0</v>
      </c>
      <c r="X621" s="226"/>
      <c r="Y621" s="290">
        <f>IF(Ruimtestaat[[#This Row],[Frequentie weekend]]&gt;0,VALUE(LEFT(X621,1))*Q621,0)</f>
        <v>0</v>
      </c>
      <c r="Z621" s="287">
        <f>IF($Y621&gt;0,VLOOKUP($J621,Ruimtegroepen[],3,FALSE)*VLOOKUP($L621,Vloersoorten[],3,FALSE)*VLOOKUP($X621,Frequenties[],3,FALSE)*VLOOKUP(#REF!,Locaties[],3,FALSE),0)</f>
        <v>0</v>
      </c>
      <c r="AA621" s="291">
        <f>Ruimtestaat[[#This Row],[Uitvoeringen weekend]]*Ruimtestaat[[#This Row],[Oppervlak (netto)]]</f>
        <v>0</v>
      </c>
      <c r="AB621" s="291">
        <f>IF(Z621&gt;0,Ruimtestaat[[#This Row],[Prest. (m2 /jaar) weekend]]/Ruimtestaat[[#This Row],[Norm (m2/uur) weekend]],0)</f>
        <v>0</v>
      </c>
      <c r="AC621" s="180">
        <f>Ruimtestaat[[#This Row],[uren / jaar weekend]]*Tariefsopbouw!$D$40</f>
        <v>0</v>
      </c>
      <c r="AD621" s="179">
        <f>Ruimtestaat[[#This Row],[Prest. (m2 /jaar) weekend]]+Ruimtestaat[[#This Row],[Prest. (m2 /jaar) werkdagen]]</f>
        <v>10400</v>
      </c>
      <c r="AE621" s="179">
        <f>Ruimtestaat[[#This Row],[uren / jaar weekend]]+Ruimtestaat[[#This Row],[uren / jaar werkdagen]]</f>
        <v>0</v>
      </c>
      <c r="AF621" s="174">
        <f>Ruimtestaat[[#This Row],[kosten / jaar weekend]]+Ruimtestaat[[#This Row],[kosten / jaar werkdagen]]</f>
        <v>0</v>
      </c>
      <c r="AG621" s="174"/>
      <c r="AH621" s="174" t="str">
        <f>IF(Ruimtestaat[[#This Row],[Frequentie werkdagen]]="","",_xlfn.CONCAT(Ruimtestaat[[#This Row],[Ruimte code]],"-",Ruimtestaat[[#This Row],[Frequentie werkdagen]]," ",Ruimtestaat[[#This Row],[Vloer code]]))</f>
        <v>16-5w L</v>
      </c>
      <c r="AI621" s="182" t="str">
        <f>_xlfn.IFNA(VLOOKUP($AH621,Programma!$F$3:$G$1101,2,0),"")</f>
        <v>_</v>
      </c>
      <c r="AJ621" s="182" t="str">
        <f>_xlfn.IFNA(VLOOKUP($AH621,Programma!$F$3:$H$1101,3,0),"")</f>
        <v>_</v>
      </c>
      <c r="AK621" s="182" t="str">
        <f>_xlfn.IFNA(VLOOKUP($AH621,Programma!$F$3:$I$1101,4,0),"")</f>
        <v>4w</v>
      </c>
      <c r="AL621" s="182" t="str">
        <f>_xlfn.IFNA(VLOOKUP($AH621,Programma!$F$3:$J$1101,5,0),"")</f>
        <v>1w</v>
      </c>
      <c r="AM621" s="182" t="str">
        <f>_xlfn.IFNA(VLOOKUP($AH621,Programma!$F$3:$K$1101,6,0),"")</f>
        <v>_</v>
      </c>
      <c r="AN621" s="182" t="str">
        <f>_xlfn.IFNA(VLOOKUP($AH621,Programma!$F$3:$L$1101,7,0),"")</f>
        <v>_</v>
      </c>
      <c r="AO621" s="182" t="str">
        <f>_xlfn.IFNA(VLOOKUP($AH621,Programma!$F$3:$M$1101,8,0),"")</f>
        <v>_</v>
      </c>
      <c r="AP621" s="182" t="str">
        <f>_xlfn.IFNA(VLOOKUP($AH621,Programma!$F$3:$N$1101,9,0),"")</f>
        <v>_</v>
      </c>
      <c r="AQ621" s="182" t="str">
        <f>_xlfn.IFNA(VLOOKUP($AH621,Programma!$F$3:$O$1101,10,0),"")</f>
        <v>5w</v>
      </c>
      <c r="AR621" s="182" t="str">
        <f>_xlfn.IFNA(VLOOKUP($AH621,Programma!$F$3:$P$1101,11,0),"")</f>
        <v>5w</v>
      </c>
      <c r="AS621" s="182" t="str">
        <f>_xlfn.IFNA(VLOOKUP($AH621,Programma!$F$3:$Q$1101,12,0),"")</f>
        <v>1w</v>
      </c>
      <c r="AT621" s="182" t="str">
        <f>_xlfn.IFNA(VLOOKUP($AH621,Programma!$F$3:$R$1101,13,0),"")</f>
        <v>1w</v>
      </c>
      <c r="AU621" s="182" t="str">
        <f>_xlfn.IFNA(VLOOKUP($AH621,Programma!$F$3:$S$1101,14,0),"")</f>
        <v>1m</v>
      </c>
      <c r="AV621" s="182" t="str">
        <f>_xlfn.IFNA(VLOOKUP($AH621,Programma!$F$3:$T$1101,15,0),"")</f>
        <v>2j</v>
      </c>
      <c r="AW621" s="182" t="str">
        <f>_xlfn.IFNA(VLOOKUP($AH621,Programma!$F$3:$U$1101,16,0),"")</f>
        <v>1j</v>
      </c>
      <c r="AX621" s="182" t="str">
        <f>_xlfn.IFNA(VLOOKUP($AH621,Programma!$F$3:$V$1101,17,0),"")</f>
        <v>_</v>
      </c>
      <c r="AY621" s="182" t="str">
        <f>_xlfn.IFNA(VLOOKUP($AH621,Programma!$F$3:$W$1101,18,0),"")</f>
        <v>_</v>
      </c>
      <c r="AZ621" s="182" t="str">
        <f>_xlfn.IFNA(VLOOKUP($AH621,Programma!$F$3:$X$1101,19,0),"")</f>
        <v>_</v>
      </c>
      <c r="BA621" s="182" t="str">
        <f>_xlfn.IFNA(VLOOKUP($AH621,Programma!$F$3:$Y$1101,20,0),"")</f>
        <v>_</v>
      </c>
      <c r="BB621" s="182"/>
      <c r="BC621" s="174" t="str">
        <f>IF(Ruimtestaat[[#This Row],[Frequentie weekend]]="","",_xlfn.CONCAT(Ruimtestaat[[#This Row],[Ruimte code]],"-",Ruimtestaat[[#This Row],[Frequentie weekend]]," ",Ruimtestaat[[#This Row],[Vloer code]]))</f>
        <v/>
      </c>
      <c r="BD621" s="182" t="str">
        <f>_xlfn.IFNA(VLOOKUP($BC621,Programma!$F$3:$G$1101,2,0),"")</f>
        <v/>
      </c>
      <c r="BE621" s="182" t="str">
        <f>_xlfn.IFNA(VLOOKUP($BC621,Programma!$F$3:$H$1101,3,0),"")</f>
        <v/>
      </c>
      <c r="BF621" s="182" t="str">
        <f>_xlfn.IFNA(VLOOKUP($BC621,Programma!$F$3:$I$1101,4,0),"")</f>
        <v/>
      </c>
      <c r="BG621" s="182" t="str">
        <f>_xlfn.IFNA(VLOOKUP($BC621,Programma!$F$3:$J$1101,5,0),"")</f>
        <v/>
      </c>
      <c r="BH621" s="182" t="str">
        <f>_xlfn.IFNA(VLOOKUP($BC621,Programma!$F$3:$K$1101,6,0),"")</f>
        <v/>
      </c>
      <c r="BI621" s="182" t="str">
        <f>_xlfn.IFNA(VLOOKUP($BC621,Programma!$F$3:$L$1101,7,0),"")</f>
        <v/>
      </c>
      <c r="BJ621" s="182" t="str">
        <f>_xlfn.IFNA(VLOOKUP($BC621,Programma!$F$3:$M$1101,8,0),"")</f>
        <v/>
      </c>
      <c r="BK621" s="182" t="str">
        <f>_xlfn.IFNA(VLOOKUP($BC621,Programma!$F$3:$N$1101,9,0),"")</f>
        <v/>
      </c>
      <c r="BL621" s="182" t="str">
        <f>_xlfn.IFNA(VLOOKUP($BC621,Programma!$F$3:$O$1101,10,0),"")</f>
        <v/>
      </c>
      <c r="BM621" s="182" t="str">
        <f>_xlfn.IFNA(VLOOKUP($BC621,Programma!$F$3:$P$1101,11,0),"")</f>
        <v/>
      </c>
      <c r="BN621" s="182" t="str">
        <f>_xlfn.IFNA(VLOOKUP($BC621,Programma!$F$3:$Q$1101,12,0),"")</f>
        <v/>
      </c>
      <c r="BO621" s="182" t="str">
        <f>_xlfn.IFNA(VLOOKUP($BC621,Programma!$F$3:$R$1101,13,0),"")</f>
        <v/>
      </c>
      <c r="BP621" s="182" t="str">
        <f>_xlfn.IFNA(VLOOKUP($BC621,Programma!$F$3:$S$1101,14,0),"")</f>
        <v/>
      </c>
      <c r="BQ621" s="182" t="str">
        <f>_xlfn.IFNA(VLOOKUP($BC621,Programma!$F$3:$T$1101,15,0),"")</f>
        <v/>
      </c>
      <c r="BR621" s="182" t="str">
        <f>_xlfn.IFNA(VLOOKUP($BC621,Programma!$F$3:$U$1101,16,0),"")</f>
        <v/>
      </c>
      <c r="BS621" s="182" t="str">
        <f>_xlfn.IFNA(VLOOKUP($BC621,Programma!$F$3:$V$1101,17,0),"")</f>
        <v/>
      </c>
      <c r="BT621" s="182" t="str">
        <f>_xlfn.IFNA(VLOOKUP($BC621,Programma!$F$3:$W$1101,18,0),"")</f>
        <v/>
      </c>
      <c r="BU621" s="182" t="str">
        <f>_xlfn.IFNA(VLOOKUP($BC621,Programma!$F$3:$X$1101,19,0),"")</f>
        <v/>
      </c>
      <c r="BV621" s="182" t="str">
        <f>_xlfn.IFNA(VLOOKUP($BC621,Programma!$F$3:$Y$1101,20,0),"")</f>
        <v/>
      </c>
    </row>
    <row r="622" spans="1:74" ht="15" customHeight="1">
      <c r="A622" s="99">
        <v>17</v>
      </c>
      <c r="B622" s="176" t="str">
        <f>VLOOKUP(Ruimtestaat[[#This Row],[Code]],Locaties[[Code]:[Locatie]],2,FALSE)</f>
        <v>ODBS Lonneker</v>
      </c>
      <c r="C622" s="176" t="str">
        <f>VLOOKUP(Ruimtestaat[[#This Row],[Code]],Locaties[[#All],[Code]:[Adres]],4,FALSE)</f>
        <v>Dorpsstraat 104</v>
      </c>
      <c r="D622" s="176" t="str">
        <f>VLOOKUP(Ruimtestaat[[#This Row],[Code]],Locaties[[#All],[Code]:[Postcode]],5,FALSE)</f>
        <v>7524 CK</v>
      </c>
      <c r="E622" s="176" t="str">
        <f>VLOOKUP(Ruimtestaat[[#This Row],[Code]],Locaties[#All],6,FALSE)</f>
        <v>Lonneker</v>
      </c>
      <c r="F622" s="183"/>
      <c r="G622" s="99" t="s">
        <v>1646</v>
      </c>
      <c r="H622" s="99" t="s">
        <v>1694</v>
      </c>
      <c r="I622" s="183" t="s">
        <v>1686</v>
      </c>
      <c r="J622" s="99">
        <v>16</v>
      </c>
      <c r="K622" s="183" t="str">
        <f>VLOOKUP(Ruimtestaat[[#This Row],[Ruimte code]],Ruimtegroepen[[#All],[Code]:[Ruimte omschrijving]],2,FALSE)</f>
        <v>Leslokalen</v>
      </c>
      <c r="L622" s="99" t="s">
        <v>100</v>
      </c>
      <c r="M622" s="99" t="s">
        <v>1697</v>
      </c>
      <c r="N622" s="177">
        <v>51.7</v>
      </c>
      <c r="O622" s="177"/>
      <c r="P622" s="178" t="str">
        <f>VLOOKUP(Ruimtestaat[[#This Row],[Ruimte code]],Ruimtegroepen[],4,FALSE)</f>
        <v>Le</v>
      </c>
      <c r="Q622" s="149">
        <v>40</v>
      </c>
      <c r="R622" s="149" t="s">
        <v>2</v>
      </c>
      <c r="S622" s="285">
        <f>IF(Q622&gt;0,IF(RIGHT(Ruimtestaat[[#This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2" s="286">
        <f>IF(S622&gt;0,VLOOKUP($J622,Ruimtegroepen[],3,FALSE)*VLOOKUP($L622,Vloersoorten[],3,FALSE)*VLOOKUP($R622,Frequenties[],3,FALSE)*VLOOKUP($A622,Locaties[],3,FALSE),0)</f>
        <v>0</v>
      </c>
      <c r="U622" s="287">
        <f>Ruimtestaat[[#This Row],[Uitvoeringen werkdagen]]*Ruimtestaat[[#This Row],[Oppervlak (netto)]]</f>
        <v>10340</v>
      </c>
      <c r="V622" s="288">
        <f>IF(T622&gt;0,Ruimtestaat[[#This Row],[Prest. (m2 /jaar) werkdagen]]/Ruimtestaat[[#This Row],[Norm (m2/uur) werkdagen]],0)</f>
        <v>0</v>
      </c>
      <c r="W622" s="289">
        <f>Ruimtestaat[[#This Row],[uren / jaar werkdagen]]*Tariefsopbouw!$E$35</f>
        <v>0</v>
      </c>
      <c r="X622" s="226"/>
      <c r="Y622" s="290">
        <f>IF(Ruimtestaat[[#This Row],[Frequentie weekend]]&gt;0,VALUE(LEFT(X622,1))*Q622,0)</f>
        <v>0</v>
      </c>
      <c r="Z622" s="287">
        <f>IF($Y622&gt;0,VLOOKUP($J622,Ruimtegroepen[],3,FALSE)*VLOOKUP($L622,Vloersoorten[],3,FALSE)*VLOOKUP($X622,Frequenties[],3,FALSE)*VLOOKUP(#REF!,Locaties[],3,FALSE),0)</f>
        <v>0</v>
      </c>
      <c r="AA622" s="291">
        <f>Ruimtestaat[[#This Row],[Uitvoeringen weekend]]*Ruimtestaat[[#This Row],[Oppervlak (netto)]]</f>
        <v>0</v>
      </c>
      <c r="AB622" s="291">
        <f>IF(Z622&gt;0,Ruimtestaat[[#This Row],[Prest. (m2 /jaar) weekend]]/Ruimtestaat[[#This Row],[Norm (m2/uur) weekend]],0)</f>
        <v>0</v>
      </c>
      <c r="AC622" s="180">
        <f>Ruimtestaat[[#This Row],[uren / jaar weekend]]*Tariefsopbouw!$D$40</f>
        <v>0</v>
      </c>
      <c r="AD622" s="179">
        <f>Ruimtestaat[[#This Row],[Prest. (m2 /jaar) weekend]]+Ruimtestaat[[#This Row],[Prest. (m2 /jaar) werkdagen]]</f>
        <v>10340</v>
      </c>
      <c r="AE622" s="179">
        <f>Ruimtestaat[[#This Row],[uren / jaar weekend]]+Ruimtestaat[[#This Row],[uren / jaar werkdagen]]</f>
        <v>0</v>
      </c>
      <c r="AF622" s="174">
        <f>Ruimtestaat[[#This Row],[kosten / jaar weekend]]+Ruimtestaat[[#This Row],[kosten / jaar werkdagen]]</f>
        <v>0</v>
      </c>
      <c r="AG622" s="174"/>
      <c r="AH622" s="174" t="str">
        <f>IF(Ruimtestaat[[#This Row],[Frequentie werkdagen]]="","",_xlfn.CONCAT(Ruimtestaat[[#This Row],[Ruimte code]],"-",Ruimtestaat[[#This Row],[Frequentie werkdagen]]," ",Ruimtestaat[[#This Row],[Vloer code]]))</f>
        <v>16-5w L</v>
      </c>
      <c r="AI622" s="182" t="str">
        <f>_xlfn.IFNA(VLOOKUP($AH622,Programma!$F$3:$G$1101,2,0),"")</f>
        <v>_</v>
      </c>
      <c r="AJ622" s="182" t="str">
        <f>_xlfn.IFNA(VLOOKUP($AH622,Programma!$F$3:$H$1101,3,0),"")</f>
        <v>_</v>
      </c>
      <c r="AK622" s="182" t="str">
        <f>_xlfn.IFNA(VLOOKUP($AH622,Programma!$F$3:$I$1101,4,0),"")</f>
        <v>4w</v>
      </c>
      <c r="AL622" s="182" t="str">
        <f>_xlfn.IFNA(VLOOKUP($AH622,Programma!$F$3:$J$1101,5,0),"")</f>
        <v>1w</v>
      </c>
      <c r="AM622" s="182" t="str">
        <f>_xlfn.IFNA(VLOOKUP($AH622,Programma!$F$3:$K$1101,6,0),"")</f>
        <v>_</v>
      </c>
      <c r="AN622" s="182" t="str">
        <f>_xlfn.IFNA(VLOOKUP($AH622,Programma!$F$3:$L$1101,7,0),"")</f>
        <v>_</v>
      </c>
      <c r="AO622" s="182" t="str">
        <f>_xlfn.IFNA(VLOOKUP($AH622,Programma!$F$3:$M$1101,8,0),"")</f>
        <v>_</v>
      </c>
      <c r="AP622" s="182" t="str">
        <f>_xlfn.IFNA(VLOOKUP($AH622,Programma!$F$3:$N$1101,9,0),"")</f>
        <v>_</v>
      </c>
      <c r="AQ622" s="182" t="str">
        <f>_xlfn.IFNA(VLOOKUP($AH622,Programma!$F$3:$O$1101,10,0),"")</f>
        <v>5w</v>
      </c>
      <c r="AR622" s="182" t="str">
        <f>_xlfn.IFNA(VLOOKUP($AH622,Programma!$F$3:$P$1101,11,0),"")</f>
        <v>5w</v>
      </c>
      <c r="AS622" s="182" t="str">
        <f>_xlfn.IFNA(VLOOKUP($AH622,Programma!$F$3:$Q$1101,12,0),"")</f>
        <v>1w</v>
      </c>
      <c r="AT622" s="182" t="str">
        <f>_xlfn.IFNA(VLOOKUP($AH622,Programma!$F$3:$R$1101,13,0),"")</f>
        <v>1w</v>
      </c>
      <c r="AU622" s="182" t="str">
        <f>_xlfn.IFNA(VLOOKUP($AH622,Programma!$F$3:$S$1101,14,0),"")</f>
        <v>1m</v>
      </c>
      <c r="AV622" s="182" t="str">
        <f>_xlfn.IFNA(VLOOKUP($AH622,Programma!$F$3:$T$1101,15,0),"")</f>
        <v>2j</v>
      </c>
      <c r="AW622" s="182" t="str">
        <f>_xlfn.IFNA(VLOOKUP($AH622,Programma!$F$3:$U$1101,16,0),"")</f>
        <v>1j</v>
      </c>
      <c r="AX622" s="182" t="str">
        <f>_xlfn.IFNA(VLOOKUP($AH622,Programma!$F$3:$V$1101,17,0),"")</f>
        <v>_</v>
      </c>
      <c r="AY622" s="182" t="str">
        <f>_xlfn.IFNA(VLOOKUP($AH622,Programma!$F$3:$W$1101,18,0),"")</f>
        <v>_</v>
      </c>
      <c r="AZ622" s="182" t="str">
        <f>_xlfn.IFNA(VLOOKUP($AH622,Programma!$F$3:$X$1101,19,0),"")</f>
        <v>_</v>
      </c>
      <c r="BA622" s="182" t="str">
        <f>_xlfn.IFNA(VLOOKUP($AH622,Programma!$F$3:$Y$1101,20,0),"")</f>
        <v>_</v>
      </c>
      <c r="BB622" s="182"/>
      <c r="BC622" s="174" t="str">
        <f>IF(Ruimtestaat[[#This Row],[Frequentie weekend]]="","",_xlfn.CONCAT(Ruimtestaat[[#This Row],[Ruimte code]],"-",Ruimtestaat[[#This Row],[Frequentie weekend]]," ",Ruimtestaat[[#This Row],[Vloer code]]))</f>
        <v/>
      </c>
      <c r="BD622" s="182" t="str">
        <f>_xlfn.IFNA(VLOOKUP($BC622,Programma!$F$3:$G$1101,2,0),"")</f>
        <v/>
      </c>
      <c r="BE622" s="182" t="str">
        <f>_xlfn.IFNA(VLOOKUP($BC622,Programma!$F$3:$H$1101,3,0),"")</f>
        <v/>
      </c>
      <c r="BF622" s="182" t="str">
        <f>_xlfn.IFNA(VLOOKUP($BC622,Programma!$F$3:$I$1101,4,0),"")</f>
        <v/>
      </c>
      <c r="BG622" s="182" t="str">
        <f>_xlfn.IFNA(VLOOKUP($BC622,Programma!$F$3:$J$1101,5,0),"")</f>
        <v/>
      </c>
      <c r="BH622" s="182" t="str">
        <f>_xlfn.IFNA(VLOOKUP($BC622,Programma!$F$3:$K$1101,6,0),"")</f>
        <v/>
      </c>
      <c r="BI622" s="182" t="str">
        <f>_xlfn.IFNA(VLOOKUP($BC622,Programma!$F$3:$L$1101,7,0),"")</f>
        <v/>
      </c>
      <c r="BJ622" s="182" t="str">
        <f>_xlfn.IFNA(VLOOKUP($BC622,Programma!$F$3:$M$1101,8,0),"")</f>
        <v/>
      </c>
      <c r="BK622" s="182" t="str">
        <f>_xlfn.IFNA(VLOOKUP($BC622,Programma!$F$3:$N$1101,9,0),"")</f>
        <v/>
      </c>
      <c r="BL622" s="182" t="str">
        <f>_xlfn.IFNA(VLOOKUP($BC622,Programma!$F$3:$O$1101,10,0),"")</f>
        <v/>
      </c>
      <c r="BM622" s="182" t="str">
        <f>_xlfn.IFNA(VLOOKUP($BC622,Programma!$F$3:$P$1101,11,0),"")</f>
        <v/>
      </c>
      <c r="BN622" s="182" t="str">
        <f>_xlfn.IFNA(VLOOKUP($BC622,Programma!$F$3:$Q$1101,12,0),"")</f>
        <v/>
      </c>
      <c r="BO622" s="182" t="str">
        <f>_xlfn.IFNA(VLOOKUP($BC622,Programma!$F$3:$R$1101,13,0),"")</f>
        <v/>
      </c>
      <c r="BP622" s="182" t="str">
        <f>_xlfn.IFNA(VLOOKUP($BC622,Programma!$F$3:$S$1101,14,0),"")</f>
        <v/>
      </c>
      <c r="BQ622" s="182" t="str">
        <f>_xlfn.IFNA(VLOOKUP($BC622,Programma!$F$3:$T$1101,15,0),"")</f>
        <v/>
      </c>
      <c r="BR622" s="182" t="str">
        <f>_xlfn.IFNA(VLOOKUP($BC622,Programma!$F$3:$U$1101,16,0),"")</f>
        <v/>
      </c>
      <c r="BS622" s="182" t="str">
        <f>_xlfn.IFNA(VLOOKUP($BC622,Programma!$F$3:$V$1101,17,0),"")</f>
        <v/>
      </c>
      <c r="BT622" s="182" t="str">
        <f>_xlfn.IFNA(VLOOKUP($BC622,Programma!$F$3:$W$1101,18,0),"")</f>
        <v/>
      </c>
      <c r="BU622" s="182" t="str">
        <f>_xlfn.IFNA(VLOOKUP($BC622,Programma!$F$3:$X$1101,19,0),"")</f>
        <v/>
      </c>
      <c r="BV622" s="182" t="str">
        <f>_xlfn.IFNA(VLOOKUP($BC622,Programma!$F$3:$Y$1101,20,0),"")</f>
        <v/>
      </c>
    </row>
    <row r="623" spans="1:74" ht="15" customHeight="1">
      <c r="A623" s="99">
        <v>17</v>
      </c>
      <c r="B623" s="176" t="str">
        <f>VLOOKUP(Ruimtestaat[[#This Row],[Code]],Locaties[[Code]:[Locatie]],2,FALSE)</f>
        <v>ODBS Lonneker</v>
      </c>
      <c r="C623" s="176" t="str">
        <f>VLOOKUP(Ruimtestaat[[#This Row],[Code]],Locaties[[#All],[Code]:[Adres]],4,FALSE)</f>
        <v>Dorpsstraat 104</v>
      </c>
      <c r="D623" s="176" t="str">
        <f>VLOOKUP(Ruimtestaat[[#This Row],[Code]],Locaties[[#All],[Code]:[Postcode]],5,FALSE)</f>
        <v>7524 CK</v>
      </c>
      <c r="E623" s="176" t="str">
        <f>VLOOKUP(Ruimtestaat[[#This Row],[Code]],Locaties[#All],6,FALSE)</f>
        <v>Lonneker</v>
      </c>
      <c r="F623" s="183"/>
      <c r="G623" s="99" t="s">
        <v>1646</v>
      </c>
      <c r="H623" s="99" t="s">
        <v>1695</v>
      </c>
      <c r="I623" s="183" t="s">
        <v>1683</v>
      </c>
      <c r="J623" s="99">
        <v>20</v>
      </c>
      <c r="K623" s="183" t="str">
        <f>VLOOKUP(Ruimtestaat[[#This Row],[Ruimte code]],Ruimtegroepen[[#All],[Code]:[Ruimte omschrijving]],2,FALSE)</f>
        <v>Niet in Onderhoud</v>
      </c>
      <c r="L623" s="99" t="s">
        <v>100</v>
      </c>
      <c r="M623" s="99" t="s">
        <v>1697</v>
      </c>
      <c r="N623" s="177"/>
      <c r="O623" s="177">
        <v>1</v>
      </c>
      <c r="P623" s="178">
        <f>VLOOKUP(Ruimtestaat[[#This Row],[Ruimte code]],Ruimtegroepen[],4,FALSE)</f>
        <v>0</v>
      </c>
      <c r="Q623" s="149"/>
      <c r="R623" s="149"/>
      <c r="S623" s="285">
        <f>IF(Q623&gt;0,IF(RIGHT(Ruimtestaat[[#This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3" s="286">
        <f>IF(S623&gt;0,VLOOKUP($J623,Ruimtegroepen[],3,FALSE)*VLOOKUP($L623,Vloersoorten[],3,FALSE)*VLOOKUP($R623,Frequenties[],3,FALSE)*VLOOKUP($A623,Locaties[],3,FALSE),0)</f>
        <v>0</v>
      </c>
      <c r="U623" s="287">
        <f>Ruimtestaat[[#This Row],[Uitvoeringen werkdagen]]*Ruimtestaat[[#This Row],[Oppervlak (netto)]]</f>
        <v>0</v>
      </c>
      <c r="V623" s="288">
        <f>IF(T623&gt;0,Ruimtestaat[[#This Row],[Prest. (m2 /jaar) werkdagen]]/Ruimtestaat[[#This Row],[Norm (m2/uur) werkdagen]],0)</f>
        <v>0</v>
      </c>
      <c r="W623" s="289">
        <f>Ruimtestaat[[#This Row],[uren / jaar werkdagen]]*Tariefsopbouw!$E$35</f>
        <v>0</v>
      </c>
      <c r="X623" s="226"/>
      <c r="Y623" s="290">
        <f>IF(Ruimtestaat[[#This Row],[Frequentie weekend]]&gt;0,VALUE(LEFT(X623,1))*Q623,0)</f>
        <v>0</v>
      </c>
      <c r="Z623" s="287">
        <f>IF($Y623&gt;0,VLOOKUP($J623,Ruimtegroepen[],3,FALSE)*VLOOKUP($L623,Vloersoorten[],3,FALSE)*VLOOKUP($X623,Frequenties[],3,FALSE)*VLOOKUP(#REF!,Locaties[],3,FALSE),0)</f>
        <v>0</v>
      </c>
      <c r="AA623" s="291">
        <f>Ruimtestaat[[#This Row],[Uitvoeringen weekend]]*Ruimtestaat[[#This Row],[Oppervlak (netto)]]</f>
        <v>0</v>
      </c>
      <c r="AB623" s="291">
        <f>IF(Z623&gt;0,Ruimtestaat[[#This Row],[Prest. (m2 /jaar) weekend]]/Ruimtestaat[[#This Row],[Norm (m2/uur) weekend]],0)</f>
        <v>0</v>
      </c>
      <c r="AC623" s="180">
        <f>Ruimtestaat[[#This Row],[uren / jaar weekend]]*Tariefsopbouw!$D$40</f>
        <v>0</v>
      </c>
      <c r="AD623" s="179">
        <f>Ruimtestaat[[#This Row],[Prest. (m2 /jaar) weekend]]+Ruimtestaat[[#This Row],[Prest. (m2 /jaar) werkdagen]]</f>
        <v>0</v>
      </c>
      <c r="AE623" s="179">
        <f>Ruimtestaat[[#This Row],[uren / jaar weekend]]+Ruimtestaat[[#This Row],[uren / jaar werkdagen]]</f>
        <v>0</v>
      </c>
      <c r="AF623" s="174">
        <f>Ruimtestaat[[#This Row],[kosten / jaar weekend]]+Ruimtestaat[[#This Row],[kosten / jaar werkdagen]]</f>
        <v>0</v>
      </c>
      <c r="AG623" s="174"/>
      <c r="AH623" s="174" t="str">
        <f>IF(Ruimtestaat[[#This Row],[Frequentie werkdagen]]="","",_xlfn.CONCAT(Ruimtestaat[[#This Row],[Ruimte code]],"-",Ruimtestaat[[#This Row],[Frequentie werkdagen]]," ",Ruimtestaat[[#This Row],[Vloer code]]))</f>
        <v/>
      </c>
      <c r="AI623" s="182" t="str">
        <f>_xlfn.IFNA(VLOOKUP($AH623,Programma!$F$3:$G$1101,2,0),"")</f>
        <v/>
      </c>
      <c r="AJ623" s="182" t="str">
        <f>_xlfn.IFNA(VLOOKUP($AH623,Programma!$F$3:$H$1101,3,0),"")</f>
        <v/>
      </c>
      <c r="AK623" s="182" t="str">
        <f>_xlfn.IFNA(VLOOKUP($AH623,Programma!$F$3:$I$1101,4,0),"")</f>
        <v/>
      </c>
      <c r="AL623" s="182" t="str">
        <f>_xlfn.IFNA(VLOOKUP($AH623,Programma!$F$3:$J$1101,5,0),"")</f>
        <v/>
      </c>
      <c r="AM623" s="182" t="str">
        <f>_xlfn.IFNA(VLOOKUP($AH623,Programma!$F$3:$K$1101,6,0),"")</f>
        <v/>
      </c>
      <c r="AN623" s="182" t="str">
        <f>_xlfn.IFNA(VLOOKUP($AH623,Programma!$F$3:$L$1101,7,0),"")</f>
        <v/>
      </c>
      <c r="AO623" s="182" t="str">
        <f>_xlfn.IFNA(VLOOKUP($AH623,Programma!$F$3:$M$1101,8,0),"")</f>
        <v/>
      </c>
      <c r="AP623" s="182" t="str">
        <f>_xlfn.IFNA(VLOOKUP($AH623,Programma!$F$3:$N$1101,9,0),"")</f>
        <v/>
      </c>
      <c r="AQ623" s="182" t="str">
        <f>_xlfn.IFNA(VLOOKUP($AH623,Programma!$F$3:$O$1101,10,0),"")</f>
        <v/>
      </c>
      <c r="AR623" s="182" t="str">
        <f>_xlfn.IFNA(VLOOKUP($AH623,Programma!$F$3:$P$1101,11,0),"")</f>
        <v/>
      </c>
      <c r="AS623" s="182" t="str">
        <f>_xlfn.IFNA(VLOOKUP($AH623,Programma!$F$3:$Q$1101,12,0),"")</f>
        <v/>
      </c>
      <c r="AT623" s="182" t="str">
        <f>_xlfn.IFNA(VLOOKUP($AH623,Programma!$F$3:$R$1101,13,0),"")</f>
        <v/>
      </c>
      <c r="AU623" s="182" t="str">
        <f>_xlfn.IFNA(VLOOKUP($AH623,Programma!$F$3:$S$1101,14,0),"")</f>
        <v/>
      </c>
      <c r="AV623" s="182" t="str">
        <f>_xlfn.IFNA(VLOOKUP($AH623,Programma!$F$3:$T$1101,15,0),"")</f>
        <v/>
      </c>
      <c r="AW623" s="182" t="str">
        <f>_xlfn.IFNA(VLOOKUP($AH623,Programma!$F$3:$U$1101,16,0),"")</f>
        <v/>
      </c>
      <c r="AX623" s="182" t="str">
        <f>_xlfn.IFNA(VLOOKUP($AH623,Programma!$F$3:$V$1101,17,0),"")</f>
        <v/>
      </c>
      <c r="AY623" s="182" t="str">
        <f>_xlfn.IFNA(VLOOKUP($AH623,Programma!$F$3:$W$1101,18,0),"")</f>
        <v/>
      </c>
      <c r="AZ623" s="182" t="str">
        <f>_xlfn.IFNA(VLOOKUP($AH623,Programma!$F$3:$X$1101,19,0),"")</f>
        <v/>
      </c>
      <c r="BA623" s="182" t="str">
        <f>_xlfn.IFNA(VLOOKUP($AH623,Programma!$F$3:$Y$1101,20,0),"")</f>
        <v/>
      </c>
      <c r="BB623" s="182"/>
      <c r="BC623" s="174" t="str">
        <f>IF(Ruimtestaat[[#This Row],[Frequentie weekend]]="","",_xlfn.CONCAT(Ruimtestaat[[#This Row],[Ruimte code]],"-",Ruimtestaat[[#This Row],[Frequentie weekend]]," ",Ruimtestaat[[#This Row],[Vloer code]]))</f>
        <v/>
      </c>
      <c r="BD623" s="182" t="str">
        <f>_xlfn.IFNA(VLOOKUP($BC623,Programma!$F$3:$G$1101,2,0),"")</f>
        <v/>
      </c>
      <c r="BE623" s="182" t="str">
        <f>_xlfn.IFNA(VLOOKUP($BC623,Programma!$F$3:$H$1101,3,0),"")</f>
        <v/>
      </c>
      <c r="BF623" s="182" t="str">
        <f>_xlfn.IFNA(VLOOKUP($BC623,Programma!$F$3:$I$1101,4,0),"")</f>
        <v/>
      </c>
      <c r="BG623" s="182" t="str">
        <f>_xlfn.IFNA(VLOOKUP($BC623,Programma!$F$3:$J$1101,5,0),"")</f>
        <v/>
      </c>
      <c r="BH623" s="182" t="str">
        <f>_xlfn.IFNA(VLOOKUP($BC623,Programma!$F$3:$K$1101,6,0),"")</f>
        <v/>
      </c>
      <c r="BI623" s="182" t="str">
        <f>_xlfn.IFNA(VLOOKUP($BC623,Programma!$F$3:$L$1101,7,0),"")</f>
        <v/>
      </c>
      <c r="BJ623" s="182" t="str">
        <f>_xlfn.IFNA(VLOOKUP($BC623,Programma!$F$3:$M$1101,8,0),"")</f>
        <v/>
      </c>
      <c r="BK623" s="182" t="str">
        <f>_xlfn.IFNA(VLOOKUP($BC623,Programma!$F$3:$N$1101,9,0),"")</f>
        <v/>
      </c>
      <c r="BL623" s="182" t="str">
        <f>_xlfn.IFNA(VLOOKUP($BC623,Programma!$F$3:$O$1101,10,0),"")</f>
        <v/>
      </c>
      <c r="BM623" s="182" t="str">
        <f>_xlfn.IFNA(VLOOKUP($BC623,Programma!$F$3:$P$1101,11,0),"")</f>
        <v/>
      </c>
      <c r="BN623" s="182" t="str">
        <f>_xlfn.IFNA(VLOOKUP($BC623,Programma!$F$3:$Q$1101,12,0),"")</f>
        <v/>
      </c>
      <c r="BO623" s="182" t="str">
        <f>_xlfn.IFNA(VLOOKUP($BC623,Programma!$F$3:$R$1101,13,0),"")</f>
        <v/>
      </c>
      <c r="BP623" s="182" t="str">
        <f>_xlfn.IFNA(VLOOKUP($BC623,Programma!$F$3:$S$1101,14,0),"")</f>
        <v/>
      </c>
      <c r="BQ623" s="182" t="str">
        <f>_xlfn.IFNA(VLOOKUP($BC623,Programma!$F$3:$T$1101,15,0),"")</f>
        <v/>
      </c>
      <c r="BR623" s="182" t="str">
        <f>_xlfn.IFNA(VLOOKUP($BC623,Programma!$F$3:$U$1101,16,0),"")</f>
        <v/>
      </c>
      <c r="BS623" s="182" t="str">
        <f>_xlfn.IFNA(VLOOKUP($BC623,Programma!$F$3:$V$1101,17,0),"")</f>
        <v/>
      </c>
      <c r="BT623" s="182" t="str">
        <f>_xlfn.IFNA(VLOOKUP($BC623,Programma!$F$3:$W$1101,18,0),"")</f>
        <v/>
      </c>
      <c r="BU623" s="182" t="str">
        <f>_xlfn.IFNA(VLOOKUP($BC623,Programma!$F$3:$X$1101,19,0),"")</f>
        <v/>
      </c>
      <c r="BV623" s="182" t="str">
        <f>_xlfn.IFNA(VLOOKUP($BC623,Programma!$F$3:$Y$1101,20,0),"")</f>
        <v/>
      </c>
    </row>
    <row r="624" spans="1:74" ht="15" customHeight="1">
      <c r="A624" s="99">
        <v>17</v>
      </c>
      <c r="B624" s="176" t="str">
        <f>VLOOKUP(Ruimtestaat[[#This Row],[Code]],Locaties[[Code]:[Locatie]],2,FALSE)</f>
        <v>ODBS Lonneker</v>
      </c>
      <c r="C624" s="176" t="str">
        <f>VLOOKUP(Ruimtestaat[[#This Row],[Code]],Locaties[[#All],[Code]:[Adres]],4,FALSE)</f>
        <v>Dorpsstraat 104</v>
      </c>
      <c r="D624" s="176" t="str">
        <f>VLOOKUP(Ruimtestaat[[#This Row],[Code]],Locaties[[#All],[Code]:[Postcode]],5,FALSE)</f>
        <v>7524 CK</v>
      </c>
      <c r="E624" s="176" t="str">
        <f>VLOOKUP(Ruimtestaat[[#This Row],[Code]],Locaties[#All],6,FALSE)</f>
        <v>Lonneker</v>
      </c>
      <c r="F624" s="183"/>
      <c r="G624" s="99" t="s">
        <v>1646</v>
      </c>
      <c r="H624" s="99" t="s">
        <v>1696</v>
      </c>
      <c r="I624" s="183" t="s">
        <v>1683</v>
      </c>
      <c r="J624" s="99">
        <v>20</v>
      </c>
      <c r="K624" s="183" t="str">
        <f>VLOOKUP(Ruimtestaat[[#This Row],[Ruimte code]],Ruimtegroepen[[#All],[Code]:[Ruimte omschrijving]],2,FALSE)</f>
        <v>Niet in Onderhoud</v>
      </c>
      <c r="L624" s="99" t="s">
        <v>100</v>
      </c>
      <c r="M624" s="99" t="s">
        <v>1697</v>
      </c>
      <c r="N624" s="177"/>
      <c r="O624" s="177">
        <v>1</v>
      </c>
      <c r="P624" s="178">
        <f>VLOOKUP(Ruimtestaat[[#This Row],[Ruimte code]],Ruimtegroepen[],4,FALSE)</f>
        <v>0</v>
      </c>
      <c r="Q624" s="149"/>
      <c r="R624" s="149"/>
      <c r="S624" s="285">
        <f>IF(Q624&gt;0,IF(RIGHT(Ruimtestaat[[#This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4" s="286">
        <f>IF(S624&gt;0,VLOOKUP($J624,Ruimtegroepen[],3,FALSE)*VLOOKUP($L624,Vloersoorten[],3,FALSE)*VLOOKUP($R624,Frequenties[],3,FALSE)*VLOOKUP($A624,Locaties[],3,FALSE),0)</f>
        <v>0</v>
      </c>
      <c r="U624" s="287">
        <f>Ruimtestaat[[#This Row],[Uitvoeringen werkdagen]]*Ruimtestaat[[#This Row],[Oppervlak (netto)]]</f>
        <v>0</v>
      </c>
      <c r="V624" s="288">
        <f>IF(T624&gt;0,Ruimtestaat[[#This Row],[Prest. (m2 /jaar) werkdagen]]/Ruimtestaat[[#This Row],[Norm (m2/uur) werkdagen]],0)</f>
        <v>0</v>
      </c>
      <c r="W624" s="289">
        <f>Ruimtestaat[[#This Row],[uren / jaar werkdagen]]*Tariefsopbouw!$E$35</f>
        <v>0</v>
      </c>
      <c r="X624" s="226"/>
      <c r="Y624" s="290">
        <f>IF(Ruimtestaat[[#This Row],[Frequentie weekend]]&gt;0,VALUE(LEFT(X624,1))*Q624,0)</f>
        <v>0</v>
      </c>
      <c r="Z624" s="287">
        <f>IF($Y624&gt;0,VLOOKUP($J624,Ruimtegroepen[],3,FALSE)*VLOOKUP($L624,Vloersoorten[],3,FALSE)*VLOOKUP($X624,Frequenties[],3,FALSE)*VLOOKUP(#REF!,Locaties[],3,FALSE),0)</f>
        <v>0</v>
      </c>
      <c r="AA624" s="291">
        <f>Ruimtestaat[[#This Row],[Uitvoeringen weekend]]*Ruimtestaat[[#This Row],[Oppervlak (netto)]]</f>
        <v>0</v>
      </c>
      <c r="AB624" s="291">
        <f>IF(Z624&gt;0,Ruimtestaat[[#This Row],[Prest. (m2 /jaar) weekend]]/Ruimtestaat[[#This Row],[Norm (m2/uur) weekend]],0)</f>
        <v>0</v>
      </c>
      <c r="AC624" s="180">
        <f>Ruimtestaat[[#This Row],[uren / jaar weekend]]*Tariefsopbouw!$D$40</f>
        <v>0</v>
      </c>
      <c r="AD624" s="179">
        <f>Ruimtestaat[[#This Row],[Prest. (m2 /jaar) weekend]]+Ruimtestaat[[#This Row],[Prest. (m2 /jaar) werkdagen]]</f>
        <v>0</v>
      </c>
      <c r="AE624" s="179">
        <f>Ruimtestaat[[#This Row],[uren / jaar weekend]]+Ruimtestaat[[#This Row],[uren / jaar werkdagen]]</f>
        <v>0</v>
      </c>
      <c r="AF624" s="174">
        <f>Ruimtestaat[[#This Row],[kosten / jaar weekend]]+Ruimtestaat[[#This Row],[kosten / jaar werkdagen]]</f>
        <v>0</v>
      </c>
      <c r="AG624" s="174"/>
      <c r="AH624" s="174" t="str">
        <f>IF(Ruimtestaat[[#This Row],[Frequentie werkdagen]]="","",_xlfn.CONCAT(Ruimtestaat[[#This Row],[Ruimte code]],"-",Ruimtestaat[[#This Row],[Frequentie werkdagen]]," ",Ruimtestaat[[#This Row],[Vloer code]]))</f>
        <v/>
      </c>
      <c r="AI624" s="182" t="str">
        <f>_xlfn.IFNA(VLOOKUP($AH624,Programma!$F$3:$G$1101,2,0),"")</f>
        <v/>
      </c>
      <c r="AJ624" s="182" t="str">
        <f>_xlfn.IFNA(VLOOKUP($AH624,Programma!$F$3:$H$1101,3,0),"")</f>
        <v/>
      </c>
      <c r="AK624" s="182" t="str">
        <f>_xlfn.IFNA(VLOOKUP($AH624,Programma!$F$3:$I$1101,4,0),"")</f>
        <v/>
      </c>
      <c r="AL624" s="182" t="str">
        <f>_xlfn.IFNA(VLOOKUP($AH624,Programma!$F$3:$J$1101,5,0),"")</f>
        <v/>
      </c>
      <c r="AM624" s="182" t="str">
        <f>_xlfn.IFNA(VLOOKUP($AH624,Programma!$F$3:$K$1101,6,0),"")</f>
        <v/>
      </c>
      <c r="AN624" s="182" t="str">
        <f>_xlfn.IFNA(VLOOKUP($AH624,Programma!$F$3:$L$1101,7,0),"")</f>
        <v/>
      </c>
      <c r="AO624" s="182" t="str">
        <f>_xlfn.IFNA(VLOOKUP($AH624,Programma!$F$3:$M$1101,8,0),"")</f>
        <v/>
      </c>
      <c r="AP624" s="182" t="str">
        <f>_xlfn.IFNA(VLOOKUP($AH624,Programma!$F$3:$N$1101,9,0),"")</f>
        <v/>
      </c>
      <c r="AQ624" s="182" t="str">
        <f>_xlfn.IFNA(VLOOKUP($AH624,Programma!$F$3:$O$1101,10,0),"")</f>
        <v/>
      </c>
      <c r="AR624" s="182" t="str">
        <f>_xlfn.IFNA(VLOOKUP($AH624,Programma!$F$3:$P$1101,11,0),"")</f>
        <v/>
      </c>
      <c r="AS624" s="182" t="str">
        <f>_xlfn.IFNA(VLOOKUP($AH624,Programma!$F$3:$Q$1101,12,0),"")</f>
        <v/>
      </c>
      <c r="AT624" s="182" t="str">
        <f>_xlfn.IFNA(VLOOKUP($AH624,Programma!$F$3:$R$1101,13,0),"")</f>
        <v/>
      </c>
      <c r="AU624" s="182" t="str">
        <f>_xlfn.IFNA(VLOOKUP($AH624,Programma!$F$3:$S$1101,14,0),"")</f>
        <v/>
      </c>
      <c r="AV624" s="182" t="str">
        <f>_xlfn.IFNA(VLOOKUP($AH624,Programma!$F$3:$T$1101,15,0),"")</f>
        <v/>
      </c>
      <c r="AW624" s="182" t="str">
        <f>_xlfn.IFNA(VLOOKUP($AH624,Programma!$F$3:$U$1101,16,0),"")</f>
        <v/>
      </c>
      <c r="AX624" s="182" t="str">
        <f>_xlfn.IFNA(VLOOKUP($AH624,Programma!$F$3:$V$1101,17,0),"")</f>
        <v/>
      </c>
      <c r="AY624" s="182" t="str">
        <f>_xlfn.IFNA(VLOOKUP($AH624,Programma!$F$3:$W$1101,18,0),"")</f>
        <v/>
      </c>
      <c r="AZ624" s="182" t="str">
        <f>_xlfn.IFNA(VLOOKUP($AH624,Programma!$F$3:$X$1101,19,0),"")</f>
        <v/>
      </c>
      <c r="BA624" s="182" t="str">
        <f>_xlfn.IFNA(VLOOKUP($AH624,Programma!$F$3:$Y$1101,20,0),"")</f>
        <v/>
      </c>
      <c r="BB624" s="182"/>
      <c r="BC624" s="174" t="str">
        <f>IF(Ruimtestaat[[#This Row],[Frequentie weekend]]="","",_xlfn.CONCAT(Ruimtestaat[[#This Row],[Ruimte code]],"-",Ruimtestaat[[#This Row],[Frequentie weekend]]," ",Ruimtestaat[[#This Row],[Vloer code]]))</f>
        <v/>
      </c>
      <c r="BD624" s="182" t="str">
        <f>_xlfn.IFNA(VLOOKUP($BC624,Programma!$F$3:$G$1101,2,0),"")</f>
        <v/>
      </c>
      <c r="BE624" s="182" t="str">
        <f>_xlfn.IFNA(VLOOKUP($BC624,Programma!$F$3:$H$1101,3,0),"")</f>
        <v/>
      </c>
      <c r="BF624" s="182" t="str">
        <f>_xlfn.IFNA(VLOOKUP($BC624,Programma!$F$3:$I$1101,4,0),"")</f>
        <v/>
      </c>
      <c r="BG624" s="182" t="str">
        <f>_xlfn.IFNA(VLOOKUP($BC624,Programma!$F$3:$J$1101,5,0),"")</f>
        <v/>
      </c>
      <c r="BH624" s="182" t="str">
        <f>_xlfn.IFNA(VLOOKUP($BC624,Programma!$F$3:$K$1101,6,0),"")</f>
        <v/>
      </c>
      <c r="BI624" s="182" t="str">
        <f>_xlfn.IFNA(VLOOKUP($BC624,Programma!$F$3:$L$1101,7,0),"")</f>
        <v/>
      </c>
      <c r="BJ624" s="182" t="str">
        <f>_xlfn.IFNA(VLOOKUP($BC624,Programma!$F$3:$M$1101,8,0),"")</f>
        <v/>
      </c>
      <c r="BK624" s="182" t="str">
        <f>_xlfn.IFNA(VLOOKUP($BC624,Programma!$F$3:$N$1101,9,0),"")</f>
        <v/>
      </c>
      <c r="BL624" s="182" t="str">
        <f>_xlfn.IFNA(VLOOKUP($BC624,Programma!$F$3:$O$1101,10,0),"")</f>
        <v/>
      </c>
      <c r="BM624" s="182" t="str">
        <f>_xlfn.IFNA(VLOOKUP($BC624,Programma!$F$3:$P$1101,11,0),"")</f>
        <v/>
      </c>
      <c r="BN624" s="182" t="str">
        <f>_xlfn.IFNA(VLOOKUP($BC624,Programma!$F$3:$Q$1101,12,0),"")</f>
        <v/>
      </c>
      <c r="BO624" s="182" t="str">
        <f>_xlfn.IFNA(VLOOKUP($BC624,Programma!$F$3:$R$1101,13,0),"")</f>
        <v/>
      </c>
      <c r="BP624" s="182" t="str">
        <f>_xlfn.IFNA(VLOOKUP($BC624,Programma!$F$3:$S$1101,14,0),"")</f>
        <v/>
      </c>
      <c r="BQ624" s="182" t="str">
        <f>_xlfn.IFNA(VLOOKUP($BC624,Programma!$F$3:$T$1101,15,0),"")</f>
        <v/>
      </c>
      <c r="BR624" s="182" t="str">
        <f>_xlfn.IFNA(VLOOKUP($BC624,Programma!$F$3:$U$1101,16,0),"")</f>
        <v/>
      </c>
      <c r="BS624" s="182" t="str">
        <f>_xlfn.IFNA(VLOOKUP($BC624,Programma!$F$3:$V$1101,17,0),"")</f>
        <v/>
      </c>
      <c r="BT624" s="182" t="str">
        <f>_xlfn.IFNA(VLOOKUP($BC624,Programma!$F$3:$W$1101,18,0),"")</f>
        <v/>
      </c>
      <c r="BU624" s="182" t="str">
        <f>_xlfn.IFNA(VLOOKUP($BC624,Programma!$F$3:$X$1101,19,0),"")</f>
        <v/>
      </c>
      <c r="BV624" s="182" t="str">
        <f>_xlfn.IFNA(VLOOKUP($BC624,Programma!$F$3:$Y$1101,20,0),"")</f>
        <v/>
      </c>
    </row>
    <row r="625" spans="1:74" ht="15" customHeight="1">
      <c r="A625" s="99">
        <v>17</v>
      </c>
      <c r="B625" s="176" t="str">
        <f>VLOOKUP(Ruimtestaat[[#This Row],[Code]],Locaties[[Code]:[Locatie]],2,FALSE)</f>
        <v>ODBS Lonneker</v>
      </c>
      <c r="C625" s="176" t="str">
        <f>VLOOKUP(Ruimtestaat[[#This Row],[Code]],Locaties[[#All],[Code]:[Adres]],4,FALSE)</f>
        <v>Dorpsstraat 104</v>
      </c>
      <c r="D625" s="176" t="str">
        <f>VLOOKUP(Ruimtestaat[[#This Row],[Code]],Locaties[[#All],[Code]:[Postcode]],5,FALSE)</f>
        <v>7524 CK</v>
      </c>
      <c r="E625" s="176" t="str">
        <f>VLOOKUP(Ruimtestaat[[#This Row],[Code]],Locaties[#All],6,FALSE)</f>
        <v>Lonneker</v>
      </c>
      <c r="F625" s="183"/>
      <c r="G625" s="99" t="s">
        <v>1646</v>
      </c>
      <c r="H625" s="99" t="s">
        <v>1703</v>
      </c>
      <c r="I625" s="183" t="s">
        <v>1658</v>
      </c>
      <c r="J625" s="99">
        <v>6</v>
      </c>
      <c r="K625" s="183" t="str">
        <f>VLOOKUP(Ruimtestaat[[#This Row],[Ruimte code]],Ruimtegroepen[[#All],[Code]:[Ruimte omschrijving]],2,FALSE)</f>
        <v>Gangen/hallen</v>
      </c>
      <c r="L625" s="99" t="s">
        <v>100</v>
      </c>
      <c r="M625" s="99" t="s">
        <v>1697</v>
      </c>
      <c r="N625" s="177">
        <v>18.399999999999999</v>
      </c>
      <c r="O625" s="177"/>
      <c r="P625" s="178" t="str">
        <f>VLOOKUP(Ruimtestaat[[#This Row],[Ruimte code]],Ruimtegroepen[],4,FALSE)</f>
        <v>Ve</v>
      </c>
      <c r="Q625" s="149">
        <v>40</v>
      </c>
      <c r="R625" s="149" t="s">
        <v>2</v>
      </c>
      <c r="S625" s="285">
        <f>IF(Q625&gt;0,IF(RIGHT(Ruimtestaat[[#This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5" s="286">
        <f>IF(S625&gt;0,VLOOKUP($J625,Ruimtegroepen[],3,FALSE)*VLOOKUP($L625,Vloersoorten[],3,FALSE)*VLOOKUP($R625,Frequenties[],3,FALSE)*VLOOKUP($A625,Locaties[],3,FALSE),0)</f>
        <v>0</v>
      </c>
      <c r="U625" s="287">
        <f>Ruimtestaat[[#This Row],[Uitvoeringen werkdagen]]*Ruimtestaat[[#This Row],[Oppervlak (netto)]]</f>
        <v>3679.9999999999995</v>
      </c>
      <c r="V625" s="288">
        <f>IF(T625&gt;0,Ruimtestaat[[#This Row],[Prest. (m2 /jaar) werkdagen]]/Ruimtestaat[[#This Row],[Norm (m2/uur) werkdagen]],0)</f>
        <v>0</v>
      </c>
      <c r="W625" s="289">
        <f>Ruimtestaat[[#This Row],[uren / jaar werkdagen]]*Tariefsopbouw!$E$35</f>
        <v>0</v>
      </c>
      <c r="X625" s="226"/>
      <c r="Y625" s="290">
        <f>IF(Ruimtestaat[[#This Row],[Frequentie weekend]]&gt;0,VALUE(LEFT(X625,1))*Q625,0)</f>
        <v>0</v>
      </c>
      <c r="Z625" s="287">
        <f>IF($Y625&gt;0,VLOOKUP($J625,Ruimtegroepen[],3,FALSE)*VLOOKUP($L625,Vloersoorten[],3,FALSE)*VLOOKUP($X625,Frequenties[],3,FALSE)*VLOOKUP(#REF!,Locaties[],3,FALSE),0)</f>
        <v>0</v>
      </c>
      <c r="AA625" s="291">
        <f>Ruimtestaat[[#This Row],[Uitvoeringen weekend]]*Ruimtestaat[[#This Row],[Oppervlak (netto)]]</f>
        <v>0</v>
      </c>
      <c r="AB625" s="291">
        <f>IF(Z625&gt;0,Ruimtestaat[[#This Row],[Prest. (m2 /jaar) weekend]]/Ruimtestaat[[#This Row],[Norm (m2/uur) weekend]],0)</f>
        <v>0</v>
      </c>
      <c r="AC625" s="180">
        <f>Ruimtestaat[[#This Row],[uren / jaar weekend]]*Tariefsopbouw!$D$40</f>
        <v>0</v>
      </c>
      <c r="AD625" s="179">
        <f>Ruimtestaat[[#This Row],[Prest. (m2 /jaar) weekend]]+Ruimtestaat[[#This Row],[Prest. (m2 /jaar) werkdagen]]</f>
        <v>3679.9999999999995</v>
      </c>
      <c r="AE625" s="179">
        <f>Ruimtestaat[[#This Row],[uren / jaar weekend]]+Ruimtestaat[[#This Row],[uren / jaar werkdagen]]</f>
        <v>0</v>
      </c>
      <c r="AF625" s="174">
        <f>Ruimtestaat[[#This Row],[kosten / jaar weekend]]+Ruimtestaat[[#This Row],[kosten / jaar werkdagen]]</f>
        <v>0</v>
      </c>
      <c r="AG625" s="174"/>
      <c r="AH625" s="174" t="str">
        <f>IF(Ruimtestaat[[#This Row],[Frequentie werkdagen]]="","",_xlfn.CONCAT(Ruimtestaat[[#This Row],[Ruimte code]],"-",Ruimtestaat[[#This Row],[Frequentie werkdagen]]," ",Ruimtestaat[[#This Row],[Vloer code]]))</f>
        <v>6-5w L</v>
      </c>
      <c r="AI625" s="182" t="str">
        <f>_xlfn.IFNA(VLOOKUP($AH625,Programma!$F$3:$G$1101,2,0),"")</f>
        <v>_</v>
      </c>
      <c r="AJ625" s="182" t="str">
        <f>_xlfn.IFNA(VLOOKUP($AH625,Programma!$F$3:$H$1101,3,0),"")</f>
        <v>_</v>
      </c>
      <c r="AK625" s="182" t="str">
        <f>_xlfn.IFNA(VLOOKUP($AH625,Programma!$F$3:$I$1101,4,0),"")</f>
        <v>_</v>
      </c>
      <c r="AL625" s="182" t="str">
        <f>_xlfn.IFNA(VLOOKUP($AH625,Programma!$F$3:$J$1101,5,0),"")</f>
        <v>5w</v>
      </c>
      <c r="AM625" s="182" t="str">
        <f>_xlfn.IFNA(VLOOKUP($AH625,Programma!$F$3:$K$1101,6,0),"")</f>
        <v>_</v>
      </c>
      <c r="AN625" s="182" t="str">
        <f>_xlfn.IFNA(VLOOKUP($AH625,Programma!$F$3:$L$1101,7,0),"")</f>
        <v>_</v>
      </c>
      <c r="AO625" s="182" t="str">
        <f>_xlfn.IFNA(VLOOKUP($AH625,Programma!$F$3:$M$1101,8,0),"")</f>
        <v>_</v>
      </c>
      <c r="AP625" s="182" t="str">
        <f>_xlfn.IFNA(VLOOKUP($AH625,Programma!$F$3:$N$1101,9,0),"")</f>
        <v>_</v>
      </c>
      <c r="AQ625" s="182" t="str">
        <f>_xlfn.IFNA(VLOOKUP($AH625,Programma!$F$3:$O$1101,10,0),"")</f>
        <v>5w</v>
      </c>
      <c r="AR625" s="182" t="str">
        <f>_xlfn.IFNA(VLOOKUP($AH625,Programma!$F$3:$P$1101,11,0),"")</f>
        <v>5w</v>
      </c>
      <c r="AS625" s="182" t="str">
        <f>_xlfn.IFNA(VLOOKUP($AH625,Programma!$F$3:$Q$1101,12,0),"")</f>
        <v>1w</v>
      </c>
      <c r="AT625" s="182" t="str">
        <f>_xlfn.IFNA(VLOOKUP($AH625,Programma!$F$3:$R$1101,13,0),"")</f>
        <v>1w</v>
      </c>
      <c r="AU625" s="182" t="str">
        <f>_xlfn.IFNA(VLOOKUP($AH625,Programma!$F$3:$S$1101,14,0),"")</f>
        <v>1m</v>
      </c>
      <c r="AV625" s="182" t="str">
        <f>_xlfn.IFNA(VLOOKUP($AH625,Programma!$F$3:$T$1101,15,0),"")</f>
        <v>2j</v>
      </c>
      <c r="AW625" s="182" t="str">
        <f>_xlfn.IFNA(VLOOKUP($AH625,Programma!$F$3:$U$1101,16,0),"")</f>
        <v>1j</v>
      </c>
      <c r="AX625" s="182" t="str">
        <f>_xlfn.IFNA(VLOOKUP($AH625,Programma!$F$3:$V$1101,17,0),"")</f>
        <v>_</v>
      </c>
      <c r="AY625" s="182" t="str">
        <f>_xlfn.IFNA(VLOOKUP($AH625,Programma!$F$3:$W$1101,18,0),"")</f>
        <v>_</v>
      </c>
      <c r="AZ625" s="182" t="str">
        <f>_xlfn.IFNA(VLOOKUP($AH625,Programma!$F$3:$X$1101,19,0),"")</f>
        <v>_</v>
      </c>
      <c r="BA625" s="182" t="str">
        <f>_xlfn.IFNA(VLOOKUP($AH625,Programma!$F$3:$Y$1101,20,0),"")</f>
        <v>_</v>
      </c>
      <c r="BB625" s="182"/>
      <c r="BC625" s="174" t="str">
        <f>IF(Ruimtestaat[[#This Row],[Frequentie weekend]]="","",_xlfn.CONCAT(Ruimtestaat[[#This Row],[Ruimte code]],"-",Ruimtestaat[[#This Row],[Frequentie weekend]]," ",Ruimtestaat[[#This Row],[Vloer code]]))</f>
        <v/>
      </c>
      <c r="BD625" s="182" t="str">
        <f>_xlfn.IFNA(VLOOKUP($BC625,Programma!$F$3:$G$1101,2,0),"")</f>
        <v/>
      </c>
      <c r="BE625" s="182" t="str">
        <f>_xlfn.IFNA(VLOOKUP($BC625,Programma!$F$3:$H$1101,3,0),"")</f>
        <v/>
      </c>
      <c r="BF625" s="182" t="str">
        <f>_xlfn.IFNA(VLOOKUP($BC625,Programma!$F$3:$I$1101,4,0),"")</f>
        <v/>
      </c>
      <c r="BG625" s="182" t="str">
        <f>_xlfn.IFNA(VLOOKUP($BC625,Programma!$F$3:$J$1101,5,0),"")</f>
        <v/>
      </c>
      <c r="BH625" s="182" t="str">
        <f>_xlfn.IFNA(VLOOKUP($BC625,Programma!$F$3:$K$1101,6,0),"")</f>
        <v/>
      </c>
      <c r="BI625" s="182" t="str">
        <f>_xlfn.IFNA(VLOOKUP($BC625,Programma!$F$3:$L$1101,7,0),"")</f>
        <v/>
      </c>
      <c r="BJ625" s="182" t="str">
        <f>_xlfn.IFNA(VLOOKUP($BC625,Programma!$F$3:$M$1101,8,0),"")</f>
        <v/>
      </c>
      <c r="BK625" s="182" t="str">
        <f>_xlfn.IFNA(VLOOKUP($BC625,Programma!$F$3:$N$1101,9,0),"")</f>
        <v/>
      </c>
      <c r="BL625" s="182" t="str">
        <f>_xlfn.IFNA(VLOOKUP($BC625,Programma!$F$3:$O$1101,10,0),"")</f>
        <v/>
      </c>
      <c r="BM625" s="182" t="str">
        <f>_xlfn.IFNA(VLOOKUP($BC625,Programma!$F$3:$P$1101,11,0),"")</f>
        <v/>
      </c>
      <c r="BN625" s="182" t="str">
        <f>_xlfn.IFNA(VLOOKUP($BC625,Programma!$F$3:$Q$1101,12,0),"")</f>
        <v/>
      </c>
      <c r="BO625" s="182" t="str">
        <f>_xlfn.IFNA(VLOOKUP($BC625,Programma!$F$3:$R$1101,13,0),"")</f>
        <v/>
      </c>
      <c r="BP625" s="182" t="str">
        <f>_xlfn.IFNA(VLOOKUP($BC625,Programma!$F$3:$S$1101,14,0),"")</f>
        <v/>
      </c>
      <c r="BQ625" s="182" t="str">
        <f>_xlfn.IFNA(VLOOKUP($BC625,Programma!$F$3:$T$1101,15,0),"")</f>
        <v/>
      </c>
      <c r="BR625" s="182" t="str">
        <f>_xlfn.IFNA(VLOOKUP($BC625,Programma!$F$3:$U$1101,16,0),"")</f>
        <v/>
      </c>
      <c r="BS625" s="182" t="str">
        <f>_xlfn.IFNA(VLOOKUP($BC625,Programma!$F$3:$V$1101,17,0),"")</f>
        <v/>
      </c>
      <c r="BT625" s="182" t="str">
        <f>_xlfn.IFNA(VLOOKUP($BC625,Programma!$F$3:$W$1101,18,0),"")</f>
        <v/>
      </c>
      <c r="BU625" s="182" t="str">
        <f>_xlfn.IFNA(VLOOKUP($BC625,Programma!$F$3:$X$1101,19,0),"")</f>
        <v/>
      </c>
      <c r="BV625" s="182" t="str">
        <f>_xlfn.IFNA(VLOOKUP($BC625,Programma!$F$3:$Y$1101,20,0),"")</f>
        <v/>
      </c>
    </row>
    <row r="626" spans="1:74" ht="15" customHeight="1">
      <c r="A626" s="99">
        <v>17</v>
      </c>
      <c r="B626" s="176" t="str">
        <f>VLOOKUP(Ruimtestaat[[#This Row],[Code]],Locaties[[Code]:[Locatie]],2,FALSE)</f>
        <v>ODBS Lonneker</v>
      </c>
      <c r="C626" s="176" t="str">
        <f>VLOOKUP(Ruimtestaat[[#This Row],[Code]],Locaties[[#All],[Code]:[Adres]],4,FALSE)</f>
        <v>Dorpsstraat 104</v>
      </c>
      <c r="D626" s="176" t="str">
        <f>VLOOKUP(Ruimtestaat[[#This Row],[Code]],Locaties[[#All],[Code]:[Postcode]],5,FALSE)</f>
        <v>7524 CK</v>
      </c>
      <c r="E626" s="176" t="str">
        <f>VLOOKUP(Ruimtestaat[[#This Row],[Code]],Locaties[#All],6,FALSE)</f>
        <v>Lonneker</v>
      </c>
      <c r="F626" s="183"/>
      <c r="G626" s="99" t="s">
        <v>1646</v>
      </c>
      <c r="H626" s="99" t="s">
        <v>1704</v>
      </c>
      <c r="I626" s="183" t="s">
        <v>1684</v>
      </c>
      <c r="J626" s="99">
        <v>5</v>
      </c>
      <c r="K626" s="183" t="str">
        <f>VLOOKUP(Ruimtestaat[[#This Row],[Ruimte code]],Ruimtegroepen[[#All],[Code]:[Ruimte omschrijving]],2,FALSE)</f>
        <v>Sanitair</v>
      </c>
      <c r="L626" s="99" t="s">
        <v>101</v>
      </c>
      <c r="M626" s="99" t="s">
        <v>1682</v>
      </c>
      <c r="N626" s="177">
        <v>3.5</v>
      </c>
      <c r="O626" s="177"/>
      <c r="P626" s="178" t="str">
        <f>VLOOKUP(Ruimtestaat[[#This Row],[Ruimte code]],Ruimtegroepen[],4,FALSE)</f>
        <v>Sa</v>
      </c>
      <c r="Q626" s="149">
        <v>40</v>
      </c>
      <c r="R626" s="149" t="s">
        <v>2</v>
      </c>
      <c r="S626" s="285">
        <f>IF(Q626&gt;0,IF(RIGHT(Ruimtestaat[[#This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6" s="286">
        <f>IF(S626&gt;0,VLOOKUP($J626,Ruimtegroepen[],3,FALSE)*VLOOKUP($L626,Vloersoorten[],3,FALSE)*VLOOKUP($R626,Frequenties[],3,FALSE)*VLOOKUP($A626,Locaties[],3,FALSE),0)</f>
        <v>0</v>
      </c>
      <c r="U626" s="287">
        <f>Ruimtestaat[[#This Row],[Uitvoeringen werkdagen]]*Ruimtestaat[[#This Row],[Oppervlak (netto)]]</f>
        <v>700</v>
      </c>
      <c r="V626" s="288">
        <f>IF(T626&gt;0,Ruimtestaat[[#This Row],[Prest. (m2 /jaar) werkdagen]]/Ruimtestaat[[#This Row],[Norm (m2/uur) werkdagen]],0)</f>
        <v>0</v>
      </c>
      <c r="W626" s="289">
        <f>Ruimtestaat[[#This Row],[uren / jaar werkdagen]]*Tariefsopbouw!$E$35</f>
        <v>0</v>
      </c>
      <c r="X626" s="226"/>
      <c r="Y626" s="290">
        <f>IF(Ruimtestaat[[#This Row],[Frequentie weekend]]&gt;0,VALUE(LEFT(X626,1))*Q626,0)</f>
        <v>0</v>
      </c>
      <c r="Z626" s="287">
        <f>IF($Y626&gt;0,VLOOKUP($J626,Ruimtegroepen[],3,FALSE)*VLOOKUP($L626,Vloersoorten[],3,FALSE)*VLOOKUP($X626,Frequenties[],3,FALSE)*VLOOKUP(#REF!,Locaties[],3,FALSE),0)</f>
        <v>0</v>
      </c>
      <c r="AA626" s="291">
        <f>Ruimtestaat[[#This Row],[Uitvoeringen weekend]]*Ruimtestaat[[#This Row],[Oppervlak (netto)]]</f>
        <v>0</v>
      </c>
      <c r="AB626" s="291">
        <f>IF(Z626&gt;0,Ruimtestaat[[#This Row],[Prest. (m2 /jaar) weekend]]/Ruimtestaat[[#This Row],[Norm (m2/uur) weekend]],0)</f>
        <v>0</v>
      </c>
      <c r="AC626" s="180">
        <f>Ruimtestaat[[#This Row],[uren / jaar weekend]]*Tariefsopbouw!$D$40</f>
        <v>0</v>
      </c>
      <c r="AD626" s="179">
        <f>Ruimtestaat[[#This Row],[Prest. (m2 /jaar) weekend]]+Ruimtestaat[[#This Row],[Prest. (m2 /jaar) werkdagen]]</f>
        <v>700</v>
      </c>
      <c r="AE626" s="179">
        <f>Ruimtestaat[[#This Row],[uren / jaar weekend]]+Ruimtestaat[[#This Row],[uren / jaar werkdagen]]</f>
        <v>0</v>
      </c>
      <c r="AF626" s="174">
        <f>Ruimtestaat[[#This Row],[kosten / jaar weekend]]+Ruimtestaat[[#This Row],[kosten / jaar werkdagen]]</f>
        <v>0</v>
      </c>
      <c r="AG626" s="174"/>
      <c r="AH626" s="174" t="str">
        <f>IF(Ruimtestaat[[#This Row],[Frequentie werkdagen]]="","",_xlfn.CONCAT(Ruimtestaat[[#This Row],[Ruimte code]],"-",Ruimtestaat[[#This Row],[Frequentie werkdagen]]," ",Ruimtestaat[[#This Row],[Vloer code]]))</f>
        <v>5-5w S</v>
      </c>
      <c r="AI626" s="182" t="str">
        <f>_xlfn.IFNA(VLOOKUP($AH626,Programma!$F$3:$G$1101,2,0),"")</f>
        <v>_</v>
      </c>
      <c r="AJ626" s="182" t="str">
        <f>_xlfn.IFNA(VLOOKUP($AH626,Programma!$F$3:$H$1101,3,0),"")</f>
        <v>_</v>
      </c>
      <c r="AK626" s="182" t="str">
        <f>_xlfn.IFNA(VLOOKUP($AH626,Programma!$F$3:$I$1101,4,0),"")</f>
        <v>_</v>
      </c>
      <c r="AL626" s="182" t="str">
        <f>_xlfn.IFNA(VLOOKUP($AH626,Programma!$F$3:$J$1101,5,0),"")</f>
        <v>4w</v>
      </c>
      <c r="AM626" s="182" t="str">
        <f>_xlfn.IFNA(VLOOKUP($AH626,Programma!$F$3:$K$1101,6,0),"")</f>
        <v>1w</v>
      </c>
      <c r="AN626" s="182" t="str">
        <f>_xlfn.IFNA(VLOOKUP($AH626,Programma!$F$3:$L$1101,7,0),"")</f>
        <v>_</v>
      </c>
      <c r="AO626" s="182" t="str">
        <f>_xlfn.IFNA(VLOOKUP($AH626,Programma!$F$3:$M$1101,8,0),"")</f>
        <v>_</v>
      </c>
      <c r="AP626" s="182" t="str">
        <f>_xlfn.IFNA(VLOOKUP($AH626,Programma!$F$3:$N$1101,9,0),"")</f>
        <v>_</v>
      </c>
      <c r="AQ626" s="182" t="str">
        <f>_xlfn.IFNA(VLOOKUP($AH626,Programma!$F$3:$O$1101,10,0),"")</f>
        <v>_</v>
      </c>
      <c r="AR626" s="182" t="str">
        <f>_xlfn.IFNA(VLOOKUP($AH626,Programma!$F$3:$P$1101,11,0),"")</f>
        <v>_</v>
      </c>
      <c r="AS626" s="182" t="str">
        <f>_xlfn.IFNA(VLOOKUP($AH626,Programma!$F$3:$Q$1101,12,0),"")</f>
        <v>_</v>
      </c>
      <c r="AT626" s="182" t="str">
        <f>_xlfn.IFNA(VLOOKUP($AH626,Programma!$F$3:$R$1101,13,0),"")</f>
        <v>_</v>
      </c>
      <c r="AU626" s="182" t="str">
        <f>_xlfn.IFNA(VLOOKUP($AH626,Programma!$F$3:$S$1101,14,0),"")</f>
        <v>_</v>
      </c>
      <c r="AV626" s="182" t="str">
        <f>_xlfn.IFNA(VLOOKUP($AH626,Programma!$F$3:$T$1101,15,0),"")</f>
        <v>_</v>
      </c>
      <c r="AW626" s="182" t="str">
        <f>_xlfn.IFNA(VLOOKUP($AH626,Programma!$F$3:$U$1101,16,0),"")</f>
        <v>_</v>
      </c>
      <c r="AX626" s="182" t="str">
        <f>_xlfn.IFNA(VLOOKUP($AH626,Programma!$F$3:$V$1101,17,0),"")</f>
        <v>_</v>
      </c>
      <c r="AY626" s="182" t="str">
        <f>_xlfn.IFNA(VLOOKUP($AH626,Programma!$F$3:$W$1101,18,0),"")</f>
        <v>4w</v>
      </c>
      <c r="AZ626" s="182" t="str">
        <f>_xlfn.IFNA(VLOOKUP($AH626,Programma!$F$3:$X$1101,19,0),"")</f>
        <v>1w</v>
      </c>
      <c r="BA626" s="182" t="str">
        <f>_xlfn.IFNA(VLOOKUP($AH626,Programma!$F$3:$Y$1101,20,0),"")</f>
        <v>_</v>
      </c>
      <c r="BB626" s="182"/>
      <c r="BC626" s="174" t="str">
        <f>IF(Ruimtestaat[[#This Row],[Frequentie weekend]]="","",_xlfn.CONCAT(Ruimtestaat[[#This Row],[Ruimte code]],"-",Ruimtestaat[[#This Row],[Frequentie weekend]]," ",Ruimtestaat[[#This Row],[Vloer code]]))</f>
        <v/>
      </c>
      <c r="BD626" s="182" t="str">
        <f>_xlfn.IFNA(VLOOKUP($BC626,Programma!$F$3:$G$1101,2,0),"")</f>
        <v/>
      </c>
      <c r="BE626" s="182" t="str">
        <f>_xlfn.IFNA(VLOOKUP($BC626,Programma!$F$3:$H$1101,3,0),"")</f>
        <v/>
      </c>
      <c r="BF626" s="182" t="str">
        <f>_xlfn.IFNA(VLOOKUP($BC626,Programma!$F$3:$I$1101,4,0),"")</f>
        <v/>
      </c>
      <c r="BG626" s="182" t="str">
        <f>_xlfn.IFNA(VLOOKUP($BC626,Programma!$F$3:$J$1101,5,0),"")</f>
        <v/>
      </c>
      <c r="BH626" s="182" t="str">
        <f>_xlfn.IFNA(VLOOKUP($BC626,Programma!$F$3:$K$1101,6,0),"")</f>
        <v/>
      </c>
      <c r="BI626" s="182" t="str">
        <f>_xlfn.IFNA(VLOOKUP($BC626,Programma!$F$3:$L$1101,7,0),"")</f>
        <v/>
      </c>
      <c r="BJ626" s="182" t="str">
        <f>_xlfn.IFNA(VLOOKUP($BC626,Programma!$F$3:$M$1101,8,0),"")</f>
        <v/>
      </c>
      <c r="BK626" s="182" t="str">
        <f>_xlfn.IFNA(VLOOKUP($BC626,Programma!$F$3:$N$1101,9,0),"")</f>
        <v/>
      </c>
      <c r="BL626" s="182" t="str">
        <f>_xlfn.IFNA(VLOOKUP($BC626,Programma!$F$3:$O$1101,10,0),"")</f>
        <v/>
      </c>
      <c r="BM626" s="182" t="str">
        <f>_xlfn.IFNA(VLOOKUP($BC626,Programma!$F$3:$P$1101,11,0),"")</f>
        <v/>
      </c>
      <c r="BN626" s="182" t="str">
        <f>_xlfn.IFNA(VLOOKUP($BC626,Programma!$F$3:$Q$1101,12,0),"")</f>
        <v/>
      </c>
      <c r="BO626" s="182" t="str">
        <f>_xlfn.IFNA(VLOOKUP($BC626,Programma!$F$3:$R$1101,13,0),"")</f>
        <v/>
      </c>
      <c r="BP626" s="182" t="str">
        <f>_xlfn.IFNA(VLOOKUP($BC626,Programma!$F$3:$S$1101,14,0),"")</f>
        <v/>
      </c>
      <c r="BQ626" s="182" t="str">
        <f>_xlfn.IFNA(VLOOKUP($BC626,Programma!$F$3:$T$1101,15,0),"")</f>
        <v/>
      </c>
      <c r="BR626" s="182" t="str">
        <f>_xlfn.IFNA(VLOOKUP($BC626,Programma!$F$3:$U$1101,16,0),"")</f>
        <v/>
      </c>
      <c r="BS626" s="182" t="str">
        <f>_xlfn.IFNA(VLOOKUP($BC626,Programma!$F$3:$V$1101,17,0),"")</f>
        <v/>
      </c>
      <c r="BT626" s="182" t="str">
        <f>_xlfn.IFNA(VLOOKUP($BC626,Programma!$F$3:$W$1101,18,0),"")</f>
        <v/>
      </c>
      <c r="BU626" s="182" t="str">
        <f>_xlfn.IFNA(VLOOKUP($BC626,Programma!$F$3:$X$1101,19,0),"")</f>
        <v/>
      </c>
      <c r="BV626" s="182" t="str">
        <f>_xlfn.IFNA(VLOOKUP($BC626,Programma!$F$3:$Y$1101,20,0),"")</f>
        <v/>
      </c>
    </row>
    <row r="627" spans="1:74" ht="15" customHeight="1">
      <c r="A627" s="99">
        <v>17</v>
      </c>
      <c r="B627" s="176" t="str">
        <f>VLOOKUP(Ruimtestaat[[#This Row],[Code]],Locaties[[Code]:[Locatie]],2,FALSE)</f>
        <v>ODBS Lonneker</v>
      </c>
      <c r="C627" s="176" t="str">
        <f>VLOOKUP(Ruimtestaat[[#This Row],[Code]],Locaties[[#All],[Code]:[Adres]],4,FALSE)</f>
        <v>Dorpsstraat 104</v>
      </c>
      <c r="D627" s="176" t="str">
        <f>VLOOKUP(Ruimtestaat[[#This Row],[Code]],Locaties[[#All],[Code]:[Postcode]],5,FALSE)</f>
        <v>7524 CK</v>
      </c>
      <c r="E627" s="176" t="str">
        <f>VLOOKUP(Ruimtestaat[[#This Row],[Code]],Locaties[#All],6,FALSE)</f>
        <v>Lonneker</v>
      </c>
      <c r="F627" s="183"/>
      <c r="G627" s="99" t="s">
        <v>1646</v>
      </c>
      <c r="H627" s="99" t="s">
        <v>1705</v>
      </c>
      <c r="I627" s="183" t="s">
        <v>38</v>
      </c>
      <c r="J627" s="99">
        <v>7</v>
      </c>
      <c r="K627" s="183" t="str">
        <f>VLOOKUP(Ruimtestaat[[#This Row],[Ruimte code]],Ruimtegroepen[[#All],[Code]:[Ruimte omschrijving]],2,FALSE)</f>
        <v>Entree</v>
      </c>
      <c r="L627" s="99" t="s">
        <v>99</v>
      </c>
      <c r="M627" s="99" t="s">
        <v>1700</v>
      </c>
      <c r="N627" s="177">
        <v>3.5</v>
      </c>
      <c r="O627" s="177"/>
      <c r="P627" s="178" t="str">
        <f>VLOOKUP(Ruimtestaat[[#This Row],[Ruimte code]],Ruimtegroepen[],4,FALSE)</f>
        <v>Ve</v>
      </c>
      <c r="Q627" s="149">
        <v>40</v>
      </c>
      <c r="R627" s="149" t="s">
        <v>2</v>
      </c>
      <c r="S627" s="285">
        <f>IF(Q627&gt;0,IF(RIGHT(Ruimtestaat[[#This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27" s="286">
        <f>IF(S627&gt;0,VLOOKUP($J627,Ruimtegroepen[],3,FALSE)*VLOOKUP($L627,Vloersoorten[],3,FALSE)*VLOOKUP($R627,Frequenties[],3,FALSE)*VLOOKUP($A627,Locaties[],3,FALSE),0)</f>
        <v>0</v>
      </c>
      <c r="U627" s="287">
        <f>Ruimtestaat[[#This Row],[Uitvoeringen werkdagen]]*Ruimtestaat[[#This Row],[Oppervlak (netto)]]</f>
        <v>700</v>
      </c>
      <c r="V627" s="288">
        <f>IF(T627&gt;0,Ruimtestaat[[#This Row],[Prest. (m2 /jaar) werkdagen]]/Ruimtestaat[[#This Row],[Norm (m2/uur) werkdagen]],0)</f>
        <v>0</v>
      </c>
      <c r="W627" s="289">
        <f>Ruimtestaat[[#This Row],[uren / jaar werkdagen]]*Tariefsopbouw!$E$35</f>
        <v>0</v>
      </c>
      <c r="X627" s="226"/>
      <c r="Y627" s="290">
        <f>IF(Ruimtestaat[[#This Row],[Frequentie weekend]]&gt;0,VALUE(LEFT(X627,1))*Q627,0)</f>
        <v>0</v>
      </c>
      <c r="Z627" s="287">
        <f>IF($Y627&gt;0,VLOOKUP($J627,Ruimtegroepen[],3,FALSE)*VLOOKUP($L627,Vloersoorten[],3,FALSE)*VLOOKUP($X627,Frequenties[],3,FALSE)*VLOOKUP(#REF!,Locaties[],3,FALSE),0)</f>
        <v>0</v>
      </c>
      <c r="AA627" s="291">
        <f>Ruimtestaat[[#This Row],[Uitvoeringen weekend]]*Ruimtestaat[[#This Row],[Oppervlak (netto)]]</f>
        <v>0</v>
      </c>
      <c r="AB627" s="291">
        <f>IF(Z627&gt;0,Ruimtestaat[[#This Row],[Prest. (m2 /jaar) weekend]]/Ruimtestaat[[#This Row],[Norm (m2/uur) weekend]],0)</f>
        <v>0</v>
      </c>
      <c r="AC627" s="180">
        <f>Ruimtestaat[[#This Row],[uren / jaar weekend]]*Tariefsopbouw!$D$40</f>
        <v>0</v>
      </c>
      <c r="AD627" s="179">
        <f>Ruimtestaat[[#This Row],[Prest. (m2 /jaar) weekend]]+Ruimtestaat[[#This Row],[Prest. (m2 /jaar) werkdagen]]</f>
        <v>700</v>
      </c>
      <c r="AE627" s="179">
        <f>Ruimtestaat[[#This Row],[uren / jaar weekend]]+Ruimtestaat[[#This Row],[uren / jaar werkdagen]]</f>
        <v>0</v>
      </c>
      <c r="AF627" s="174">
        <f>Ruimtestaat[[#This Row],[kosten / jaar weekend]]+Ruimtestaat[[#This Row],[kosten / jaar werkdagen]]</f>
        <v>0</v>
      </c>
      <c r="AG627" s="174"/>
      <c r="AH627" s="174" t="str">
        <f>IF(Ruimtestaat[[#This Row],[Frequentie werkdagen]]="","",_xlfn.CONCAT(Ruimtestaat[[#This Row],[Ruimte code]],"-",Ruimtestaat[[#This Row],[Frequentie werkdagen]]," ",Ruimtestaat[[#This Row],[Vloer code]]))</f>
        <v>7-5w T</v>
      </c>
      <c r="AI627" s="182" t="str">
        <f>_xlfn.IFNA(VLOOKUP($AH627,Programma!$F$3:$G$1101,2,0),"")</f>
        <v>_</v>
      </c>
      <c r="AJ627" s="182" t="str">
        <f>_xlfn.IFNA(VLOOKUP($AH627,Programma!$F$3:$H$1101,3,0),"")</f>
        <v>5w</v>
      </c>
      <c r="AK627" s="182" t="str">
        <f>_xlfn.IFNA(VLOOKUP($AH627,Programma!$F$3:$I$1101,4,0),"")</f>
        <v>_</v>
      </c>
      <c r="AL627" s="182" t="str">
        <f>_xlfn.IFNA(VLOOKUP($AH627,Programma!$F$3:$J$1101,5,0),"")</f>
        <v>_</v>
      </c>
      <c r="AM627" s="182" t="str">
        <f>_xlfn.IFNA(VLOOKUP($AH627,Programma!$F$3:$K$1101,6,0),"")</f>
        <v>_</v>
      </c>
      <c r="AN627" s="182" t="str">
        <f>_xlfn.IFNA(VLOOKUP($AH627,Programma!$F$3:$L$1101,7,0),"")</f>
        <v>_</v>
      </c>
      <c r="AO627" s="182" t="str">
        <f>_xlfn.IFNA(VLOOKUP($AH627,Programma!$F$3:$M$1101,8,0),"")</f>
        <v>_</v>
      </c>
      <c r="AP627" s="182" t="str">
        <f>_xlfn.IFNA(VLOOKUP($AH627,Programma!$F$3:$N$1101,9,0),"")</f>
        <v>_</v>
      </c>
      <c r="AQ627" s="182" t="str">
        <f>_xlfn.IFNA(VLOOKUP($AH627,Programma!$F$3:$O$1101,10,0),"")</f>
        <v>5w</v>
      </c>
      <c r="AR627" s="182" t="str">
        <f>_xlfn.IFNA(VLOOKUP($AH627,Programma!$F$3:$P$1101,11,0),"")</f>
        <v>5w</v>
      </c>
      <c r="AS627" s="182" t="str">
        <f>_xlfn.IFNA(VLOOKUP($AH627,Programma!$F$3:$Q$1101,12,0),"")</f>
        <v>1w</v>
      </c>
      <c r="AT627" s="182" t="str">
        <f>_xlfn.IFNA(VLOOKUP($AH627,Programma!$F$3:$R$1101,13,0),"")</f>
        <v>1w</v>
      </c>
      <c r="AU627" s="182" t="str">
        <f>_xlfn.IFNA(VLOOKUP($AH627,Programma!$F$3:$S$1101,14,0),"")</f>
        <v>1m</v>
      </c>
      <c r="AV627" s="182" t="str">
        <f>_xlfn.IFNA(VLOOKUP($AH627,Programma!$F$3:$T$1101,15,0),"")</f>
        <v>2j</v>
      </c>
      <c r="AW627" s="182" t="str">
        <f>_xlfn.IFNA(VLOOKUP($AH627,Programma!$F$3:$U$1101,16,0),"")</f>
        <v>1j</v>
      </c>
      <c r="AX627" s="182" t="str">
        <f>_xlfn.IFNA(VLOOKUP($AH627,Programma!$F$3:$V$1101,17,0),"")</f>
        <v>_</v>
      </c>
      <c r="AY627" s="182" t="str">
        <f>_xlfn.IFNA(VLOOKUP($AH627,Programma!$F$3:$W$1101,18,0),"")</f>
        <v>_</v>
      </c>
      <c r="AZ627" s="182" t="str">
        <f>_xlfn.IFNA(VLOOKUP($AH627,Programma!$F$3:$X$1101,19,0),"")</f>
        <v>_</v>
      </c>
      <c r="BA627" s="182" t="str">
        <f>_xlfn.IFNA(VLOOKUP($AH627,Programma!$F$3:$Y$1101,20,0),"")</f>
        <v>_</v>
      </c>
      <c r="BB627" s="182"/>
      <c r="BC627" s="174" t="str">
        <f>IF(Ruimtestaat[[#This Row],[Frequentie weekend]]="","",_xlfn.CONCAT(Ruimtestaat[[#This Row],[Ruimte code]],"-",Ruimtestaat[[#This Row],[Frequentie weekend]]," ",Ruimtestaat[[#This Row],[Vloer code]]))</f>
        <v/>
      </c>
      <c r="BD627" s="182" t="str">
        <f>_xlfn.IFNA(VLOOKUP($BC627,Programma!$F$3:$G$1101,2,0),"")</f>
        <v/>
      </c>
      <c r="BE627" s="182" t="str">
        <f>_xlfn.IFNA(VLOOKUP($BC627,Programma!$F$3:$H$1101,3,0),"")</f>
        <v/>
      </c>
      <c r="BF627" s="182" t="str">
        <f>_xlfn.IFNA(VLOOKUP($BC627,Programma!$F$3:$I$1101,4,0),"")</f>
        <v/>
      </c>
      <c r="BG627" s="182" t="str">
        <f>_xlfn.IFNA(VLOOKUP($BC627,Programma!$F$3:$J$1101,5,0),"")</f>
        <v/>
      </c>
      <c r="BH627" s="182" t="str">
        <f>_xlfn.IFNA(VLOOKUP($BC627,Programma!$F$3:$K$1101,6,0),"")</f>
        <v/>
      </c>
      <c r="BI627" s="182" t="str">
        <f>_xlfn.IFNA(VLOOKUP($BC627,Programma!$F$3:$L$1101,7,0),"")</f>
        <v/>
      </c>
      <c r="BJ627" s="182" t="str">
        <f>_xlfn.IFNA(VLOOKUP($BC627,Programma!$F$3:$M$1101,8,0),"")</f>
        <v/>
      </c>
      <c r="BK627" s="182" t="str">
        <f>_xlfn.IFNA(VLOOKUP($BC627,Programma!$F$3:$N$1101,9,0),"")</f>
        <v/>
      </c>
      <c r="BL627" s="182" t="str">
        <f>_xlfn.IFNA(VLOOKUP($BC627,Programma!$F$3:$O$1101,10,0),"")</f>
        <v/>
      </c>
      <c r="BM627" s="182" t="str">
        <f>_xlfn.IFNA(VLOOKUP($BC627,Programma!$F$3:$P$1101,11,0),"")</f>
        <v/>
      </c>
      <c r="BN627" s="182" t="str">
        <f>_xlfn.IFNA(VLOOKUP($BC627,Programma!$F$3:$Q$1101,12,0),"")</f>
        <v/>
      </c>
      <c r="BO627" s="182" t="str">
        <f>_xlfn.IFNA(VLOOKUP($BC627,Programma!$F$3:$R$1101,13,0),"")</f>
        <v/>
      </c>
      <c r="BP627" s="182" t="str">
        <f>_xlfn.IFNA(VLOOKUP($BC627,Programma!$F$3:$S$1101,14,0),"")</f>
        <v/>
      </c>
      <c r="BQ627" s="182" t="str">
        <f>_xlfn.IFNA(VLOOKUP($BC627,Programma!$F$3:$T$1101,15,0),"")</f>
        <v/>
      </c>
      <c r="BR627" s="182" t="str">
        <f>_xlfn.IFNA(VLOOKUP($BC627,Programma!$F$3:$U$1101,16,0),"")</f>
        <v/>
      </c>
      <c r="BS627" s="182" t="str">
        <f>_xlfn.IFNA(VLOOKUP($BC627,Programma!$F$3:$V$1101,17,0),"")</f>
        <v/>
      </c>
      <c r="BT627" s="182" t="str">
        <f>_xlfn.IFNA(VLOOKUP($BC627,Programma!$F$3:$W$1101,18,0),"")</f>
        <v/>
      </c>
      <c r="BU627" s="182" t="str">
        <f>_xlfn.IFNA(VLOOKUP($BC627,Programma!$F$3:$X$1101,19,0),"")</f>
        <v/>
      </c>
      <c r="BV627" s="182" t="str">
        <f>_xlfn.IFNA(VLOOKUP($BC627,Programma!$F$3:$Y$1101,20,0),"")</f>
        <v/>
      </c>
    </row>
    <row r="628" spans="1:74" ht="15" customHeight="1">
      <c r="A628" s="99">
        <v>17</v>
      </c>
      <c r="B628" s="176" t="str">
        <f>VLOOKUP(Ruimtestaat[[#This Row],[Code]],Locaties[[Code]:[Locatie]],2,FALSE)</f>
        <v>ODBS Lonneker</v>
      </c>
      <c r="C628" s="176" t="str">
        <f>VLOOKUP(Ruimtestaat[[#This Row],[Code]],Locaties[[#All],[Code]:[Adres]],4,FALSE)</f>
        <v>Dorpsstraat 104</v>
      </c>
      <c r="D628" s="176" t="str">
        <f>VLOOKUP(Ruimtestaat[[#This Row],[Code]],Locaties[[#All],[Code]:[Postcode]],5,FALSE)</f>
        <v>7524 CK</v>
      </c>
      <c r="E628" s="176" t="str">
        <f>VLOOKUP(Ruimtestaat[[#This Row],[Code]],Locaties[#All],6,FALSE)</f>
        <v>Lonneker</v>
      </c>
      <c r="F628" s="183"/>
      <c r="G628" s="99" t="s">
        <v>1646</v>
      </c>
      <c r="H628" s="99" t="s">
        <v>1706</v>
      </c>
      <c r="I628" s="183" t="s">
        <v>1722</v>
      </c>
      <c r="J628" s="99">
        <v>20</v>
      </c>
      <c r="K628" s="183" t="str">
        <f>VLOOKUP(Ruimtestaat[[#This Row],[Ruimte code]],Ruimtegroepen[[#All],[Code]:[Ruimte omschrijving]],2,FALSE)</f>
        <v>Niet in Onderhoud</v>
      </c>
      <c r="L628" s="99" t="s">
        <v>99</v>
      </c>
      <c r="M628" s="99" t="s">
        <v>1701</v>
      </c>
      <c r="N628" s="177"/>
      <c r="O628" s="177">
        <v>1</v>
      </c>
      <c r="P628" s="178">
        <f>VLOOKUP(Ruimtestaat[[#This Row],[Ruimte code]],Ruimtegroepen[],4,FALSE)</f>
        <v>0</v>
      </c>
      <c r="Q628" s="149"/>
      <c r="R628" s="149"/>
      <c r="S628" s="285">
        <f>IF(Q628&gt;0,IF(RIGHT(Ruimtestaat[[#This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8" s="286">
        <f>IF(S628&gt;0,VLOOKUP($J628,Ruimtegroepen[],3,FALSE)*VLOOKUP($L628,Vloersoorten[],3,FALSE)*VLOOKUP($R628,Frequenties[],3,FALSE)*VLOOKUP($A628,Locaties[],3,FALSE),0)</f>
        <v>0</v>
      </c>
      <c r="U628" s="287">
        <f>Ruimtestaat[[#This Row],[Uitvoeringen werkdagen]]*Ruimtestaat[[#This Row],[Oppervlak (netto)]]</f>
        <v>0</v>
      </c>
      <c r="V628" s="288">
        <f>IF(T628&gt;0,Ruimtestaat[[#This Row],[Prest. (m2 /jaar) werkdagen]]/Ruimtestaat[[#This Row],[Norm (m2/uur) werkdagen]],0)</f>
        <v>0</v>
      </c>
      <c r="W628" s="289">
        <f>Ruimtestaat[[#This Row],[uren / jaar werkdagen]]*Tariefsopbouw!$E$35</f>
        <v>0</v>
      </c>
      <c r="X628" s="226"/>
      <c r="Y628" s="290">
        <f>IF(Ruimtestaat[[#This Row],[Frequentie weekend]]&gt;0,VALUE(LEFT(X628,1))*Q628,0)</f>
        <v>0</v>
      </c>
      <c r="Z628" s="287">
        <f>IF($Y628&gt;0,VLOOKUP($J628,Ruimtegroepen[],3,FALSE)*VLOOKUP($L628,Vloersoorten[],3,FALSE)*VLOOKUP($X628,Frequenties[],3,FALSE)*VLOOKUP(#REF!,Locaties[],3,FALSE),0)</f>
        <v>0</v>
      </c>
      <c r="AA628" s="291">
        <f>Ruimtestaat[[#This Row],[Uitvoeringen weekend]]*Ruimtestaat[[#This Row],[Oppervlak (netto)]]</f>
        <v>0</v>
      </c>
      <c r="AB628" s="291">
        <f>IF(Z628&gt;0,Ruimtestaat[[#This Row],[Prest. (m2 /jaar) weekend]]/Ruimtestaat[[#This Row],[Norm (m2/uur) weekend]],0)</f>
        <v>0</v>
      </c>
      <c r="AC628" s="180">
        <f>Ruimtestaat[[#This Row],[uren / jaar weekend]]*Tariefsopbouw!$D$40</f>
        <v>0</v>
      </c>
      <c r="AD628" s="179">
        <f>Ruimtestaat[[#This Row],[Prest. (m2 /jaar) weekend]]+Ruimtestaat[[#This Row],[Prest. (m2 /jaar) werkdagen]]</f>
        <v>0</v>
      </c>
      <c r="AE628" s="179">
        <f>Ruimtestaat[[#This Row],[uren / jaar weekend]]+Ruimtestaat[[#This Row],[uren / jaar werkdagen]]</f>
        <v>0</v>
      </c>
      <c r="AF628" s="174">
        <f>Ruimtestaat[[#This Row],[kosten / jaar weekend]]+Ruimtestaat[[#This Row],[kosten / jaar werkdagen]]</f>
        <v>0</v>
      </c>
      <c r="AG628" s="174"/>
      <c r="AH628" s="174" t="str">
        <f>IF(Ruimtestaat[[#This Row],[Frequentie werkdagen]]="","",_xlfn.CONCAT(Ruimtestaat[[#This Row],[Ruimte code]],"-",Ruimtestaat[[#This Row],[Frequentie werkdagen]]," ",Ruimtestaat[[#This Row],[Vloer code]]))</f>
        <v/>
      </c>
      <c r="AI628" s="182" t="str">
        <f>_xlfn.IFNA(VLOOKUP($AH628,Programma!$F$3:$G$1101,2,0),"")</f>
        <v/>
      </c>
      <c r="AJ628" s="182" t="str">
        <f>_xlfn.IFNA(VLOOKUP($AH628,Programma!$F$3:$H$1101,3,0),"")</f>
        <v/>
      </c>
      <c r="AK628" s="182" t="str">
        <f>_xlfn.IFNA(VLOOKUP($AH628,Programma!$F$3:$I$1101,4,0),"")</f>
        <v/>
      </c>
      <c r="AL628" s="182" t="str">
        <f>_xlfn.IFNA(VLOOKUP($AH628,Programma!$F$3:$J$1101,5,0),"")</f>
        <v/>
      </c>
      <c r="AM628" s="182" t="str">
        <f>_xlfn.IFNA(VLOOKUP($AH628,Programma!$F$3:$K$1101,6,0),"")</f>
        <v/>
      </c>
      <c r="AN628" s="182" t="str">
        <f>_xlfn.IFNA(VLOOKUP($AH628,Programma!$F$3:$L$1101,7,0),"")</f>
        <v/>
      </c>
      <c r="AO628" s="182" t="str">
        <f>_xlfn.IFNA(VLOOKUP($AH628,Programma!$F$3:$M$1101,8,0),"")</f>
        <v/>
      </c>
      <c r="AP628" s="182" t="str">
        <f>_xlfn.IFNA(VLOOKUP($AH628,Programma!$F$3:$N$1101,9,0),"")</f>
        <v/>
      </c>
      <c r="AQ628" s="182" t="str">
        <f>_xlfn.IFNA(VLOOKUP($AH628,Programma!$F$3:$O$1101,10,0),"")</f>
        <v/>
      </c>
      <c r="AR628" s="182" t="str">
        <f>_xlfn.IFNA(VLOOKUP($AH628,Programma!$F$3:$P$1101,11,0),"")</f>
        <v/>
      </c>
      <c r="AS628" s="182" t="str">
        <f>_xlfn.IFNA(VLOOKUP($AH628,Programma!$F$3:$Q$1101,12,0),"")</f>
        <v/>
      </c>
      <c r="AT628" s="182" t="str">
        <f>_xlfn.IFNA(VLOOKUP($AH628,Programma!$F$3:$R$1101,13,0),"")</f>
        <v/>
      </c>
      <c r="AU628" s="182" t="str">
        <f>_xlfn.IFNA(VLOOKUP($AH628,Programma!$F$3:$S$1101,14,0),"")</f>
        <v/>
      </c>
      <c r="AV628" s="182" t="str">
        <f>_xlfn.IFNA(VLOOKUP($AH628,Programma!$F$3:$T$1101,15,0),"")</f>
        <v/>
      </c>
      <c r="AW628" s="182" t="str">
        <f>_xlfn.IFNA(VLOOKUP($AH628,Programma!$F$3:$U$1101,16,0),"")</f>
        <v/>
      </c>
      <c r="AX628" s="182" t="str">
        <f>_xlfn.IFNA(VLOOKUP($AH628,Programma!$F$3:$V$1101,17,0),"")</f>
        <v/>
      </c>
      <c r="AY628" s="182" t="str">
        <f>_xlfn.IFNA(VLOOKUP($AH628,Programma!$F$3:$W$1101,18,0),"")</f>
        <v/>
      </c>
      <c r="AZ628" s="182" t="str">
        <f>_xlfn.IFNA(VLOOKUP($AH628,Programma!$F$3:$X$1101,19,0),"")</f>
        <v/>
      </c>
      <c r="BA628" s="182" t="str">
        <f>_xlfn.IFNA(VLOOKUP($AH628,Programma!$F$3:$Y$1101,20,0),"")</f>
        <v/>
      </c>
      <c r="BB628" s="182"/>
      <c r="BC628" s="174" t="str">
        <f>IF(Ruimtestaat[[#This Row],[Frequentie weekend]]="","",_xlfn.CONCAT(Ruimtestaat[[#This Row],[Ruimte code]],"-",Ruimtestaat[[#This Row],[Frequentie weekend]]," ",Ruimtestaat[[#This Row],[Vloer code]]))</f>
        <v/>
      </c>
      <c r="BD628" s="182" t="str">
        <f>_xlfn.IFNA(VLOOKUP($BC628,Programma!$F$3:$G$1101,2,0),"")</f>
        <v/>
      </c>
      <c r="BE628" s="182" t="str">
        <f>_xlfn.IFNA(VLOOKUP($BC628,Programma!$F$3:$H$1101,3,0),"")</f>
        <v/>
      </c>
      <c r="BF628" s="182" t="str">
        <f>_xlfn.IFNA(VLOOKUP($BC628,Programma!$F$3:$I$1101,4,0),"")</f>
        <v/>
      </c>
      <c r="BG628" s="182" t="str">
        <f>_xlfn.IFNA(VLOOKUP($BC628,Programma!$F$3:$J$1101,5,0),"")</f>
        <v/>
      </c>
      <c r="BH628" s="182" t="str">
        <f>_xlfn.IFNA(VLOOKUP($BC628,Programma!$F$3:$K$1101,6,0),"")</f>
        <v/>
      </c>
      <c r="BI628" s="182" t="str">
        <f>_xlfn.IFNA(VLOOKUP($BC628,Programma!$F$3:$L$1101,7,0),"")</f>
        <v/>
      </c>
      <c r="BJ628" s="182" t="str">
        <f>_xlfn.IFNA(VLOOKUP($BC628,Programma!$F$3:$M$1101,8,0),"")</f>
        <v/>
      </c>
      <c r="BK628" s="182" t="str">
        <f>_xlfn.IFNA(VLOOKUP($BC628,Programma!$F$3:$N$1101,9,0),"")</f>
        <v/>
      </c>
      <c r="BL628" s="182" t="str">
        <f>_xlfn.IFNA(VLOOKUP($BC628,Programma!$F$3:$O$1101,10,0),"")</f>
        <v/>
      </c>
      <c r="BM628" s="182" t="str">
        <f>_xlfn.IFNA(VLOOKUP($BC628,Programma!$F$3:$P$1101,11,0),"")</f>
        <v/>
      </c>
      <c r="BN628" s="182" t="str">
        <f>_xlfn.IFNA(VLOOKUP($BC628,Programma!$F$3:$Q$1101,12,0),"")</f>
        <v/>
      </c>
      <c r="BO628" s="182" t="str">
        <f>_xlfn.IFNA(VLOOKUP($BC628,Programma!$F$3:$R$1101,13,0),"")</f>
        <v/>
      </c>
      <c r="BP628" s="182" t="str">
        <f>_xlfn.IFNA(VLOOKUP($BC628,Programma!$F$3:$S$1101,14,0),"")</f>
        <v/>
      </c>
      <c r="BQ628" s="182" t="str">
        <f>_xlfn.IFNA(VLOOKUP($BC628,Programma!$F$3:$T$1101,15,0),"")</f>
        <v/>
      </c>
      <c r="BR628" s="182" t="str">
        <f>_xlfn.IFNA(VLOOKUP($BC628,Programma!$F$3:$U$1101,16,0),"")</f>
        <v/>
      </c>
      <c r="BS628" s="182" t="str">
        <f>_xlfn.IFNA(VLOOKUP($BC628,Programma!$F$3:$V$1101,17,0),"")</f>
        <v/>
      </c>
      <c r="BT628" s="182" t="str">
        <f>_xlfn.IFNA(VLOOKUP($BC628,Programma!$F$3:$W$1101,18,0),"")</f>
        <v/>
      </c>
      <c r="BU628" s="182" t="str">
        <f>_xlfn.IFNA(VLOOKUP($BC628,Programma!$F$3:$X$1101,19,0),"")</f>
        <v/>
      </c>
      <c r="BV628" s="182" t="str">
        <f>_xlfn.IFNA(VLOOKUP($BC628,Programma!$F$3:$Y$1101,20,0),"")</f>
        <v/>
      </c>
    </row>
    <row r="629" spans="1:74" ht="15" customHeight="1">
      <c r="A629" s="99">
        <v>17</v>
      </c>
      <c r="B629" s="176" t="str">
        <f>VLOOKUP(Ruimtestaat[[#This Row],[Code]],Locaties[[Code]:[Locatie]],2,FALSE)</f>
        <v>ODBS Lonneker</v>
      </c>
      <c r="C629" s="176" t="str">
        <f>VLOOKUP(Ruimtestaat[[#This Row],[Code]],Locaties[[#All],[Code]:[Adres]],4,FALSE)</f>
        <v>Dorpsstraat 104</v>
      </c>
      <c r="D629" s="176" t="str">
        <f>VLOOKUP(Ruimtestaat[[#This Row],[Code]],Locaties[[#All],[Code]:[Postcode]],5,FALSE)</f>
        <v>7524 CK</v>
      </c>
      <c r="E629" s="176" t="str">
        <f>VLOOKUP(Ruimtestaat[[#This Row],[Code]],Locaties[#All],6,FALSE)</f>
        <v>Lonneker</v>
      </c>
      <c r="F629" s="183"/>
      <c r="G629" s="99" t="s">
        <v>1646</v>
      </c>
      <c r="H629" s="99" t="s">
        <v>1707</v>
      </c>
      <c r="I629" s="183" t="s">
        <v>1665</v>
      </c>
      <c r="J629" s="99">
        <v>20</v>
      </c>
      <c r="K629" s="183" t="str">
        <f>VLOOKUP(Ruimtestaat[[#This Row],[Ruimte code]],Ruimtegroepen[[#All],[Code]:[Ruimte omschrijving]],2,FALSE)</f>
        <v>Niet in Onderhoud</v>
      </c>
      <c r="L629" s="99" t="s">
        <v>99</v>
      </c>
      <c r="M629" s="99" t="s">
        <v>1701</v>
      </c>
      <c r="N629" s="177"/>
      <c r="O629" s="177">
        <v>1</v>
      </c>
      <c r="P629" s="178">
        <f>VLOOKUP(Ruimtestaat[[#This Row],[Ruimte code]],Ruimtegroepen[],4,FALSE)</f>
        <v>0</v>
      </c>
      <c r="Q629" s="149"/>
      <c r="R629" s="149"/>
      <c r="S629" s="285">
        <f>IF(Q629&gt;0,IF(RIGHT(Ruimtestaat[[#This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29" s="286">
        <f>IF(S629&gt;0,VLOOKUP($J629,Ruimtegroepen[],3,FALSE)*VLOOKUP($L629,Vloersoorten[],3,FALSE)*VLOOKUP($R629,Frequenties[],3,FALSE)*VLOOKUP($A629,Locaties[],3,FALSE),0)</f>
        <v>0</v>
      </c>
      <c r="U629" s="287">
        <f>Ruimtestaat[[#This Row],[Uitvoeringen werkdagen]]*Ruimtestaat[[#This Row],[Oppervlak (netto)]]</f>
        <v>0</v>
      </c>
      <c r="V629" s="288">
        <f>IF(T629&gt;0,Ruimtestaat[[#This Row],[Prest. (m2 /jaar) werkdagen]]/Ruimtestaat[[#This Row],[Norm (m2/uur) werkdagen]],0)</f>
        <v>0</v>
      </c>
      <c r="W629" s="289">
        <f>Ruimtestaat[[#This Row],[uren / jaar werkdagen]]*Tariefsopbouw!$E$35</f>
        <v>0</v>
      </c>
      <c r="X629" s="226"/>
      <c r="Y629" s="290">
        <f>IF(Ruimtestaat[[#This Row],[Frequentie weekend]]&gt;0,VALUE(LEFT(X629,1))*Q629,0)</f>
        <v>0</v>
      </c>
      <c r="Z629" s="287">
        <f>IF($Y629&gt;0,VLOOKUP($J629,Ruimtegroepen[],3,FALSE)*VLOOKUP($L629,Vloersoorten[],3,FALSE)*VLOOKUP($X629,Frequenties[],3,FALSE)*VLOOKUP(#REF!,Locaties[],3,FALSE),0)</f>
        <v>0</v>
      </c>
      <c r="AA629" s="291">
        <f>Ruimtestaat[[#This Row],[Uitvoeringen weekend]]*Ruimtestaat[[#This Row],[Oppervlak (netto)]]</f>
        <v>0</v>
      </c>
      <c r="AB629" s="291">
        <f>IF(Z629&gt;0,Ruimtestaat[[#This Row],[Prest. (m2 /jaar) weekend]]/Ruimtestaat[[#This Row],[Norm (m2/uur) weekend]],0)</f>
        <v>0</v>
      </c>
      <c r="AC629" s="180">
        <f>Ruimtestaat[[#This Row],[uren / jaar weekend]]*Tariefsopbouw!$D$40</f>
        <v>0</v>
      </c>
      <c r="AD629" s="179">
        <f>Ruimtestaat[[#This Row],[Prest. (m2 /jaar) weekend]]+Ruimtestaat[[#This Row],[Prest. (m2 /jaar) werkdagen]]</f>
        <v>0</v>
      </c>
      <c r="AE629" s="179">
        <f>Ruimtestaat[[#This Row],[uren / jaar weekend]]+Ruimtestaat[[#This Row],[uren / jaar werkdagen]]</f>
        <v>0</v>
      </c>
      <c r="AF629" s="174">
        <f>Ruimtestaat[[#This Row],[kosten / jaar weekend]]+Ruimtestaat[[#This Row],[kosten / jaar werkdagen]]</f>
        <v>0</v>
      </c>
      <c r="AG629" s="174"/>
      <c r="AH629" s="174" t="str">
        <f>IF(Ruimtestaat[[#This Row],[Frequentie werkdagen]]="","",_xlfn.CONCAT(Ruimtestaat[[#This Row],[Ruimte code]],"-",Ruimtestaat[[#This Row],[Frequentie werkdagen]]," ",Ruimtestaat[[#This Row],[Vloer code]]))</f>
        <v/>
      </c>
      <c r="AI629" s="182" t="str">
        <f>_xlfn.IFNA(VLOOKUP($AH629,Programma!$F$3:$G$1101,2,0),"")</f>
        <v/>
      </c>
      <c r="AJ629" s="182" t="str">
        <f>_xlfn.IFNA(VLOOKUP($AH629,Programma!$F$3:$H$1101,3,0),"")</f>
        <v/>
      </c>
      <c r="AK629" s="182" t="str">
        <f>_xlfn.IFNA(VLOOKUP($AH629,Programma!$F$3:$I$1101,4,0),"")</f>
        <v/>
      </c>
      <c r="AL629" s="182" t="str">
        <f>_xlfn.IFNA(VLOOKUP($AH629,Programma!$F$3:$J$1101,5,0),"")</f>
        <v/>
      </c>
      <c r="AM629" s="182" t="str">
        <f>_xlfn.IFNA(VLOOKUP($AH629,Programma!$F$3:$K$1101,6,0),"")</f>
        <v/>
      </c>
      <c r="AN629" s="182" t="str">
        <f>_xlfn.IFNA(VLOOKUP($AH629,Programma!$F$3:$L$1101,7,0),"")</f>
        <v/>
      </c>
      <c r="AO629" s="182" t="str">
        <f>_xlfn.IFNA(VLOOKUP($AH629,Programma!$F$3:$M$1101,8,0),"")</f>
        <v/>
      </c>
      <c r="AP629" s="182" t="str">
        <f>_xlfn.IFNA(VLOOKUP($AH629,Programma!$F$3:$N$1101,9,0),"")</f>
        <v/>
      </c>
      <c r="AQ629" s="182" t="str">
        <f>_xlfn.IFNA(VLOOKUP($AH629,Programma!$F$3:$O$1101,10,0),"")</f>
        <v/>
      </c>
      <c r="AR629" s="182" t="str">
        <f>_xlfn.IFNA(VLOOKUP($AH629,Programma!$F$3:$P$1101,11,0),"")</f>
        <v/>
      </c>
      <c r="AS629" s="182" t="str">
        <f>_xlfn.IFNA(VLOOKUP($AH629,Programma!$F$3:$Q$1101,12,0),"")</f>
        <v/>
      </c>
      <c r="AT629" s="182" t="str">
        <f>_xlfn.IFNA(VLOOKUP($AH629,Programma!$F$3:$R$1101,13,0),"")</f>
        <v/>
      </c>
      <c r="AU629" s="182" t="str">
        <f>_xlfn.IFNA(VLOOKUP($AH629,Programma!$F$3:$S$1101,14,0),"")</f>
        <v/>
      </c>
      <c r="AV629" s="182" t="str">
        <f>_xlfn.IFNA(VLOOKUP($AH629,Programma!$F$3:$T$1101,15,0),"")</f>
        <v/>
      </c>
      <c r="AW629" s="182" t="str">
        <f>_xlfn.IFNA(VLOOKUP($AH629,Programma!$F$3:$U$1101,16,0),"")</f>
        <v/>
      </c>
      <c r="AX629" s="182" t="str">
        <f>_xlfn.IFNA(VLOOKUP($AH629,Programma!$F$3:$V$1101,17,0),"")</f>
        <v/>
      </c>
      <c r="AY629" s="182" t="str">
        <f>_xlfn.IFNA(VLOOKUP($AH629,Programma!$F$3:$W$1101,18,0),"")</f>
        <v/>
      </c>
      <c r="AZ629" s="182" t="str">
        <f>_xlfn.IFNA(VLOOKUP($AH629,Programma!$F$3:$X$1101,19,0),"")</f>
        <v/>
      </c>
      <c r="BA629" s="182" t="str">
        <f>_xlfn.IFNA(VLOOKUP($AH629,Programma!$F$3:$Y$1101,20,0),"")</f>
        <v/>
      </c>
      <c r="BB629" s="182"/>
      <c r="BC629" s="174" t="str">
        <f>IF(Ruimtestaat[[#This Row],[Frequentie weekend]]="","",_xlfn.CONCAT(Ruimtestaat[[#This Row],[Ruimte code]],"-",Ruimtestaat[[#This Row],[Frequentie weekend]]," ",Ruimtestaat[[#This Row],[Vloer code]]))</f>
        <v/>
      </c>
      <c r="BD629" s="182" t="str">
        <f>_xlfn.IFNA(VLOOKUP($BC629,Programma!$F$3:$G$1101,2,0),"")</f>
        <v/>
      </c>
      <c r="BE629" s="182" t="str">
        <f>_xlfn.IFNA(VLOOKUP($BC629,Programma!$F$3:$H$1101,3,0),"")</f>
        <v/>
      </c>
      <c r="BF629" s="182" t="str">
        <f>_xlfn.IFNA(VLOOKUP($BC629,Programma!$F$3:$I$1101,4,0),"")</f>
        <v/>
      </c>
      <c r="BG629" s="182" t="str">
        <f>_xlfn.IFNA(VLOOKUP($BC629,Programma!$F$3:$J$1101,5,0),"")</f>
        <v/>
      </c>
      <c r="BH629" s="182" t="str">
        <f>_xlfn.IFNA(VLOOKUP($BC629,Programma!$F$3:$K$1101,6,0),"")</f>
        <v/>
      </c>
      <c r="BI629" s="182" t="str">
        <f>_xlfn.IFNA(VLOOKUP($BC629,Programma!$F$3:$L$1101,7,0),"")</f>
        <v/>
      </c>
      <c r="BJ629" s="182" t="str">
        <f>_xlfn.IFNA(VLOOKUP($BC629,Programma!$F$3:$M$1101,8,0),"")</f>
        <v/>
      </c>
      <c r="BK629" s="182" t="str">
        <f>_xlfn.IFNA(VLOOKUP($BC629,Programma!$F$3:$N$1101,9,0),"")</f>
        <v/>
      </c>
      <c r="BL629" s="182" t="str">
        <f>_xlfn.IFNA(VLOOKUP($BC629,Programma!$F$3:$O$1101,10,0),"")</f>
        <v/>
      </c>
      <c r="BM629" s="182" t="str">
        <f>_xlfn.IFNA(VLOOKUP($BC629,Programma!$F$3:$P$1101,11,0),"")</f>
        <v/>
      </c>
      <c r="BN629" s="182" t="str">
        <f>_xlfn.IFNA(VLOOKUP($BC629,Programma!$F$3:$Q$1101,12,0),"")</f>
        <v/>
      </c>
      <c r="BO629" s="182" t="str">
        <f>_xlfn.IFNA(VLOOKUP($BC629,Programma!$F$3:$R$1101,13,0),"")</f>
        <v/>
      </c>
      <c r="BP629" s="182" t="str">
        <f>_xlfn.IFNA(VLOOKUP($BC629,Programma!$F$3:$S$1101,14,0),"")</f>
        <v/>
      </c>
      <c r="BQ629" s="182" t="str">
        <f>_xlfn.IFNA(VLOOKUP($BC629,Programma!$F$3:$T$1101,15,0),"")</f>
        <v/>
      </c>
      <c r="BR629" s="182" t="str">
        <f>_xlfn.IFNA(VLOOKUP($BC629,Programma!$F$3:$U$1101,16,0),"")</f>
        <v/>
      </c>
      <c r="BS629" s="182" t="str">
        <f>_xlfn.IFNA(VLOOKUP($BC629,Programma!$F$3:$V$1101,17,0),"")</f>
        <v/>
      </c>
      <c r="BT629" s="182" t="str">
        <f>_xlfn.IFNA(VLOOKUP($BC629,Programma!$F$3:$W$1101,18,0),"")</f>
        <v/>
      </c>
      <c r="BU629" s="182" t="str">
        <f>_xlfn.IFNA(VLOOKUP($BC629,Programma!$F$3:$X$1101,19,0),"")</f>
        <v/>
      </c>
      <c r="BV629" s="182" t="str">
        <f>_xlfn.IFNA(VLOOKUP($BC629,Programma!$F$3:$Y$1101,20,0),"")</f>
        <v/>
      </c>
    </row>
    <row r="630" spans="1:74" ht="15" customHeight="1">
      <c r="A630" s="99">
        <v>17</v>
      </c>
      <c r="B630" s="176" t="str">
        <f>VLOOKUP(Ruimtestaat[[#This Row],[Code]],Locaties[[Code]:[Locatie]],2,FALSE)</f>
        <v>ODBS Lonneker</v>
      </c>
      <c r="C630" s="176" t="str">
        <f>VLOOKUP(Ruimtestaat[[#This Row],[Code]],Locaties[[#All],[Code]:[Adres]],4,FALSE)</f>
        <v>Dorpsstraat 104</v>
      </c>
      <c r="D630" s="176" t="str">
        <f>VLOOKUP(Ruimtestaat[[#This Row],[Code]],Locaties[[#All],[Code]:[Postcode]],5,FALSE)</f>
        <v>7524 CK</v>
      </c>
      <c r="E630" s="176" t="str">
        <f>VLOOKUP(Ruimtestaat[[#This Row],[Code]],Locaties[#All],6,FALSE)</f>
        <v>Lonneker</v>
      </c>
      <c r="F630" s="183"/>
      <c r="G630" s="99" t="s">
        <v>1646</v>
      </c>
      <c r="H630" s="99" t="s">
        <v>1708</v>
      </c>
      <c r="I630" s="183" t="s">
        <v>1649</v>
      </c>
      <c r="J630" s="99">
        <v>2</v>
      </c>
      <c r="K630" s="183" t="str">
        <f>VLOOKUP(Ruimtestaat[[#This Row],[Ruimte code]],Ruimtegroepen[[#All],[Code]:[Ruimte omschrijving]],2,FALSE)</f>
        <v>Kantoren</v>
      </c>
      <c r="L630" s="99" t="s">
        <v>99</v>
      </c>
      <c r="M630" s="99" t="s">
        <v>36</v>
      </c>
      <c r="N630" s="177">
        <v>13.5</v>
      </c>
      <c r="O630" s="177"/>
      <c r="P630" s="178" t="str">
        <f>VLOOKUP(Ruimtestaat[[#This Row],[Ruimte code]],Ruimtegroepen[],4,FALSE)</f>
        <v>Bu</v>
      </c>
      <c r="Q630" s="149">
        <v>40</v>
      </c>
      <c r="R630" s="149" t="s">
        <v>18</v>
      </c>
      <c r="S630" s="285">
        <f>IF(Q630&gt;0,IF(RIGHT(Ruimtestaat[[#This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30" s="286">
        <f>IF(S630&gt;0,VLOOKUP($J630,Ruimtegroepen[],3,FALSE)*VLOOKUP($L630,Vloersoorten[],3,FALSE)*VLOOKUP($R630,Frequenties[],3,FALSE)*VLOOKUP($A630,Locaties[],3,FALSE),0)</f>
        <v>0</v>
      </c>
      <c r="U630" s="287">
        <f>Ruimtestaat[[#This Row],[Uitvoeringen werkdagen]]*Ruimtestaat[[#This Row],[Oppervlak (netto)]]</f>
        <v>1620</v>
      </c>
      <c r="V630" s="288">
        <f>IF(T630&gt;0,Ruimtestaat[[#This Row],[Prest. (m2 /jaar) werkdagen]]/Ruimtestaat[[#This Row],[Norm (m2/uur) werkdagen]],0)</f>
        <v>0</v>
      </c>
      <c r="W630" s="289">
        <f>Ruimtestaat[[#This Row],[uren / jaar werkdagen]]*Tariefsopbouw!$E$35</f>
        <v>0</v>
      </c>
      <c r="X630" s="226"/>
      <c r="Y630" s="290">
        <f>IF(Ruimtestaat[[#This Row],[Frequentie weekend]]&gt;0,VALUE(LEFT(X630,1))*Q630,0)</f>
        <v>0</v>
      </c>
      <c r="Z630" s="287">
        <f>IF($Y630&gt;0,VLOOKUP($J630,Ruimtegroepen[],3,FALSE)*VLOOKUP($L630,Vloersoorten[],3,FALSE)*VLOOKUP($X630,Frequenties[],3,FALSE)*VLOOKUP(#REF!,Locaties[],3,FALSE),0)</f>
        <v>0</v>
      </c>
      <c r="AA630" s="291">
        <f>Ruimtestaat[[#This Row],[Uitvoeringen weekend]]*Ruimtestaat[[#This Row],[Oppervlak (netto)]]</f>
        <v>0</v>
      </c>
      <c r="AB630" s="291">
        <f>IF(Z630&gt;0,Ruimtestaat[[#This Row],[Prest. (m2 /jaar) weekend]]/Ruimtestaat[[#This Row],[Norm (m2/uur) weekend]],0)</f>
        <v>0</v>
      </c>
      <c r="AC630" s="180">
        <f>Ruimtestaat[[#This Row],[uren / jaar weekend]]*Tariefsopbouw!$D$40</f>
        <v>0</v>
      </c>
      <c r="AD630" s="179">
        <f>Ruimtestaat[[#This Row],[Prest. (m2 /jaar) weekend]]+Ruimtestaat[[#This Row],[Prest. (m2 /jaar) werkdagen]]</f>
        <v>1620</v>
      </c>
      <c r="AE630" s="179">
        <f>Ruimtestaat[[#This Row],[uren / jaar weekend]]+Ruimtestaat[[#This Row],[uren / jaar werkdagen]]</f>
        <v>0</v>
      </c>
      <c r="AF630" s="174">
        <f>Ruimtestaat[[#This Row],[kosten / jaar weekend]]+Ruimtestaat[[#This Row],[kosten / jaar werkdagen]]</f>
        <v>0</v>
      </c>
      <c r="AG630" s="174"/>
      <c r="AH630" s="174" t="str">
        <f>IF(Ruimtestaat[[#This Row],[Frequentie werkdagen]]="","",_xlfn.CONCAT(Ruimtestaat[[#This Row],[Ruimte code]],"-",Ruimtestaat[[#This Row],[Frequentie werkdagen]]," ",Ruimtestaat[[#This Row],[Vloer code]]))</f>
        <v>2-3w T</v>
      </c>
      <c r="AI630" s="182" t="str">
        <f>_xlfn.IFNA(VLOOKUP($AH630,Programma!$F$3:$G$1101,2,0),"")</f>
        <v>2w</v>
      </c>
      <c r="AJ630" s="182" t="str">
        <f>_xlfn.IFNA(VLOOKUP($AH630,Programma!$F$3:$H$1101,3,0),"")</f>
        <v>1w</v>
      </c>
      <c r="AK630" s="182" t="str">
        <f>_xlfn.IFNA(VLOOKUP($AH630,Programma!$F$3:$I$1101,4,0),"")</f>
        <v>_</v>
      </c>
      <c r="AL630" s="182" t="str">
        <f>_xlfn.IFNA(VLOOKUP($AH630,Programma!$F$3:$J$1101,5,0),"")</f>
        <v>_</v>
      </c>
      <c r="AM630" s="182" t="str">
        <f>_xlfn.IFNA(VLOOKUP($AH630,Programma!$F$3:$K$1101,6,0),"")</f>
        <v>_</v>
      </c>
      <c r="AN630" s="182" t="str">
        <f>_xlfn.IFNA(VLOOKUP($AH630,Programma!$F$3:$L$1101,7,0),"")</f>
        <v>_</v>
      </c>
      <c r="AO630" s="182" t="str">
        <f>_xlfn.IFNA(VLOOKUP($AH630,Programma!$F$3:$M$1101,8,0),"")</f>
        <v>_</v>
      </c>
      <c r="AP630" s="182" t="str">
        <f>_xlfn.IFNA(VLOOKUP($AH630,Programma!$F$3:$N$1101,9,0),"")</f>
        <v>_</v>
      </c>
      <c r="AQ630" s="182" t="str">
        <f>_xlfn.IFNA(VLOOKUP($AH630,Programma!$F$3:$O$1101,10,0),"")</f>
        <v>3w</v>
      </c>
      <c r="AR630" s="182" t="str">
        <f>_xlfn.IFNA(VLOOKUP($AH630,Programma!$F$3:$P$1101,11,0),"")</f>
        <v>3w</v>
      </c>
      <c r="AS630" s="182" t="str">
        <f>_xlfn.IFNA(VLOOKUP($AH630,Programma!$F$3:$Q$1101,12,0),"")</f>
        <v>1w</v>
      </c>
      <c r="AT630" s="182" t="str">
        <f>_xlfn.IFNA(VLOOKUP($AH630,Programma!$F$3:$R$1101,13,0),"")</f>
        <v>1w</v>
      </c>
      <c r="AU630" s="182" t="str">
        <f>_xlfn.IFNA(VLOOKUP($AH630,Programma!$F$3:$S$1101,14,0),"")</f>
        <v>1m</v>
      </c>
      <c r="AV630" s="182" t="str">
        <f>_xlfn.IFNA(VLOOKUP($AH630,Programma!$F$3:$T$1101,15,0),"")</f>
        <v>2j</v>
      </c>
      <c r="AW630" s="182" t="str">
        <f>_xlfn.IFNA(VLOOKUP($AH630,Programma!$F$3:$U$1101,16,0),"")</f>
        <v>1j</v>
      </c>
      <c r="AX630" s="182" t="str">
        <f>_xlfn.IFNA(VLOOKUP($AH630,Programma!$F$3:$V$1101,17,0),"")</f>
        <v>_</v>
      </c>
      <c r="AY630" s="182" t="str">
        <f>_xlfn.IFNA(VLOOKUP($AH630,Programma!$F$3:$W$1101,18,0),"")</f>
        <v>_</v>
      </c>
      <c r="AZ630" s="182" t="str">
        <f>_xlfn.IFNA(VLOOKUP($AH630,Programma!$F$3:$X$1101,19,0),"")</f>
        <v>_</v>
      </c>
      <c r="BA630" s="182" t="str">
        <f>_xlfn.IFNA(VLOOKUP($AH630,Programma!$F$3:$Y$1101,20,0),"")</f>
        <v>_</v>
      </c>
      <c r="BB630" s="182"/>
      <c r="BC630" s="174" t="str">
        <f>IF(Ruimtestaat[[#This Row],[Frequentie weekend]]="","",_xlfn.CONCAT(Ruimtestaat[[#This Row],[Ruimte code]],"-",Ruimtestaat[[#This Row],[Frequentie weekend]]," ",Ruimtestaat[[#This Row],[Vloer code]]))</f>
        <v/>
      </c>
      <c r="BD630" s="182" t="str">
        <f>_xlfn.IFNA(VLOOKUP($BC630,Programma!$F$3:$G$1101,2,0),"")</f>
        <v/>
      </c>
      <c r="BE630" s="182" t="str">
        <f>_xlfn.IFNA(VLOOKUP($BC630,Programma!$F$3:$H$1101,3,0),"")</f>
        <v/>
      </c>
      <c r="BF630" s="182" t="str">
        <f>_xlfn.IFNA(VLOOKUP($BC630,Programma!$F$3:$I$1101,4,0),"")</f>
        <v/>
      </c>
      <c r="BG630" s="182" t="str">
        <f>_xlfn.IFNA(VLOOKUP($BC630,Programma!$F$3:$J$1101,5,0),"")</f>
        <v/>
      </c>
      <c r="BH630" s="182" t="str">
        <f>_xlfn.IFNA(VLOOKUP($BC630,Programma!$F$3:$K$1101,6,0),"")</f>
        <v/>
      </c>
      <c r="BI630" s="182" t="str">
        <f>_xlfn.IFNA(VLOOKUP($BC630,Programma!$F$3:$L$1101,7,0),"")</f>
        <v/>
      </c>
      <c r="BJ630" s="182" t="str">
        <f>_xlfn.IFNA(VLOOKUP($BC630,Programma!$F$3:$M$1101,8,0),"")</f>
        <v/>
      </c>
      <c r="BK630" s="182" t="str">
        <f>_xlfn.IFNA(VLOOKUP($BC630,Programma!$F$3:$N$1101,9,0),"")</f>
        <v/>
      </c>
      <c r="BL630" s="182" t="str">
        <f>_xlfn.IFNA(VLOOKUP($BC630,Programma!$F$3:$O$1101,10,0),"")</f>
        <v/>
      </c>
      <c r="BM630" s="182" t="str">
        <f>_xlfn.IFNA(VLOOKUP($BC630,Programma!$F$3:$P$1101,11,0),"")</f>
        <v/>
      </c>
      <c r="BN630" s="182" t="str">
        <f>_xlfn.IFNA(VLOOKUP($BC630,Programma!$F$3:$Q$1101,12,0),"")</f>
        <v/>
      </c>
      <c r="BO630" s="182" t="str">
        <f>_xlfn.IFNA(VLOOKUP($BC630,Programma!$F$3:$R$1101,13,0),"")</f>
        <v/>
      </c>
      <c r="BP630" s="182" t="str">
        <f>_xlfn.IFNA(VLOOKUP($BC630,Programma!$F$3:$S$1101,14,0),"")</f>
        <v/>
      </c>
      <c r="BQ630" s="182" t="str">
        <f>_xlfn.IFNA(VLOOKUP($BC630,Programma!$F$3:$T$1101,15,0),"")</f>
        <v/>
      </c>
      <c r="BR630" s="182" t="str">
        <f>_xlfn.IFNA(VLOOKUP($BC630,Programma!$F$3:$U$1101,16,0),"")</f>
        <v/>
      </c>
      <c r="BS630" s="182" t="str">
        <f>_xlfn.IFNA(VLOOKUP($BC630,Programma!$F$3:$V$1101,17,0),"")</f>
        <v/>
      </c>
      <c r="BT630" s="182" t="str">
        <f>_xlfn.IFNA(VLOOKUP($BC630,Programma!$F$3:$W$1101,18,0),"")</f>
        <v/>
      </c>
      <c r="BU630" s="182" t="str">
        <f>_xlfn.IFNA(VLOOKUP($BC630,Programma!$F$3:$X$1101,19,0),"")</f>
        <v/>
      </c>
      <c r="BV630" s="182" t="str">
        <f>_xlfn.IFNA(VLOOKUP($BC630,Programma!$F$3:$Y$1101,20,0),"")</f>
        <v/>
      </c>
    </row>
    <row r="631" spans="1:74" ht="15" customHeight="1">
      <c r="A631" s="99">
        <v>17</v>
      </c>
      <c r="B631" s="176" t="str">
        <f>VLOOKUP(Ruimtestaat[[#This Row],[Code]],Locaties[[Code]:[Locatie]],2,FALSE)</f>
        <v>ODBS Lonneker</v>
      </c>
      <c r="C631" s="176" t="str">
        <f>VLOOKUP(Ruimtestaat[[#This Row],[Code]],Locaties[[#All],[Code]:[Adres]],4,FALSE)</f>
        <v>Dorpsstraat 104</v>
      </c>
      <c r="D631" s="176" t="str">
        <f>VLOOKUP(Ruimtestaat[[#This Row],[Code]],Locaties[[#All],[Code]:[Postcode]],5,FALSE)</f>
        <v>7524 CK</v>
      </c>
      <c r="E631" s="176" t="str">
        <f>VLOOKUP(Ruimtestaat[[#This Row],[Code]],Locaties[#All],6,FALSE)</f>
        <v>Lonneker</v>
      </c>
      <c r="F631" s="183"/>
      <c r="G631" s="99" t="s">
        <v>1646</v>
      </c>
      <c r="H631" s="99" t="s">
        <v>1709</v>
      </c>
      <c r="I631" s="183" t="s">
        <v>1690</v>
      </c>
      <c r="J631" s="99">
        <v>18</v>
      </c>
      <c r="K631" s="183" t="str">
        <f>VLOOKUP(Ruimtestaat[[#This Row],[Ruimte code]],Ruimtegroepen[[#All],[Code]:[Ruimte omschrijving]],2,FALSE)</f>
        <v>Gymzaal</v>
      </c>
      <c r="L631" s="99" t="s">
        <v>100</v>
      </c>
      <c r="M631" s="99" t="s">
        <v>1697</v>
      </c>
      <c r="N631" s="177">
        <v>84.2</v>
      </c>
      <c r="O631" s="177"/>
      <c r="P631" s="178" t="str">
        <f>VLOOKUP(Ruimtestaat[[#This Row],[Ruimte code]],Ruimtegroepen[],4,FALSE)</f>
        <v>Sp</v>
      </c>
      <c r="Q631" s="149">
        <v>40</v>
      </c>
      <c r="R631" s="149" t="s">
        <v>2</v>
      </c>
      <c r="S631" s="285">
        <f>IF(Q631&gt;0,IF(RIGHT(Ruimtestaat[[#This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1" s="286">
        <f>IF(S631&gt;0,VLOOKUP($J631,Ruimtegroepen[],3,FALSE)*VLOOKUP($L631,Vloersoorten[],3,FALSE)*VLOOKUP($R631,Frequenties[],3,FALSE)*VLOOKUP($A631,Locaties[],3,FALSE),0)</f>
        <v>0</v>
      </c>
      <c r="U631" s="287">
        <f>Ruimtestaat[[#This Row],[Uitvoeringen werkdagen]]*Ruimtestaat[[#This Row],[Oppervlak (netto)]]</f>
        <v>16840</v>
      </c>
      <c r="V631" s="288">
        <f>IF(T631&gt;0,Ruimtestaat[[#This Row],[Prest. (m2 /jaar) werkdagen]]/Ruimtestaat[[#This Row],[Norm (m2/uur) werkdagen]],0)</f>
        <v>0</v>
      </c>
      <c r="W631" s="289">
        <f>Ruimtestaat[[#This Row],[uren / jaar werkdagen]]*Tariefsopbouw!$E$35</f>
        <v>0</v>
      </c>
      <c r="X631" s="226"/>
      <c r="Y631" s="290">
        <f>IF(Ruimtestaat[[#This Row],[Frequentie weekend]]&gt;0,VALUE(LEFT(X631,1))*Q631,0)</f>
        <v>0</v>
      </c>
      <c r="Z631" s="287">
        <f>IF($Y631&gt;0,VLOOKUP($J631,Ruimtegroepen[],3,FALSE)*VLOOKUP($L631,Vloersoorten[],3,FALSE)*VLOOKUP($X631,Frequenties[],3,FALSE)*VLOOKUP(#REF!,Locaties[],3,FALSE),0)</f>
        <v>0</v>
      </c>
      <c r="AA631" s="291">
        <f>Ruimtestaat[[#This Row],[Uitvoeringen weekend]]*Ruimtestaat[[#This Row],[Oppervlak (netto)]]</f>
        <v>0</v>
      </c>
      <c r="AB631" s="291">
        <f>IF(Z631&gt;0,Ruimtestaat[[#This Row],[Prest. (m2 /jaar) weekend]]/Ruimtestaat[[#This Row],[Norm (m2/uur) weekend]],0)</f>
        <v>0</v>
      </c>
      <c r="AC631" s="180">
        <f>Ruimtestaat[[#This Row],[uren / jaar weekend]]*Tariefsopbouw!$D$40</f>
        <v>0</v>
      </c>
      <c r="AD631" s="179">
        <f>Ruimtestaat[[#This Row],[Prest. (m2 /jaar) weekend]]+Ruimtestaat[[#This Row],[Prest. (m2 /jaar) werkdagen]]</f>
        <v>16840</v>
      </c>
      <c r="AE631" s="179">
        <f>Ruimtestaat[[#This Row],[uren / jaar weekend]]+Ruimtestaat[[#This Row],[uren / jaar werkdagen]]</f>
        <v>0</v>
      </c>
      <c r="AF631" s="174">
        <f>Ruimtestaat[[#This Row],[kosten / jaar weekend]]+Ruimtestaat[[#This Row],[kosten / jaar werkdagen]]</f>
        <v>0</v>
      </c>
      <c r="AG631" s="174"/>
      <c r="AH631" s="174" t="str">
        <f>IF(Ruimtestaat[[#This Row],[Frequentie werkdagen]]="","",_xlfn.CONCAT(Ruimtestaat[[#This Row],[Ruimte code]],"-",Ruimtestaat[[#This Row],[Frequentie werkdagen]]," ",Ruimtestaat[[#This Row],[Vloer code]]))</f>
        <v>18-5w L</v>
      </c>
      <c r="AI631" s="182" t="str">
        <f>_xlfn.IFNA(VLOOKUP($AH631,Programma!$F$3:$G$1101,2,0),"")</f>
        <v>_</v>
      </c>
      <c r="AJ631" s="182" t="str">
        <f>_xlfn.IFNA(VLOOKUP($AH631,Programma!$F$3:$H$1101,3,0),"")</f>
        <v>_</v>
      </c>
      <c r="AK631" s="182" t="str">
        <f>_xlfn.IFNA(VLOOKUP($AH631,Programma!$F$3:$I$1101,4,0),"")</f>
        <v>4w</v>
      </c>
      <c r="AL631" s="182" t="str">
        <f>_xlfn.IFNA(VLOOKUP($AH631,Programma!$F$3:$J$1101,5,0),"")</f>
        <v>1w</v>
      </c>
      <c r="AM631" s="182" t="str">
        <f>_xlfn.IFNA(VLOOKUP($AH631,Programma!$F$3:$K$1101,6,0),"")</f>
        <v>_</v>
      </c>
      <c r="AN631" s="182" t="str">
        <f>_xlfn.IFNA(VLOOKUP($AH631,Programma!$F$3:$L$1101,7,0),"")</f>
        <v>_</v>
      </c>
      <c r="AO631" s="182" t="str">
        <f>_xlfn.IFNA(VLOOKUP($AH631,Programma!$F$3:$M$1101,8,0),"")</f>
        <v>_</v>
      </c>
      <c r="AP631" s="182" t="str">
        <f>_xlfn.IFNA(VLOOKUP($AH631,Programma!$F$3:$N$1101,9,0),"")</f>
        <v>_</v>
      </c>
      <c r="AQ631" s="182" t="str">
        <f>_xlfn.IFNA(VLOOKUP($AH631,Programma!$F$3:$O$1101,10,0),"")</f>
        <v>5w</v>
      </c>
      <c r="AR631" s="182" t="str">
        <f>_xlfn.IFNA(VLOOKUP($AH631,Programma!$F$3:$P$1101,11,0),"")</f>
        <v>5w</v>
      </c>
      <c r="AS631" s="182" t="str">
        <f>_xlfn.IFNA(VLOOKUP($AH631,Programma!$F$3:$Q$1101,12,0),"")</f>
        <v>5w</v>
      </c>
      <c r="AT631" s="182" t="str">
        <f>_xlfn.IFNA(VLOOKUP($AH631,Programma!$F$3:$R$1101,13,0),"")</f>
        <v>5w</v>
      </c>
      <c r="AU631" s="182" t="str">
        <f>_xlfn.IFNA(VLOOKUP($AH631,Programma!$F$3:$S$1101,14,0),"")</f>
        <v>1m</v>
      </c>
      <c r="AV631" s="182" t="str">
        <f>_xlfn.IFNA(VLOOKUP($AH631,Programma!$F$3:$T$1101,15,0),"")</f>
        <v>2j</v>
      </c>
      <c r="AW631" s="182" t="str">
        <f>_xlfn.IFNA(VLOOKUP($AH631,Programma!$F$3:$U$1101,16,0),"")</f>
        <v>1j</v>
      </c>
      <c r="AX631" s="182" t="str">
        <f>_xlfn.IFNA(VLOOKUP($AH631,Programma!$F$3:$V$1101,17,0),"")</f>
        <v>_</v>
      </c>
      <c r="AY631" s="182" t="str">
        <f>_xlfn.IFNA(VLOOKUP($AH631,Programma!$F$3:$W$1101,18,0),"")</f>
        <v>_</v>
      </c>
      <c r="AZ631" s="182" t="str">
        <f>_xlfn.IFNA(VLOOKUP($AH631,Programma!$F$3:$X$1101,19,0),"")</f>
        <v>_</v>
      </c>
      <c r="BA631" s="182" t="str">
        <f>_xlfn.IFNA(VLOOKUP($AH631,Programma!$F$3:$Y$1101,20,0),"")</f>
        <v>_</v>
      </c>
      <c r="BB631" s="182"/>
      <c r="BC631" s="174" t="str">
        <f>IF(Ruimtestaat[[#This Row],[Frequentie weekend]]="","",_xlfn.CONCAT(Ruimtestaat[[#This Row],[Ruimte code]],"-",Ruimtestaat[[#This Row],[Frequentie weekend]]," ",Ruimtestaat[[#This Row],[Vloer code]]))</f>
        <v/>
      </c>
      <c r="BD631" s="182" t="str">
        <f>_xlfn.IFNA(VLOOKUP($BC631,Programma!$F$3:$G$1101,2,0),"")</f>
        <v/>
      </c>
      <c r="BE631" s="182" t="str">
        <f>_xlfn.IFNA(VLOOKUP($BC631,Programma!$F$3:$H$1101,3,0),"")</f>
        <v/>
      </c>
      <c r="BF631" s="182" t="str">
        <f>_xlfn.IFNA(VLOOKUP($BC631,Programma!$F$3:$I$1101,4,0),"")</f>
        <v/>
      </c>
      <c r="BG631" s="182" t="str">
        <f>_xlfn.IFNA(VLOOKUP($BC631,Programma!$F$3:$J$1101,5,0),"")</f>
        <v/>
      </c>
      <c r="BH631" s="182" t="str">
        <f>_xlfn.IFNA(VLOOKUP($BC631,Programma!$F$3:$K$1101,6,0),"")</f>
        <v/>
      </c>
      <c r="BI631" s="182" t="str">
        <f>_xlfn.IFNA(VLOOKUP($BC631,Programma!$F$3:$L$1101,7,0),"")</f>
        <v/>
      </c>
      <c r="BJ631" s="182" t="str">
        <f>_xlfn.IFNA(VLOOKUP($BC631,Programma!$F$3:$M$1101,8,0),"")</f>
        <v/>
      </c>
      <c r="BK631" s="182" t="str">
        <f>_xlfn.IFNA(VLOOKUP($BC631,Programma!$F$3:$N$1101,9,0),"")</f>
        <v/>
      </c>
      <c r="BL631" s="182" t="str">
        <f>_xlfn.IFNA(VLOOKUP($BC631,Programma!$F$3:$O$1101,10,0),"")</f>
        <v/>
      </c>
      <c r="BM631" s="182" t="str">
        <f>_xlfn.IFNA(VLOOKUP($BC631,Programma!$F$3:$P$1101,11,0),"")</f>
        <v/>
      </c>
      <c r="BN631" s="182" t="str">
        <f>_xlfn.IFNA(VLOOKUP($BC631,Programma!$F$3:$Q$1101,12,0),"")</f>
        <v/>
      </c>
      <c r="BO631" s="182" t="str">
        <f>_xlfn.IFNA(VLOOKUP($BC631,Programma!$F$3:$R$1101,13,0),"")</f>
        <v/>
      </c>
      <c r="BP631" s="182" t="str">
        <f>_xlfn.IFNA(VLOOKUP($BC631,Programma!$F$3:$S$1101,14,0),"")</f>
        <v/>
      </c>
      <c r="BQ631" s="182" t="str">
        <f>_xlfn.IFNA(VLOOKUP($BC631,Programma!$F$3:$T$1101,15,0),"")</f>
        <v/>
      </c>
      <c r="BR631" s="182" t="str">
        <f>_xlfn.IFNA(VLOOKUP($BC631,Programma!$F$3:$U$1101,16,0),"")</f>
        <v/>
      </c>
      <c r="BS631" s="182" t="str">
        <f>_xlfn.IFNA(VLOOKUP($BC631,Programma!$F$3:$V$1101,17,0),"")</f>
        <v/>
      </c>
      <c r="BT631" s="182" t="str">
        <f>_xlfn.IFNA(VLOOKUP($BC631,Programma!$F$3:$W$1101,18,0),"")</f>
        <v/>
      </c>
      <c r="BU631" s="182" t="str">
        <f>_xlfn.IFNA(VLOOKUP($BC631,Programma!$F$3:$X$1101,19,0),"")</f>
        <v/>
      </c>
      <c r="BV631" s="182" t="str">
        <f>_xlfn.IFNA(VLOOKUP($BC631,Programma!$F$3:$Y$1101,20,0),"")</f>
        <v/>
      </c>
    </row>
    <row r="632" spans="1:74" ht="15" customHeight="1">
      <c r="A632" s="99">
        <v>17</v>
      </c>
      <c r="B632" s="176" t="str">
        <f>VLOOKUP(Ruimtestaat[[#This Row],[Code]],Locaties[[Code]:[Locatie]],2,FALSE)</f>
        <v>ODBS Lonneker</v>
      </c>
      <c r="C632" s="176" t="str">
        <f>VLOOKUP(Ruimtestaat[[#This Row],[Code]],Locaties[[#All],[Code]:[Adres]],4,FALSE)</f>
        <v>Dorpsstraat 104</v>
      </c>
      <c r="D632" s="176" t="str">
        <f>VLOOKUP(Ruimtestaat[[#This Row],[Code]],Locaties[[#All],[Code]:[Postcode]],5,FALSE)</f>
        <v>7524 CK</v>
      </c>
      <c r="E632" s="176" t="str">
        <f>VLOOKUP(Ruimtestaat[[#This Row],[Code]],Locaties[#All],6,FALSE)</f>
        <v>Lonneker</v>
      </c>
      <c r="F632" s="183"/>
      <c r="G632" s="99" t="s">
        <v>1646</v>
      </c>
      <c r="H632" s="99" t="s">
        <v>1710</v>
      </c>
      <c r="I632" s="183" t="s">
        <v>1729</v>
      </c>
      <c r="J632" s="99">
        <v>17</v>
      </c>
      <c r="K632" s="183" t="str">
        <f>VLOOKUP(Ruimtestaat[[#This Row],[Ruimte code]],Ruimtegroepen[[#All],[Code]:[Ruimte omschrijving]],2,FALSE)</f>
        <v>Toestelberging</v>
      </c>
      <c r="L632" s="99" t="s">
        <v>100</v>
      </c>
      <c r="M632" s="99" t="s">
        <v>1697</v>
      </c>
      <c r="N632" s="177">
        <v>5.0999999999999996</v>
      </c>
      <c r="O632" s="177"/>
      <c r="P632" s="178" t="str">
        <f>VLOOKUP(Ruimtestaat[[#This Row],[Ruimte code]],Ruimtegroepen[],4,FALSE)</f>
        <v>Ve</v>
      </c>
      <c r="Q632" s="149">
        <v>40</v>
      </c>
      <c r="R632" s="149" t="s">
        <v>15</v>
      </c>
      <c r="S632" s="285">
        <f>IF(Q632&gt;0,IF(RIGHT(Ruimtestaat[[#This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32" s="286">
        <f>IF(S632&gt;0,VLOOKUP($J632,Ruimtegroepen[],3,FALSE)*VLOOKUP($L632,Vloersoorten[],3,FALSE)*VLOOKUP($R632,Frequenties[],3,FALSE)*VLOOKUP($A632,Locaties[],3,FALSE),0)</f>
        <v>0</v>
      </c>
      <c r="U632" s="287">
        <f>Ruimtestaat[[#This Row],[Uitvoeringen werkdagen]]*Ruimtestaat[[#This Row],[Oppervlak (netto)]]</f>
        <v>204</v>
      </c>
      <c r="V632" s="288">
        <f>IF(T632&gt;0,Ruimtestaat[[#This Row],[Prest. (m2 /jaar) werkdagen]]/Ruimtestaat[[#This Row],[Norm (m2/uur) werkdagen]],0)</f>
        <v>0</v>
      </c>
      <c r="W632" s="289">
        <f>Ruimtestaat[[#This Row],[uren / jaar werkdagen]]*Tariefsopbouw!$E$35</f>
        <v>0</v>
      </c>
      <c r="X632" s="226"/>
      <c r="Y632" s="290">
        <f>IF(Ruimtestaat[[#This Row],[Frequentie weekend]]&gt;0,VALUE(LEFT(X632,1))*Q632,0)</f>
        <v>0</v>
      </c>
      <c r="Z632" s="287">
        <f>IF($Y632&gt;0,VLOOKUP($J632,Ruimtegroepen[],3,FALSE)*VLOOKUP($L632,Vloersoorten[],3,FALSE)*VLOOKUP($X632,Frequenties[],3,FALSE)*VLOOKUP(#REF!,Locaties[],3,FALSE),0)</f>
        <v>0</v>
      </c>
      <c r="AA632" s="291">
        <f>Ruimtestaat[[#This Row],[Uitvoeringen weekend]]*Ruimtestaat[[#This Row],[Oppervlak (netto)]]</f>
        <v>0</v>
      </c>
      <c r="AB632" s="291">
        <f>IF(Z632&gt;0,Ruimtestaat[[#This Row],[Prest. (m2 /jaar) weekend]]/Ruimtestaat[[#This Row],[Norm (m2/uur) weekend]],0)</f>
        <v>0</v>
      </c>
      <c r="AC632" s="180">
        <f>Ruimtestaat[[#This Row],[uren / jaar weekend]]*Tariefsopbouw!$D$40</f>
        <v>0</v>
      </c>
      <c r="AD632" s="179">
        <f>Ruimtestaat[[#This Row],[Prest. (m2 /jaar) weekend]]+Ruimtestaat[[#This Row],[Prest. (m2 /jaar) werkdagen]]</f>
        <v>204</v>
      </c>
      <c r="AE632" s="179">
        <f>Ruimtestaat[[#This Row],[uren / jaar weekend]]+Ruimtestaat[[#This Row],[uren / jaar werkdagen]]</f>
        <v>0</v>
      </c>
      <c r="AF632" s="174">
        <f>Ruimtestaat[[#This Row],[kosten / jaar weekend]]+Ruimtestaat[[#This Row],[kosten / jaar werkdagen]]</f>
        <v>0</v>
      </c>
      <c r="AG632" s="174"/>
      <c r="AH632" s="174" t="str">
        <f>IF(Ruimtestaat[[#This Row],[Frequentie werkdagen]]="","",_xlfn.CONCAT(Ruimtestaat[[#This Row],[Ruimte code]],"-",Ruimtestaat[[#This Row],[Frequentie werkdagen]]," ",Ruimtestaat[[#This Row],[Vloer code]]))</f>
        <v>17-1w L</v>
      </c>
      <c r="AI632" s="182" t="str">
        <f>_xlfn.IFNA(VLOOKUP($AH632,Programma!$F$3:$G$1101,2,0),"")</f>
        <v>_</v>
      </c>
      <c r="AJ632" s="182" t="str">
        <f>_xlfn.IFNA(VLOOKUP($AH632,Programma!$F$3:$H$1101,3,0),"")</f>
        <v>_</v>
      </c>
      <c r="AK632" s="182" t="str">
        <f>_xlfn.IFNA(VLOOKUP($AH632,Programma!$F$3:$I$1101,4,0),"")</f>
        <v>_</v>
      </c>
      <c r="AL632" s="182" t="str">
        <f>_xlfn.IFNA(VLOOKUP($AH632,Programma!$F$3:$J$1101,5,0),"")</f>
        <v>1w</v>
      </c>
      <c r="AM632" s="182" t="str">
        <f>_xlfn.IFNA(VLOOKUP($AH632,Programma!$F$3:$K$1101,6,0),"")</f>
        <v>_</v>
      </c>
      <c r="AN632" s="182" t="str">
        <f>_xlfn.IFNA(VLOOKUP($AH632,Programma!$F$3:$L$1101,7,0),"")</f>
        <v>_</v>
      </c>
      <c r="AO632" s="182" t="str">
        <f>_xlfn.IFNA(VLOOKUP($AH632,Programma!$F$3:$M$1101,8,0),"")</f>
        <v>_</v>
      </c>
      <c r="AP632" s="182" t="str">
        <f>_xlfn.IFNA(VLOOKUP($AH632,Programma!$F$3:$N$1101,9,0),"")</f>
        <v>_</v>
      </c>
      <c r="AQ632" s="182" t="str">
        <f>_xlfn.IFNA(VLOOKUP($AH632,Programma!$F$3:$O$1101,10,0),"")</f>
        <v>1w</v>
      </c>
      <c r="AR632" s="182" t="str">
        <f>_xlfn.IFNA(VLOOKUP($AH632,Programma!$F$3:$P$1101,11,0),"")</f>
        <v>1w</v>
      </c>
      <c r="AS632" s="182" t="str">
        <f>_xlfn.IFNA(VLOOKUP($AH632,Programma!$F$3:$Q$1101,12,0),"")</f>
        <v>1w</v>
      </c>
      <c r="AT632" s="182" t="str">
        <f>_xlfn.IFNA(VLOOKUP($AH632,Programma!$F$3:$R$1101,13,0),"")</f>
        <v>1w</v>
      </c>
      <c r="AU632" s="182" t="str">
        <f>_xlfn.IFNA(VLOOKUP($AH632,Programma!$F$3:$S$1101,14,0),"")</f>
        <v>1m</v>
      </c>
      <c r="AV632" s="182" t="str">
        <f>_xlfn.IFNA(VLOOKUP($AH632,Programma!$F$3:$T$1101,15,0),"")</f>
        <v>2j</v>
      </c>
      <c r="AW632" s="182" t="str">
        <f>_xlfn.IFNA(VLOOKUP($AH632,Programma!$F$3:$U$1101,16,0),"")</f>
        <v>1j</v>
      </c>
      <c r="AX632" s="182" t="str">
        <f>_xlfn.IFNA(VLOOKUP($AH632,Programma!$F$3:$V$1101,17,0),"")</f>
        <v>_</v>
      </c>
      <c r="AY632" s="182" t="str">
        <f>_xlfn.IFNA(VLOOKUP($AH632,Programma!$F$3:$W$1101,18,0),"")</f>
        <v>_</v>
      </c>
      <c r="AZ632" s="182" t="str">
        <f>_xlfn.IFNA(VLOOKUP($AH632,Programma!$F$3:$X$1101,19,0),"")</f>
        <v>_</v>
      </c>
      <c r="BA632" s="182" t="str">
        <f>_xlfn.IFNA(VLOOKUP($AH632,Programma!$F$3:$Y$1101,20,0),"")</f>
        <v>_</v>
      </c>
      <c r="BB632" s="182"/>
      <c r="BC632" s="174" t="str">
        <f>IF(Ruimtestaat[[#This Row],[Frequentie weekend]]="","",_xlfn.CONCAT(Ruimtestaat[[#This Row],[Ruimte code]],"-",Ruimtestaat[[#This Row],[Frequentie weekend]]," ",Ruimtestaat[[#This Row],[Vloer code]]))</f>
        <v/>
      </c>
      <c r="BD632" s="182" t="str">
        <f>_xlfn.IFNA(VLOOKUP($BC632,Programma!$F$3:$G$1101,2,0),"")</f>
        <v/>
      </c>
      <c r="BE632" s="182" t="str">
        <f>_xlfn.IFNA(VLOOKUP($BC632,Programma!$F$3:$H$1101,3,0),"")</f>
        <v/>
      </c>
      <c r="BF632" s="182" t="str">
        <f>_xlfn.IFNA(VLOOKUP($BC632,Programma!$F$3:$I$1101,4,0),"")</f>
        <v/>
      </c>
      <c r="BG632" s="182" t="str">
        <f>_xlfn.IFNA(VLOOKUP($BC632,Programma!$F$3:$J$1101,5,0),"")</f>
        <v/>
      </c>
      <c r="BH632" s="182" t="str">
        <f>_xlfn.IFNA(VLOOKUP($BC632,Programma!$F$3:$K$1101,6,0),"")</f>
        <v/>
      </c>
      <c r="BI632" s="182" t="str">
        <f>_xlfn.IFNA(VLOOKUP($BC632,Programma!$F$3:$L$1101,7,0),"")</f>
        <v/>
      </c>
      <c r="BJ632" s="182" t="str">
        <f>_xlfn.IFNA(VLOOKUP($BC632,Programma!$F$3:$M$1101,8,0),"")</f>
        <v/>
      </c>
      <c r="BK632" s="182" t="str">
        <f>_xlfn.IFNA(VLOOKUP($BC632,Programma!$F$3:$N$1101,9,0),"")</f>
        <v/>
      </c>
      <c r="BL632" s="182" t="str">
        <f>_xlfn.IFNA(VLOOKUP($BC632,Programma!$F$3:$O$1101,10,0),"")</f>
        <v/>
      </c>
      <c r="BM632" s="182" t="str">
        <f>_xlfn.IFNA(VLOOKUP($BC632,Programma!$F$3:$P$1101,11,0),"")</f>
        <v/>
      </c>
      <c r="BN632" s="182" t="str">
        <f>_xlfn.IFNA(VLOOKUP($BC632,Programma!$F$3:$Q$1101,12,0),"")</f>
        <v/>
      </c>
      <c r="BO632" s="182" t="str">
        <f>_xlfn.IFNA(VLOOKUP($BC632,Programma!$F$3:$R$1101,13,0),"")</f>
        <v/>
      </c>
      <c r="BP632" s="182" t="str">
        <f>_xlfn.IFNA(VLOOKUP($BC632,Programma!$F$3:$S$1101,14,0),"")</f>
        <v/>
      </c>
      <c r="BQ632" s="182" t="str">
        <f>_xlfn.IFNA(VLOOKUP($BC632,Programma!$F$3:$T$1101,15,0),"")</f>
        <v/>
      </c>
      <c r="BR632" s="182" t="str">
        <f>_xlfn.IFNA(VLOOKUP($BC632,Programma!$F$3:$U$1101,16,0),"")</f>
        <v/>
      </c>
      <c r="BS632" s="182" t="str">
        <f>_xlfn.IFNA(VLOOKUP($BC632,Programma!$F$3:$V$1101,17,0),"")</f>
        <v/>
      </c>
      <c r="BT632" s="182" t="str">
        <f>_xlfn.IFNA(VLOOKUP($BC632,Programma!$F$3:$W$1101,18,0),"")</f>
        <v/>
      </c>
      <c r="BU632" s="182" t="str">
        <f>_xlfn.IFNA(VLOOKUP($BC632,Programma!$F$3:$X$1101,19,0),"")</f>
        <v/>
      </c>
      <c r="BV632" s="182" t="str">
        <f>_xlfn.IFNA(VLOOKUP($BC632,Programma!$F$3:$Y$1101,20,0),"")</f>
        <v/>
      </c>
    </row>
    <row r="633" spans="1:74" ht="15" customHeight="1">
      <c r="A633" s="99">
        <v>17</v>
      </c>
      <c r="B633" s="176" t="str">
        <f>VLOOKUP(Ruimtestaat[[#This Row],[Code]],Locaties[[Code]:[Locatie]],2,FALSE)</f>
        <v>ODBS Lonneker</v>
      </c>
      <c r="C633" s="176" t="str">
        <f>VLOOKUP(Ruimtestaat[[#This Row],[Code]],Locaties[[#All],[Code]:[Adres]],4,FALSE)</f>
        <v>Dorpsstraat 104</v>
      </c>
      <c r="D633" s="176" t="str">
        <f>VLOOKUP(Ruimtestaat[[#This Row],[Code]],Locaties[[#All],[Code]:[Postcode]],5,FALSE)</f>
        <v>7524 CK</v>
      </c>
      <c r="E633" s="176" t="str">
        <f>VLOOKUP(Ruimtestaat[[#This Row],[Code]],Locaties[#All],6,FALSE)</f>
        <v>Lonneker</v>
      </c>
      <c r="F633" s="183"/>
      <c r="G633" s="99" t="s">
        <v>1646</v>
      </c>
      <c r="H633" s="99" t="s">
        <v>1711</v>
      </c>
      <c r="I633" s="183" t="s">
        <v>1729</v>
      </c>
      <c r="J633" s="99">
        <v>17</v>
      </c>
      <c r="K633" s="183" t="str">
        <f>VLOOKUP(Ruimtestaat[[#This Row],[Ruimte code]],Ruimtegroepen[[#All],[Code]:[Ruimte omschrijving]],2,FALSE)</f>
        <v>Toestelberging</v>
      </c>
      <c r="L633" s="99" t="s">
        <v>100</v>
      </c>
      <c r="M633" s="99" t="s">
        <v>1697</v>
      </c>
      <c r="N633" s="177">
        <v>1.9</v>
      </c>
      <c r="O633" s="177"/>
      <c r="P633" s="178" t="str">
        <f>VLOOKUP(Ruimtestaat[[#This Row],[Ruimte code]],Ruimtegroepen[],4,FALSE)</f>
        <v>Ve</v>
      </c>
      <c r="Q633" s="149">
        <v>40</v>
      </c>
      <c r="R633" s="149" t="s">
        <v>15</v>
      </c>
      <c r="S633" s="285">
        <f>IF(Q633&gt;0,IF(RIGHT(Ruimtestaat[[#This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33" s="286">
        <f>IF(S633&gt;0,VLOOKUP($J633,Ruimtegroepen[],3,FALSE)*VLOOKUP($L633,Vloersoorten[],3,FALSE)*VLOOKUP($R633,Frequenties[],3,FALSE)*VLOOKUP($A633,Locaties[],3,FALSE),0)</f>
        <v>0</v>
      </c>
      <c r="U633" s="287">
        <f>Ruimtestaat[[#This Row],[Uitvoeringen werkdagen]]*Ruimtestaat[[#This Row],[Oppervlak (netto)]]</f>
        <v>76</v>
      </c>
      <c r="V633" s="288">
        <f>IF(T633&gt;0,Ruimtestaat[[#This Row],[Prest. (m2 /jaar) werkdagen]]/Ruimtestaat[[#This Row],[Norm (m2/uur) werkdagen]],0)</f>
        <v>0</v>
      </c>
      <c r="W633" s="289">
        <f>Ruimtestaat[[#This Row],[uren / jaar werkdagen]]*Tariefsopbouw!$E$35</f>
        <v>0</v>
      </c>
      <c r="X633" s="226"/>
      <c r="Y633" s="290">
        <f>IF(Ruimtestaat[[#This Row],[Frequentie weekend]]&gt;0,VALUE(LEFT(X633,1))*Q633,0)</f>
        <v>0</v>
      </c>
      <c r="Z633" s="287">
        <f>IF($Y633&gt;0,VLOOKUP($J633,Ruimtegroepen[],3,FALSE)*VLOOKUP($L633,Vloersoorten[],3,FALSE)*VLOOKUP($X633,Frequenties[],3,FALSE)*VLOOKUP(#REF!,Locaties[],3,FALSE),0)</f>
        <v>0</v>
      </c>
      <c r="AA633" s="291">
        <f>Ruimtestaat[[#This Row],[Uitvoeringen weekend]]*Ruimtestaat[[#This Row],[Oppervlak (netto)]]</f>
        <v>0</v>
      </c>
      <c r="AB633" s="291">
        <f>IF(Z633&gt;0,Ruimtestaat[[#This Row],[Prest. (m2 /jaar) weekend]]/Ruimtestaat[[#This Row],[Norm (m2/uur) weekend]],0)</f>
        <v>0</v>
      </c>
      <c r="AC633" s="180">
        <f>Ruimtestaat[[#This Row],[uren / jaar weekend]]*Tariefsopbouw!$D$40</f>
        <v>0</v>
      </c>
      <c r="AD633" s="179">
        <f>Ruimtestaat[[#This Row],[Prest. (m2 /jaar) weekend]]+Ruimtestaat[[#This Row],[Prest. (m2 /jaar) werkdagen]]</f>
        <v>76</v>
      </c>
      <c r="AE633" s="179">
        <f>Ruimtestaat[[#This Row],[uren / jaar weekend]]+Ruimtestaat[[#This Row],[uren / jaar werkdagen]]</f>
        <v>0</v>
      </c>
      <c r="AF633" s="174">
        <f>Ruimtestaat[[#This Row],[kosten / jaar weekend]]+Ruimtestaat[[#This Row],[kosten / jaar werkdagen]]</f>
        <v>0</v>
      </c>
      <c r="AG633" s="174"/>
      <c r="AH633" s="174" t="str">
        <f>IF(Ruimtestaat[[#This Row],[Frequentie werkdagen]]="","",_xlfn.CONCAT(Ruimtestaat[[#This Row],[Ruimte code]],"-",Ruimtestaat[[#This Row],[Frequentie werkdagen]]," ",Ruimtestaat[[#This Row],[Vloer code]]))</f>
        <v>17-1w L</v>
      </c>
      <c r="AI633" s="182" t="str">
        <f>_xlfn.IFNA(VLOOKUP($AH633,Programma!$F$3:$G$1101,2,0),"")</f>
        <v>_</v>
      </c>
      <c r="AJ633" s="182" t="str">
        <f>_xlfn.IFNA(VLOOKUP($AH633,Programma!$F$3:$H$1101,3,0),"")</f>
        <v>_</v>
      </c>
      <c r="AK633" s="182" t="str">
        <f>_xlfn.IFNA(VLOOKUP($AH633,Programma!$F$3:$I$1101,4,0),"")</f>
        <v>_</v>
      </c>
      <c r="AL633" s="182" t="str">
        <f>_xlfn.IFNA(VLOOKUP($AH633,Programma!$F$3:$J$1101,5,0),"")</f>
        <v>1w</v>
      </c>
      <c r="AM633" s="182" t="str">
        <f>_xlfn.IFNA(VLOOKUP($AH633,Programma!$F$3:$K$1101,6,0),"")</f>
        <v>_</v>
      </c>
      <c r="AN633" s="182" t="str">
        <f>_xlfn.IFNA(VLOOKUP($AH633,Programma!$F$3:$L$1101,7,0),"")</f>
        <v>_</v>
      </c>
      <c r="AO633" s="182" t="str">
        <f>_xlfn.IFNA(VLOOKUP($AH633,Programma!$F$3:$M$1101,8,0),"")</f>
        <v>_</v>
      </c>
      <c r="AP633" s="182" t="str">
        <f>_xlfn.IFNA(VLOOKUP($AH633,Programma!$F$3:$N$1101,9,0),"")</f>
        <v>_</v>
      </c>
      <c r="AQ633" s="182" t="str">
        <f>_xlfn.IFNA(VLOOKUP($AH633,Programma!$F$3:$O$1101,10,0),"")</f>
        <v>1w</v>
      </c>
      <c r="AR633" s="182" t="str">
        <f>_xlfn.IFNA(VLOOKUP($AH633,Programma!$F$3:$P$1101,11,0),"")</f>
        <v>1w</v>
      </c>
      <c r="AS633" s="182" t="str">
        <f>_xlfn.IFNA(VLOOKUP($AH633,Programma!$F$3:$Q$1101,12,0),"")</f>
        <v>1w</v>
      </c>
      <c r="AT633" s="182" t="str">
        <f>_xlfn.IFNA(VLOOKUP($AH633,Programma!$F$3:$R$1101,13,0),"")</f>
        <v>1w</v>
      </c>
      <c r="AU633" s="182" t="str">
        <f>_xlfn.IFNA(VLOOKUP($AH633,Programma!$F$3:$S$1101,14,0),"")</f>
        <v>1m</v>
      </c>
      <c r="AV633" s="182" t="str">
        <f>_xlfn.IFNA(VLOOKUP($AH633,Programma!$F$3:$T$1101,15,0),"")</f>
        <v>2j</v>
      </c>
      <c r="AW633" s="182" t="str">
        <f>_xlfn.IFNA(VLOOKUP($AH633,Programma!$F$3:$U$1101,16,0),"")</f>
        <v>1j</v>
      </c>
      <c r="AX633" s="182" t="str">
        <f>_xlfn.IFNA(VLOOKUP($AH633,Programma!$F$3:$V$1101,17,0),"")</f>
        <v>_</v>
      </c>
      <c r="AY633" s="182" t="str">
        <f>_xlfn.IFNA(VLOOKUP($AH633,Programma!$F$3:$W$1101,18,0),"")</f>
        <v>_</v>
      </c>
      <c r="AZ633" s="182" t="str">
        <f>_xlfn.IFNA(VLOOKUP($AH633,Programma!$F$3:$X$1101,19,0),"")</f>
        <v>_</v>
      </c>
      <c r="BA633" s="182" t="str">
        <f>_xlfn.IFNA(VLOOKUP($AH633,Programma!$F$3:$Y$1101,20,0),"")</f>
        <v>_</v>
      </c>
      <c r="BB633" s="182"/>
      <c r="BC633" s="174" t="str">
        <f>IF(Ruimtestaat[[#This Row],[Frequentie weekend]]="","",_xlfn.CONCAT(Ruimtestaat[[#This Row],[Ruimte code]],"-",Ruimtestaat[[#This Row],[Frequentie weekend]]," ",Ruimtestaat[[#This Row],[Vloer code]]))</f>
        <v/>
      </c>
      <c r="BD633" s="182" t="str">
        <f>_xlfn.IFNA(VLOOKUP($BC633,Programma!$F$3:$G$1101,2,0),"")</f>
        <v/>
      </c>
      <c r="BE633" s="182" t="str">
        <f>_xlfn.IFNA(VLOOKUP($BC633,Programma!$F$3:$H$1101,3,0),"")</f>
        <v/>
      </c>
      <c r="BF633" s="182" t="str">
        <f>_xlfn.IFNA(VLOOKUP($BC633,Programma!$F$3:$I$1101,4,0),"")</f>
        <v/>
      </c>
      <c r="BG633" s="182" t="str">
        <f>_xlfn.IFNA(VLOOKUP($BC633,Programma!$F$3:$J$1101,5,0),"")</f>
        <v/>
      </c>
      <c r="BH633" s="182" t="str">
        <f>_xlfn.IFNA(VLOOKUP($BC633,Programma!$F$3:$K$1101,6,0),"")</f>
        <v/>
      </c>
      <c r="BI633" s="182" t="str">
        <f>_xlfn.IFNA(VLOOKUP($BC633,Programma!$F$3:$L$1101,7,0),"")</f>
        <v/>
      </c>
      <c r="BJ633" s="182" t="str">
        <f>_xlfn.IFNA(VLOOKUP($BC633,Programma!$F$3:$M$1101,8,0),"")</f>
        <v/>
      </c>
      <c r="BK633" s="182" t="str">
        <f>_xlfn.IFNA(VLOOKUP($BC633,Programma!$F$3:$N$1101,9,0),"")</f>
        <v/>
      </c>
      <c r="BL633" s="182" t="str">
        <f>_xlfn.IFNA(VLOOKUP($BC633,Programma!$F$3:$O$1101,10,0),"")</f>
        <v/>
      </c>
      <c r="BM633" s="182" t="str">
        <f>_xlfn.IFNA(VLOOKUP($BC633,Programma!$F$3:$P$1101,11,0),"")</f>
        <v/>
      </c>
      <c r="BN633" s="182" t="str">
        <f>_xlfn.IFNA(VLOOKUP($BC633,Programma!$F$3:$Q$1101,12,0),"")</f>
        <v/>
      </c>
      <c r="BO633" s="182" t="str">
        <f>_xlfn.IFNA(VLOOKUP($BC633,Programma!$F$3:$R$1101,13,0),"")</f>
        <v/>
      </c>
      <c r="BP633" s="182" t="str">
        <f>_xlfn.IFNA(VLOOKUP($BC633,Programma!$F$3:$S$1101,14,0),"")</f>
        <v/>
      </c>
      <c r="BQ633" s="182" t="str">
        <f>_xlfn.IFNA(VLOOKUP($BC633,Programma!$F$3:$T$1101,15,0),"")</f>
        <v/>
      </c>
      <c r="BR633" s="182" t="str">
        <f>_xlfn.IFNA(VLOOKUP($BC633,Programma!$F$3:$U$1101,16,0),"")</f>
        <v/>
      </c>
      <c r="BS633" s="182" t="str">
        <f>_xlfn.IFNA(VLOOKUP($BC633,Programma!$F$3:$V$1101,17,0),"")</f>
        <v/>
      </c>
      <c r="BT633" s="182" t="str">
        <f>_xlfn.IFNA(VLOOKUP($BC633,Programma!$F$3:$W$1101,18,0),"")</f>
        <v/>
      </c>
      <c r="BU633" s="182" t="str">
        <f>_xlfn.IFNA(VLOOKUP($BC633,Programma!$F$3:$X$1101,19,0),"")</f>
        <v/>
      </c>
      <c r="BV633" s="182" t="str">
        <f>_xlfn.IFNA(VLOOKUP($BC633,Programma!$F$3:$Y$1101,20,0),"")</f>
        <v/>
      </c>
    </row>
    <row r="634" spans="1:74" ht="15" customHeight="1">
      <c r="A634" s="99">
        <v>17</v>
      </c>
      <c r="B634" s="176" t="str">
        <f>VLOOKUP(Ruimtestaat[[#This Row],[Code]],Locaties[[Code]:[Locatie]],2,FALSE)</f>
        <v>ODBS Lonneker</v>
      </c>
      <c r="C634" s="176" t="str">
        <f>VLOOKUP(Ruimtestaat[[#This Row],[Code]],Locaties[[#All],[Code]:[Adres]],4,FALSE)</f>
        <v>Dorpsstraat 104</v>
      </c>
      <c r="D634" s="176" t="str">
        <f>VLOOKUP(Ruimtestaat[[#This Row],[Code]],Locaties[[#All],[Code]:[Postcode]],5,FALSE)</f>
        <v>7524 CK</v>
      </c>
      <c r="E634" s="176" t="str">
        <f>VLOOKUP(Ruimtestaat[[#This Row],[Code]],Locaties[#All],6,FALSE)</f>
        <v>Lonneker</v>
      </c>
      <c r="F634" s="183"/>
      <c r="G634" s="99" t="s">
        <v>1646</v>
      </c>
      <c r="H634" s="99" t="s">
        <v>1712</v>
      </c>
      <c r="I634" s="183" t="s">
        <v>1658</v>
      </c>
      <c r="J634" s="99">
        <v>6</v>
      </c>
      <c r="K634" s="183" t="str">
        <f>VLOOKUP(Ruimtestaat[[#This Row],[Ruimte code]],Ruimtegroepen[[#All],[Code]:[Ruimte omschrijving]],2,FALSE)</f>
        <v>Gangen/hallen</v>
      </c>
      <c r="L634" s="99" t="s">
        <v>99</v>
      </c>
      <c r="M634" s="99" t="s">
        <v>36</v>
      </c>
      <c r="N634" s="177">
        <v>7.8</v>
      </c>
      <c r="O634" s="177"/>
      <c r="P634" s="178" t="str">
        <f>VLOOKUP(Ruimtestaat[[#This Row],[Ruimte code]],Ruimtegroepen[],4,FALSE)</f>
        <v>Ve</v>
      </c>
      <c r="Q634" s="149">
        <v>40</v>
      </c>
      <c r="R634" s="149" t="s">
        <v>2</v>
      </c>
      <c r="S634" s="285">
        <f>IF(Q634&gt;0,IF(RIGHT(Ruimtestaat[[#This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4" s="286">
        <f>IF(S634&gt;0,VLOOKUP($J634,Ruimtegroepen[],3,FALSE)*VLOOKUP($L634,Vloersoorten[],3,FALSE)*VLOOKUP($R634,Frequenties[],3,FALSE)*VLOOKUP($A634,Locaties[],3,FALSE),0)</f>
        <v>0</v>
      </c>
      <c r="U634" s="287">
        <f>Ruimtestaat[[#This Row],[Uitvoeringen werkdagen]]*Ruimtestaat[[#This Row],[Oppervlak (netto)]]</f>
        <v>1560</v>
      </c>
      <c r="V634" s="288">
        <f>IF(T634&gt;0,Ruimtestaat[[#This Row],[Prest. (m2 /jaar) werkdagen]]/Ruimtestaat[[#This Row],[Norm (m2/uur) werkdagen]],0)</f>
        <v>0</v>
      </c>
      <c r="W634" s="289">
        <f>Ruimtestaat[[#This Row],[uren / jaar werkdagen]]*Tariefsopbouw!$E$35</f>
        <v>0</v>
      </c>
      <c r="X634" s="226"/>
      <c r="Y634" s="290">
        <f>IF(Ruimtestaat[[#This Row],[Frequentie weekend]]&gt;0,VALUE(LEFT(X634,1))*Q634,0)</f>
        <v>0</v>
      </c>
      <c r="Z634" s="287">
        <f>IF($Y634&gt;0,VLOOKUP($J634,Ruimtegroepen[],3,FALSE)*VLOOKUP($L634,Vloersoorten[],3,FALSE)*VLOOKUP($X634,Frequenties[],3,FALSE)*VLOOKUP(#REF!,Locaties[],3,FALSE),0)</f>
        <v>0</v>
      </c>
      <c r="AA634" s="291">
        <f>Ruimtestaat[[#This Row],[Uitvoeringen weekend]]*Ruimtestaat[[#This Row],[Oppervlak (netto)]]</f>
        <v>0</v>
      </c>
      <c r="AB634" s="291">
        <f>IF(Z634&gt;0,Ruimtestaat[[#This Row],[Prest. (m2 /jaar) weekend]]/Ruimtestaat[[#This Row],[Norm (m2/uur) weekend]],0)</f>
        <v>0</v>
      </c>
      <c r="AC634" s="180">
        <f>Ruimtestaat[[#This Row],[uren / jaar weekend]]*Tariefsopbouw!$D$40</f>
        <v>0</v>
      </c>
      <c r="AD634" s="179">
        <f>Ruimtestaat[[#This Row],[Prest. (m2 /jaar) weekend]]+Ruimtestaat[[#This Row],[Prest. (m2 /jaar) werkdagen]]</f>
        <v>1560</v>
      </c>
      <c r="AE634" s="179">
        <f>Ruimtestaat[[#This Row],[uren / jaar weekend]]+Ruimtestaat[[#This Row],[uren / jaar werkdagen]]</f>
        <v>0</v>
      </c>
      <c r="AF634" s="174">
        <f>Ruimtestaat[[#This Row],[kosten / jaar weekend]]+Ruimtestaat[[#This Row],[kosten / jaar werkdagen]]</f>
        <v>0</v>
      </c>
      <c r="AG634" s="174"/>
      <c r="AH634" s="174" t="str">
        <f>IF(Ruimtestaat[[#This Row],[Frequentie werkdagen]]="","",_xlfn.CONCAT(Ruimtestaat[[#This Row],[Ruimte code]],"-",Ruimtestaat[[#This Row],[Frequentie werkdagen]]," ",Ruimtestaat[[#This Row],[Vloer code]]))</f>
        <v>6-5w T</v>
      </c>
      <c r="AI634" s="182" t="str">
        <f>_xlfn.IFNA(VLOOKUP($AH634,Programma!$F$3:$G$1101,2,0),"")</f>
        <v>_</v>
      </c>
      <c r="AJ634" s="182" t="str">
        <f>_xlfn.IFNA(VLOOKUP($AH634,Programma!$F$3:$H$1101,3,0),"")</f>
        <v>5w</v>
      </c>
      <c r="AK634" s="182" t="str">
        <f>_xlfn.IFNA(VLOOKUP($AH634,Programma!$F$3:$I$1101,4,0),"")</f>
        <v>_</v>
      </c>
      <c r="AL634" s="182" t="str">
        <f>_xlfn.IFNA(VLOOKUP($AH634,Programma!$F$3:$J$1101,5,0),"")</f>
        <v>_</v>
      </c>
      <c r="AM634" s="182" t="str">
        <f>_xlfn.IFNA(VLOOKUP($AH634,Programma!$F$3:$K$1101,6,0),"")</f>
        <v>_</v>
      </c>
      <c r="AN634" s="182" t="str">
        <f>_xlfn.IFNA(VLOOKUP($AH634,Programma!$F$3:$L$1101,7,0),"")</f>
        <v>_</v>
      </c>
      <c r="AO634" s="182" t="str">
        <f>_xlfn.IFNA(VLOOKUP($AH634,Programma!$F$3:$M$1101,8,0),"")</f>
        <v>_</v>
      </c>
      <c r="AP634" s="182" t="str">
        <f>_xlfn.IFNA(VLOOKUP($AH634,Programma!$F$3:$N$1101,9,0),"")</f>
        <v>_</v>
      </c>
      <c r="AQ634" s="182" t="str">
        <f>_xlfn.IFNA(VLOOKUP($AH634,Programma!$F$3:$O$1101,10,0),"")</f>
        <v>5w</v>
      </c>
      <c r="AR634" s="182" t="str">
        <f>_xlfn.IFNA(VLOOKUP($AH634,Programma!$F$3:$P$1101,11,0),"")</f>
        <v>5w</v>
      </c>
      <c r="AS634" s="182" t="str">
        <f>_xlfn.IFNA(VLOOKUP($AH634,Programma!$F$3:$Q$1101,12,0),"")</f>
        <v>1w</v>
      </c>
      <c r="AT634" s="182" t="str">
        <f>_xlfn.IFNA(VLOOKUP($AH634,Programma!$F$3:$R$1101,13,0),"")</f>
        <v>1w</v>
      </c>
      <c r="AU634" s="182" t="str">
        <f>_xlfn.IFNA(VLOOKUP($AH634,Programma!$F$3:$S$1101,14,0),"")</f>
        <v>1m</v>
      </c>
      <c r="AV634" s="182" t="str">
        <f>_xlfn.IFNA(VLOOKUP($AH634,Programma!$F$3:$T$1101,15,0),"")</f>
        <v>2j</v>
      </c>
      <c r="AW634" s="182" t="str">
        <f>_xlfn.IFNA(VLOOKUP($AH634,Programma!$F$3:$U$1101,16,0),"")</f>
        <v>1j</v>
      </c>
      <c r="AX634" s="182" t="str">
        <f>_xlfn.IFNA(VLOOKUP($AH634,Programma!$F$3:$V$1101,17,0),"")</f>
        <v>_</v>
      </c>
      <c r="AY634" s="182" t="str">
        <f>_xlfn.IFNA(VLOOKUP($AH634,Programma!$F$3:$W$1101,18,0),"")</f>
        <v>_</v>
      </c>
      <c r="AZ634" s="182" t="str">
        <f>_xlfn.IFNA(VLOOKUP($AH634,Programma!$F$3:$X$1101,19,0),"")</f>
        <v>_</v>
      </c>
      <c r="BA634" s="182" t="str">
        <f>_xlfn.IFNA(VLOOKUP($AH634,Programma!$F$3:$Y$1101,20,0),"")</f>
        <v>_</v>
      </c>
      <c r="BB634" s="182"/>
      <c r="BC634" s="174" t="str">
        <f>IF(Ruimtestaat[[#This Row],[Frequentie weekend]]="","",_xlfn.CONCAT(Ruimtestaat[[#This Row],[Ruimte code]],"-",Ruimtestaat[[#This Row],[Frequentie weekend]]," ",Ruimtestaat[[#This Row],[Vloer code]]))</f>
        <v/>
      </c>
      <c r="BD634" s="182" t="str">
        <f>_xlfn.IFNA(VLOOKUP($BC634,Programma!$F$3:$G$1101,2,0),"")</f>
        <v/>
      </c>
      <c r="BE634" s="182" t="str">
        <f>_xlfn.IFNA(VLOOKUP($BC634,Programma!$F$3:$H$1101,3,0),"")</f>
        <v/>
      </c>
      <c r="BF634" s="182" t="str">
        <f>_xlfn.IFNA(VLOOKUP($BC634,Programma!$F$3:$I$1101,4,0),"")</f>
        <v/>
      </c>
      <c r="BG634" s="182" t="str">
        <f>_xlfn.IFNA(VLOOKUP($BC634,Programma!$F$3:$J$1101,5,0),"")</f>
        <v/>
      </c>
      <c r="BH634" s="182" t="str">
        <f>_xlfn.IFNA(VLOOKUP($BC634,Programma!$F$3:$K$1101,6,0),"")</f>
        <v/>
      </c>
      <c r="BI634" s="182" t="str">
        <f>_xlfn.IFNA(VLOOKUP($BC634,Programma!$F$3:$L$1101,7,0),"")</f>
        <v/>
      </c>
      <c r="BJ634" s="182" t="str">
        <f>_xlfn.IFNA(VLOOKUP($BC634,Programma!$F$3:$M$1101,8,0),"")</f>
        <v/>
      </c>
      <c r="BK634" s="182" t="str">
        <f>_xlfn.IFNA(VLOOKUP($BC634,Programma!$F$3:$N$1101,9,0),"")</f>
        <v/>
      </c>
      <c r="BL634" s="182" t="str">
        <f>_xlfn.IFNA(VLOOKUP($BC634,Programma!$F$3:$O$1101,10,0),"")</f>
        <v/>
      </c>
      <c r="BM634" s="182" t="str">
        <f>_xlfn.IFNA(VLOOKUP($BC634,Programma!$F$3:$P$1101,11,0),"")</f>
        <v/>
      </c>
      <c r="BN634" s="182" t="str">
        <f>_xlfn.IFNA(VLOOKUP($BC634,Programma!$F$3:$Q$1101,12,0),"")</f>
        <v/>
      </c>
      <c r="BO634" s="182" t="str">
        <f>_xlfn.IFNA(VLOOKUP($BC634,Programma!$F$3:$R$1101,13,0),"")</f>
        <v/>
      </c>
      <c r="BP634" s="182" t="str">
        <f>_xlfn.IFNA(VLOOKUP($BC634,Programma!$F$3:$S$1101,14,0),"")</f>
        <v/>
      </c>
      <c r="BQ634" s="182" t="str">
        <f>_xlfn.IFNA(VLOOKUP($BC634,Programma!$F$3:$T$1101,15,0),"")</f>
        <v/>
      </c>
      <c r="BR634" s="182" t="str">
        <f>_xlfn.IFNA(VLOOKUP($BC634,Programma!$F$3:$U$1101,16,0),"")</f>
        <v/>
      </c>
      <c r="BS634" s="182" t="str">
        <f>_xlfn.IFNA(VLOOKUP($BC634,Programma!$F$3:$V$1101,17,0),"")</f>
        <v/>
      </c>
      <c r="BT634" s="182" t="str">
        <f>_xlfn.IFNA(VLOOKUP($BC634,Programma!$F$3:$W$1101,18,0),"")</f>
        <v/>
      </c>
      <c r="BU634" s="182" t="str">
        <f>_xlfn.IFNA(VLOOKUP($BC634,Programma!$F$3:$X$1101,19,0),"")</f>
        <v/>
      </c>
      <c r="BV634" s="182" t="str">
        <f>_xlfn.IFNA(VLOOKUP($BC634,Programma!$F$3:$Y$1101,20,0),"")</f>
        <v/>
      </c>
    </row>
    <row r="635" spans="1:74" ht="15" customHeight="1">
      <c r="A635" s="99">
        <v>17</v>
      </c>
      <c r="B635" s="176" t="str">
        <f>VLOOKUP(Ruimtestaat[[#This Row],[Code]],Locaties[[Code]:[Locatie]],2,FALSE)</f>
        <v>ODBS Lonneker</v>
      </c>
      <c r="C635" s="176" t="str">
        <f>VLOOKUP(Ruimtestaat[[#This Row],[Code]],Locaties[[#All],[Code]:[Adres]],4,FALSE)</f>
        <v>Dorpsstraat 104</v>
      </c>
      <c r="D635" s="176" t="str">
        <f>VLOOKUP(Ruimtestaat[[#This Row],[Code]],Locaties[[#All],[Code]:[Postcode]],5,FALSE)</f>
        <v>7524 CK</v>
      </c>
      <c r="E635" s="176" t="str">
        <f>VLOOKUP(Ruimtestaat[[#This Row],[Code]],Locaties[#All],6,FALSE)</f>
        <v>Lonneker</v>
      </c>
      <c r="F635" s="183"/>
      <c r="G635" s="99" t="s">
        <v>1646</v>
      </c>
      <c r="H635" s="99" t="s">
        <v>1713</v>
      </c>
      <c r="I635" s="183" t="s">
        <v>121</v>
      </c>
      <c r="J635" s="99">
        <v>15</v>
      </c>
      <c r="K635" s="183" t="str">
        <f>VLOOKUP(Ruimtestaat[[#This Row],[Ruimte code]],Ruimtegroepen[[#All],[Code]:[Ruimte omschrijving]],2,FALSE)</f>
        <v>Keuken/pantry</v>
      </c>
      <c r="L635" s="99" t="s">
        <v>99</v>
      </c>
      <c r="M635" s="99" t="s">
        <v>36</v>
      </c>
      <c r="N635" s="177">
        <v>7.6</v>
      </c>
      <c r="O635" s="177"/>
      <c r="P635" s="178" t="str">
        <f>VLOOKUP(Ruimtestaat[[#This Row],[Ruimte code]],Ruimtegroepen[],4,FALSE)</f>
        <v>Ve</v>
      </c>
      <c r="Q635" s="149">
        <v>40</v>
      </c>
      <c r="R635" s="149" t="s">
        <v>2</v>
      </c>
      <c r="S635" s="285">
        <f>IF(Q635&gt;0,IF(RIGHT(Ruimtestaat[[#This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5" s="286">
        <f>IF(S635&gt;0,VLOOKUP($J635,Ruimtegroepen[],3,FALSE)*VLOOKUP($L635,Vloersoorten[],3,FALSE)*VLOOKUP($R635,Frequenties[],3,FALSE)*VLOOKUP($A635,Locaties[],3,FALSE),0)</f>
        <v>0</v>
      </c>
      <c r="U635" s="287">
        <f>Ruimtestaat[[#This Row],[Uitvoeringen werkdagen]]*Ruimtestaat[[#This Row],[Oppervlak (netto)]]</f>
        <v>1520</v>
      </c>
      <c r="V635" s="288">
        <f>IF(T635&gt;0,Ruimtestaat[[#This Row],[Prest. (m2 /jaar) werkdagen]]/Ruimtestaat[[#This Row],[Norm (m2/uur) werkdagen]],0)</f>
        <v>0</v>
      </c>
      <c r="W635" s="289">
        <f>Ruimtestaat[[#This Row],[uren / jaar werkdagen]]*Tariefsopbouw!$E$35</f>
        <v>0</v>
      </c>
      <c r="X635" s="226"/>
      <c r="Y635" s="290">
        <f>IF(Ruimtestaat[[#This Row],[Frequentie weekend]]&gt;0,VALUE(LEFT(X635,1))*Q635,0)</f>
        <v>0</v>
      </c>
      <c r="Z635" s="287">
        <f>IF($Y635&gt;0,VLOOKUP($J635,Ruimtegroepen[],3,FALSE)*VLOOKUP($L635,Vloersoorten[],3,FALSE)*VLOOKUP($X635,Frequenties[],3,FALSE)*VLOOKUP(#REF!,Locaties[],3,FALSE),0)</f>
        <v>0</v>
      </c>
      <c r="AA635" s="291">
        <f>Ruimtestaat[[#This Row],[Uitvoeringen weekend]]*Ruimtestaat[[#This Row],[Oppervlak (netto)]]</f>
        <v>0</v>
      </c>
      <c r="AB635" s="291">
        <f>IF(Z635&gt;0,Ruimtestaat[[#This Row],[Prest. (m2 /jaar) weekend]]/Ruimtestaat[[#This Row],[Norm (m2/uur) weekend]],0)</f>
        <v>0</v>
      </c>
      <c r="AC635" s="180">
        <f>Ruimtestaat[[#This Row],[uren / jaar weekend]]*Tariefsopbouw!$D$40</f>
        <v>0</v>
      </c>
      <c r="AD635" s="179">
        <f>Ruimtestaat[[#This Row],[Prest. (m2 /jaar) weekend]]+Ruimtestaat[[#This Row],[Prest. (m2 /jaar) werkdagen]]</f>
        <v>1520</v>
      </c>
      <c r="AE635" s="179">
        <f>Ruimtestaat[[#This Row],[uren / jaar weekend]]+Ruimtestaat[[#This Row],[uren / jaar werkdagen]]</f>
        <v>0</v>
      </c>
      <c r="AF635" s="174">
        <f>Ruimtestaat[[#This Row],[kosten / jaar weekend]]+Ruimtestaat[[#This Row],[kosten / jaar werkdagen]]</f>
        <v>0</v>
      </c>
      <c r="AG635" s="174"/>
      <c r="AH635" s="174" t="str">
        <f>IF(Ruimtestaat[[#This Row],[Frequentie werkdagen]]="","",_xlfn.CONCAT(Ruimtestaat[[#This Row],[Ruimte code]],"-",Ruimtestaat[[#This Row],[Frequentie werkdagen]]," ",Ruimtestaat[[#This Row],[Vloer code]]))</f>
        <v>15-5w T</v>
      </c>
      <c r="AI635" s="182" t="str">
        <f>_xlfn.IFNA(VLOOKUP($AH635,Programma!$F$3:$G$1101,2,0),"")</f>
        <v>_</v>
      </c>
      <c r="AJ635" s="182" t="str">
        <f>_xlfn.IFNA(VLOOKUP($AH635,Programma!$F$3:$H$1101,3,0),"")</f>
        <v>5w</v>
      </c>
      <c r="AK635" s="182" t="str">
        <f>_xlfn.IFNA(VLOOKUP($AH635,Programma!$F$3:$I$1101,4,0),"")</f>
        <v>_</v>
      </c>
      <c r="AL635" s="182" t="str">
        <f>_xlfn.IFNA(VLOOKUP($AH635,Programma!$F$3:$J$1101,5,0),"")</f>
        <v>_</v>
      </c>
      <c r="AM635" s="182" t="str">
        <f>_xlfn.IFNA(VLOOKUP($AH635,Programma!$F$3:$K$1101,6,0),"")</f>
        <v>_</v>
      </c>
      <c r="AN635" s="182" t="str">
        <f>_xlfn.IFNA(VLOOKUP($AH635,Programma!$F$3:$L$1101,7,0),"")</f>
        <v>_</v>
      </c>
      <c r="AO635" s="182" t="str">
        <f>_xlfn.IFNA(VLOOKUP($AH635,Programma!$F$3:$M$1101,8,0),"")</f>
        <v>_</v>
      </c>
      <c r="AP635" s="182" t="str">
        <f>_xlfn.IFNA(VLOOKUP($AH635,Programma!$F$3:$N$1101,9,0),"")</f>
        <v>_</v>
      </c>
      <c r="AQ635" s="182" t="str">
        <f>_xlfn.IFNA(VLOOKUP($AH635,Programma!$F$3:$O$1101,10,0),"")</f>
        <v>5w</v>
      </c>
      <c r="AR635" s="182" t="str">
        <f>_xlfn.IFNA(VLOOKUP($AH635,Programma!$F$3:$P$1101,11,0),"")</f>
        <v>5w</v>
      </c>
      <c r="AS635" s="182" t="str">
        <f>_xlfn.IFNA(VLOOKUP($AH635,Programma!$F$3:$Q$1101,12,0),"")</f>
        <v>1w</v>
      </c>
      <c r="AT635" s="182" t="str">
        <f>_xlfn.IFNA(VLOOKUP($AH635,Programma!$F$3:$R$1101,13,0),"")</f>
        <v>1w</v>
      </c>
      <c r="AU635" s="182" t="str">
        <f>_xlfn.IFNA(VLOOKUP($AH635,Programma!$F$3:$S$1101,14,0),"")</f>
        <v>1m</v>
      </c>
      <c r="AV635" s="182" t="str">
        <f>_xlfn.IFNA(VLOOKUP($AH635,Programma!$F$3:$T$1101,15,0),"")</f>
        <v>2j</v>
      </c>
      <c r="AW635" s="182" t="str">
        <f>_xlfn.IFNA(VLOOKUP($AH635,Programma!$F$3:$U$1101,16,0),"")</f>
        <v>1j</v>
      </c>
      <c r="AX635" s="182" t="str">
        <f>_xlfn.IFNA(VLOOKUP($AH635,Programma!$F$3:$V$1101,17,0),"")</f>
        <v>_</v>
      </c>
      <c r="AY635" s="182" t="str">
        <f>_xlfn.IFNA(VLOOKUP($AH635,Programma!$F$3:$W$1101,18,0),"")</f>
        <v>_</v>
      </c>
      <c r="AZ635" s="182" t="str">
        <f>_xlfn.IFNA(VLOOKUP($AH635,Programma!$F$3:$X$1101,19,0),"")</f>
        <v>_</v>
      </c>
      <c r="BA635" s="182" t="str">
        <f>_xlfn.IFNA(VLOOKUP($AH635,Programma!$F$3:$Y$1101,20,0),"")</f>
        <v>_</v>
      </c>
      <c r="BB635" s="182"/>
      <c r="BC635" s="174" t="str">
        <f>IF(Ruimtestaat[[#This Row],[Frequentie weekend]]="","",_xlfn.CONCAT(Ruimtestaat[[#This Row],[Ruimte code]],"-",Ruimtestaat[[#This Row],[Frequentie weekend]]," ",Ruimtestaat[[#This Row],[Vloer code]]))</f>
        <v/>
      </c>
      <c r="BD635" s="182" t="str">
        <f>_xlfn.IFNA(VLOOKUP($BC635,Programma!$F$3:$G$1101,2,0),"")</f>
        <v/>
      </c>
      <c r="BE635" s="182" t="str">
        <f>_xlfn.IFNA(VLOOKUP($BC635,Programma!$F$3:$H$1101,3,0),"")</f>
        <v/>
      </c>
      <c r="BF635" s="182" t="str">
        <f>_xlfn.IFNA(VLOOKUP($BC635,Programma!$F$3:$I$1101,4,0),"")</f>
        <v/>
      </c>
      <c r="BG635" s="182" t="str">
        <f>_xlfn.IFNA(VLOOKUP($BC635,Programma!$F$3:$J$1101,5,0),"")</f>
        <v/>
      </c>
      <c r="BH635" s="182" t="str">
        <f>_xlfn.IFNA(VLOOKUP($BC635,Programma!$F$3:$K$1101,6,0),"")</f>
        <v/>
      </c>
      <c r="BI635" s="182" t="str">
        <f>_xlfn.IFNA(VLOOKUP($BC635,Programma!$F$3:$L$1101,7,0),"")</f>
        <v/>
      </c>
      <c r="BJ635" s="182" t="str">
        <f>_xlfn.IFNA(VLOOKUP($BC635,Programma!$F$3:$M$1101,8,0),"")</f>
        <v/>
      </c>
      <c r="BK635" s="182" t="str">
        <f>_xlfn.IFNA(VLOOKUP($BC635,Programma!$F$3:$N$1101,9,0),"")</f>
        <v/>
      </c>
      <c r="BL635" s="182" t="str">
        <f>_xlfn.IFNA(VLOOKUP($BC635,Programma!$F$3:$O$1101,10,0),"")</f>
        <v/>
      </c>
      <c r="BM635" s="182" t="str">
        <f>_xlfn.IFNA(VLOOKUP($BC635,Programma!$F$3:$P$1101,11,0),"")</f>
        <v/>
      </c>
      <c r="BN635" s="182" t="str">
        <f>_xlfn.IFNA(VLOOKUP($BC635,Programma!$F$3:$Q$1101,12,0),"")</f>
        <v/>
      </c>
      <c r="BO635" s="182" t="str">
        <f>_xlfn.IFNA(VLOOKUP($BC635,Programma!$F$3:$R$1101,13,0),"")</f>
        <v/>
      </c>
      <c r="BP635" s="182" t="str">
        <f>_xlfn.IFNA(VLOOKUP($BC635,Programma!$F$3:$S$1101,14,0),"")</f>
        <v/>
      </c>
      <c r="BQ635" s="182" t="str">
        <f>_xlfn.IFNA(VLOOKUP($BC635,Programma!$F$3:$T$1101,15,0),"")</f>
        <v/>
      </c>
      <c r="BR635" s="182" t="str">
        <f>_xlfn.IFNA(VLOOKUP($BC635,Programma!$F$3:$U$1101,16,0),"")</f>
        <v/>
      </c>
      <c r="BS635" s="182" t="str">
        <f>_xlfn.IFNA(VLOOKUP($BC635,Programma!$F$3:$V$1101,17,0),"")</f>
        <v/>
      </c>
      <c r="BT635" s="182" t="str">
        <f>_xlfn.IFNA(VLOOKUP($BC635,Programma!$F$3:$W$1101,18,0),"")</f>
        <v/>
      </c>
      <c r="BU635" s="182" t="str">
        <f>_xlfn.IFNA(VLOOKUP($BC635,Programma!$F$3:$X$1101,19,0),"")</f>
        <v/>
      </c>
      <c r="BV635" s="182" t="str">
        <f>_xlfn.IFNA(VLOOKUP($BC635,Programma!$F$3:$Y$1101,20,0),"")</f>
        <v/>
      </c>
    </row>
    <row r="636" spans="1:74" ht="15" customHeight="1">
      <c r="A636" s="99">
        <v>18</v>
      </c>
      <c r="B636" s="176" t="str">
        <f>VLOOKUP(Ruimtestaat[[#This Row],[Code]],Locaties[[Code]:[Locatie]],2,FALSE)</f>
        <v>OBS De Linde (Thij)</v>
      </c>
      <c r="C636" s="176" t="str">
        <f>VLOOKUP(Ruimtestaat[[#This Row],[Code]],Locaties[[#All],[Code]:[Adres]],4,FALSE)</f>
        <v>Zandhorstlaan 99</v>
      </c>
      <c r="D636" s="176" t="str">
        <f>VLOOKUP(Ruimtestaat[[#This Row],[Code]],Locaties[[#All],[Code]:[Postcode]],5,FALSE)</f>
        <v>7576 VR</v>
      </c>
      <c r="E636" s="176" t="str">
        <f>VLOOKUP(Ruimtestaat[[#This Row],[Code]],Locaties[#All],6,FALSE)</f>
        <v>Oldenzaal</v>
      </c>
      <c r="F636" s="183"/>
      <c r="G636" s="99" t="s">
        <v>1646</v>
      </c>
      <c r="H636" s="99" t="s">
        <v>1647</v>
      </c>
      <c r="I636" s="183" t="s">
        <v>1684</v>
      </c>
      <c r="J636" s="99">
        <v>5</v>
      </c>
      <c r="K636" s="183" t="str">
        <f>VLOOKUP(Ruimtestaat[[#This Row],[Ruimte code]],Ruimtegroepen[[#All],[Code]:[Ruimte omschrijving]],2,FALSE)</f>
        <v>Sanitair</v>
      </c>
      <c r="L636" s="99" t="s">
        <v>101</v>
      </c>
      <c r="M636" s="99" t="s">
        <v>1682</v>
      </c>
      <c r="N636" s="177">
        <v>4.0999999999999996</v>
      </c>
      <c r="O636" s="177"/>
      <c r="P636" s="178" t="str">
        <f>VLOOKUP(Ruimtestaat[[#This Row],[Ruimte code]],Ruimtegroepen[],4,FALSE)</f>
        <v>Sa</v>
      </c>
      <c r="Q636" s="149">
        <v>40</v>
      </c>
      <c r="R636" s="149" t="s">
        <v>2</v>
      </c>
      <c r="S636" s="285">
        <f>IF(Q636&gt;0,IF(RIGHT(Ruimtestaat[[#This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6" s="286">
        <f>IF(S636&gt;0,VLOOKUP($J636,Ruimtegroepen[],3,FALSE)*VLOOKUP($L636,Vloersoorten[],3,FALSE)*VLOOKUP($R636,Frequenties[],3,FALSE)*VLOOKUP($A636,Locaties[],3,FALSE),0)</f>
        <v>0</v>
      </c>
      <c r="U636" s="287">
        <f>Ruimtestaat[[#This Row],[Uitvoeringen werkdagen]]*Ruimtestaat[[#This Row],[Oppervlak (netto)]]</f>
        <v>819.99999999999989</v>
      </c>
      <c r="V636" s="288">
        <f>IF(T636&gt;0,Ruimtestaat[[#This Row],[Prest. (m2 /jaar) werkdagen]]/Ruimtestaat[[#This Row],[Norm (m2/uur) werkdagen]],0)</f>
        <v>0</v>
      </c>
      <c r="W636" s="289">
        <f>Ruimtestaat[[#This Row],[uren / jaar werkdagen]]*Tariefsopbouw!$E$35</f>
        <v>0</v>
      </c>
      <c r="X636" s="226"/>
      <c r="Y636" s="290">
        <f>IF(Ruimtestaat[[#This Row],[Frequentie weekend]]&gt;0,VALUE(LEFT(X636,1))*Q636,0)</f>
        <v>0</v>
      </c>
      <c r="Z636" s="287">
        <f>IF($Y636&gt;0,VLOOKUP($J636,Ruimtegroepen[],3,FALSE)*VLOOKUP($L636,Vloersoorten[],3,FALSE)*VLOOKUP($X636,Frequenties[],3,FALSE)*VLOOKUP(#REF!,Locaties[],3,FALSE),0)</f>
        <v>0</v>
      </c>
      <c r="AA636" s="291">
        <f>Ruimtestaat[[#This Row],[Uitvoeringen weekend]]*Ruimtestaat[[#This Row],[Oppervlak (netto)]]</f>
        <v>0</v>
      </c>
      <c r="AB636" s="291">
        <f>IF(Z636&gt;0,Ruimtestaat[[#This Row],[Prest. (m2 /jaar) weekend]]/Ruimtestaat[[#This Row],[Norm (m2/uur) weekend]],0)</f>
        <v>0</v>
      </c>
      <c r="AC636" s="180">
        <f>Ruimtestaat[[#This Row],[uren / jaar weekend]]*Tariefsopbouw!$D$40</f>
        <v>0</v>
      </c>
      <c r="AD636" s="179">
        <f>Ruimtestaat[[#This Row],[Prest. (m2 /jaar) weekend]]+Ruimtestaat[[#This Row],[Prest. (m2 /jaar) werkdagen]]</f>
        <v>819.99999999999989</v>
      </c>
      <c r="AE636" s="179">
        <f>Ruimtestaat[[#This Row],[uren / jaar weekend]]+Ruimtestaat[[#This Row],[uren / jaar werkdagen]]</f>
        <v>0</v>
      </c>
      <c r="AF636" s="174">
        <f>Ruimtestaat[[#This Row],[kosten / jaar weekend]]+Ruimtestaat[[#This Row],[kosten / jaar werkdagen]]</f>
        <v>0</v>
      </c>
      <c r="AG636" s="174"/>
      <c r="AH636" s="174" t="str">
        <f>IF(Ruimtestaat[[#This Row],[Frequentie werkdagen]]="","",_xlfn.CONCAT(Ruimtestaat[[#This Row],[Ruimte code]],"-",Ruimtestaat[[#This Row],[Frequentie werkdagen]]," ",Ruimtestaat[[#This Row],[Vloer code]]))</f>
        <v>5-5w S</v>
      </c>
      <c r="AI636" s="182" t="str">
        <f>_xlfn.IFNA(VLOOKUP($AH636,Programma!$F$3:$G$1101,2,0),"")</f>
        <v>_</v>
      </c>
      <c r="AJ636" s="182" t="str">
        <f>_xlfn.IFNA(VLOOKUP($AH636,Programma!$F$3:$H$1101,3,0),"")</f>
        <v>_</v>
      </c>
      <c r="AK636" s="182" t="str">
        <f>_xlfn.IFNA(VLOOKUP($AH636,Programma!$F$3:$I$1101,4,0),"")</f>
        <v>_</v>
      </c>
      <c r="AL636" s="182" t="str">
        <f>_xlfn.IFNA(VLOOKUP($AH636,Programma!$F$3:$J$1101,5,0),"")</f>
        <v>4w</v>
      </c>
      <c r="AM636" s="182" t="str">
        <f>_xlfn.IFNA(VLOOKUP($AH636,Programma!$F$3:$K$1101,6,0),"")</f>
        <v>1w</v>
      </c>
      <c r="AN636" s="182" t="str">
        <f>_xlfn.IFNA(VLOOKUP($AH636,Programma!$F$3:$L$1101,7,0),"")</f>
        <v>_</v>
      </c>
      <c r="AO636" s="182" t="str">
        <f>_xlfn.IFNA(VLOOKUP($AH636,Programma!$F$3:$M$1101,8,0),"")</f>
        <v>_</v>
      </c>
      <c r="AP636" s="182" t="str">
        <f>_xlfn.IFNA(VLOOKUP($AH636,Programma!$F$3:$N$1101,9,0),"")</f>
        <v>_</v>
      </c>
      <c r="AQ636" s="182" t="str">
        <f>_xlfn.IFNA(VLOOKUP($AH636,Programma!$F$3:$O$1101,10,0),"")</f>
        <v>_</v>
      </c>
      <c r="AR636" s="182" t="str">
        <f>_xlfn.IFNA(VLOOKUP($AH636,Programma!$F$3:$P$1101,11,0),"")</f>
        <v>_</v>
      </c>
      <c r="AS636" s="182" t="str">
        <f>_xlfn.IFNA(VLOOKUP($AH636,Programma!$F$3:$Q$1101,12,0),"")</f>
        <v>_</v>
      </c>
      <c r="AT636" s="182" t="str">
        <f>_xlfn.IFNA(VLOOKUP($AH636,Programma!$F$3:$R$1101,13,0),"")</f>
        <v>_</v>
      </c>
      <c r="AU636" s="182" t="str">
        <f>_xlfn.IFNA(VLOOKUP($AH636,Programma!$F$3:$S$1101,14,0),"")</f>
        <v>_</v>
      </c>
      <c r="AV636" s="182" t="str">
        <f>_xlfn.IFNA(VLOOKUP($AH636,Programma!$F$3:$T$1101,15,0),"")</f>
        <v>_</v>
      </c>
      <c r="AW636" s="182" t="str">
        <f>_xlfn.IFNA(VLOOKUP($AH636,Programma!$F$3:$U$1101,16,0),"")</f>
        <v>_</v>
      </c>
      <c r="AX636" s="182" t="str">
        <f>_xlfn.IFNA(VLOOKUP($AH636,Programma!$F$3:$V$1101,17,0),"")</f>
        <v>_</v>
      </c>
      <c r="AY636" s="182" t="str">
        <f>_xlfn.IFNA(VLOOKUP($AH636,Programma!$F$3:$W$1101,18,0),"")</f>
        <v>4w</v>
      </c>
      <c r="AZ636" s="182" t="str">
        <f>_xlfn.IFNA(VLOOKUP($AH636,Programma!$F$3:$X$1101,19,0),"")</f>
        <v>1w</v>
      </c>
      <c r="BA636" s="182" t="str">
        <f>_xlfn.IFNA(VLOOKUP($AH636,Programma!$F$3:$Y$1101,20,0),"")</f>
        <v>_</v>
      </c>
      <c r="BB636" s="182"/>
      <c r="BC636" s="174" t="str">
        <f>IF(Ruimtestaat[[#This Row],[Frequentie weekend]]="","",_xlfn.CONCAT(Ruimtestaat[[#This Row],[Ruimte code]],"-",Ruimtestaat[[#This Row],[Frequentie weekend]]," ",Ruimtestaat[[#This Row],[Vloer code]]))</f>
        <v/>
      </c>
      <c r="BD636" s="182" t="str">
        <f>_xlfn.IFNA(VLOOKUP($BC636,Programma!$F$3:$G$1101,2,0),"")</f>
        <v/>
      </c>
      <c r="BE636" s="182" t="str">
        <f>_xlfn.IFNA(VLOOKUP($BC636,Programma!$F$3:$H$1101,3,0),"")</f>
        <v/>
      </c>
      <c r="BF636" s="182" t="str">
        <f>_xlfn.IFNA(VLOOKUP($BC636,Programma!$F$3:$I$1101,4,0),"")</f>
        <v/>
      </c>
      <c r="BG636" s="182" t="str">
        <f>_xlfn.IFNA(VLOOKUP($BC636,Programma!$F$3:$J$1101,5,0),"")</f>
        <v/>
      </c>
      <c r="BH636" s="182" t="str">
        <f>_xlfn.IFNA(VLOOKUP($BC636,Programma!$F$3:$K$1101,6,0),"")</f>
        <v/>
      </c>
      <c r="BI636" s="182" t="str">
        <f>_xlfn.IFNA(VLOOKUP($BC636,Programma!$F$3:$L$1101,7,0),"")</f>
        <v/>
      </c>
      <c r="BJ636" s="182" t="str">
        <f>_xlfn.IFNA(VLOOKUP($BC636,Programma!$F$3:$M$1101,8,0),"")</f>
        <v/>
      </c>
      <c r="BK636" s="182" t="str">
        <f>_xlfn.IFNA(VLOOKUP($BC636,Programma!$F$3:$N$1101,9,0),"")</f>
        <v/>
      </c>
      <c r="BL636" s="182" t="str">
        <f>_xlfn.IFNA(VLOOKUP($BC636,Programma!$F$3:$O$1101,10,0),"")</f>
        <v/>
      </c>
      <c r="BM636" s="182" t="str">
        <f>_xlfn.IFNA(VLOOKUP($BC636,Programma!$F$3:$P$1101,11,0),"")</f>
        <v/>
      </c>
      <c r="BN636" s="182" t="str">
        <f>_xlfn.IFNA(VLOOKUP($BC636,Programma!$F$3:$Q$1101,12,0),"")</f>
        <v/>
      </c>
      <c r="BO636" s="182" t="str">
        <f>_xlfn.IFNA(VLOOKUP($BC636,Programma!$F$3:$R$1101,13,0),"")</f>
        <v/>
      </c>
      <c r="BP636" s="182" t="str">
        <f>_xlfn.IFNA(VLOOKUP($BC636,Programma!$F$3:$S$1101,14,0),"")</f>
        <v/>
      </c>
      <c r="BQ636" s="182" t="str">
        <f>_xlfn.IFNA(VLOOKUP($BC636,Programma!$F$3:$T$1101,15,0),"")</f>
        <v/>
      </c>
      <c r="BR636" s="182" t="str">
        <f>_xlfn.IFNA(VLOOKUP($BC636,Programma!$F$3:$U$1101,16,0),"")</f>
        <v/>
      </c>
      <c r="BS636" s="182" t="str">
        <f>_xlfn.IFNA(VLOOKUP($BC636,Programma!$F$3:$V$1101,17,0),"")</f>
        <v/>
      </c>
      <c r="BT636" s="182" t="str">
        <f>_xlfn.IFNA(VLOOKUP($BC636,Programma!$F$3:$W$1101,18,0),"")</f>
        <v/>
      </c>
      <c r="BU636" s="182" t="str">
        <f>_xlfn.IFNA(VLOOKUP($BC636,Programma!$F$3:$X$1101,19,0),"")</f>
        <v/>
      </c>
      <c r="BV636" s="182" t="str">
        <f>_xlfn.IFNA(VLOOKUP($BC636,Programma!$F$3:$Y$1101,20,0),"")</f>
        <v/>
      </c>
    </row>
    <row r="637" spans="1:74" ht="15" customHeight="1">
      <c r="A637" s="99">
        <v>18</v>
      </c>
      <c r="B637" s="176" t="str">
        <f>VLOOKUP(Ruimtestaat[[#This Row],[Code]],Locaties[[Code]:[Locatie]],2,FALSE)</f>
        <v>OBS De Linde (Thij)</v>
      </c>
      <c r="C637" s="176" t="str">
        <f>VLOOKUP(Ruimtestaat[[#This Row],[Code]],Locaties[[#All],[Code]:[Adres]],4,FALSE)</f>
        <v>Zandhorstlaan 99</v>
      </c>
      <c r="D637" s="176" t="str">
        <f>VLOOKUP(Ruimtestaat[[#This Row],[Code]],Locaties[[#All],[Code]:[Postcode]],5,FALSE)</f>
        <v>7576 VR</v>
      </c>
      <c r="E637" s="176" t="str">
        <f>VLOOKUP(Ruimtestaat[[#This Row],[Code]],Locaties[#All],6,FALSE)</f>
        <v>Oldenzaal</v>
      </c>
      <c r="F637" s="183"/>
      <c r="G637" s="99" t="s">
        <v>1646</v>
      </c>
      <c r="H637" s="99" t="s">
        <v>1648</v>
      </c>
      <c r="I637" s="183" t="s">
        <v>1688</v>
      </c>
      <c r="J637" s="99">
        <v>16</v>
      </c>
      <c r="K637" s="183" t="str">
        <f>VLOOKUP(Ruimtestaat[[#This Row],[Ruimte code]],Ruimtegroepen[[#All],[Code]:[Ruimte omschrijving]],2,FALSE)</f>
        <v>Leslokalen</v>
      </c>
      <c r="L637" s="99" t="s">
        <v>100</v>
      </c>
      <c r="M637" s="99" t="s">
        <v>1697</v>
      </c>
      <c r="N637" s="177">
        <v>57.4</v>
      </c>
      <c r="O637" s="177"/>
      <c r="P637" s="178" t="str">
        <f>VLOOKUP(Ruimtestaat[[#This Row],[Ruimte code]],Ruimtegroepen[],4,FALSE)</f>
        <v>Le</v>
      </c>
      <c r="Q637" s="149">
        <v>40</v>
      </c>
      <c r="R637" s="149" t="s">
        <v>2</v>
      </c>
      <c r="S637" s="285">
        <f>IF(Q637&gt;0,IF(RIGHT(Ruimtestaat[[#This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7" s="286">
        <f>IF(S637&gt;0,VLOOKUP($J637,Ruimtegroepen[],3,FALSE)*VLOOKUP($L637,Vloersoorten[],3,FALSE)*VLOOKUP($R637,Frequenties[],3,FALSE)*VLOOKUP($A637,Locaties[],3,FALSE),0)</f>
        <v>0</v>
      </c>
      <c r="U637" s="287">
        <f>Ruimtestaat[[#This Row],[Uitvoeringen werkdagen]]*Ruimtestaat[[#This Row],[Oppervlak (netto)]]</f>
        <v>11480</v>
      </c>
      <c r="V637" s="288">
        <f>IF(T637&gt;0,Ruimtestaat[[#This Row],[Prest. (m2 /jaar) werkdagen]]/Ruimtestaat[[#This Row],[Norm (m2/uur) werkdagen]],0)</f>
        <v>0</v>
      </c>
      <c r="W637" s="289">
        <f>Ruimtestaat[[#This Row],[uren / jaar werkdagen]]*Tariefsopbouw!$E$35</f>
        <v>0</v>
      </c>
      <c r="X637" s="226"/>
      <c r="Y637" s="290">
        <f>IF(Ruimtestaat[[#This Row],[Frequentie weekend]]&gt;0,VALUE(LEFT(X637,1))*Q637,0)</f>
        <v>0</v>
      </c>
      <c r="Z637" s="287">
        <f>IF($Y637&gt;0,VLOOKUP($J637,Ruimtegroepen[],3,FALSE)*VLOOKUP($L637,Vloersoorten[],3,FALSE)*VLOOKUP($X637,Frequenties[],3,FALSE)*VLOOKUP(#REF!,Locaties[],3,FALSE),0)</f>
        <v>0</v>
      </c>
      <c r="AA637" s="291">
        <f>Ruimtestaat[[#This Row],[Uitvoeringen weekend]]*Ruimtestaat[[#This Row],[Oppervlak (netto)]]</f>
        <v>0</v>
      </c>
      <c r="AB637" s="291">
        <f>IF(Z637&gt;0,Ruimtestaat[[#This Row],[Prest. (m2 /jaar) weekend]]/Ruimtestaat[[#This Row],[Norm (m2/uur) weekend]],0)</f>
        <v>0</v>
      </c>
      <c r="AC637" s="180">
        <f>Ruimtestaat[[#This Row],[uren / jaar weekend]]*Tariefsopbouw!$D$40</f>
        <v>0</v>
      </c>
      <c r="AD637" s="179">
        <f>Ruimtestaat[[#This Row],[Prest. (m2 /jaar) weekend]]+Ruimtestaat[[#This Row],[Prest. (m2 /jaar) werkdagen]]</f>
        <v>11480</v>
      </c>
      <c r="AE637" s="179">
        <f>Ruimtestaat[[#This Row],[uren / jaar weekend]]+Ruimtestaat[[#This Row],[uren / jaar werkdagen]]</f>
        <v>0</v>
      </c>
      <c r="AF637" s="174">
        <f>Ruimtestaat[[#This Row],[kosten / jaar weekend]]+Ruimtestaat[[#This Row],[kosten / jaar werkdagen]]</f>
        <v>0</v>
      </c>
      <c r="AG637" s="174"/>
      <c r="AH637" s="174" t="str">
        <f>IF(Ruimtestaat[[#This Row],[Frequentie werkdagen]]="","",_xlfn.CONCAT(Ruimtestaat[[#This Row],[Ruimte code]],"-",Ruimtestaat[[#This Row],[Frequentie werkdagen]]," ",Ruimtestaat[[#This Row],[Vloer code]]))</f>
        <v>16-5w L</v>
      </c>
      <c r="AI637" s="182" t="str">
        <f>_xlfn.IFNA(VLOOKUP($AH637,Programma!$F$3:$G$1101,2,0),"")</f>
        <v>_</v>
      </c>
      <c r="AJ637" s="182" t="str">
        <f>_xlfn.IFNA(VLOOKUP($AH637,Programma!$F$3:$H$1101,3,0),"")</f>
        <v>_</v>
      </c>
      <c r="AK637" s="182" t="str">
        <f>_xlfn.IFNA(VLOOKUP($AH637,Programma!$F$3:$I$1101,4,0),"")</f>
        <v>4w</v>
      </c>
      <c r="AL637" s="182" t="str">
        <f>_xlfn.IFNA(VLOOKUP($AH637,Programma!$F$3:$J$1101,5,0),"")</f>
        <v>1w</v>
      </c>
      <c r="AM637" s="182" t="str">
        <f>_xlfn.IFNA(VLOOKUP($AH637,Programma!$F$3:$K$1101,6,0),"")</f>
        <v>_</v>
      </c>
      <c r="AN637" s="182" t="str">
        <f>_xlfn.IFNA(VLOOKUP($AH637,Programma!$F$3:$L$1101,7,0),"")</f>
        <v>_</v>
      </c>
      <c r="AO637" s="182" t="str">
        <f>_xlfn.IFNA(VLOOKUP($AH637,Programma!$F$3:$M$1101,8,0),"")</f>
        <v>_</v>
      </c>
      <c r="AP637" s="182" t="str">
        <f>_xlfn.IFNA(VLOOKUP($AH637,Programma!$F$3:$N$1101,9,0),"")</f>
        <v>_</v>
      </c>
      <c r="AQ637" s="182" t="str">
        <f>_xlfn.IFNA(VLOOKUP($AH637,Programma!$F$3:$O$1101,10,0),"")</f>
        <v>5w</v>
      </c>
      <c r="AR637" s="182" t="str">
        <f>_xlfn.IFNA(VLOOKUP($AH637,Programma!$F$3:$P$1101,11,0),"")</f>
        <v>5w</v>
      </c>
      <c r="AS637" s="182" t="str">
        <f>_xlfn.IFNA(VLOOKUP($AH637,Programma!$F$3:$Q$1101,12,0),"")</f>
        <v>1w</v>
      </c>
      <c r="AT637" s="182" t="str">
        <f>_xlfn.IFNA(VLOOKUP($AH637,Programma!$F$3:$R$1101,13,0),"")</f>
        <v>1w</v>
      </c>
      <c r="AU637" s="182" t="str">
        <f>_xlfn.IFNA(VLOOKUP($AH637,Programma!$F$3:$S$1101,14,0),"")</f>
        <v>1m</v>
      </c>
      <c r="AV637" s="182" t="str">
        <f>_xlfn.IFNA(VLOOKUP($AH637,Programma!$F$3:$T$1101,15,0),"")</f>
        <v>2j</v>
      </c>
      <c r="AW637" s="182" t="str">
        <f>_xlfn.IFNA(VLOOKUP($AH637,Programma!$F$3:$U$1101,16,0),"")</f>
        <v>1j</v>
      </c>
      <c r="AX637" s="182" t="str">
        <f>_xlfn.IFNA(VLOOKUP($AH637,Programma!$F$3:$V$1101,17,0),"")</f>
        <v>_</v>
      </c>
      <c r="AY637" s="182" t="str">
        <f>_xlfn.IFNA(VLOOKUP($AH637,Programma!$F$3:$W$1101,18,0),"")</f>
        <v>_</v>
      </c>
      <c r="AZ637" s="182" t="str">
        <f>_xlfn.IFNA(VLOOKUP($AH637,Programma!$F$3:$X$1101,19,0),"")</f>
        <v>_</v>
      </c>
      <c r="BA637" s="182" t="str">
        <f>_xlfn.IFNA(VLOOKUP($AH637,Programma!$F$3:$Y$1101,20,0),"")</f>
        <v>_</v>
      </c>
      <c r="BB637" s="182"/>
      <c r="BC637" s="174" t="str">
        <f>IF(Ruimtestaat[[#This Row],[Frequentie weekend]]="","",_xlfn.CONCAT(Ruimtestaat[[#This Row],[Ruimte code]],"-",Ruimtestaat[[#This Row],[Frequentie weekend]]," ",Ruimtestaat[[#This Row],[Vloer code]]))</f>
        <v/>
      </c>
      <c r="BD637" s="182" t="str">
        <f>_xlfn.IFNA(VLOOKUP($BC637,Programma!$F$3:$G$1101,2,0),"")</f>
        <v/>
      </c>
      <c r="BE637" s="182" t="str">
        <f>_xlfn.IFNA(VLOOKUP($BC637,Programma!$F$3:$H$1101,3,0),"")</f>
        <v/>
      </c>
      <c r="BF637" s="182" t="str">
        <f>_xlfn.IFNA(VLOOKUP($BC637,Programma!$F$3:$I$1101,4,0),"")</f>
        <v/>
      </c>
      <c r="BG637" s="182" t="str">
        <f>_xlfn.IFNA(VLOOKUP($BC637,Programma!$F$3:$J$1101,5,0),"")</f>
        <v/>
      </c>
      <c r="BH637" s="182" t="str">
        <f>_xlfn.IFNA(VLOOKUP($BC637,Programma!$F$3:$K$1101,6,0),"")</f>
        <v/>
      </c>
      <c r="BI637" s="182" t="str">
        <f>_xlfn.IFNA(VLOOKUP($BC637,Programma!$F$3:$L$1101,7,0),"")</f>
        <v/>
      </c>
      <c r="BJ637" s="182" t="str">
        <f>_xlfn.IFNA(VLOOKUP($BC637,Programma!$F$3:$M$1101,8,0),"")</f>
        <v/>
      </c>
      <c r="BK637" s="182" t="str">
        <f>_xlfn.IFNA(VLOOKUP($BC637,Programma!$F$3:$N$1101,9,0),"")</f>
        <v/>
      </c>
      <c r="BL637" s="182" t="str">
        <f>_xlfn.IFNA(VLOOKUP($BC637,Programma!$F$3:$O$1101,10,0),"")</f>
        <v/>
      </c>
      <c r="BM637" s="182" t="str">
        <f>_xlfn.IFNA(VLOOKUP($BC637,Programma!$F$3:$P$1101,11,0),"")</f>
        <v/>
      </c>
      <c r="BN637" s="182" t="str">
        <f>_xlfn.IFNA(VLOOKUP($BC637,Programma!$F$3:$Q$1101,12,0),"")</f>
        <v/>
      </c>
      <c r="BO637" s="182" t="str">
        <f>_xlfn.IFNA(VLOOKUP($BC637,Programma!$F$3:$R$1101,13,0),"")</f>
        <v/>
      </c>
      <c r="BP637" s="182" t="str">
        <f>_xlfn.IFNA(VLOOKUP($BC637,Programma!$F$3:$S$1101,14,0),"")</f>
        <v/>
      </c>
      <c r="BQ637" s="182" t="str">
        <f>_xlfn.IFNA(VLOOKUP($BC637,Programma!$F$3:$T$1101,15,0),"")</f>
        <v/>
      </c>
      <c r="BR637" s="182" t="str">
        <f>_xlfn.IFNA(VLOOKUP($BC637,Programma!$F$3:$U$1101,16,0),"")</f>
        <v/>
      </c>
      <c r="BS637" s="182" t="str">
        <f>_xlfn.IFNA(VLOOKUP($BC637,Programma!$F$3:$V$1101,17,0),"")</f>
        <v/>
      </c>
      <c r="BT637" s="182" t="str">
        <f>_xlfn.IFNA(VLOOKUP($BC637,Programma!$F$3:$W$1101,18,0),"")</f>
        <v/>
      </c>
      <c r="BU637" s="182" t="str">
        <f>_xlfn.IFNA(VLOOKUP($BC637,Programma!$F$3:$X$1101,19,0),"")</f>
        <v/>
      </c>
      <c r="BV637" s="182" t="str">
        <f>_xlfn.IFNA(VLOOKUP($BC637,Programma!$F$3:$Y$1101,20,0),"")</f>
        <v/>
      </c>
    </row>
    <row r="638" spans="1:74" ht="15" customHeight="1">
      <c r="A638" s="99">
        <v>18</v>
      </c>
      <c r="B638" s="176" t="str">
        <f>VLOOKUP(Ruimtestaat[[#This Row],[Code]],Locaties[[Code]:[Locatie]],2,FALSE)</f>
        <v>OBS De Linde (Thij)</v>
      </c>
      <c r="C638" s="176" t="str">
        <f>VLOOKUP(Ruimtestaat[[#This Row],[Code]],Locaties[[#All],[Code]:[Adres]],4,FALSE)</f>
        <v>Zandhorstlaan 99</v>
      </c>
      <c r="D638" s="176" t="str">
        <f>VLOOKUP(Ruimtestaat[[#This Row],[Code]],Locaties[[#All],[Code]:[Postcode]],5,FALSE)</f>
        <v>7576 VR</v>
      </c>
      <c r="E638" s="176" t="str">
        <f>VLOOKUP(Ruimtestaat[[#This Row],[Code]],Locaties[#All],6,FALSE)</f>
        <v>Oldenzaal</v>
      </c>
      <c r="F638" s="183"/>
      <c r="G638" s="99" t="s">
        <v>1646</v>
      </c>
      <c r="H638" s="99" t="s">
        <v>1650</v>
      </c>
      <c r="I638" s="183" t="s">
        <v>1658</v>
      </c>
      <c r="J638" s="99">
        <v>6</v>
      </c>
      <c r="K638" s="183" t="str">
        <f>VLOOKUP(Ruimtestaat[[#This Row],[Ruimte code]],Ruimtegroepen[[#All],[Code]:[Ruimte omschrijving]],2,FALSE)</f>
        <v>Gangen/hallen</v>
      </c>
      <c r="L638" s="99" t="s">
        <v>101</v>
      </c>
      <c r="M638" s="99" t="s">
        <v>119</v>
      </c>
      <c r="N638" s="177">
        <v>14.2</v>
      </c>
      <c r="O638" s="177"/>
      <c r="P638" s="178" t="str">
        <f>VLOOKUP(Ruimtestaat[[#This Row],[Ruimte code]],Ruimtegroepen[],4,FALSE)</f>
        <v>Ve</v>
      </c>
      <c r="Q638" s="149">
        <v>40</v>
      </c>
      <c r="R638" s="149" t="s">
        <v>2</v>
      </c>
      <c r="S638" s="285">
        <f>IF(Q638&gt;0,IF(RIGHT(Ruimtestaat[[#This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38" s="286">
        <f>IF(S638&gt;0,VLOOKUP($J638,Ruimtegroepen[],3,FALSE)*VLOOKUP($L638,Vloersoorten[],3,FALSE)*VLOOKUP($R638,Frequenties[],3,FALSE)*VLOOKUP($A638,Locaties[],3,FALSE),0)</f>
        <v>0</v>
      </c>
      <c r="U638" s="287">
        <f>Ruimtestaat[[#This Row],[Uitvoeringen werkdagen]]*Ruimtestaat[[#This Row],[Oppervlak (netto)]]</f>
        <v>2840</v>
      </c>
      <c r="V638" s="288">
        <f>IF(T638&gt;0,Ruimtestaat[[#This Row],[Prest. (m2 /jaar) werkdagen]]/Ruimtestaat[[#This Row],[Norm (m2/uur) werkdagen]],0)</f>
        <v>0</v>
      </c>
      <c r="W638" s="289">
        <f>Ruimtestaat[[#This Row],[uren / jaar werkdagen]]*Tariefsopbouw!$E$35</f>
        <v>0</v>
      </c>
      <c r="X638" s="226"/>
      <c r="Y638" s="290">
        <f>IF(Ruimtestaat[[#This Row],[Frequentie weekend]]&gt;0,VALUE(LEFT(X638,1))*Q638,0)</f>
        <v>0</v>
      </c>
      <c r="Z638" s="287">
        <f>IF($Y638&gt;0,VLOOKUP($J638,Ruimtegroepen[],3,FALSE)*VLOOKUP($L638,Vloersoorten[],3,FALSE)*VLOOKUP($X638,Frequenties[],3,FALSE)*VLOOKUP(#REF!,Locaties[],3,FALSE),0)</f>
        <v>0</v>
      </c>
      <c r="AA638" s="291">
        <f>Ruimtestaat[[#This Row],[Uitvoeringen weekend]]*Ruimtestaat[[#This Row],[Oppervlak (netto)]]</f>
        <v>0</v>
      </c>
      <c r="AB638" s="291">
        <f>IF(Z638&gt;0,Ruimtestaat[[#This Row],[Prest. (m2 /jaar) weekend]]/Ruimtestaat[[#This Row],[Norm (m2/uur) weekend]],0)</f>
        <v>0</v>
      </c>
      <c r="AC638" s="180">
        <f>Ruimtestaat[[#This Row],[uren / jaar weekend]]*Tariefsopbouw!$D$40</f>
        <v>0</v>
      </c>
      <c r="AD638" s="179">
        <f>Ruimtestaat[[#This Row],[Prest. (m2 /jaar) weekend]]+Ruimtestaat[[#This Row],[Prest. (m2 /jaar) werkdagen]]</f>
        <v>2840</v>
      </c>
      <c r="AE638" s="179">
        <f>Ruimtestaat[[#This Row],[uren / jaar weekend]]+Ruimtestaat[[#This Row],[uren / jaar werkdagen]]</f>
        <v>0</v>
      </c>
      <c r="AF638" s="174">
        <f>Ruimtestaat[[#This Row],[kosten / jaar weekend]]+Ruimtestaat[[#This Row],[kosten / jaar werkdagen]]</f>
        <v>0</v>
      </c>
      <c r="AG638" s="174"/>
      <c r="AH638" s="174" t="str">
        <f>IF(Ruimtestaat[[#This Row],[Frequentie werkdagen]]="","",_xlfn.CONCAT(Ruimtestaat[[#This Row],[Ruimte code]],"-",Ruimtestaat[[#This Row],[Frequentie werkdagen]]," ",Ruimtestaat[[#This Row],[Vloer code]]))</f>
        <v>6-5w S</v>
      </c>
      <c r="AI638" s="182" t="str">
        <f>_xlfn.IFNA(VLOOKUP($AH638,Programma!$F$3:$G$1101,2,0),"")</f>
        <v>_</v>
      </c>
      <c r="AJ638" s="182" t="str">
        <f>_xlfn.IFNA(VLOOKUP($AH638,Programma!$F$3:$H$1101,3,0),"")</f>
        <v>_</v>
      </c>
      <c r="AK638" s="182" t="str">
        <f>_xlfn.IFNA(VLOOKUP($AH638,Programma!$F$3:$I$1101,4,0),"")</f>
        <v>5w</v>
      </c>
      <c r="AL638" s="182" t="str">
        <f>_xlfn.IFNA(VLOOKUP($AH638,Programma!$F$3:$J$1101,5,0),"")</f>
        <v>_</v>
      </c>
      <c r="AM638" s="182" t="str">
        <f>_xlfn.IFNA(VLOOKUP($AH638,Programma!$F$3:$K$1101,6,0),"")</f>
        <v>5w</v>
      </c>
      <c r="AN638" s="182" t="str">
        <f>_xlfn.IFNA(VLOOKUP($AH638,Programma!$F$3:$L$1101,7,0),"")</f>
        <v>_</v>
      </c>
      <c r="AO638" s="182" t="str">
        <f>_xlfn.IFNA(VLOOKUP($AH638,Programma!$F$3:$M$1101,8,0),"")</f>
        <v>_</v>
      </c>
      <c r="AP638" s="182" t="str">
        <f>_xlfn.IFNA(VLOOKUP($AH638,Programma!$F$3:$N$1101,9,0),"")</f>
        <v>_</v>
      </c>
      <c r="AQ638" s="182" t="str">
        <f>_xlfn.IFNA(VLOOKUP($AH638,Programma!$F$3:$O$1101,10,0),"")</f>
        <v>5w</v>
      </c>
      <c r="AR638" s="182" t="str">
        <f>_xlfn.IFNA(VLOOKUP($AH638,Programma!$F$3:$P$1101,11,0),"")</f>
        <v>5w</v>
      </c>
      <c r="AS638" s="182" t="str">
        <f>_xlfn.IFNA(VLOOKUP($AH638,Programma!$F$3:$Q$1101,12,0),"")</f>
        <v>1w</v>
      </c>
      <c r="AT638" s="182" t="str">
        <f>_xlfn.IFNA(VLOOKUP($AH638,Programma!$F$3:$R$1101,13,0),"")</f>
        <v>1w</v>
      </c>
      <c r="AU638" s="182" t="str">
        <f>_xlfn.IFNA(VLOOKUP($AH638,Programma!$F$3:$S$1101,14,0),"")</f>
        <v>1m</v>
      </c>
      <c r="AV638" s="182" t="str">
        <f>_xlfn.IFNA(VLOOKUP($AH638,Programma!$F$3:$T$1101,15,0),"")</f>
        <v>2j</v>
      </c>
      <c r="AW638" s="182" t="str">
        <f>_xlfn.IFNA(VLOOKUP($AH638,Programma!$F$3:$U$1101,16,0),"")</f>
        <v>1j</v>
      </c>
      <c r="AX638" s="182" t="str">
        <f>_xlfn.IFNA(VLOOKUP($AH638,Programma!$F$3:$V$1101,17,0),"")</f>
        <v>_</v>
      </c>
      <c r="AY638" s="182" t="str">
        <f>_xlfn.IFNA(VLOOKUP($AH638,Programma!$F$3:$W$1101,18,0),"")</f>
        <v>_</v>
      </c>
      <c r="AZ638" s="182" t="str">
        <f>_xlfn.IFNA(VLOOKUP($AH638,Programma!$F$3:$X$1101,19,0),"")</f>
        <v>_</v>
      </c>
      <c r="BA638" s="182" t="str">
        <f>_xlfn.IFNA(VLOOKUP($AH638,Programma!$F$3:$Y$1101,20,0),"")</f>
        <v>_</v>
      </c>
      <c r="BB638" s="182"/>
      <c r="BC638" s="174" t="str">
        <f>IF(Ruimtestaat[[#This Row],[Frequentie weekend]]="","",_xlfn.CONCAT(Ruimtestaat[[#This Row],[Ruimte code]],"-",Ruimtestaat[[#This Row],[Frequentie weekend]]," ",Ruimtestaat[[#This Row],[Vloer code]]))</f>
        <v/>
      </c>
      <c r="BD638" s="182" t="str">
        <f>_xlfn.IFNA(VLOOKUP($BC638,Programma!$F$3:$G$1101,2,0),"")</f>
        <v/>
      </c>
      <c r="BE638" s="182" t="str">
        <f>_xlfn.IFNA(VLOOKUP($BC638,Programma!$F$3:$H$1101,3,0),"")</f>
        <v/>
      </c>
      <c r="BF638" s="182" t="str">
        <f>_xlfn.IFNA(VLOOKUP($BC638,Programma!$F$3:$I$1101,4,0),"")</f>
        <v/>
      </c>
      <c r="BG638" s="182" t="str">
        <f>_xlfn.IFNA(VLOOKUP($BC638,Programma!$F$3:$J$1101,5,0),"")</f>
        <v/>
      </c>
      <c r="BH638" s="182" t="str">
        <f>_xlfn.IFNA(VLOOKUP($BC638,Programma!$F$3:$K$1101,6,0),"")</f>
        <v/>
      </c>
      <c r="BI638" s="182" t="str">
        <f>_xlfn.IFNA(VLOOKUP($BC638,Programma!$F$3:$L$1101,7,0),"")</f>
        <v/>
      </c>
      <c r="BJ638" s="182" t="str">
        <f>_xlfn.IFNA(VLOOKUP($BC638,Programma!$F$3:$M$1101,8,0),"")</f>
        <v/>
      </c>
      <c r="BK638" s="182" t="str">
        <f>_xlfn.IFNA(VLOOKUP($BC638,Programma!$F$3:$N$1101,9,0),"")</f>
        <v/>
      </c>
      <c r="BL638" s="182" t="str">
        <f>_xlfn.IFNA(VLOOKUP($BC638,Programma!$F$3:$O$1101,10,0),"")</f>
        <v/>
      </c>
      <c r="BM638" s="182" t="str">
        <f>_xlfn.IFNA(VLOOKUP($BC638,Programma!$F$3:$P$1101,11,0),"")</f>
        <v/>
      </c>
      <c r="BN638" s="182" t="str">
        <f>_xlfn.IFNA(VLOOKUP($BC638,Programma!$F$3:$Q$1101,12,0),"")</f>
        <v/>
      </c>
      <c r="BO638" s="182" t="str">
        <f>_xlfn.IFNA(VLOOKUP($BC638,Programma!$F$3:$R$1101,13,0),"")</f>
        <v/>
      </c>
      <c r="BP638" s="182" t="str">
        <f>_xlfn.IFNA(VLOOKUP($BC638,Programma!$F$3:$S$1101,14,0),"")</f>
        <v/>
      </c>
      <c r="BQ638" s="182" t="str">
        <f>_xlfn.IFNA(VLOOKUP($BC638,Programma!$F$3:$T$1101,15,0),"")</f>
        <v/>
      </c>
      <c r="BR638" s="182" t="str">
        <f>_xlfn.IFNA(VLOOKUP($BC638,Programma!$F$3:$U$1101,16,0),"")</f>
        <v/>
      </c>
      <c r="BS638" s="182" t="str">
        <f>_xlfn.IFNA(VLOOKUP($BC638,Programma!$F$3:$V$1101,17,0),"")</f>
        <v/>
      </c>
      <c r="BT638" s="182" t="str">
        <f>_xlfn.IFNA(VLOOKUP($BC638,Programma!$F$3:$W$1101,18,0),"")</f>
        <v/>
      </c>
      <c r="BU638" s="182" t="str">
        <f>_xlfn.IFNA(VLOOKUP($BC638,Programma!$F$3:$X$1101,19,0),"")</f>
        <v/>
      </c>
      <c r="BV638" s="182" t="str">
        <f>_xlfn.IFNA(VLOOKUP($BC638,Programma!$F$3:$Y$1101,20,0),"")</f>
        <v/>
      </c>
    </row>
    <row r="639" spans="1:74" ht="15" customHeight="1">
      <c r="A639" s="99">
        <v>18</v>
      </c>
      <c r="B639" s="176" t="str">
        <f>VLOOKUP(Ruimtestaat[[#This Row],[Code]],Locaties[[Code]:[Locatie]],2,FALSE)</f>
        <v>OBS De Linde (Thij)</v>
      </c>
      <c r="C639" s="176" t="str">
        <f>VLOOKUP(Ruimtestaat[[#This Row],[Code]],Locaties[[#All],[Code]:[Adres]],4,FALSE)</f>
        <v>Zandhorstlaan 99</v>
      </c>
      <c r="D639" s="176" t="str">
        <f>VLOOKUP(Ruimtestaat[[#This Row],[Code]],Locaties[[#All],[Code]:[Postcode]],5,FALSE)</f>
        <v>7576 VR</v>
      </c>
      <c r="E639" s="176" t="str">
        <f>VLOOKUP(Ruimtestaat[[#This Row],[Code]],Locaties[#All],6,FALSE)</f>
        <v>Oldenzaal</v>
      </c>
      <c r="F639" s="183"/>
      <c r="G639" s="99" t="s">
        <v>1646</v>
      </c>
      <c r="H639" s="99" t="s">
        <v>1652</v>
      </c>
      <c r="I639" s="183" t="s">
        <v>1683</v>
      </c>
      <c r="J639" s="99">
        <v>20</v>
      </c>
      <c r="K639" s="183" t="str">
        <f>VLOOKUP(Ruimtestaat[[#This Row],[Ruimte code]],Ruimtegroepen[[#All],[Code]:[Ruimte omschrijving]],2,FALSE)</f>
        <v>Niet in Onderhoud</v>
      </c>
      <c r="L639" s="99" t="s">
        <v>101</v>
      </c>
      <c r="M639" s="99" t="s">
        <v>1698</v>
      </c>
      <c r="N639" s="177"/>
      <c r="O639" s="177">
        <v>5</v>
      </c>
      <c r="P639" s="178">
        <f>VLOOKUP(Ruimtestaat[[#This Row],[Ruimte code]],Ruimtegroepen[],4,FALSE)</f>
        <v>0</v>
      </c>
      <c r="Q639" s="149"/>
      <c r="R639" s="149"/>
      <c r="S639" s="285">
        <f>IF(Q639&gt;0,IF(RIGHT(Ruimtestaat[[#This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39" s="286">
        <f>IF(S639&gt;0,VLOOKUP($J639,Ruimtegroepen[],3,FALSE)*VLOOKUP($L639,Vloersoorten[],3,FALSE)*VLOOKUP($R639,Frequenties[],3,FALSE)*VLOOKUP($A639,Locaties[],3,FALSE),0)</f>
        <v>0</v>
      </c>
      <c r="U639" s="287">
        <f>Ruimtestaat[[#This Row],[Uitvoeringen werkdagen]]*Ruimtestaat[[#This Row],[Oppervlak (netto)]]</f>
        <v>0</v>
      </c>
      <c r="V639" s="288">
        <f>IF(T639&gt;0,Ruimtestaat[[#This Row],[Prest. (m2 /jaar) werkdagen]]/Ruimtestaat[[#This Row],[Norm (m2/uur) werkdagen]],0)</f>
        <v>0</v>
      </c>
      <c r="W639" s="289">
        <f>Ruimtestaat[[#This Row],[uren / jaar werkdagen]]*Tariefsopbouw!$E$35</f>
        <v>0</v>
      </c>
      <c r="X639" s="226"/>
      <c r="Y639" s="290">
        <f>IF(Ruimtestaat[[#This Row],[Frequentie weekend]]&gt;0,VALUE(LEFT(X639,1))*Q639,0)</f>
        <v>0</v>
      </c>
      <c r="Z639" s="287">
        <f>IF($Y639&gt;0,VLOOKUP($J639,Ruimtegroepen[],3,FALSE)*VLOOKUP($L639,Vloersoorten[],3,FALSE)*VLOOKUP($X639,Frequenties[],3,FALSE)*VLOOKUP(#REF!,Locaties[],3,FALSE),0)</f>
        <v>0</v>
      </c>
      <c r="AA639" s="291">
        <f>Ruimtestaat[[#This Row],[Uitvoeringen weekend]]*Ruimtestaat[[#This Row],[Oppervlak (netto)]]</f>
        <v>0</v>
      </c>
      <c r="AB639" s="291">
        <f>IF(Z639&gt;0,Ruimtestaat[[#This Row],[Prest. (m2 /jaar) weekend]]/Ruimtestaat[[#This Row],[Norm (m2/uur) weekend]],0)</f>
        <v>0</v>
      </c>
      <c r="AC639" s="180">
        <f>Ruimtestaat[[#This Row],[uren / jaar weekend]]*Tariefsopbouw!$D$40</f>
        <v>0</v>
      </c>
      <c r="AD639" s="179">
        <f>Ruimtestaat[[#This Row],[Prest. (m2 /jaar) weekend]]+Ruimtestaat[[#This Row],[Prest. (m2 /jaar) werkdagen]]</f>
        <v>0</v>
      </c>
      <c r="AE639" s="179">
        <f>Ruimtestaat[[#This Row],[uren / jaar weekend]]+Ruimtestaat[[#This Row],[uren / jaar werkdagen]]</f>
        <v>0</v>
      </c>
      <c r="AF639" s="174">
        <f>Ruimtestaat[[#This Row],[kosten / jaar weekend]]+Ruimtestaat[[#This Row],[kosten / jaar werkdagen]]</f>
        <v>0</v>
      </c>
      <c r="AG639" s="174"/>
      <c r="AH639" s="174" t="str">
        <f>IF(Ruimtestaat[[#This Row],[Frequentie werkdagen]]="","",_xlfn.CONCAT(Ruimtestaat[[#This Row],[Ruimte code]],"-",Ruimtestaat[[#This Row],[Frequentie werkdagen]]," ",Ruimtestaat[[#This Row],[Vloer code]]))</f>
        <v/>
      </c>
      <c r="AI639" s="182" t="str">
        <f>_xlfn.IFNA(VLOOKUP($AH639,Programma!$F$3:$G$1101,2,0),"")</f>
        <v/>
      </c>
      <c r="AJ639" s="182" t="str">
        <f>_xlfn.IFNA(VLOOKUP($AH639,Programma!$F$3:$H$1101,3,0),"")</f>
        <v/>
      </c>
      <c r="AK639" s="182" t="str">
        <f>_xlfn.IFNA(VLOOKUP($AH639,Programma!$F$3:$I$1101,4,0),"")</f>
        <v/>
      </c>
      <c r="AL639" s="182" t="str">
        <f>_xlfn.IFNA(VLOOKUP($AH639,Programma!$F$3:$J$1101,5,0),"")</f>
        <v/>
      </c>
      <c r="AM639" s="182" t="str">
        <f>_xlfn.IFNA(VLOOKUP($AH639,Programma!$F$3:$K$1101,6,0),"")</f>
        <v/>
      </c>
      <c r="AN639" s="182" t="str">
        <f>_xlfn.IFNA(VLOOKUP($AH639,Programma!$F$3:$L$1101,7,0),"")</f>
        <v/>
      </c>
      <c r="AO639" s="182" t="str">
        <f>_xlfn.IFNA(VLOOKUP($AH639,Programma!$F$3:$M$1101,8,0),"")</f>
        <v/>
      </c>
      <c r="AP639" s="182" t="str">
        <f>_xlfn.IFNA(VLOOKUP($AH639,Programma!$F$3:$N$1101,9,0),"")</f>
        <v/>
      </c>
      <c r="AQ639" s="182" t="str">
        <f>_xlfn.IFNA(VLOOKUP($AH639,Programma!$F$3:$O$1101,10,0),"")</f>
        <v/>
      </c>
      <c r="AR639" s="182" t="str">
        <f>_xlfn.IFNA(VLOOKUP($AH639,Programma!$F$3:$P$1101,11,0),"")</f>
        <v/>
      </c>
      <c r="AS639" s="182" t="str">
        <f>_xlfn.IFNA(VLOOKUP($AH639,Programma!$F$3:$Q$1101,12,0),"")</f>
        <v/>
      </c>
      <c r="AT639" s="182" t="str">
        <f>_xlfn.IFNA(VLOOKUP($AH639,Programma!$F$3:$R$1101,13,0),"")</f>
        <v/>
      </c>
      <c r="AU639" s="182" t="str">
        <f>_xlfn.IFNA(VLOOKUP($AH639,Programma!$F$3:$S$1101,14,0),"")</f>
        <v/>
      </c>
      <c r="AV639" s="182" t="str">
        <f>_xlfn.IFNA(VLOOKUP($AH639,Programma!$F$3:$T$1101,15,0),"")</f>
        <v/>
      </c>
      <c r="AW639" s="182" t="str">
        <f>_xlfn.IFNA(VLOOKUP($AH639,Programma!$F$3:$U$1101,16,0),"")</f>
        <v/>
      </c>
      <c r="AX639" s="182" t="str">
        <f>_xlfn.IFNA(VLOOKUP($AH639,Programma!$F$3:$V$1101,17,0),"")</f>
        <v/>
      </c>
      <c r="AY639" s="182" t="str">
        <f>_xlfn.IFNA(VLOOKUP($AH639,Programma!$F$3:$W$1101,18,0),"")</f>
        <v/>
      </c>
      <c r="AZ639" s="182" t="str">
        <f>_xlfn.IFNA(VLOOKUP($AH639,Programma!$F$3:$X$1101,19,0),"")</f>
        <v/>
      </c>
      <c r="BA639" s="182" t="str">
        <f>_xlfn.IFNA(VLOOKUP($AH639,Programma!$F$3:$Y$1101,20,0),"")</f>
        <v/>
      </c>
      <c r="BB639" s="182"/>
      <c r="BC639" s="174" t="str">
        <f>IF(Ruimtestaat[[#This Row],[Frequentie weekend]]="","",_xlfn.CONCAT(Ruimtestaat[[#This Row],[Ruimte code]],"-",Ruimtestaat[[#This Row],[Frequentie weekend]]," ",Ruimtestaat[[#This Row],[Vloer code]]))</f>
        <v/>
      </c>
      <c r="BD639" s="182" t="str">
        <f>_xlfn.IFNA(VLOOKUP($BC639,Programma!$F$3:$G$1101,2,0),"")</f>
        <v/>
      </c>
      <c r="BE639" s="182" t="str">
        <f>_xlfn.IFNA(VLOOKUP($BC639,Programma!$F$3:$H$1101,3,0),"")</f>
        <v/>
      </c>
      <c r="BF639" s="182" t="str">
        <f>_xlfn.IFNA(VLOOKUP($BC639,Programma!$F$3:$I$1101,4,0),"")</f>
        <v/>
      </c>
      <c r="BG639" s="182" t="str">
        <f>_xlfn.IFNA(VLOOKUP($BC639,Programma!$F$3:$J$1101,5,0),"")</f>
        <v/>
      </c>
      <c r="BH639" s="182" t="str">
        <f>_xlfn.IFNA(VLOOKUP($BC639,Programma!$F$3:$K$1101,6,0),"")</f>
        <v/>
      </c>
      <c r="BI639" s="182" t="str">
        <f>_xlfn.IFNA(VLOOKUP($BC639,Programma!$F$3:$L$1101,7,0),"")</f>
        <v/>
      </c>
      <c r="BJ639" s="182" t="str">
        <f>_xlfn.IFNA(VLOOKUP($BC639,Programma!$F$3:$M$1101,8,0),"")</f>
        <v/>
      </c>
      <c r="BK639" s="182" t="str">
        <f>_xlfn.IFNA(VLOOKUP($BC639,Programma!$F$3:$N$1101,9,0),"")</f>
        <v/>
      </c>
      <c r="BL639" s="182" t="str">
        <f>_xlfn.IFNA(VLOOKUP($BC639,Programma!$F$3:$O$1101,10,0),"")</f>
        <v/>
      </c>
      <c r="BM639" s="182" t="str">
        <f>_xlfn.IFNA(VLOOKUP($BC639,Programma!$F$3:$P$1101,11,0),"")</f>
        <v/>
      </c>
      <c r="BN639" s="182" t="str">
        <f>_xlfn.IFNA(VLOOKUP($BC639,Programma!$F$3:$Q$1101,12,0),"")</f>
        <v/>
      </c>
      <c r="BO639" s="182" t="str">
        <f>_xlfn.IFNA(VLOOKUP($BC639,Programma!$F$3:$R$1101,13,0),"")</f>
        <v/>
      </c>
      <c r="BP639" s="182" t="str">
        <f>_xlfn.IFNA(VLOOKUP($BC639,Programma!$F$3:$S$1101,14,0),"")</f>
        <v/>
      </c>
      <c r="BQ639" s="182" t="str">
        <f>_xlfn.IFNA(VLOOKUP($BC639,Programma!$F$3:$T$1101,15,0),"")</f>
        <v/>
      </c>
      <c r="BR639" s="182" t="str">
        <f>_xlfn.IFNA(VLOOKUP($BC639,Programma!$F$3:$U$1101,16,0),"")</f>
        <v/>
      </c>
      <c r="BS639" s="182" t="str">
        <f>_xlfn.IFNA(VLOOKUP($BC639,Programma!$F$3:$V$1101,17,0),"")</f>
        <v/>
      </c>
      <c r="BT639" s="182" t="str">
        <f>_xlfn.IFNA(VLOOKUP($BC639,Programma!$F$3:$W$1101,18,0),"")</f>
        <v/>
      </c>
      <c r="BU639" s="182" t="str">
        <f>_xlfn.IFNA(VLOOKUP($BC639,Programma!$F$3:$X$1101,19,0),"")</f>
        <v/>
      </c>
      <c r="BV639" s="182" t="str">
        <f>_xlfn.IFNA(VLOOKUP($BC639,Programma!$F$3:$Y$1101,20,0),"")</f>
        <v/>
      </c>
    </row>
    <row r="640" spans="1:74" ht="15" customHeight="1">
      <c r="A640" s="99">
        <v>18</v>
      </c>
      <c r="B640" s="176" t="str">
        <f>VLOOKUP(Ruimtestaat[[#This Row],[Code]],Locaties[[Code]:[Locatie]],2,FALSE)</f>
        <v>OBS De Linde (Thij)</v>
      </c>
      <c r="C640" s="176" t="str">
        <f>VLOOKUP(Ruimtestaat[[#This Row],[Code]],Locaties[[#All],[Code]:[Adres]],4,FALSE)</f>
        <v>Zandhorstlaan 99</v>
      </c>
      <c r="D640" s="176" t="str">
        <f>VLOOKUP(Ruimtestaat[[#This Row],[Code]],Locaties[[#All],[Code]:[Postcode]],5,FALSE)</f>
        <v>7576 VR</v>
      </c>
      <c r="E640" s="176" t="str">
        <f>VLOOKUP(Ruimtestaat[[#This Row],[Code]],Locaties[#All],6,FALSE)</f>
        <v>Oldenzaal</v>
      </c>
      <c r="F640" s="183"/>
      <c r="G640" s="99" t="s">
        <v>1646</v>
      </c>
      <c r="H640" s="99" t="s">
        <v>1653</v>
      </c>
      <c r="I640" s="183" t="s">
        <v>1684</v>
      </c>
      <c r="J640" s="99">
        <v>5</v>
      </c>
      <c r="K640" s="183" t="str">
        <f>VLOOKUP(Ruimtestaat[[#This Row],[Ruimte code]],Ruimtegroepen[[#All],[Code]:[Ruimte omschrijving]],2,FALSE)</f>
        <v>Sanitair</v>
      </c>
      <c r="L640" s="99" t="s">
        <v>101</v>
      </c>
      <c r="M640" s="99" t="s">
        <v>1682</v>
      </c>
      <c r="N640" s="177">
        <v>4.0999999999999996</v>
      </c>
      <c r="O640" s="177"/>
      <c r="P640" s="178" t="str">
        <f>VLOOKUP(Ruimtestaat[[#This Row],[Ruimte code]],Ruimtegroepen[],4,FALSE)</f>
        <v>Sa</v>
      </c>
      <c r="Q640" s="149">
        <v>40</v>
      </c>
      <c r="R640" s="149" t="s">
        <v>2</v>
      </c>
      <c r="S640" s="285">
        <f>IF(Q640&gt;0,IF(RIGHT(Ruimtestaat[[#This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0" s="286">
        <f>IF(S640&gt;0,VLOOKUP($J640,Ruimtegroepen[],3,FALSE)*VLOOKUP($L640,Vloersoorten[],3,FALSE)*VLOOKUP($R640,Frequenties[],3,FALSE)*VLOOKUP($A640,Locaties[],3,FALSE),0)</f>
        <v>0</v>
      </c>
      <c r="U640" s="287">
        <f>Ruimtestaat[[#This Row],[Uitvoeringen werkdagen]]*Ruimtestaat[[#This Row],[Oppervlak (netto)]]</f>
        <v>819.99999999999989</v>
      </c>
      <c r="V640" s="288">
        <f>IF(T640&gt;0,Ruimtestaat[[#This Row],[Prest. (m2 /jaar) werkdagen]]/Ruimtestaat[[#This Row],[Norm (m2/uur) werkdagen]],0)</f>
        <v>0</v>
      </c>
      <c r="W640" s="289">
        <f>Ruimtestaat[[#This Row],[uren / jaar werkdagen]]*Tariefsopbouw!$E$35</f>
        <v>0</v>
      </c>
      <c r="X640" s="226"/>
      <c r="Y640" s="290">
        <f>IF(Ruimtestaat[[#This Row],[Frequentie weekend]]&gt;0,VALUE(LEFT(X640,1))*Q640,0)</f>
        <v>0</v>
      </c>
      <c r="Z640" s="287">
        <f>IF($Y640&gt;0,VLOOKUP($J640,Ruimtegroepen[],3,FALSE)*VLOOKUP($L640,Vloersoorten[],3,FALSE)*VLOOKUP($X640,Frequenties[],3,FALSE)*VLOOKUP(#REF!,Locaties[],3,FALSE),0)</f>
        <v>0</v>
      </c>
      <c r="AA640" s="291">
        <f>Ruimtestaat[[#This Row],[Uitvoeringen weekend]]*Ruimtestaat[[#This Row],[Oppervlak (netto)]]</f>
        <v>0</v>
      </c>
      <c r="AB640" s="291">
        <f>IF(Z640&gt;0,Ruimtestaat[[#This Row],[Prest. (m2 /jaar) weekend]]/Ruimtestaat[[#This Row],[Norm (m2/uur) weekend]],0)</f>
        <v>0</v>
      </c>
      <c r="AC640" s="180">
        <f>Ruimtestaat[[#This Row],[uren / jaar weekend]]*Tariefsopbouw!$D$40</f>
        <v>0</v>
      </c>
      <c r="AD640" s="179">
        <f>Ruimtestaat[[#This Row],[Prest. (m2 /jaar) weekend]]+Ruimtestaat[[#This Row],[Prest. (m2 /jaar) werkdagen]]</f>
        <v>819.99999999999989</v>
      </c>
      <c r="AE640" s="179">
        <f>Ruimtestaat[[#This Row],[uren / jaar weekend]]+Ruimtestaat[[#This Row],[uren / jaar werkdagen]]</f>
        <v>0</v>
      </c>
      <c r="AF640" s="174">
        <f>Ruimtestaat[[#This Row],[kosten / jaar weekend]]+Ruimtestaat[[#This Row],[kosten / jaar werkdagen]]</f>
        <v>0</v>
      </c>
      <c r="AG640" s="174"/>
      <c r="AH640" s="174" t="str">
        <f>IF(Ruimtestaat[[#This Row],[Frequentie werkdagen]]="","",_xlfn.CONCAT(Ruimtestaat[[#This Row],[Ruimte code]],"-",Ruimtestaat[[#This Row],[Frequentie werkdagen]]," ",Ruimtestaat[[#This Row],[Vloer code]]))</f>
        <v>5-5w S</v>
      </c>
      <c r="AI640" s="182" t="str">
        <f>_xlfn.IFNA(VLOOKUP($AH640,Programma!$F$3:$G$1101,2,0),"")</f>
        <v>_</v>
      </c>
      <c r="AJ640" s="182" t="str">
        <f>_xlfn.IFNA(VLOOKUP($AH640,Programma!$F$3:$H$1101,3,0),"")</f>
        <v>_</v>
      </c>
      <c r="AK640" s="182" t="str">
        <f>_xlfn.IFNA(VLOOKUP($AH640,Programma!$F$3:$I$1101,4,0),"")</f>
        <v>_</v>
      </c>
      <c r="AL640" s="182" t="str">
        <f>_xlfn.IFNA(VLOOKUP($AH640,Programma!$F$3:$J$1101,5,0),"")</f>
        <v>4w</v>
      </c>
      <c r="AM640" s="182" t="str">
        <f>_xlfn.IFNA(VLOOKUP($AH640,Programma!$F$3:$K$1101,6,0),"")</f>
        <v>1w</v>
      </c>
      <c r="AN640" s="182" t="str">
        <f>_xlfn.IFNA(VLOOKUP($AH640,Programma!$F$3:$L$1101,7,0),"")</f>
        <v>_</v>
      </c>
      <c r="AO640" s="182" t="str">
        <f>_xlfn.IFNA(VLOOKUP($AH640,Programma!$F$3:$M$1101,8,0),"")</f>
        <v>_</v>
      </c>
      <c r="AP640" s="182" t="str">
        <f>_xlfn.IFNA(VLOOKUP($AH640,Programma!$F$3:$N$1101,9,0),"")</f>
        <v>_</v>
      </c>
      <c r="AQ640" s="182" t="str">
        <f>_xlfn.IFNA(VLOOKUP($AH640,Programma!$F$3:$O$1101,10,0),"")</f>
        <v>_</v>
      </c>
      <c r="AR640" s="182" t="str">
        <f>_xlfn.IFNA(VLOOKUP($AH640,Programma!$F$3:$P$1101,11,0),"")</f>
        <v>_</v>
      </c>
      <c r="AS640" s="182" t="str">
        <f>_xlfn.IFNA(VLOOKUP($AH640,Programma!$F$3:$Q$1101,12,0),"")</f>
        <v>_</v>
      </c>
      <c r="AT640" s="182" t="str">
        <f>_xlfn.IFNA(VLOOKUP($AH640,Programma!$F$3:$R$1101,13,0),"")</f>
        <v>_</v>
      </c>
      <c r="AU640" s="182" t="str">
        <f>_xlfn.IFNA(VLOOKUP($AH640,Programma!$F$3:$S$1101,14,0),"")</f>
        <v>_</v>
      </c>
      <c r="AV640" s="182" t="str">
        <f>_xlfn.IFNA(VLOOKUP($AH640,Programma!$F$3:$T$1101,15,0),"")</f>
        <v>_</v>
      </c>
      <c r="AW640" s="182" t="str">
        <f>_xlfn.IFNA(VLOOKUP($AH640,Programma!$F$3:$U$1101,16,0),"")</f>
        <v>_</v>
      </c>
      <c r="AX640" s="182" t="str">
        <f>_xlfn.IFNA(VLOOKUP($AH640,Programma!$F$3:$V$1101,17,0),"")</f>
        <v>_</v>
      </c>
      <c r="AY640" s="182" t="str">
        <f>_xlfn.IFNA(VLOOKUP($AH640,Programma!$F$3:$W$1101,18,0),"")</f>
        <v>4w</v>
      </c>
      <c r="AZ640" s="182" t="str">
        <f>_xlfn.IFNA(VLOOKUP($AH640,Programma!$F$3:$X$1101,19,0),"")</f>
        <v>1w</v>
      </c>
      <c r="BA640" s="182" t="str">
        <f>_xlfn.IFNA(VLOOKUP($AH640,Programma!$F$3:$Y$1101,20,0),"")</f>
        <v>_</v>
      </c>
      <c r="BB640" s="182"/>
      <c r="BC640" s="174" t="str">
        <f>IF(Ruimtestaat[[#This Row],[Frequentie weekend]]="","",_xlfn.CONCAT(Ruimtestaat[[#This Row],[Ruimte code]],"-",Ruimtestaat[[#This Row],[Frequentie weekend]]," ",Ruimtestaat[[#This Row],[Vloer code]]))</f>
        <v/>
      </c>
      <c r="BD640" s="182" t="str">
        <f>_xlfn.IFNA(VLOOKUP($BC640,Programma!$F$3:$G$1101,2,0),"")</f>
        <v/>
      </c>
      <c r="BE640" s="182" t="str">
        <f>_xlfn.IFNA(VLOOKUP($BC640,Programma!$F$3:$H$1101,3,0),"")</f>
        <v/>
      </c>
      <c r="BF640" s="182" t="str">
        <f>_xlfn.IFNA(VLOOKUP($BC640,Programma!$F$3:$I$1101,4,0),"")</f>
        <v/>
      </c>
      <c r="BG640" s="182" t="str">
        <f>_xlfn.IFNA(VLOOKUP($BC640,Programma!$F$3:$J$1101,5,0),"")</f>
        <v/>
      </c>
      <c r="BH640" s="182" t="str">
        <f>_xlfn.IFNA(VLOOKUP($BC640,Programma!$F$3:$K$1101,6,0),"")</f>
        <v/>
      </c>
      <c r="BI640" s="182" t="str">
        <f>_xlfn.IFNA(VLOOKUP($BC640,Programma!$F$3:$L$1101,7,0),"")</f>
        <v/>
      </c>
      <c r="BJ640" s="182" t="str">
        <f>_xlfn.IFNA(VLOOKUP($BC640,Programma!$F$3:$M$1101,8,0),"")</f>
        <v/>
      </c>
      <c r="BK640" s="182" t="str">
        <f>_xlfn.IFNA(VLOOKUP($BC640,Programma!$F$3:$N$1101,9,0),"")</f>
        <v/>
      </c>
      <c r="BL640" s="182" t="str">
        <f>_xlfn.IFNA(VLOOKUP($BC640,Programma!$F$3:$O$1101,10,0),"")</f>
        <v/>
      </c>
      <c r="BM640" s="182" t="str">
        <f>_xlfn.IFNA(VLOOKUP($BC640,Programma!$F$3:$P$1101,11,0),"")</f>
        <v/>
      </c>
      <c r="BN640" s="182" t="str">
        <f>_xlfn.IFNA(VLOOKUP($BC640,Programma!$F$3:$Q$1101,12,0),"")</f>
        <v/>
      </c>
      <c r="BO640" s="182" t="str">
        <f>_xlfn.IFNA(VLOOKUP($BC640,Programma!$F$3:$R$1101,13,0),"")</f>
        <v/>
      </c>
      <c r="BP640" s="182" t="str">
        <f>_xlfn.IFNA(VLOOKUP($BC640,Programma!$F$3:$S$1101,14,0),"")</f>
        <v/>
      </c>
      <c r="BQ640" s="182" t="str">
        <f>_xlfn.IFNA(VLOOKUP($BC640,Programma!$F$3:$T$1101,15,0),"")</f>
        <v/>
      </c>
      <c r="BR640" s="182" t="str">
        <f>_xlfn.IFNA(VLOOKUP($BC640,Programma!$F$3:$U$1101,16,0),"")</f>
        <v/>
      </c>
      <c r="BS640" s="182" t="str">
        <f>_xlfn.IFNA(VLOOKUP($BC640,Programma!$F$3:$V$1101,17,0),"")</f>
        <v/>
      </c>
      <c r="BT640" s="182" t="str">
        <f>_xlfn.IFNA(VLOOKUP($BC640,Programma!$F$3:$W$1101,18,0),"")</f>
        <v/>
      </c>
      <c r="BU640" s="182" t="str">
        <f>_xlfn.IFNA(VLOOKUP($BC640,Programma!$F$3:$X$1101,19,0),"")</f>
        <v/>
      </c>
      <c r="BV640" s="182" t="str">
        <f>_xlfn.IFNA(VLOOKUP($BC640,Programma!$F$3:$Y$1101,20,0),"")</f>
        <v/>
      </c>
    </row>
    <row r="641" spans="1:74" ht="15" customHeight="1">
      <c r="A641" s="99">
        <v>18</v>
      </c>
      <c r="B641" s="176" t="str">
        <f>VLOOKUP(Ruimtestaat[[#This Row],[Code]],Locaties[[Code]:[Locatie]],2,FALSE)</f>
        <v>OBS De Linde (Thij)</v>
      </c>
      <c r="C641" s="176" t="str">
        <f>VLOOKUP(Ruimtestaat[[#This Row],[Code]],Locaties[[#All],[Code]:[Adres]],4,FALSE)</f>
        <v>Zandhorstlaan 99</v>
      </c>
      <c r="D641" s="176" t="str">
        <f>VLOOKUP(Ruimtestaat[[#This Row],[Code]],Locaties[[#All],[Code]:[Postcode]],5,FALSE)</f>
        <v>7576 VR</v>
      </c>
      <c r="E641" s="176" t="str">
        <f>VLOOKUP(Ruimtestaat[[#This Row],[Code]],Locaties[#All],6,FALSE)</f>
        <v>Oldenzaal</v>
      </c>
      <c r="F641" s="183"/>
      <c r="G641" s="99" t="s">
        <v>1646</v>
      </c>
      <c r="H641" s="99" t="s">
        <v>1654</v>
      </c>
      <c r="I641" s="183" t="s">
        <v>1820</v>
      </c>
      <c r="J641" s="99">
        <v>5</v>
      </c>
      <c r="K641" s="183" t="str">
        <f>VLOOKUP(Ruimtestaat[[#This Row],[Ruimte code]],Ruimtegroepen[[#All],[Code]:[Ruimte omschrijving]],2,FALSE)</f>
        <v>Sanitair</v>
      </c>
      <c r="L641" s="99" t="s">
        <v>101</v>
      </c>
      <c r="M641" s="99" t="s">
        <v>1682</v>
      </c>
      <c r="N641" s="177">
        <v>4.5</v>
      </c>
      <c r="O641" s="177"/>
      <c r="P641" s="178" t="str">
        <f>VLOOKUP(Ruimtestaat[[#This Row],[Ruimte code]],Ruimtegroepen[],4,FALSE)</f>
        <v>Sa</v>
      </c>
      <c r="Q641" s="149">
        <v>40</v>
      </c>
      <c r="R641" s="149" t="s">
        <v>2</v>
      </c>
      <c r="S641" s="285">
        <f>IF(Q641&gt;0,IF(RIGHT(Ruimtestaat[[#This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1" s="286">
        <f>IF(S641&gt;0,VLOOKUP($J641,Ruimtegroepen[],3,FALSE)*VLOOKUP($L641,Vloersoorten[],3,FALSE)*VLOOKUP($R641,Frequenties[],3,FALSE)*VLOOKUP($A641,Locaties[],3,FALSE),0)</f>
        <v>0</v>
      </c>
      <c r="U641" s="287">
        <f>Ruimtestaat[[#This Row],[Uitvoeringen werkdagen]]*Ruimtestaat[[#This Row],[Oppervlak (netto)]]</f>
        <v>900</v>
      </c>
      <c r="V641" s="288">
        <f>IF(T641&gt;0,Ruimtestaat[[#This Row],[Prest. (m2 /jaar) werkdagen]]/Ruimtestaat[[#This Row],[Norm (m2/uur) werkdagen]],0)</f>
        <v>0</v>
      </c>
      <c r="W641" s="289">
        <f>Ruimtestaat[[#This Row],[uren / jaar werkdagen]]*Tariefsopbouw!$E$35</f>
        <v>0</v>
      </c>
      <c r="X641" s="226"/>
      <c r="Y641" s="290">
        <f>IF(Ruimtestaat[[#This Row],[Frequentie weekend]]&gt;0,VALUE(LEFT(X641,1))*Q641,0)</f>
        <v>0</v>
      </c>
      <c r="Z641" s="287">
        <f>IF($Y641&gt;0,VLOOKUP($J641,Ruimtegroepen[],3,FALSE)*VLOOKUP($L641,Vloersoorten[],3,FALSE)*VLOOKUP($X641,Frequenties[],3,FALSE)*VLOOKUP(#REF!,Locaties[],3,FALSE),0)</f>
        <v>0</v>
      </c>
      <c r="AA641" s="291">
        <f>Ruimtestaat[[#This Row],[Uitvoeringen weekend]]*Ruimtestaat[[#This Row],[Oppervlak (netto)]]</f>
        <v>0</v>
      </c>
      <c r="AB641" s="291">
        <f>IF(Z641&gt;0,Ruimtestaat[[#This Row],[Prest. (m2 /jaar) weekend]]/Ruimtestaat[[#This Row],[Norm (m2/uur) weekend]],0)</f>
        <v>0</v>
      </c>
      <c r="AC641" s="180">
        <f>Ruimtestaat[[#This Row],[uren / jaar weekend]]*Tariefsopbouw!$D$40</f>
        <v>0</v>
      </c>
      <c r="AD641" s="179">
        <f>Ruimtestaat[[#This Row],[Prest. (m2 /jaar) weekend]]+Ruimtestaat[[#This Row],[Prest. (m2 /jaar) werkdagen]]</f>
        <v>900</v>
      </c>
      <c r="AE641" s="179">
        <f>Ruimtestaat[[#This Row],[uren / jaar weekend]]+Ruimtestaat[[#This Row],[uren / jaar werkdagen]]</f>
        <v>0</v>
      </c>
      <c r="AF641" s="174">
        <f>Ruimtestaat[[#This Row],[kosten / jaar weekend]]+Ruimtestaat[[#This Row],[kosten / jaar werkdagen]]</f>
        <v>0</v>
      </c>
      <c r="AG641" s="174"/>
      <c r="AH641" s="174" t="str">
        <f>IF(Ruimtestaat[[#This Row],[Frequentie werkdagen]]="","",_xlfn.CONCAT(Ruimtestaat[[#This Row],[Ruimte code]],"-",Ruimtestaat[[#This Row],[Frequentie werkdagen]]," ",Ruimtestaat[[#This Row],[Vloer code]]))</f>
        <v>5-5w S</v>
      </c>
      <c r="AI641" s="182" t="str">
        <f>_xlfn.IFNA(VLOOKUP($AH641,Programma!$F$3:$G$1101,2,0),"")</f>
        <v>_</v>
      </c>
      <c r="AJ641" s="182" t="str">
        <f>_xlfn.IFNA(VLOOKUP($AH641,Programma!$F$3:$H$1101,3,0),"")</f>
        <v>_</v>
      </c>
      <c r="AK641" s="182" t="str">
        <f>_xlfn.IFNA(VLOOKUP($AH641,Programma!$F$3:$I$1101,4,0),"")</f>
        <v>_</v>
      </c>
      <c r="AL641" s="182" t="str">
        <f>_xlfn.IFNA(VLOOKUP($AH641,Programma!$F$3:$J$1101,5,0),"")</f>
        <v>4w</v>
      </c>
      <c r="AM641" s="182" t="str">
        <f>_xlfn.IFNA(VLOOKUP($AH641,Programma!$F$3:$K$1101,6,0),"")</f>
        <v>1w</v>
      </c>
      <c r="AN641" s="182" t="str">
        <f>_xlfn.IFNA(VLOOKUP($AH641,Programma!$F$3:$L$1101,7,0),"")</f>
        <v>_</v>
      </c>
      <c r="AO641" s="182" t="str">
        <f>_xlfn.IFNA(VLOOKUP($AH641,Programma!$F$3:$M$1101,8,0),"")</f>
        <v>_</v>
      </c>
      <c r="AP641" s="182" t="str">
        <f>_xlfn.IFNA(VLOOKUP($AH641,Programma!$F$3:$N$1101,9,0),"")</f>
        <v>_</v>
      </c>
      <c r="AQ641" s="182" t="str">
        <f>_xlfn.IFNA(VLOOKUP($AH641,Programma!$F$3:$O$1101,10,0),"")</f>
        <v>_</v>
      </c>
      <c r="AR641" s="182" t="str">
        <f>_xlfn.IFNA(VLOOKUP($AH641,Programma!$F$3:$P$1101,11,0),"")</f>
        <v>_</v>
      </c>
      <c r="AS641" s="182" t="str">
        <f>_xlfn.IFNA(VLOOKUP($AH641,Programma!$F$3:$Q$1101,12,0),"")</f>
        <v>_</v>
      </c>
      <c r="AT641" s="182" t="str">
        <f>_xlfn.IFNA(VLOOKUP($AH641,Programma!$F$3:$R$1101,13,0),"")</f>
        <v>_</v>
      </c>
      <c r="AU641" s="182" t="str">
        <f>_xlfn.IFNA(VLOOKUP($AH641,Programma!$F$3:$S$1101,14,0),"")</f>
        <v>_</v>
      </c>
      <c r="AV641" s="182" t="str">
        <f>_xlfn.IFNA(VLOOKUP($AH641,Programma!$F$3:$T$1101,15,0),"")</f>
        <v>_</v>
      </c>
      <c r="AW641" s="182" t="str">
        <f>_xlfn.IFNA(VLOOKUP($AH641,Programma!$F$3:$U$1101,16,0),"")</f>
        <v>_</v>
      </c>
      <c r="AX641" s="182" t="str">
        <f>_xlfn.IFNA(VLOOKUP($AH641,Programma!$F$3:$V$1101,17,0),"")</f>
        <v>_</v>
      </c>
      <c r="AY641" s="182" t="str">
        <f>_xlfn.IFNA(VLOOKUP($AH641,Programma!$F$3:$W$1101,18,0),"")</f>
        <v>4w</v>
      </c>
      <c r="AZ641" s="182" t="str">
        <f>_xlfn.IFNA(VLOOKUP($AH641,Programma!$F$3:$X$1101,19,0),"")</f>
        <v>1w</v>
      </c>
      <c r="BA641" s="182" t="str">
        <f>_xlfn.IFNA(VLOOKUP($AH641,Programma!$F$3:$Y$1101,20,0),"")</f>
        <v>_</v>
      </c>
      <c r="BB641" s="182"/>
      <c r="BC641" s="174" t="str">
        <f>IF(Ruimtestaat[[#This Row],[Frequentie weekend]]="","",_xlfn.CONCAT(Ruimtestaat[[#This Row],[Ruimte code]],"-",Ruimtestaat[[#This Row],[Frequentie weekend]]," ",Ruimtestaat[[#This Row],[Vloer code]]))</f>
        <v/>
      </c>
      <c r="BD641" s="182" t="str">
        <f>_xlfn.IFNA(VLOOKUP($BC641,Programma!$F$3:$G$1101,2,0),"")</f>
        <v/>
      </c>
      <c r="BE641" s="182" t="str">
        <f>_xlfn.IFNA(VLOOKUP($BC641,Programma!$F$3:$H$1101,3,0),"")</f>
        <v/>
      </c>
      <c r="BF641" s="182" t="str">
        <f>_xlfn.IFNA(VLOOKUP($BC641,Programma!$F$3:$I$1101,4,0),"")</f>
        <v/>
      </c>
      <c r="BG641" s="182" t="str">
        <f>_xlfn.IFNA(VLOOKUP($BC641,Programma!$F$3:$J$1101,5,0),"")</f>
        <v/>
      </c>
      <c r="BH641" s="182" t="str">
        <f>_xlfn.IFNA(VLOOKUP($BC641,Programma!$F$3:$K$1101,6,0),"")</f>
        <v/>
      </c>
      <c r="BI641" s="182" t="str">
        <f>_xlfn.IFNA(VLOOKUP($BC641,Programma!$F$3:$L$1101,7,0),"")</f>
        <v/>
      </c>
      <c r="BJ641" s="182" t="str">
        <f>_xlfn.IFNA(VLOOKUP($BC641,Programma!$F$3:$M$1101,8,0),"")</f>
        <v/>
      </c>
      <c r="BK641" s="182" t="str">
        <f>_xlfn.IFNA(VLOOKUP($BC641,Programma!$F$3:$N$1101,9,0),"")</f>
        <v/>
      </c>
      <c r="BL641" s="182" t="str">
        <f>_xlfn.IFNA(VLOOKUP($BC641,Programma!$F$3:$O$1101,10,0),"")</f>
        <v/>
      </c>
      <c r="BM641" s="182" t="str">
        <f>_xlfn.IFNA(VLOOKUP($BC641,Programma!$F$3:$P$1101,11,0),"")</f>
        <v/>
      </c>
      <c r="BN641" s="182" t="str">
        <f>_xlfn.IFNA(VLOOKUP($BC641,Programma!$F$3:$Q$1101,12,0),"")</f>
        <v/>
      </c>
      <c r="BO641" s="182" t="str">
        <f>_xlfn.IFNA(VLOOKUP($BC641,Programma!$F$3:$R$1101,13,0),"")</f>
        <v/>
      </c>
      <c r="BP641" s="182" t="str">
        <f>_xlfn.IFNA(VLOOKUP($BC641,Programma!$F$3:$S$1101,14,0),"")</f>
        <v/>
      </c>
      <c r="BQ641" s="182" t="str">
        <f>_xlfn.IFNA(VLOOKUP($BC641,Programma!$F$3:$T$1101,15,0),"")</f>
        <v/>
      </c>
      <c r="BR641" s="182" t="str">
        <f>_xlfn.IFNA(VLOOKUP($BC641,Programma!$F$3:$U$1101,16,0),"")</f>
        <v/>
      </c>
      <c r="BS641" s="182" t="str">
        <f>_xlfn.IFNA(VLOOKUP($BC641,Programma!$F$3:$V$1101,17,0),"")</f>
        <v/>
      </c>
      <c r="BT641" s="182" t="str">
        <f>_xlfn.IFNA(VLOOKUP($BC641,Programma!$F$3:$W$1101,18,0),"")</f>
        <v/>
      </c>
      <c r="BU641" s="182" t="str">
        <f>_xlfn.IFNA(VLOOKUP($BC641,Programma!$F$3:$X$1101,19,0),"")</f>
        <v/>
      </c>
      <c r="BV641" s="182" t="str">
        <f>_xlfn.IFNA(VLOOKUP($BC641,Programma!$F$3:$Y$1101,20,0),"")</f>
        <v/>
      </c>
    </row>
    <row r="642" spans="1:74" ht="15" customHeight="1">
      <c r="A642" s="99">
        <v>18</v>
      </c>
      <c r="B642" s="176" t="str">
        <f>VLOOKUP(Ruimtestaat[[#This Row],[Code]],Locaties[[Code]:[Locatie]],2,FALSE)</f>
        <v>OBS De Linde (Thij)</v>
      </c>
      <c r="C642" s="176" t="str">
        <f>VLOOKUP(Ruimtestaat[[#This Row],[Code]],Locaties[[#All],[Code]:[Adres]],4,FALSE)</f>
        <v>Zandhorstlaan 99</v>
      </c>
      <c r="D642" s="176" t="str">
        <f>VLOOKUP(Ruimtestaat[[#This Row],[Code]],Locaties[[#All],[Code]:[Postcode]],5,FALSE)</f>
        <v>7576 VR</v>
      </c>
      <c r="E642" s="176" t="str">
        <f>VLOOKUP(Ruimtestaat[[#This Row],[Code]],Locaties[#All],6,FALSE)</f>
        <v>Oldenzaal</v>
      </c>
      <c r="F642" s="183"/>
      <c r="G642" s="99" t="s">
        <v>1646</v>
      </c>
      <c r="H642" s="99" t="s">
        <v>1656</v>
      </c>
      <c r="I642" s="183" t="s">
        <v>1728</v>
      </c>
      <c r="J642" s="99">
        <v>12</v>
      </c>
      <c r="K642" s="183" t="str">
        <f>VLOOKUP(Ruimtestaat[[#This Row],[Ruimte code]],Ruimtegroepen[[#All],[Code]:[Ruimte omschrijving]],2,FALSE)</f>
        <v>Kantine/Aula</v>
      </c>
      <c r="L642" s="99" t="s">
        <v>101</v>
      </c>
      <c r="M642" s="99" t="s">
        <v>119</v>
      </c>
      <c r="N642" s="177">
        <v>139</v>
      </c>
      <c r="O642" s="177"/>
      <c r="P642" s="178" t="str">
        <f>VLOOKUP(Ruimtestaat[[#This Row],[Ruimte code]],Ruimtegroepen[],4,FALSE)</f>
        <v>Ve</v>
      </c>
      <c r="Q642" s="149">
        <v>40</v>
      </c>
      <c r="R642" s="149" t="s">
        <v>2</v>
      </c>
      <c r="S642" s="285">
        <f>IF(Q642&gt;0,IF(RIGHT(Ruimtestaat[[#This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2" s="286">
        <f>IF(S642&gt;0,VLOOKUP($J642,Ruimtegroepen[],3,FALSE)*VLOOKUP($L642,Vloersoorten[],3,FALSE)*VLOOKUP($R642,Frequenties[],3,FALSE)*VLOOKUP($A642,Locaties[],3,FALSE),0)</f>
        <v>0</v>
      </c>
      <c r="U642" s="287">
        <f>Ruimtestaat[[#This Row],[Uitvoeringen werkdagen]]*Ruimtestaat[[#This Row],[Oppervlak (netto)]]</f>
        <v>27800</v>
      </c>
      <c r="V642" s="288">
        <f>IF(T642&gt;0,Ruimtestaat[[#This Row],[Prest. (m2 /jaar) werkdagen]]/Ruimtestaat[[#This Row],[Norm (m2/uur) werkdagen]],0)</f>
        <v>0</v>
      </c>
      <c r="W642" s="289">
        <f>Ruimtestaat[[#This Row],[uren / jaar werkdagen]]*Tariefsopbouw!$E$35</f>
        <v>0</v>
      </c>
      <c r="X642" s="226"/>
      <c r="Y642" s="290">
        <f>IF(Ruimtestaat[[#This Row],[Frequentie weekend]]&gt;0,VALUE(LEFT(X642,1))*Q642,0)</f>
        <v>0</v>
      </c>
      <c r="Z642" s="287">
        <f>IF($Y642&gt;0,VLOOKUP($J642,Ruimtegroepen[],3,FALSE)*VLOOKUP($L642,Vloersoorten[],3,FALSE)*VLOOKUP($X642,Frequenties[],3,FALSE)*VLOOKUP(#REF!,Locaties[],3,FALSE),0)</f>
        <v>0</v>
      </c>
      <c r="AA642" s="291">
        <f>Ruimtestaat[[#This Row],[Uitvoeringen weekend]]*Ruimtestaat[[#This Row],[Oppervlak (netto)]]</f>
        <v>0</v>
      </c>
      <c r="AB642" s="291">
        <f>IF(Z642&gt;0,Ruimtestaat[[#This Row],[Prest. (m2 /jaar) weekend]]/Ruimtestaat[[#This Row],[Norm (m2/uur) weekend]],0)</f>
        <v>0</v>
      </c>
      <c r="AC642" s="180">
        <f>Ruimtestaat[[#This Row],[uren / jaar weekend]]*Tariefsopbouw!$D$40</f>
        <v>0</v>
      </c>
      <c r="AD642" s="179">
        <f>Ruimtestaat[[#This Row],[Prest. (m2 /jaar) weekend]]+Ruimtestaat[[#This Row],[Prest. (m2 /jaar) werkdagen]]</f>
        <v>27800</v>
      </c>
      <c r="AE642" s="179">
        <f>Ruimtestaat[[#This Row],[uren / jaar weekend]]+Ruimtestaat[[#This Row],[uren / jaar werkdagen]]</f>
        <v>0</v>
      </c>
      <c r="AF642" s="174">
        <f>Ruimtestaat[[#This Row],[kosten / jaar weekend]]+Ruimtestaat[[#This Row],[kosten / jaar werkdagen]]</f>
        <v>0</v>
      </c>
      <c r="AG642" s="174"/>
      <c r="AH642" s="174" t="str">
        <f>IF(Ruimtestaat[[#This Row],[Frequentie werkdagen]]="","",_xlfn.CONCAT(Ruimtestaat[[#This Row],[Ruimte code]],"-",Ruimtestaat[[#This Row],[Frequentie werkdagen]]," ",Ruimtestaat[[#This Row],[Vloer code]]))</f>
        <v>12-5w S</v>
      </c>
      <c r="AI642" s="182" t="str">
        <f>_xlfn.IFNA(VLOOKUP($AH642,Programma!$F$3:$G$1101,2,0),"")</f>
        <v>_</v>
      </c>
      <c r="AJ642" s="182" t="str">
        <f>_xlfn.IFNA(VLOOKUP($AH642,Programma!$F$3:$H$1101,3,0),"")</f>
        <v>_</v>
      </c>
      <c r="AK642" s="182" t="str">
        <f>_xlfn.IFNA(VLOOKUP($AH642,Programma!$F$3:$I$1101,4,0),"")</f>
        <v>5w</v>
      </c>
      <c r="AL642" s="182" t="str">
        <f>_xlfn.IFNA(VLOOKUP($AH642,Programma!$F$3:$J$1101,5,0),"")</f>
        <v>_</v>
      </c>
      <c r="AM642" s="182" t="str">
        <f>_xlfn.IFNA(VLOOKUP($AH642,Programma!$F$3:$K$1101,6,0),"")</f>
        <v>5w</v>
      </c>
      <c r="AN642" s="182" t="str">
        <f>_xlfn.IFNA(VLOOKUP($AH642,Programma!$F$3:$L$1101,7,0),"")</f>
        <v>_</v>
      </c>
      <c r="AO642" s="182" t="str">
        <f>_xlfn.IFNA(VLOOKUP($AH642,Programma!$F$3:$M$1101,8,0),"")</f>
        <v>_</v>
      </c>
      <c r="AP642" s="182" t="str">
        <f>_xlfn.IFNA(VLOOKUP($AH642,Programma!$F$3:$N$1101,9,0),"")</f>
        <v>_</v>
      </c>
      <c r="AQ642" s="182" t="str">
        <f>_xlfn.IFNA(VLOOKUP($AH642,Programma!$F$3:$O$1101,10,0),"")</f>
        <v>5w</v>
      </c>
      <c r="AR642" s="182" t="str">
        <f>_xlfn.IFNA(VLOOKUP($AH642,Programma!$F$3:$P$1101,11,0),"")</f>
        <v>5w</v>
      </c>
      <c r="AS642" s="182" t="str">
        <f>_xlfn.IFNA(VLOOKUP($AH642,Programma!$F$3:$Q$1101,12,0),"")</f>
        <v>1w</v>
      </c>
      <c r="AT642" s="182" t="str">
        <f>_xlfn.IFNA(VLOOKUP($AH642,Programma!$F$3:$R$1101,13,0),"")</f>
        <v>1w</v>
      </c>
      <c r="AU642" s="182" t="str">
        <f>_xlfn.IFNA(VLOOKUP($AH642,Programma!$F$3:$S$1101,14,0),"")</f>
        <v>1m</v>
      </c>
      <c r="AV642" s="182" t="str">
        <f>_xlfn.IFNA(VLOOKUP($AH642,Programma!$F$3:$T$1101,15,0),"")</f>
        <v>2j</v>
      </c>
      <c r="AW642" s="182" t="str">
        <f>_xlfn.IFNA(VLOOKUP($AH642,Programma!$F$3:$U$1101,16,0),"")</f>
        <v>1j</v>
      </c>
      <c r="AX642" s="182" t="str">
        <f>_xlfn.IFNA(VLOOKUP($AH642,Programma!$F$3:$V$1101,17,0),"")</f>
        <v>_</v>
      </c>
      <c r="AY642" s="182" t="str">
        <f>_xlfn.IFNA(VLOOKUP($AH642,Programma!$F$3:$W$1101,18,0),"")</f>
        <v>_</v>
      </c>
      <c r="AZ642" s="182" t="str">
        <f>_xlfn.IFNA(VLOOKUP($AH642,Programma!$F$3:$X$1101,19,0),"")</f>
        <v>_</v>
      </c>
      <c r="BA642" s="182" t="str">
        <f>_xlfn.IFNA(VLOOKUP($AH642,Programma!$F$3:$Y$1101,20,0),"")</f>
        <v>_</v>
      </c>
      <c r="BB642" s="182"/>
      <c r="BC642" s="174" t="str">
        <f>IF(Ruimtestaat[[#This Row],[Frequentie weekend]]="","",_xlfn.CONCAT(Ruimtestaat[[#This Row],[Ruimte code]],"-",Ruimtestaat[[#This Row],[Frequentie weekend]]," ",Ruimtestaat[[#This Row],[Vloer code]]))</f>
        <v/>
      </c>
      <c r="BD642" s="182" t="str">
        <f>_xlfn.IFNA(VLOOKUP($BC642,Programma!$F$3:$G$1101,2,0),"")</f>
        <v/>
      </c>
      <c r="BE642" s="182" t="str">
        <f>_xlfn.IFNA(VLOOKUP($BC642,Programma!$F$3:$H$1101,3,0),"")</f>
        <v/>
      </c>
      <c r="BF642" s="182" t="str">
        <f>_xlfn.IFNA(VLOOKUP($BC642,Programma!$F$3:$I$1101,4,0),"")</f>
        <v/>
      </c>
      <c r="BG642" s="182" t="str">
        <f>_xlfn.IFNA(VLOOKUP($BC642,Programma!$F$3:$J$1101,5,0),"")</f>
        <v/>
      </c>
      <c r="BH642" s="182" t="str">
        <f>_xlfn.IFNA(VLOOKUP($BC642,Programma!$F$3:$K$1101,6,0),"")</f>
        <v/>
      </c>
      <c r="BI642" s="182" t="str">
        <f>_xlfn.IFNA(VLOOKUP($BC642,Programma!$F$3:$L$1101,7,0),"")</f>
        <v/>
      </c>
      <c r="BJ642" s="182" t="str">
        <f>_xlfn.IFNA(VLOOKUP($BC642,Programma!$F$3:$M$1101,8,0),"")</f>
        <v/>
      </c>
      <c r="BK642" s="182" t="str">
        <f>_xlfn.IFNA(VLOOKUP($BC642,Programma!$F$3:$N$1101,9,0),"")</f>
        <v/>
      </c>
      <c r="BL642" s="182" t="str">
        <f>_xlfn.IFNA(VLOOKUP($BC642,Programma!$F$3:$O$1101,10,0),"")</f>
        <v/>
      </c>
      <c r="BM642" s="182" t="str">
        <f>_xlfn.IFNA(VLOOKUP($BC642,Programma!$F$3:$P$1101,11,0),"")</f>
        <v/>
      </c>
      <c r="BN642" s="182" t="str">
        <f>_xlfn.IFNA(VLOOKUP($BC642,Programma!$F$3:$Q$1101,12,0),"")</f>
        <v/>
      </c>
      <c r="BO642" s="182" t="str">
        <f>_xlfn.IFNA(VLOOKUP($BC642,Programma!$F$3:$R$1101,13,0),"")</f>
        <v/>
      </c>
      <c r="BP642" s="182" t="str">
        <f>_xlfn.IFNA(VLOOKUP($BC642,Programma!$F$3:$S$1101,14,0),"")</f>
        <v/>
      </c>
      <c r="BQ642" s="182" t="str">
        <f>_xlfn.IFNA(VLOOKUP($BC642,Programma!$F$3:$T$1101,15,0),"")</f>
        <v/>
      </c>
      <c r="BR642" s="182" t="str">
        <f>_xlfn.IFNA(VLOOKUP($BC642,Programma!$F$3:$U$1101,16,0),"")</f>
        <v/>
      </c>
      <c r="BS642" s="182" t="str">
        <f>_xlfn.IFNA(VLOOKUP($BC642,Programma!$F$3:$V$1101,17,0),"")</f>
        <v/>
      </c>
      <c r="BT642" s="182" t="str">
        <f>_xlfn.IFNA(VLOOKUP($BC642,Programma!$F$3:$W$1101,18,0),"")</f>
        <v/>
      </c>
      <c r="BU642" s="182" t="str">
        <f>_xlfn.IFNA(VLOOKUP($BC642,Programma!$F$3:$X$1101,19,0),"")</f>
        <v/>
      </c>
      <c r="BV642" s="182" t="str">
        <f>_xlfn.IFNA(VLOOKUP($BC642,Programma!$F$3:$Y$1101,20,0),"")</f>
        <v/>
      </c>
    </row>
    <row r="643" spans="1:74" ht="15" customHeight="1">
      <c r="A643" s="99">
        <v>18</v>
      </c>
      <c r="B643" s="176" t="str">
        <f>VLOOKUP(Ruimtestaat[[#This Row],[Code]],Locaties[[Code]:[Locatie]],2,FALSE)</f>
        <v>OBS De Linde (Thij)</v>
      </c>
      <c r="C643" s="176" t="str">
        <f>VLOOKUP(Ruimtestaat[[#This Row],[Code]],Locaties[[#All],[Code]:[Adres]],4,FALSE)</f>
        <v>Zandhorstlaan 99</v>
      </c>
      <c r="D643" s="176" t="str">
        <f>VLOOKUP(Ruimtestaat[[#This Row],[Code]],Locaties[[#All],[Code]:[Postcode]],5,FALSE)</f>
        <v>7576 VR</v>
      </c>
      <c r="E643" s="176" t="str">
        <f>VLOOKUP(Ruimtestaat[[#This Row],[Code]],Locaties[#All],6,FALSE)</f>
        <v>Oldenzaal</v>
      </c>
      <c r="F643" s="183"/>
      <c r="G643" s="99" t="s">
        <v>1646</v>
      </c>
      <c r="H643" s="99" t="s">
        <v>1657</v>
      </c>
      <c r="I643" s="183" t="s">
        <v>1585</v>
      </c>
      <c r="J643" s="99">
        <v>13</v>
      </c>
      <c r="K643" s="183" t="str">
        <f>VLOOKUP(Ruimtestaat[[#This Row],[Ruimte code]],Ruimtegroepen[[#All],[Code]:[Ruimte omschrijving]],2,FALSE)</f>
        <v>Personeelskamer</v>
      </c>
      <c r="L643" s="99" t="s">
        <v>99</v>
      </c>
      <c r="M643" s="99" t="s">
        <v>36</v>
      </c>
      <c r="N643" s="177">
        <v>27.2</v>
      </c>
      <c r="O643" s="177"/>
      <c r="P643" s="178" t="str">
        <f>VLOOKUP(Ruimtestaat[[#This Row],[Ruimte code]],Ruimtegroepen[],4,FALSE)</f>
        <v>Ve</v>
      </c>
      <c r="Q643" s="149">
        <v>40</v>
      </c>
      <c r="R643" s="149" t="s">
        <v>2</v>
      </c>
      <c r="S643" s="285">
        <f>IF(Q643&gt;0,IF(RIGHT(Ruimtestaat[[#This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3" s="286">
        <f>IF(S643&gt;0,VLOOKUP($J643,Ruimtegroepen[],3,FALSE)*VLOOKUP($L643,Vloersoorten[],3,FALSE)*VLOOKUP($R643,Frequenties[],3,FALSE)*VLOOKUP($A643,Locaties[],3,FALSE),0)</f>
        <v>0</v>
      </c>
      <c r="U643" s="287">
        <f>Ruimtestaat[[#This Row],[Uitvoeringen werkdagen]]*Ruimtestaat[[#This Row],[Oppervlak (netto)]]</f>
        <v>5440</v>
      </c>
      <c r="V643" s="288">
        <f>IF(T643&gt;0,Ruimtestaat[[#This Row],[Prest. (m2 /jaar) werkdagen]]/Ruimtestaat[[#This Row],[Norm (m2/uur) werkdagen]],0)</f>
        <v>0</v>
      </c>
      <c r="W643" s="289">
        <f>Ruimtestaat[[#This Row],[uren / jaar werkdagen]]*Tariefsopbouw!$E$35</f>
        <v>0</v>
      </c>
      <c r="X643" s="226"/>
      <c r="Y643" s="290">
        <f>IF(Ruimtestaat[[#This Row],[Frequentie weekend]]&gt;0,VALUE(LEFT(X643,1))*Q643,0)</f>
        <v>0</v>
      </c>
      <c r="Z643" s="287">
        <f>IF($Y643&gt;0,VLOOKUP($J643,Ruimtegroepen[],3,FALSE)*VLOOKUP($L643,Vloersoorten[],3,FALSE)*VLOOKUP($X643,Frequenties[],3,FALSE)*VLOOKUP(#REF!,Locaties[],3,FALSE),0)</f>
        <v>0</v>
      </c>
      <c r="AA643" s="291">
        <f>Ruimtestaat[[#This Row],[Uitvoeringen weekend]]*Ruimtestaat[[#This Row],[Oppervlak (netto)]]</f>
        <v>0</v>
      </c>
      <c r="AB643" s="291">
        <f>IF(Z643&gt;0,Ruimtestaat[[#This Row],[Prest. (m2 /jaar) weekend]]/Ruimtestaat[[#This Row],[Norm (m2/uur) weekend]],0)</f>
        <v>0</v>
      </c>
      <c r="AC643" s="180">
        <f>Ruimtestaat[[#This Row],[uren / jaar weekend]]*Tariefsopbouw!$D$40</f>
        <v>0</v>
      </c>
      <c r="AD643" s="179">
        <f>Ruimtestaat[[#This Row],[Prest. (m2 /jaar) weekend]]+Ruimtestaat[[#This Row],[Prest. (m2 /jaar) werkdagen]]</f>
        <v>5440</v>
      </c>
      <c r="AE643" s="179">
        <f>Ruimtestaat[[#This Row],[uren / jaar weekend]]+Ruimtestaat[[#This Row],[uren / jaar werkdagen]]</f>
        <v>0</v>
      </c>
      <c r="AF643" s="174">
        <f>Ruimtestaat[[#This Row],[kosten / jaar weekend]]+Ruimtestaat[[#This Row],[kosten / jaar werkdagen]]</f>
        <v>0</v>
      </c>
      <c r="AG643" s="174"/>
      <c r="AH643" s="174" t="str">
        <f>IF(Ruimtestaat[[#This Row],[Frequentie werkdagen]]="","",_xlfn.CONCAT(Ruimtestaat[[#This Row],[Ruimte code]],"-",Ruimtestaat[[#This Row],[Frequentie werkdagen]]," ",Ruimtestaat[[#This Row],[Vloer code]]))</f>
        <v>13-5w T</v>
      </c>
      <c r="AI643" s="182" t="str">
        <f>_xlfn.IFNA(VLOOKUP($AH643,Programma!$F$3:$G$1101,2,0),"")</f>
        <v>4w</v>
      </c>
      <c r="AJ643" s="182" t="str">
        <f>_xlfn.IFNA(VLOOKUP($AH643,Programma!$F$3:$H$1101,3,0),"")</f>
        <v>1w</v>
      </c>
      <c r="AK643" s="182" t="str">
        <f>_xlfn.IFNA(VLOOKUP($AH643,Programma!$F$3:$I$1101,4,0),"")</f>
        <v>_</v>
      </c>
      <c r="AL643" s="182" t="str">
        <f>_xlfn.IFNA(VLOOKUP($AH643,Programma!$F$3:$J$1101,5,0),"")</f>
        <v>_</v>
      </c>
      <c r="AM643" s="182" t="str">
        <f>_xlfn.IFNA(VLOOKUP($AH643,Programma!$F$3:$K$1101,6,0),"")</f>
        <v>_</v>
      </c>
      <c r="AN643" s="182" t="str">
        <f>_xlfn.IFNA(VLOOKUP($AH643,Programma!$F$3:$L$1101,7,0),"")</f>
        <v>_</v>
      </c>
      <c r="AO643" s="182" t="str">
        <f>_xlfn.IFNA(VLOOKUP($AH643,Programma!$F$3:$M$1101,8,0),"")</f>
        <v>_</v>
      </c>
      <c r="AP643" s="182" t="str">
        <f>_xlfn.IFNA(VLOOKUP($AH643,Programma!$F$3:$N$1101,9,0),"")</f>
        <v>_</v>
      </c>
      <c r="AQ643" s="182" t="str">
        <f>_xlfn.IFNA(VLOOKUP($AH643,Programma!$F$3:$O$1101,10,0),"")</f>
        <v>5w</v>
      </c>
      <c r="AR643" s="182" t="str">
        <f>_xlfn.IFNA(VLOOKUP($AH643,Programma!$F$3:$P$1101,11,0),"")</f>
        <v>5w</v>
      </c>
      <c r="AS643" s="182" t="str">
        <f>_xlfn.IFNA(VLOOKUP($AH643,Programma!$F$3:$Q$1101,12,0),"")</f>
        <v>1w</v>
      </c>
      <c r="AT643" s="182" t="str">
        <f>_xlfn.IFNA(VLOOKUP($AH643,Programma!$F$3:$R$1101,13,0),"")</f>
        <v>1w</v>
      </c>
      <c r="AU643" s="182" t="str">
        <f>_xlfn.IFNA(VLOOKUP($AH643,Programma!$F$3:$S$1101,14,0),"")</f>
        <v>1m</v>
      </c>
      <c r="AV643" s="182" t="str">
        <f>_xlfn.IFNA(VLOOKUP($AH643,Programma!$F$3:$T$1101,15,0),"")</f>
        <v>2j</v>
      </c>
      <c r="AW643" s="182" t="str">
        <f>_xlfn.IFNA(VLOOKUP($AH643,Programma!$F$3:$U$1101,16,0),"")</f>
        <v>1j</v>
      </c>
      <c r="AX643" s="182" t="str">
        <f>_xlfn.IFNA(VLOOKUP($AH643,Programma!$F$3:$V$1101,17,0),"")</f>
        <v>_</v>
      </c>
      <c r="AY643" s="182" t="str">
        <f>_xlfn.IFNA(VLOOKUP($AH643,Programma!$F$3:$W$1101,18,0),"")</f>
        <v>_</v>
      </c>
      <c r="AZ643" s="182" t="str">
        <f>_xlfn.IFNA(VLOOKUP($AH643,Programma!$F$3:$X$1101,19,0),"")</f>
        <v>_</v>
      </c>
      <c r="BA643" s="182" t="str">
        <f>_xlfn.IFNA(VLOOKUP($AH643,Programma!$F$3:$Y$1101,20,0),"")</f>
        <v>_</v>
      </c>
      <c r="BB643" s="182"/>
      <c r="BC643" s="174" t="str">
        <f>IF(Ruimtestaat[[#This Row],[Frequentie weekend]]="","",_xlfn.CONCAT(Ruimtestaat[[#This Row],[Ruimte code]],"-",Ruimtestaat[[#This Row],[Frequentie weekend]]," ",Ruimtestaat[[#This Row],[Vloer code]]))</f>
        <v/>
      </c>
      <c r="BD643" s="182" t="str">
        <f>_xlfn.IFNA(VLOOKUP($BC643,Programma!$F$3:$G$1101,2,0),"")</f>
        <v/>
      </c>
      <c r="BE643" s="182" t="str">
        <f>_xlfn.IFNA(VLOOKUP($BC643,Programma!$F$3:$H$1101,3,0),"")</f>
        <v/>
      </c>
      <c r="BF643" s="182" t="str">
        <f>_xlfn.IFNA(VLOOKUP($BC643,Programma!$F$3:$I$1101,4,0),"")</f>
        <v/>
      </c>
      <c r="BG643" s="182" t="str">
        <f>_xlfn.IFNA(VLOOKUP($BC643,Programma!$F$3:$J$1101,5,0),"")</f>
        <v/>
      </c>
      <c r="BH643" s="182" t="str">
        <f>_xlfn.IFNA(VLOOKUP($BC643,Programma!$F$3:$K$1101,6,0),"")</f>
        <v/>
      </c>
      <c r="BI643" s="182" t="str">
        <f>_xlfn.IFNA(VLOOKUP($BC643,Programma!$F$3:$L$1101,7,0),"")</f>
        <v/>
      </c>
      <c r="BJ643" s="182" t="str">
        <f>_xlfn.IFNA(VLOOKUP($BC643,Programma!$F$3:$M$1101,8,0),"")</f>
        <v/>
      </c>
      <c r="BK643" s="182" t="str">
        <f>_xlfn.IFNA(VLOOKUP($BC643,Programma!$F$3:$N$1101,9,0),"")</f>
        <v/>
      </c>
      <c r="BL643" s="182" t="str">
        <f>_xlfn.IFNA(VLOOKUP($BC643,Programma!$F$3:$O$1101,10,0),"")</f>
        <v/>
      </c>
      <c r="BM643" s="182" t="str">
        <f>_xlfn.IFNA(VLOOKUP($BC643,Programma!$F$3:$P$1101,11,0),"")</f>
        <v/>
      </c>
      <c r="BN643" s="182" t="str">
        <f>_xlfn.IFNA(VLOOKUP($BC643,Programma!$F$3:$Q$1101,12,0),"")</f>
        <v/>
      </c>
      <c r="BO643" s="182" t="str">
        <f>_xlfn.IFNA(VLOOKUP($BC643,Programma!$F$3:$R$1101,13,0),"")</f>
        <v/>
      </c>
      <c r="BP643" s="182" t="str">
        <f>_xlfn.IFNA(VLOOKUP($BC643,Programma!$F$3:$S$1101,14,0),"")</f>
        <v/>
      </c>
      <c r="BQ643" s="182" t="str">
        <f>_xlfn.IFNA(VLOOKUP($BC643,Programma!$F$3:$T$1101,15,0),"")</f>
        <v/>
      </c>
      <c r="BR643" s="182" t="str">
        <f>_xlfn.IFNA(VLOOKUP($BC643,Programma!$F$3:$U$1101,16,0),"")</f>
        <v/>
      </c>
      <c r="BS643" s="182" t="str">
        <f>_xlfn.IFNA(VLOOKUP($BC643,Programma!$F$3:$V$1101,17,0),"")</f>
        <v/>
      </c>
      <c r="BT643" s="182" t="str">
        <f>_xlfn.IFNA(VLOOKUP($BC643,Programma!$F$3:$W$1101,18,0),"")</f>
        <v/>
      </c>
      <c r="BU643" s="182" t="str">
        <f>_xlfn.IFNA(VLOOKUP($BC643,Programma!$F$3:$X$1101,19,0),"")</f>
        <v/>
      </c>
      <c r="BV643" s="182" t="str">
        <f>_xlfn.IFNA(VLOOKUP($BC643,Programma!$F$3:$Y$1101,20,0),"")</f>
        <v/>
      </c>
    </row>
    <row r="644" spans="1:74" ht="15" customHeight="1">
      <c r="A644" s="99">
        <v>18</v>
      </c>
      <c r="B644" s="176" t="str">
        <f>VLOOKUP(Ruimtestaat[[#This Row],[Code]],Locaties[[Code]:[Locatie]],2,FALSE)</f>
        <v>OBS De Linde (Thij)</v>
      </c>
      <c r="C644" s="176" t="str">
        <f>VLOOKUP(Ruimtestaat[[#This Row],[Code]],Locaties[[#All],[Code]:[Adres]],4,FALSE)</f>
        <v>Zandhorstlaan 99</v>
      </c>
      <c r="D644" s="176" t="str">
        <f>VLOOKUP(Ruimtestaat[[#This Row],[Code]],Locaties[[#All],[Code]:[Postcode]],5,FALSE)</f>
        <v>7576 VR</v>
      </c>
      <c r="E644" s="176" t="str">
        <f>VLOOKUP(Ruimtestaat[[#This Row],[Code]],Locaties[#All],6,FALSE)</f>
        <v>Oldenzaal</v>
      </c>
      <c r="F644" s="183"/>
      <c r="G644" s="99" t="s">
        <v>1646</v>
      </c>
      <c r="H644" s="99" t="s">
        <v>1659</v>
      </c>
      <c r="I644" s="183" t="s">
        <v>1683</v>
      </c>
      <c r="J644" s="99">
        <v>20</v>
      </c>
      <c r="K644" s="183" t="str">
        <f>VLOOKUP(Ruimtestaat[[#This Row],[Ruimte code]],Ruimtegroepen[[#All],[Code]:[Ruimte omschrijving]],2,FALSE)</f>
        <v>Niet in Onderhoud</v>
      </c>
      <c r="L644" s="99" t="s">
        <v>100</v>
      </c>
      <c r="M644" s="99" t="s">
        <v>1697</v>
      </c>
      <c r="N644" s="177"/>
      <c r="O644" s="177">
        <v>21</v>
      </c>
      <c r="P644" s="178">
        <f>VLOOKUP(Ruimtestaat[[#This Row],[Ruimte code]],Ruimtegroepen[],4,FALSE)</f>
        <v>0</v>
      </c>
      <c r="Q644" s="149"/>
      <c r="R644" s="149"/>
      <c r="S644" s="285">
        <f>IF(Q644&gt;0,IF(RIGHT(Ruimtestaat[[#This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4" s="286">
        <f>IF(S644&gt;0,VLOOKUP($J644,Ruimtegroepen[],3,FALSE)*VLOOKUP($L644,Vloersoorten[],3,FALSE)*VLOOKUP($R644,Frequenties[],3,FALSE)*VLOOKUP($A644,Locaties[],3,FALSE),0)</f>
        <v>0</v>
      </c>
      <c r="U644" s="287">
        <f>Ruimtestaat[[#This Row],[Uitvoeringen werkdagen]]*Ruimtestaat[[#This Row],[Oppervlak (netto)]]</f>
        <v>0</v>
      </c>
      <c r="V644" s="288">
        <f>IF(T644&gt;0,Ruimtestaat[[#This Row],[Prest. (m2 /jaar) werkdagen]]/Ruimtestaat[[#This Row],[Norm (m2/uur) werkdagen]],0)</f>
        <v>0</v>
      </c>
      <c r="W644" s="289">
        <f>Ruimtestaat[[#This Row],[uren / jaar werkdagen]]*Tariefsopbouw!$E$35</f>
        <v>0</v>
      </c>
      <c r="X644" s="226"/>
      <c r="Y644" s="290">
        <f>IF(Ruimtestaat[[#This Row],[Frequentie weekend]]&gt;0,VALUE(LEFT(X644,1))*Q644,0)</f>
        <v>0</v>
      </c>
      <c r="Z644" s="287">
        <f>IF($Y644&gt;0,VLOOKUP($J644,Ruimtegroepen[],3,FALSE)*VLOOKUP($L644,Vloersoorten[],3,FALSE)*VLOOKUP($X644,Frequenties[],3,FALSE)*VLOOKUP(#REF!,Locaties[],3,FALSE),0)</f>
        <v>0</v>
      </c>
      <c r="AA644" s="291">
        <f>Ruimtestaat[[#This Row],[Uitvoeringen weekend]]*Ruimtestaat[[#This Row],[Oppervlak (netto)]]</f>
        <v>0</v>
      </c>
      <c r="AB644" s="291">
        <f>IF(Z644&gt;0,Ruimtestaat[[#This Row],[Prest. (m2 /jaar) weekend]]/Ruimtestaat[[#This Row],[Norm (m2/uur) weekend]],0)</f>
        <v>0</v>
      </c>
      <c r="AC644" s="180">
        <f>Ruimtestaat[[#This Row],[uren / jaar weekend]]*Tariefsopbouw!$D$40</f>
        <v>0</v>
      </c>
      <c r="AD644" s="179">
        <f>Ruimtestaat[[#This Row],[Prest. (m2 /jaar) weekend]]+Ruimtestaat[[#This Row],[Prest. (m2 /jaar) werkdagen]]</f>
        <v>0</v>
      </c>
      <c r="AE644" s="179">
        <f>Ruimtestaat[[#This Row],[uren / jaar weekend]]+Ruimtestaat[[#This Row],[uren / jaar werkdagen]]</f>
        <v>0</v>
      </c>
      <c r="AF644" s="174">
        <f>Ruimtestaat[[#This Row],[kosten / jaar weekend]]+Ruimtestaat[[#This Row],[kosten / jaar werkdagen]]</f>
        <v>0</v>
      </c>
      <c r="AG644" s="174"/>
      <c r="AH644" s="174" t="str">
        <f>IF(Ruimtestaat[[#This Row],[Frequentie werkdagen]]="","",_xlfn.CONCAT(Ruimtestaat[[#This Row],[Ruimte code]],"-",Ruimtestaat[[#This Row],[Frequentie werkdagen]]," ",Ruimtestaat[[#This Row],[Vloer code]]))</f>
        <v/>
      </c>
      <c r="AI644" s="182" t="str">
        <f>_xlfn.IFNA(VLOOKUP($AH644,Programma!$F$3:$G$1101,2,0),"")</f>
        <v/>
      </c>
      <c r="AJ644" s="182" t="str">
        <f>_xlfn.IFNA(VLOOKUP($AH644,Programma!$F$3:$H$1101,3,0),"")</f>
        <v/>
      </c>
      <c r="AK644" s="182" t="str">
        <f>_xlfn.IFNA(VLOOKUP($AH644,Programma!$F$3:$I$1101,4,0),"")</f>
        <v/>
      </c>
      <c r="AL644" s="182" t="str">
        <f>_xlfn.IFNA(VLOOKUP($AH644,Programma!$F$3:$J$1101,5,0),"")</f>
        <v/>
      </c>
      <c r="AM644" s="182" t="str">
        <f>_xlfn.IFNA(VLOOKUP($AH644,Programma!$F$3:$K$1101,6,0),"")</f>
        <v/>
      </c>
      <c r="AN644" s="182" t="str">
        <f>_xlfn.IFNA(VLOOKUP($AH644,Programma!$F$3:$L$1101,7,0),"")</f>
        <v/>
      </c>
      <c r="AO644" s="182" t="str">
        <f>_xlfn.IFNA(VLOOKUP($AH644,Programma!$F$3:$M$1101,8,0),"")</f>
        <v/>
      </c>
      <c r="AP644" s="182" t="str">
        <f>_xlfn.IFNA(VLOOKUP($AH644,Programma!$F$3:$N$1101,9,0),"")</f>
        <v/>
      </c>
      <c r="AQ644" s="182" t="str">
        <f>_xlfn.IFNA(VLOOKUP($AH644,Programma!$F$3:$O$1101,10,0),"")</f>
        <v/>
      </c>
      <c r="AR644" s="182" t="str">
        <f>_xlfn.IFNA(VLOOKUP($AH644,Programma!$F$3:$P$1101,11,0),"")</f>
        <v/>
      </c>
      <c r="AS644" s="182" t="str">
        <f>_xlfn.IFNA(VLOOKUP($AH644,Programma!$F$3:$Q$1101,12,0),"")</f>
        <v/>
      </c>
      <c r="AT644" s="182" t="str">
        <f>_xlfn.IFNA(VLOOKUP($AH644,Programma!$F$3:$R$1101,13,0),"")</f>
        <v/>
      </c>
      <c r="AU644" s="182" t="str">
        <f>_xlfn.IFNA(VLOOKUP($AH644,Programma!$F$3:$S$1101,14,0),"")</f>
        <v/>
      </c>
      <c r="AV644" s="182" t="str">
        <f>_xlfn.IFNA(VLOOKUP($AH644,Programma!$F$3:$T$1101,15,0),"")</f>
        <v/>
      </c>
      <c r="AW644" s="182" t="str">
        <f>_xlfn.IFNA(VLOOKUP($AH644,Programma!$F$3:$U$1101,16,0),"")</f>
        <v/>
      </c>
      <c r="AX644" s="182" t="str">
        <f>_xlfn.IFNA(VLOOKUP($AH644,Programma!$F$3:$V$1101,17,0),"")</f>
        <v/>
      </c>
      <c r="AY644" s="182" t="str">
        <f>_xlfn.IFNA(VLOOKUP($AH644,Programma!$F$3:$W$1101,18,0),"")</f>
        <v/>
      </c>
      <c r="AZ644" s="182" t="str">
        <f>_xlfn.IFNA(VLOOKUP($AH644,Programma!$F$3:$X$1101,19,0),"")</f>
        <v/>
      </c>
      <c r="BA644" s="182" t="str">
        <f>_xlfn.IFNA(VLOOKUP($AH644,Programma!$F$3:$Y$1101,20,0),"")</f>
        <v/>
      </c>
      <c r="BB644" s="182"/>
      <c r="BC644" s="174" t="str">
        <f>IF(Ruimtestaat[[#This Row],[Frequentie weekend]]="","",_xlfn.CONCAT(Ruimtestaat[[#This Row],[Ruimte code]],"-",Ruimtestaat[[#This Row],[Frequentie weekend]]," ",Ruimtestaat[[#This Row],[Vloer code]]))</f>
        <v/>
      </c>
      <c r="BD644" s="182" t="str">
        <f>_xlfn.IFNA(VLOOKUP($BC644,Programma!$F$3:$G$1101,2,0),"")</f>
        <v/>
      </c>
      <c r="BE644" s="182" t="str">
        <f>_xlfn.IFNA(VLOOKUP($BC644,Programma!$F$3:$H$1101,3,0),"")</f>
        <v/>
      </c>
      <c r="BF644" s="182" t="str">
        <f>_xlfn.IFNA(VLOOKUP($BC644,Programma!$F$3:$I$1101,4,0),"")</f>
        <v/>
      </c>
      <c r="BG644" s="182" t="str">
        <f>_xlfn.IFNA(VLOOKUP($BC644,Programma!$F$3:$J$1101,5,0),"")</f>
        <v/>
      </c>
      <c r="BH644" s="182" t="str">
        <f>_xlfn.IFNA(VLOOKUP($BC644,Programma!$F$3:$K$1101,6,0),"")</f>
        <v/>
      </c>
      <c r="BI644" s="182" t="str">
        <f>_xlfn.IFNA(VLOOKUP($BC644,Programma!$F$3:$L$1101,7,0),"")</f>
        <v/>
      </c>
      <c r="BJ644" s="182" t="str">
        <f>_xlfn.IFNA(VLOOKUP($BC644,Programma!$F$3:$M$1101,8,0),"")</f>
        <v/>
      </c>
      <c r="BK644" s="182" t="str">
        <f>_xlfn.IFNA(VLOOKUP($BC644,Programma!$F$3:$N$1101,9,0),"")</f>
        <v/>
      </c>
      <c r="BL644" s="182" t="str">
        <f>_xlfn.IFNA(VLOOKUP($BC644,Programma!$F$3:$O$1101,10,0),"")</f>
        <v/>
      </c>
      <c r="BM644" s="182" t="str">
        <f>_xlfn.IFNA(VLOOKUP($BC644,Programma!$F$3:$P$1101,11,0),"")</f>
        <v/>
      </c>
      <c r="BN644" s="182" t="str">
        <f>_xlfn.IFNA(VLOOKUP($BC644,Programma!$F$3:$Q$1101,12,0),"")</f>
        <v/>
      </c>
      <c r="BO644" s="182" t="str">
        <f>_xlfn.IFNA(VLOOKUP($BC644,Programma!$F$3:$R$1101,13,0),"")</f>
        <v/>
      </c>
      <c r="BP644" s="182" t="str">
        <f>_xlfn.IFNA(VLOOKUP($BC644,Programma!$F$3:$S$1101,14,0),"")</f>
        <v/>
      </c>
      <c r="BQ644" s="182" t="str">
        <f>_xlfn.IFNA(VLOOKUP($BC644,Programma!$F$3:$T$1101,15,0),"")</f>
        <v/>
      </c>
      <c r="BR644" s="182" t="str">
        <f>_xlfn.IFNA(VLOOKUP($BC644,Programma!$F$3:$U$1101,16,0),"")</f>
        <v/>
      </c>
      <c r="BS644" s="182" t="str">
        <f>_xlfn.IFNA(VLOOKUP($BC644,Programma!$F$3:$V$1101,17,0),"")</f>
        <v/>
      </c>
      <c r="BT644" s="182" t="str">
        <f>_xlfn.IFNA(VLOOKUP($BC644,Programma!$F$3:$W$1101,18,0),"")</f>
        <v/>
      </c>
      <c r="BU644" s="182" t="str">
        <f>_xlfn.IFNA(VLOOKUP($BC644,Programma!$F$3:$X$1101,19,0),"")</f>
        <v/>
      </c>
      <c r="BV644" s="182" t="str">
        <f>_xlfn.IFNA(VLOOKUP($BC644,Programma!$F$3:$Y$1101,20,0),"")</f>
        <v/>
      </c>
    </row>
    <row r="645" spans="1:74" ht="15" customHeight="1">
      <c r="A645" s="99">
        <v>18</v>
      </c>
      <c r="B645" s="176" t="str">
        <f>VLOOKUP(Ruimtestaat[[#This Row],[Code]],Locaties[[Code]:[Locatie]],2,FALSE)</f>
        <v>OBS De Linde (Thij)</v>
      </c>
      <c r="C645" s="176" t="str">
        <f>VLOOKUP(Ruimtestaat[[#This Row],[Code]],Locaties[[#All],[Code]:[Adres]],4,FALSE)</f>
        <v>Zandhorstlaan 99</v>
      </c>
      <c r="D645" s="176" t="str">
        <f>VLOOKUP(Ruimtestaat[[#This Row],[Code]],Locaties[[#All],[Code]:[Postcode]],5,FALSE)</f>
        <v>7576 VR</v>
      </c>
      <c r="E645" s="176" t="str">
        <f>VLOOKUP(Ruimtestaat[[#This Row],[Code]],Locaties[#All],6,FALSE)</f>
        <v>Oldenzaal</v>
      </c>
      <c r="F645" s="183"/>
      <c r="G645" s="99" t="s">
        <v>1646</v>
      </c>
      <c r="H645" s="99" t="s">
        <v>1660</v>
      </c>
      <c r="I645" s="183" t="s">
        <v>1683</v>
      </c>
      <c r="J645" s="99">
        <v>20</v>
      </c>
      <c r="K645" s="183" t="str">
        <f>VLOOKUP(Ruimtestaat[[#This Row],[Ruimte code]],Ruimtegroepen[[#All],[Code]:[Ruimte omschrijving]],2,FALSE)</f>
        <v>Niet in Onderhoud</v>
      </c>
      <c r="L645" s="99" t="s">
        <v>101</v>
      </c>
      <c r="M645" s="99" t="s">
        <v>1698</v>
      </c>
      <c r="N645" s="177"/>
      <c r="O645" s="177">
        <v>0</v>
      </c>
      <c r="P645" s="178">
        <f>VLOOKUP(Ruimtestaat[[#This Row],[Ruimte code]],Ruimtegroepen[],4,FALSE)</f>
        <v>0</v>
      </c>
      <c r="Q645" s="149"/>
      <c r="R645" s="149"/>
      <c r="S645" s="285">
        <f>IF(Q645&gt;0,IF(RIGHT(Ruimtestaat[[#This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5" s="286">
        <f>IF(S645&gt;0,VLOOKUP($J645,Ruimtegroepen[],3,FALSE)*VLOOKUP($L645,Vloersoorten[],3,FALSE)*VLOOKUP($R645,Frequenties[],3,FALSE)*VLOOKUP($A645,Locaties[],3,FALSE),0)</f>
        <v>0</v>
      </c>
      <c r="U645" s="287">
        <f>Ruimtestaat[[#This Row],[Uitvoeringen werkdagen]]*Ruimtestaat[[#This Row],[Oppervlak (netto)]]</f>
        <v>0</v>
      </c>
      <c r="V645" s="288">
        <f>IF(T645&gt;0,Ruimtestaat[[#This Row],[Prest. (m2 /jaar) werkdagen]]/Ruimtestaat[[#This Row],[Norm (m2/uur) werkdagen]],0)</f>
        <v>0</v>
      </c>
      <c r="W645" s="289">
        <f>Ruimtestaat[[#This Row],[uren / jaar werkdagen]]*Tariefsopbouw!$E$35</f>
        <v>0</v>
      </c>
      <c r="X645" s="226"/>
      <c r="Y645" s="290">
        <f>IF(Ruimtestaat[[#This Row],[Frequentie weekend]]&gt;0,VALUE(LEFT(X645,1))*Q645,0)</f>
        <v>0</v>
      </c>
      <c r="Z645" s="287">
        <f>IF($Y645&gt;0,VLOOKUP($J645,Ruimtegroepen[],3,FALSE)*VLOOKUP($L645,Vloersoorten[],3,FALSE)*VLOOKUP($X645,Frequenties[],3,FALSE)*VLOOKUP(#REF!,Locaties[],3,FALSE),0)</f>
        <v>0</v>
      </c>
      <c r="AA645" s="291">
        <f>Ruimtestaat[[#This Row],[Uitvoeringen weekend]]*Ruimtestaat[[#This Row],[Oppervlak (netto)]]</f>
        <v>0</v>
      </c>
      <c r="AB645" s="291">
        <f>IF(Z645&gt;0,Ruimtestaat[[#This Row],[Prest. (m2 /jaar) weekend]]/Ruimtestaat[[#This Row],[Norm (m2/uur) weekend]],0)</f>
        <v>0</v>
      </c>
      <c r="AC645" s="180">
        <f>Ruimtestaat[[#This Row],[uren / jaar weekend]]*Tariefsopbouw!$D$40</f>
        <v>0</v>
      </c>
      <c r="AD645" s="179">
        <f>Ruimtestaat[[#This Row],[Prest. (m2 /jaar) weekend]]+Ruimtestaat[[#This Row],[Prest. (m2 /jaar) werkdagen]]</f>
        <v>0</v>
      </c>
      <c r="AE645" s="179">
        <f>Ruimtestaat[[#This Row],[uren / jaar weekend]]+Ruimtestaat[[#This Row],[uren / jaar werkdagen]]</f>
        <v>0</v>
      </c>
      <c r="AF645" s="174">
        <f>Ruimtestaat[[#This Row],[kosten / jaar weekend]]+Ruimtestaat[[#This Row],[kosten / jaar werkdagen]]</f>
        <v>0</v>
      </c>
      <c r="AG645" s="174"/>
      <c r="AH645" s="174" t="str">
        <f>IF(Ruimtestaat[[#This Row],[Frequentie werkdagen]]="","",_xlfn.CONCAT(Ruimtestaat[[#This Row],[Ruimte code]],"-",Ruimtestaat[[#This Row],[Frequentie werkdagen]]," ",Ruimtestaat[[#This Row],[Vloer code]]))</f>
        <v/>
      </c>
      <c r="AI645" s="182" t="str">
        <f>_xlfn.IFNA(VLOOKUP($AH645,Programma!$F$3:$G$1101,2,0),"")</f>
        <v/>
      </c>
      <c r="AJ645" s="182" t="str">
        <f>_xlfn.IFNA(VLOOKUP($AH645,Programma!$F$3:$H$1101,3,0),"")</f>
        <v/>
      </c>
      <c r="AK645" s="182" t="str">
        <f>_xlfn.IFNA(VLOOKUP($AH645,Programma!$F$3:$I$1101,4,0),"")</f>
        <v/>
      </c>
      <c r="AL645" s="182" t="str">
        <f>_xlfn.IFNA(VLOOKUP($AH645,Programma!$F$3:$J$1101,5,0),"")</f>
        <v/>
      </c>
      <c r="AM645" s="182" t="str">
        <f>_xlfn.IFNA(VLOOKUP($AH645,Programma!$F$3:$K$1101,6,0),"")</f>
        <v/>
      </c>
      <c r="AN645" s="182" t="str">
        <f>_xlfn.IFNA(VLOOKUP($AH645,Programma!$F$3:$L$1101,7,0),"")</f>
        <v/>
      </c>
      <c r="AO645" s="182" t="str">
        <f>_xlfn.IFNA(VLOOKUP($AH645,Programma!$F$3:$M$1101,8,0),"")</f>
        <v/>
      </c>
      <c r="AP645" s="182" t="str">
        <f>_xlfn.IFNA(VLOOKUP($AH645,Programma!$F$3:$N$1101,9,0),"")</f>
        <v/>
      </c>
      <c r="AQ645" s="182" t="str">
        <f>_xlfn.IFNA(VLOOKUP($AH645,Programma!$F$3:$O$1101,10,0),"")</f>
        <v/>
      </c>
      <c r="AR645" s="182" t="str">
        <f>_xlfn.IFNA(VLOOKUP($AH645,Programma!$F$3:$P$1101,11,0),"")</f>
        <v/>
      </c>
      <c r="AS645" s="182" t="str">
        <f>_xlfn.IFNA(VLOOKUP($AH645,Programma!$F$3:$Q$1101,12,0),"")</f>
        <v/>
      </c>
      <c r="AT645" s="182" t="str">
        <f>_xlfn.IFNA(VLOOKUP($AH645,Programma!$F$3:$R$1101,13,0),"")</f>
        <v/>
      </c>
      <c r="AU645" s="182" t="str">
        <f>_xlfn.IFNA(VLOOKUP($AH645,Programma!$F$3:$S$1101,14,0),"")</f>
        <v/>
      </c>
      <c r="AV645" s="182" t="str">
        <f>_xlfn.IFNA(VLOOKUP($AH645,Programma!$F$3:$T$1101,15,0),"")</f>
        <v/>
      </c>
      <c r="AW645" s="182" t="str">
        <f>_xlfn.IFNA(VLOOKUP($AH645,Programma!$F$3:$U$1101,16,0),"")</f>
        <v/>
      </c>
      <c r="AX645" s="182" t="str">
        <f>_xlfn.IFNA(VLOOKUP($AH645,Programma!$F$3:$V$1101,17,0),"")</f>
        <v/>
      </c>
      <c r="AY645" s="182" t="str">
        <f>_xlfn.IFNA(VLOOKUP($AH645,Programma!$F$3:$W$1101,18,0),"")</f>
        <v/>
      </c>
      <c r="AZ645" s="182" t="str">
        <f>_xlfn.IFNA(VLOOKUP($AH645,Programma!$F$3:$X$1101,19,0),"")</f>
        <v/>
      </c>
      <c r="BA645" s="182" t="str">
        <f>_xlfn.IFNA(VLOOKUP($AH645,Programma!$F$3:$Y$1101,20,0),"")</f>
        <v/>
      </c>
      <c r="BB645" s="182"/>
      <c r="BC645" s="174" t="str">
        <f>IF(Ruimtestaat[[#This Row],[Frequentie weekend]]="","",_xlfn.CONCAT(Ruimtestaat[[#This Row],[Ruimte code]],"-",Ruimtestaat[[#This Row],[Frequentie weekend]]," ",Ruimtestaat[[#This Row],[Vloer code]]))</f>
        <v/>
      </c>
      <c r="BD645" s="182" t="str">
        <f>_xlfn.IFNA(VLOOKUP($BC645,Programma!$F$3:$G$1101,2,0),"")</f>
        <v/>
      </c>
      <c r="BE645" s="182" t="str">
        <f>_xlfn.IFNA(VLOOKUP($BC645,Programma!$F$3:$H$1101,3,0),"")</f>
        <v/>
      </c>
      <c r="BF645" s="182" t="str">
        <f>_xlfn.IFNA(VLOOKUP($BC645,Programma!$F$3:$I$1101,4,0),"")</f>
        <v/>
      </c>
      <c r="BG645" s="182" t="str">
        <f>_xlfn.IFNA(VLOOKUP($BC645,Programma!$F$3:$J$1101,5,0),"")</f>
        <v/>
      </c>
      <c r="BH645" s="182" t="str">
        <f>_xlfn.IFNA(VLOOKUP($BC645,Programma!$F$3:$K$1101,6,0),"")</f>
        <v/>
      </c>
      <c r="BI645" s="182" t="str">
        <f>_xlfn.IFNA(VLOOKUP($BC645,Programma!$F$3:$L$1101,7,0),"")</f>
        <v/>
      </c>
      <c r="BJ645" s="182" t="str">
        <f>_xlfn.IFNA(VLOOKUP($BC645,Programma!$F$3:$M$1101,8,0),"")</f>
        <v/>
      </c>
      <c r="BK645" s="182" t="str">
        <f>_xlfn.IFNA(VLOOKUP($BC645,Programma!$F$3:$N$1101,9,0),"")</f>
        <v/>
      </c>
      <c r="BL645" s="182" t="str">
        <f>_xlfn.IFNA(VLOOKUP($BC645,Programma!$F$3:$O$1101,10,0),"")</f>
        <v/>
      </c>
      <c r="BM645" s="182" t="str">
        <f>_xlfn.IFNA(VLOOKUP($BC645,Programma!$F$3:$P$1101,11,0),"")</f>
        <v/>
      </c>
      <c r="BN645" s="182" t="str">
        <f>_xlfn.IFNA(VLOOKUP($BC645,Programma!$F$3:$Q$1101,12,0),"")</f>
        <v/>
      </c>
      <c r="BO645" s="182" t="str">
        <f>_xlfn.IFNA(VLOOKUP($BC645,Programma!$F$3:$R$1101,13,0),"")</f>
        <v/>
      </c>
      <c r="BP645" s="182" t="str">
        <f>_xlfn.IFNA(VLOOKUP($BC645,Programma!$F$3:$S$1101,14,0),"")</f>
        <v/>
      </c>
      <c r="BQ645" s="182" t="str">
        <f>_xlfn.IFNA(VLOOKUP($BC645,Programma!$F$3:$T$1101,15,0),"")</f>
        <v/>
      </c>
      <c r="BR645" s="182" t="str">
        <f>_xlfn.IFNA(VLOOKUP($BC645,Programma!$F$3:$U$1101,16,0),"")</f>
        <v/>
      </c>
      <c r="BS645" s="182" t="str">
        <f>_xlfn.IFNA(VLOOKUP($BC645,Programma!$F$3:$V$1101,17,0),"")</f>
        <v/>
      </c>
      <c r="BT645" s="182" t="str">
        <f>_xlfn.IFNA(VLOOKUP($BC645,Programma!$F$3:$W$1101,18,0),"")</f>
        <v/>
      </c>
      <c r="BU645" s="182" t="str">
        <f>_xlfn.IFNA(VLOOKUP($BC645,Programma!$F$3:$X$1101,19,0),"")</f>
        <v/>
      </c>
      <c r="BV645" s="182" t="str">
        <f>_xlfn.IFNA(VLOOKUP($BC645,Programma!$F$3:$Y$1101,20,0),"")</f>
        <v/>
      </c>
    </row>
    <row r="646" spans="1:74" ht="15" customHeight="1">
      <c r="A646" s="99">
        <v>18</v>
      </c>
      <c r="B646" s="176" t="str">
        <f>VLOOKUP(Ruimtestaat[[#This Row],[Code]],Locaties[[Code]:[Locatie]],2,FALSE)</f>
        <v>OBS De Linde (Thij)</v>
      </c>
      <c r="C646" s="176" t="str">
        <f>VLOOKUP(Ruimtestaat[[#This Row],[Code]],Locaties[[#All],[Code]:[Adres]],4,FALSE)</f>
        <v>Zandhorstlaan 99</v>
      </c>
      <c r="D646" s="176" t="str">
        <f>VLOOKUP(Ruimtestaat[[#This Row],[Code]],Locaties[[#All],[Code]:[Postcode]],5,FALSE)</f>
        <v>7576 VR</v>
      </c>
      <c r="E646" s="176" t="str">
        <f>VLOOKUP(Ruimtestaat[[#This Row],[Code]],Locaties[#All],6,FALSE)</f>
        <v>Oldenzaal</v>
      </c>
      <c r="F646" s="183"/>
      <c r="G646" s="99" t="s">
        <v>1646</v>
      </c>
      <c r="H646" s="99" t="s">
        <v>1661</v>
      </c>
      <c r="I646" s="183" t="s">
        <v>1679</v>
      </c>
      <c r="J646" s="99">
        <v>15</v>
      </c>
      <c r="K646" s="183" t="str">
        <f>VLOOKUP(Ruimtestaat[[#This Row],[Ruimte code]],Ruimtegroepen[[#All],[Code]:[Ruimte omschrijving]],2,FALSE)</f>
        <v>Keuken/pantry</v>
      </c>
      <c r="L646" s="99" t="s">
        <v>101</v>
      </c>
      <c r="M646" s="99" t="s">
        <v>1682</v>
      </c>
      <c r="N646" s="177">
        <v>6.7</v>
      </c>
      <c r="O646" s="177"/>
      <c r="P646" s="178" t="str">
        <f>VLOOKUP(Ruimtestaat[[#This Row],[Ruimte code]],Ruimtegroepen[],4,FALSE)</f>
        <v>Ve</v>
      </c>
      <c r="Q646" s="149">
        <v>40</v>
      </c>
      <c r="R646" s="149" t="s">
        <v>2</v>
      </c>
      <c r="S646" s="285">
        <f>IF(Q646&gt;0,IF(RIGHT(Ruimtestaat[[#This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6" s="286">
        <f>IF(S646&gt;0,VLOOKUP($J646,Ruimtegroepen[],3,FALSE)*VLOOKUP($L646,Vloersoorten[],3,FALSE)*VLOOKUP($R646,Frequenties[],3,FALSE)*VLOOKUP($A646,Locaties[],3,FALSE),0)</f>
        <v>0</v>
      </c>
      <c r="U646" s="287">
        <f>Ruimtestaat[[#This Row],[Uitvoeringen werkdagen]]*Ruimtestaat[[#This Row],[Oppervlak (netto)]]</f>
        <v>1340</v>
      </c>
      <c r="V646" s="288">
        <f>IF(T646&gt;0,Ruimtestaat[[#This Row],[Prest. (m2 /jaar) werkdagen]]/Ruimtestaat[[#This Row],[Norm (m2/uur) werkdagen]],0)</f>
        <v>0</v>
      </c>
      <c r="W646" s="289">
        <f>Ruimtestaat[[#This Row],[uren / jaar werkdagen]]*Tariefsopbouw!$E$35</f>
        <v>0</v>
      </c>
      <c r="X646" s="226"/>
      <c r="Y646" s="290">
        <f>IF(Ruimtestaat[[#This Row],[Frequentie weekend]]&gt;0,VALUE(LEFT(X646,1))*Q646,0)</f>
        <v>0</v>
      </c>
      <c r="Z646" s="287">
        <f>IF($Y646&gt;0,VLOOKUP($J646,Ruimtegroepen[],3,FALSE)*VLOOKUP($L646,Vloersoorten[],3,FALSE)*VLOOKUP($X646,Frequenties[],3,FALSE)*VLOOKUP(#REF!,Locaties[],3,FALSE),0)</f>
        <v>0</v>
      </c>
      <c r="AA646" s="291">
        <f>Ruimtestaat[[#This Row],[Uitvoeringen weekend]]*Ruimtestaat[[#This Row],[Oppervlak (netto)]]</f>
        <v>0</v>
      </c>
      <c r="AB646" s="291">
        <f>IF(Z646&gt;0,Ruimtestaat[[#This Row],[Prest. (m2 /jaar) weekend]]/Ruimtestaat[[#This Row],[Norm (m2/uur) weekend]],0)</f>
        <v>0</v>
      </c>
      <c r="AC646" s="180">
        <f>Ruimtestaat[[#This Row],[uren / jaar weekend]]*Tariefsopbouw!$D$40</f>
        <v>0</v>
      </c>
      <c r="AD646" s="179">
        <f>Ruimtestaat[[#This Row],[Prest. (m2 /jaar) weekend]]+Ruimtestaat[[#This Row],[Prest. (m2 /jaar) werkdagen]]</f>
        <v>1340</v>
      </c>
      <c r="AE646" s="179">
        <f>Ruimtestaat[[#This Row],[uren / jaar weekend]]+Ruimtestaat[[#This Row],[uren / jaar werkdagen]]</f>
        <v>0</v>
      </c>
      <c r="AF646" s="174">
        <f>Ruimtestaat[[#This Row],[kosten / jaar weekend]]+Ruimtestaat[[#This Row],[kosten / jaar werkdagen]]</f>
        <v>0</v>
      </c>
      <c r="AG646" s="174"/>
      <c r="AH646" s="174" t="str">
        <f>IF(Ruimtestaat[[#This Row],[Frequentie werkdagen]]="","",_xlfn.CONCAT(Ruimtestaat[[#This Row],[Ruimte code]],"-",Ruimtestaat[[#This Row],[Frequentie werkdagen]]," ",Ruimtestaat[[#This Row],[Vloer code]]))</f>
        <v>15-5w S</v>
      </c>
      <c r="AI646" s="182" t="str">
        <f>_xlfn.IFNA(VLOOKUP($AH646,Programma!$F$3:$G$1101,2,0),"")</f>
        <v>_</v>
      </c>
      <c r="AJ646" s="182" t="str">
        <f>_xlfn.IFNA(VLOOKUP($AH646,Programma!$F$3:$H$1101,3,0),"")</f>
        <v>_</v>
      </c>
      <c r="AK646" s="182" t="str">
        <f>_xlfn.IFNA(VLOOKUP($AH646,Programma!$F$3:$I$1101,4,0),"")</f>
        <v>5w</v>
      </c>
      <c r="AL646" s="182" t="str">
        <f>_xlfn.IFNA(VLOOKUP($AH646,Programma!$F$3:$J$1101,5,0),"")</f>
        <v>_</v>
      </c>
      <c r="AM646" s="182" t="str">
        <f>_xlfn.IFNA(VLOOKUP($AH646,Programma!$F$3:$K$1101,6,0),"")</f>
        <v>5w</v>
      </c>
      <c r="AN646" s="182" t="str">
        <f>_xlfn.IFNA(VLOOKUP($AH646,Programma!$F$3:$L$1101,7,0),"")</f>
        <v>_</v>
      </c>
      <c r="AO646" s="182" t="str">
        <f>_xlfn.IFNA(VLOOKUP($AH646,Programma!$F$3:$M$1101,8,0),"")</f>
        <v>_</v>
      </c>
      <c r="AP646" s="182" t="str">
        <f>_xlfn.IFNA(VLOOKUP($AH646,Programma!$F$3:$N$1101,9,0),"")</f>
        <v>_</v>
      </c>
      <c r="AQ646" s="182" t="str">
        <f>_xlfn.IFNA(VLOOKUP($AH646,Programma!$F$3:$O$1101,10,0),"")</f>
        <v>5w</v>
      </c>
      <c r="AR646" s="182" t="str">
        <f>_xlfn.IFNA(VLOOKUP($AH646,Programma!$F$3:$P$1101,11,0),"")</f>
        <v>5w</v>
      </c>
      <c r="AS646" s="182" t="str">
        <f>_xlfn.IFNA(VLOOKUP($AH646,Programma!$F$3:$Q$1101,12,0),"")</f>
        <v>1w</v>
      </c>
      <c r="AT646" s="182" t="str">
        <f>_xlfn.IFNA(VLOOKUP($AH646,Programma!$F$3:$R$1101,13,0),"")</f>
        <v>1w</v>
      </c>
      <c r="AU646" s="182" t="str">
        <f>_xlfn.IFNA(VLOOKUP($AH646,Programma!$F$3:$S$1101,14,0),"")</f>
        <v>1m</v>
      </c>
      <c r="AV646" s="182" t="str">
        <f>_xlfn.IFNA(VLOOKUP($AH646,Programma!$F$3:$T$1101,15,0),"")</f>
        <v>2j</v>
      </c>
      <c r="AW646" s="182" t="str">
        <f>_xlfn.IFNA(VLOOKUP($AH646,Programma!$F$3:$U$1101,16,0),"")</f>
        <v>1j</v>
      </c>
      <c r="AX646" s="182" t="str">
        <f>_xlfn.IFNA(VLOOKUP($AH646,Programma!$F$3:$V$1101,17,0),"")</f>
        <v>_</v>
      </c>
      <c r="AY646" s="182" t="str">
        <f>_xlfn.IFNA(VLOOKUP($AH646,Programma!$F$3:$W$1101,18,0),"")</f>
        <v>_</v>
      </c>
      <c r="AZ646" s="182" t="str">
        <f>_xlfn.IFNA(VLOOKUP($AH646,Programma!$F$3:$X$1101,19,0),"")</f>
        <v>_</v>
      </c>
      <c r="BA646" s="182" t="str">
        <f>_xlfn.IFNA(VLOOKUP($AH646,Programma!$F$3:$Y$1101,20,0),"")</f>
        <v>_</v>
      </c>
      <c r="BB646" s="182"/>
      <c r="BC646" s="174" t="str">
        <f>IF(Ruimtestaat[[#This Row],[Frequentie weekend]]="","",_xlfn.CONCAT(Ruimtestaat[[#This Row],[Ruimte code]],"-",Ruimtestaat[[#This Row],[Frequentie weekend]]," ",Ruimtestaat[[#This Row],[Vloer code]]))</f>
        <v/>
      </c>
      <c r="BD646" s="182" t="str">
        <f>_xlfn.IFNA(VLOOKUP($BC646,Programma!$F$3:$G$1101,2,0),"")</f>
        <v/>
      </c>
      <c r="BE646" s="182" t="str">
        <f>_xlfn.IFNA(VLOOKUP($BC646,Programma!$F$3:$H$1101,3,0),"")</f>
        <v/>
      </c>
      <c r="BF646" s="182" t="str">
        <f>_xlfn.IFNA(VLOOKUP($BC646,Programma!$F$3:$I$1101,4,0),"")</f>
        <v/>
      </c>
      <c r="BG646" s="182" t="str">
        <f>_xlfn.IFNA(VLOOKUP($BC646,Programma!$F$3:$J$1101,5,0),"")</f>
        <v/>
      </c>
      <c r="BH646" s="182" t="str">
        <f>_xlfn.IFNA(VLOOKUP($BC646,Programma!$F$3:$K$1101,6,0),"")</f>
        <v/>
      </c>
      <c r="BI646" s="182" t="str">
        <f>_xlfn.IFNA(VLOOKUP($BC646,Programma!$F$3:$L$1101,7,0),"")</f>
        <v/>
      </c>
      <c r="BJ646" s="182" t="str">
        <f>_xlfn.IFNA(VLOOKUP($BC646,Programma!$F$3:$M$1101,8,0),"")</f>
        <v/>
      </c>
      <c r="BK646" s="182" t="str">
        <f>_xlfn.IFNA(VLOOKUP($BC646,Programma!$F$3:$N$1101,9,0),"")</f>
        <v/>
      </c>
      <c r="BL646" s="182" t="str">
        <f>_xlfn.IFNA(VLOOKUP($BC646,Programma!$F$3:$O$1101,10,0),"")</f>
        <v/>
      </c>
      <c r="BM646" s="182" t="str">
        <f>_xlfn.IFNA(VLOOKUP($BC646,Programma!$F$3:$P$1101,11,0),"")</f>
        <v/>
      </c>
      <c r="BN646" s="182" t="str">
        <f>_xlfn.IFNA(VLOOKUP($BC646,Programma!$F$3:$Q$1101,12,0),"")</f>
        <v/>
      </c>
      <c r="BO646" s="182" t="str">
        <f>_xlfn.IFNA(VLOOKUP($BC646,Programma!$F$3:$R$1101,13,0),"")</f>
        <v/>
      </c>
      <c r="BP646" s="182" t="str">
        <f>_xlfn.IFNA(VLOOKUP($BC646,Programma!$F$3:$S$1101,14,0),"")</f>
        <v/>
      </c>
      <c r="BQ646" s="182" t="str">
        <f>_xlfn.IFNA(VLOOKUP($BC646,Programma!$F$3:$T$1101,15,0),"")</f>
        <v/>
      </c>
      <c r="BR646" s="182" t="str">
        <f>_xlfn.IFNA(VLOOKUP($BC646,Programma!$F$3:$U$1101,16,0),"")</f>
        <v/>
      </c>
      <c r="BS646" s="182" t="str">
        <f>_xlfn.IFNA(VLOOKUP($BC646,Programma!$F$3:$V$1101,17,0),"")</f>
        <v/>
      </c>
      <c r="BT646" s="182" t="str">
        <f>_xlfn.IFNA(VLOOKUP($BC646,Programma!$F$3:$W$1101,18,0),"")</f>
        <v/>
      </c>
      <c r="BU646" s="182" t="str">
        <f>_xlfn.IFNA(VLOOKUP($BC646,Programma!$F$3:$X$1101,19,0),"")</f>
        <v/>
      </c>
      <c r="BV646" s="182" t="str">
        <f>_xlfn.IFNA(VLOOKUP($BC646,Programma!$F$3:$Y$1101,20,0),"")</f>
        <v/>
      </c>
    </row>
    <row r="647" spans="1:74" ht="15" customHeight="1">
      <c r="A647" s="99">
        <v>18</v>
      </c>
      <c r="B647" s="176" t="str">
        <f>VLOOKUP(Ruimtestaat[[#This Row],[Code]],Locaties[[Code]:[Locatie]],2,FALSE)</f>
        <v>OBS De Linde (Thij)</v>
      </c>
      <c r="C647" s="176" t="str">
        <f>VLOOKUP(Ruimtestaat[[#This Row],[Code]],Locaties[[#All],[Code]:[Adres]],4,FALSE)</f>
        <v>Zandhorstlaan 99</v>
      </c>
      <c r="D647" s="176" t="str">
        <f>VLOOKUP(Ruimtestaat[[#This Row],[Code]],Locaties[[#All],[Code]:[Postcode]],5,FALSE)</f>
        <v>7576 VR</v>
      </c>
      <c r="E647" s="176" t="str">
        <f>VLOOKUP(Ruimtestaat[[#This Row],[Code]],Locaties[#All],6,FALSE)</f>
        <v>Oldenzaal</v>
      </c>
      <c r="F647" s="183"/>
      <c r="G647" s="99" t="s">
        <v>1646</v>
      </c>
      <c r="H647" s="99" t="s">
        <v>1662</v>
      </c>
      <c r="I647" s="183" t="s">
        <v>1722</v>
      </c>
      <c r="J647" s="99">
        <v>20</v>
      </c>
      <c r="K647" s="183" t="str">
        <f>VLOOKUP(Ruimtestaat[[#This Row],[Ruimte code]],Ruimtegroepen[[#All],[Code]:[Ruimte omschrijving]],2,FALSE)</f>
        <v>Niet in Onderhoud</v>
      </c>
      <c r="L647" s="99" t="s">
        <v>101</v>
      </c>
      <c r="M647" s="99" t="s">
        <v>1698</v>
      </c>
      <c r="N647" s="177"/>
      <c r="O647" s="177">
        <v>0</v>
      </c>
      <c r="P647" s="178">
        <f>VLOOKUP(Ruimtestaat[[#This Row],[Ruimte code]],Ruimtegroepen[],4,FALSE)</f>
        <v>0</v>
      </c>
      <c r="Q647" s="149"/>
      <c r="R647" s="149"/>
      <c r="S647" s="285">
        <f>IF(Q647&gt;0,IF(RIGHT(Ruimtestaat[[#This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7" s="286">
        <f>IF(S647&gt;0,VLOOKUP($J647,Ruimtegroepen[],3,FALSE)*VLOOKUP($L647,Vloersoorten[],3,FALSE)*VLOOKUP($R647,Frequenties[],3,FALSE)*VLOOKUP($A647,Locaties[],3,FALSE),0)</f>
        <v>0</v>
      </c>
      <c r="U647" s="287">
        <f>Ruimtestaat[[#This Row],[Uitvoeringen werkdagen]]*Ruimtestaat[[#This Row],[Oppervlak (netto)]]</f>
        <v>0</v>
      </c>
      <c r="V647" s="288">
        <f>IF(T647&gt;0,Ruimtestaat[[#This Row],[Prest. (m2 /jaar) werkdagen]]/Ruimtestaat[[#This Row],[Norm (m2/uur) werkdagen]],0)</f>
        <v>0</v>
      </c>
      <c r="W647" s="289">
        <f>Ruimtestaat[[#This Row],[uren / jaar werkdagen]]*Tariefsopbouw!$E$35</f>
        <v>0</v>
      </c>
      <c r="X647" s="226"/>
      <c r="Y647" s="290">
        <f>IF(Ruimtestaat[[#This Row],[Frequentie weekend]]&gt;0,VALUE(LEFT(X647,1))*Q647,0)</f>
        <v>0</v>
      </c>
      <c r="Z647" s="287">
        <f>IF($Y647&gt;0,VLOOKUP($J647,Ruimtegroepen[],3,FALSE)*VLOOKUP($L647,Vloersoorten[],3,FALSE)*VLOOKUP($X647,Frequenties[],3,FALSE)*VLOOKUP(#REF!,Locaties[],3,FALSE),0)</f>
        <v>0</v>
      </c>
      <c r="AA647" s="291">
        <f>Ruimtestaat[[#This Row],[Uitvoeringen weekend]]*Ruimtestaat[[#This Row],[Oppervlak (netto)]]</f>
        <v>0</v>
      </c>
      <c r="AB647" s="291">
        <f>IF(Z647&gt;0,Ruimtestaat[[#This Row],[Prest. (m2 /jaar) weekend]]/Ruimtestaat[[#This Row],[Norm (m2/uur) weekend]],0)</f>
        <v>0</v>
      </c>
      <c r="AC647" s="180">
        <f>Ruimtestaat[[#This Row],[uren / jaar weekend]]*Tariefsopbouw!$D$40</f>
        <v>0</v>
      </c>
      <c r="AD647" s="179">
        <f>Ruimtestaat[[#This Row],[Prest. (m2 /jaar) weekend]]+Ruimtestaat[[#This Row],[Prest. (m2 /jaar) werkdagen]]</f>
        <v>0</v>
      </c>
      <c r="AE647" s="179">
        <f>Ruimtestaat[[#This Row],[uren / jaar weekend]]+Ruimtestaat[[#This Row],[uren / jaar werkdagen]]</f>
        <v>0</v>
      </c>
      <c r="AF647" s="174">
        <f>Ruimtestaat[[#This Row],[kosten / jaar weekend]]+Ruimtestaat[[#This Row],[kosten / jaar werkdagen]]</f>
        <v>0</v>
      </c>
      <c r="AG647" s="174"/>
      <c r="AH647" s="174" t="str">
        <f>IF(Ruimtestaat[[#This Row],[Frequentie werkdagen]]="","",_xlfn.CONCAT(Ruimtestaat[[#This Row],[Ruimte code]],"-",Ruimtestaat[[#This Row],[Frequentie werkdagen]]," ",Ruimtestaat[[#This Row],[Vloer code]]))</f>
        <v/>
      </c>
      <c r="AI647" s="182" t="str">
        <f>_xlfn.IFNA(VLOOKUP($AH647,Programma!$F$3:$G$1101,2,0),"")</f>
        <v/>
      </c>
      <c r="AJ647" s="182" t="str">
        <f>_xlfn.IFNA(VLOOKUP($AH647,Programma!$F$3:$H$1101,3,0),"")</f>
        <v/>
      </c>
      <c r="AK647" s="182" t="str">
        <f>_xlfn.IFNA(VLOOKUP($AH647,Programma!$F$3:$I$1101,4,0),"")</f>
        <v/>
      </c>
      <c r="AL647" s="182" t="str">
        <f>_xlfn.IFNA(VLOOKUP($AH647,Programma!$F$3:$J$1101,5,0),"")</f>
        <v/>
      </c>
      <c r="AM647" s="182" t="str">
        <f>_xlfn.IFNA(VLOOKUP($AH647,Programma!$F$3:$K$1101,6,0),"")</f>
        <v/>
      </c>
      <c r="AN647" s="182" t="str">
        <f>_xlfn.IFNA(VLOOKUP($AH647,Programma!$F$3:$L$1101,7,0),"")</f>
        <v/>
      </c>
      <c r="AO647" s="182" t="str">
        <f>_xlfn.IFNA(VLOOKUP($AH647,Programma!$F$3:$M$1101,8,0),"")</f>
        <v/>
      </c>
      <c r="AP647" s="182" t="str">
        <f>_xlfn.IFNA(VLOOKUP($AH647,Programma!$F$3:$N$1101,9,0),"")</f>
        <v/>
      </c>
      <c r="AQ647" s="182" t="str">
        <f>_xlfn.IFNA(VLOOKUP($AH647,Programma!$F$3:$O$1101,10,0),"")</f>
        <v/>
      </c>
      <c r="AR647" s="182" t="str">
        <f>_xlfn.IFNA(VLOOKUP($AH647,Programma!$F$3:$P$1101,11,0),"")</f>
        <v/>
      </c>
      <c r="AS647" s="182" t="str">
        <f>_xlfn.IFNA(VLOOKUP($AH647,Programma!$F$3:$Q$1101,12,0),"")</f>
        <v/>
      </c>
      <c r="AT647" s="182" t="str">
        <f>_xlfn.IFNA(VLOOKUP($AH647,Programma!$F$3:$R$1101,13,0),"")</f>
        <v/>
      </c>
      <c r="AU647" s="182" t="str">
        <f>_xlfn.IFNA(VLOOKUP($AH647,Programma!$F$3:$S$1101,14,0),"")</f>
        <v/>
      </c>
      <c r="AV647" s="182" t="str">
        <f>_xlfn.IFNA(VLOOKUP($AH647,Programma!$F$3:$T$1101,15,0),"")</f>
        <v/>
      </c>
      <c r="AW647" s="182" t="str">
        <f>_xlfn.IFNA(VLOOKUP($AH647,Programma!$F$3:$U$1101,16,0),"")</f>
        <v/>
      </c>
      <c r="AX647" s="182" t="str">
        <f>_xlfn.IFNA(VLOOKUP($AH647,Programma!$F$3:$V$1101,17,0),"")</f>
        <v/>
      </c>
      <c r="AY647" s="182" t="str">
        <f>_xlfn.IFNA(VLOOKUP($AH647,Programma!$F$3:$W$1101,18,0),"")</f>
        <v/>
      </c>
      <c r="AZ647" s="182" t="str">
        <f>_xlfn.IFNA(VLOOKUP($AH647,Programma!$F$3:$X$1101,19,0),"")</f>
        <v/>
      </c>
      <c r="BA647" s="182" t="str">
        <f>_xlfn.IFNA(VLOOKUP($AH647,Programma!$F$3:$Y$1101,20,0),"")</f>
        <v/>
      </c>
      <c r="BB647" s="182"/>
      <c r="BC647" s="174" t="str">
        <f>IF(Ruimtestaat[[#This Row],[Frequentie weekend]]="","",_xlfn.CONCAT(Ruimtestaat[[#This Row],[Ruimte code]],"-",Ruimtestaat[[#This Row],[Frequentie weekend]]," ",Ruimtestaat[[#This Row],[Vloer code]]))</f>
        <v/>
      </c>
      <c r="BD647" s="182" t="str">
        <f>_xlfn.IFNA(VLOOKUP($BC647,Programma!$F$3:$G$1101,2,0),"")</f>
        <v/>
      </c>
      <c r="BE647" s="182" t="str">
        <f>_xlfn.IFNA(VLOOKUP($BC647,Programma!$F$3:$H$1101,3,0),"")</f>
        <v/>
      </c>
      <c r="BF647" s="182" t="str">
        <f>_xlfn.IFNA(VLOOKUP($BC647,Programma!$F$3:$I$1101,4,0),"")</f>
        <v/>
      </c>
      <c r="BG647" s="182" t="str">
        <f>_xlfn.IFNA(VLOOKUP($BC647,Programma!$F$3:$J$1101,5,0),"")</f>
        <v/>
      </c>
      <c r="BH647" s="182" t="str">
        <f>_xlfn.IFNA(VLOOKUP($BC647,Programma!$F$3:$K$1101,6,0),"")</f>
        <v/>
      </c>
      <c r="BI647" s="182" t="str">
        <f>_xlfn.IFNA(VLOOKUP($BC647,Programma!$F$3:$L$1101,7,0),"")</f>
        <v/>
      </c>
      <c r="BJ647" s="182" t="str">
        <f>_xlfn.IFNA(VLOOKUP($BC647,Programma!$F$3:$M$1101,8,0),"")</f>
        <v/>
      </c>
      <c r="BK647" s="182" t="str">
        <f>_xlfn.IFNA(VLOOKUP($BC647,Programma!$F$3:$N$1101,9,0),"")</f>
        <v/>
      </c>
      <c r="BL647" s="182" t="str">
        <f>_xlfn.IFNA(VLOOKUP($BC647,Programma!$F$3:$O$1101,10,0),"")</f>
        <v/>
      </c>
      <c r="BM647" s="182" t="str">
        <f>_xlfn.IFNA(VLOOKUP($BC647,Programma!$F$3:$P$1101,11,0),"")</f>
        <v/>
      </c>
      <c r="BN647" s="182" t="str">
        <f>_xlfn.IFNA(VLOOKUP($BC647,Programma!$F$3:$Q$1101,12,0),"")</f>
        <v/>
      </c>
      <c r="BO647" s="182" t="str">
        <f>_xlfn.IFNA(VLOOKUP($BC647,Programma!$F$3:$R$1101,13,0),"")</f>
        <v/>
      </c>
      <c r="BP647" s="182" t="str">
        <f>_xlfn.IFNA(VLOOKUP($BC647,Programma!$F$3:$S$1101,14,0),"")</f>
        <v/>
      </c>
      <c r="BQ647" s="182" t="str">
        <f>_xlfn.IFNA(VLOOKUP($BC647,Programma!$F$3:$T$1101,15,0),"")</f>
        <v/>
      </c>
      <c r="BR647" s="182" t="str">
        <f>_xlfn.IFNA(VLOOKUP($BC647,Programma!$F$3:$U$1101,16,0),"")</f>
        <v/>
      </c>
      <c r="BS647" s="182" t="str">
        <f>_xlfn.IFNA(VLOOKUP($BC647,Programma!$F$3:$V$1101,17,0),"")</f>
        <v/>
      </c>
      <c r="BT647" s="182" t="str">
        <f>_xlfn.IFNA(VLOOKUP($BC647,Programma!$F$3:$W$1101,18,0),"")</f>
        <v/>
      </c>
      <c r="BU647" s="182" t="str">
        <f>_xlfn.IFNA(VLOOKUP($BC647,Programma!$F$3:$X$1101,19,0),"")</f>
        <v/>
      </c>
      <c r="BV647" s="182" t="str">
        <f>_xlfn.IFNA(VLOOKUP($BC647,Programma!$F$3:$Y$1101,20,0),"")</f>
        <v/>
      </c>
    </row>
    <row r="648" spans="1:74" ht="15" customHeight="1">
      <c r="A648" s="99">
        <v>18</v>
      </c>
      <c r="B648" s="176" t="str">
        <f>VLOOKUP(Ruimtestaat[[#This Row],[Code]],Locaties[[Code]:[Locatie]],2,FALSE)</f>
        <v>OBS De Linde (Thij)</v>
      </c>
      <c r="C648" s="176" t="str">
        <f>VLOOKUP(Ruimtestaat[[#This Row],[Code]],Locaties[[#All],[Code]:[Adres]],4,FALSE)</f>
        <v>Zandhorstlaan 99</v>
      </c>
      <c r="D648" s="176" t="str">
        <f>VLOOKUP(Ruimtestaat[[#This Row],[Code]],Locaties[[#All],[Code]:[Postcode]],5,FALSE)</f>
        <v>7576 VR</v>
      </c>
      <c r="E648" s="176" t="str">
        <f>VLOOKUP(Ruimtestaat[[#This Row],[Code]],Locaties[#All],6,FALSE)</f>
        <v>Oldenzaal</v>
      </c>
      <c r="F648" s="183"/>
      <c r="G648" s="99" t="s">
        <v>1646</v>
      </c>
      <c r="H648" s="99" t="s">
        <v>1663</v>
      </c>
      <c r="I648" s="183" t="s">
        <v>1722</v>
      </c>
      <c r="J648" s="99">
        <v>20</v>
      </c>
      <c r="K648" s="183" t="str">
        <f>VLOOKUP(Ruimtestaat[[#This Row],[Ruimte code]],Ruimtegroepen[[#All],[Code]:[Ruimte omschrijving]],2,FALSE)</f>
        <v>Niet in Onderhoud</v>
      </c>
      <c r="L648" s="99" t="s">
        <v>101</v>
      </c>
      <c r="M648" s="99" t="s">
        <v>1698</v>
      </c>
      <c r="N648" s="177"/>
      <c r="O648" s="177">
        <v>0</v>
      </c>
      <c r="P648" s="178">
        <f>VLOOKUP(Ruimtestaat[[#This Row],[Ruimte code]],Ruimtegroepen[],4,FALSE)</f>
        <v>0</v>
      </c>
      <c r="Q648" s="149"/>
      <c r="R648" s="149"/>
      <c r="S648" s="285">
        <f>IF(Q648&gt;0,IF(RIGHT(Ruimtestaat[[#This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8" s="286">
        <f>IF(S648&gt;0,VLOOKUP($J648,Ruimtegroepen[],3,FALSE)*VLOOKUP($L648,Vloersoorten[],3,FALSE)*VLOOKUP($R648,Frequenties[],3,FALSE)*VLOOKUP($A648,Locaties[],3,FALSE),0)</f>
        <v>0</v>
      </c>
      <c r="U648" s="287">
        <f>Ruimtestaat[[#This Row],[Uitvoeringen werkdagen]]*Ruimtestaat[[#This Row],[Oppervlak (netto)]]</f>
        <v>0</v>
      </c>
      <c r="V648" s="288">
        <f>IF(T648&gt;0,Ruimtestaat[[#This Row],[Prest. (m2 /jaar) werkdagen]]/Ruimtestaat[[#This Row],[Norm (m2/uur) werkdagen]],0)</f>
        <v>0</v>
      </c>
      <c r="W648" s="289">
        <f>Ruimtestaat[[#This Row],[uren / jaar werkdagen]]*Tariefsopbouw!$E$35</f>
        <v>0</v>
      </c>
      <c r="X648" s="226"/>
      <c r="Y648" s="290">
        <f>IF(Ruimtestaat[[#This Row],[Frequentie weekend]]&gt;0,VALUE(LEFT(X648,1))*Q648,0)</f>
        <v>0</v>
      </c>
      <c r="Z648" s="287">
        <f>IF($Y648&gt;0,VLOOKUP($J648,Ruimtegroepen[],3,FALSE)*VLOOKUP($L648,Vloersoorten[],3,FALSE)*VLOOKUP($X648,Frequenties[],3,FALSE)*VLOOKUP(#REF!,Locaties[],3,FALSE),0)</f>
        <v>0</v>
      </c>
      <c r="AA648" s="291">
        <f>Ruimtestaat[[#This Row],[Uitvoeringen weekend]]*Ruimtestaat[[#This Row],[Oppervlak (netto)]]</f>
        <v>0</v>
      </c>
      <c r="AB648" s="291">
        <f>IF(Z648&gt;0,Ruimtestaat[[#This Row],[Prest. (m2 /jaar) weekend]]/Ruimtestaat[[#This Row],[Norm (m2/uur) weekend]],0)</f>
        <v>0</v>
      </c>
      <c r="AC648" s="180">
        <f>Ruimtestaat[[#This Row],[uren / jaar weekend]]*Tariefsopbouw!$D$40</f>
        <v>0</v>
      </c>
      <c r="AD648" s="179">
        <f>Ruimtestaat[[#This Row],[Prest. (m2 /jaar) weekend]]+Ruimtestaat[[#This Row],[Prest. (m2 /jaar) werkdagen]]</f>
        <v>0</v>
      </c>
      <c r="AE648" s="179">
        <f>Ruimtestaat[[#This Row],[uren / jaar weekend]]+Ruimtestaat[[#This Row],[uren / jaar werkdagen]]</f>
        <v>0</v>
      </c>
      <c r="AF648" s="174">
        <f>Ruimtestaat[[#This Row],[kosten / jaar weekend]]+Ruimtestaat[[#This Row],[kosten / jaar werkdagen]]</f>
        <v>0</v>
      </c>
      <c r="AG648" s="174"/>
      <c r="AH648" s="174" t="str">
        <f>IF(Ruimtestaat[[#This Row],[Frequentie werkdagen]]="","",_xlfn.CONCAT(Ruimtestaat[[#This Row],[Ruimte code]],"-",Ruimtestaat[[#This Row],[Frequentie werkdagen]]," ",Ruimtestaat[[#This Row],[Vloer code]]))</f>
        <v/>
      </c>
      <c r="AI648" s="182" t="str">
        <f>_xlfn.IFNA(VLOOKUP($AH648,Programma!$F$3:$G$1101,2,0),"")</f>
        <v/>
      </c>
      <c r="AJ648" s="182" t="str">
        <f>_xlfn.IFNA(VLOOKUP($AH648,Programma!$F$3:$H$1101,3,0),"")</f>
        <v/>
      </c>
      <c r="AK648" s="182" t="str">
        <f>_xlfn.IFNA(VLOOKUP($AH648,Programma!$F$3:$I$1101,4,0),"")</f>
        <v/>
      </c>
      <c r="AL648" s="182" t="str">
        <f>_xlfn.IFNA(VLOOKUP($AH648,Programma!$F$3:$J$1101,5,0),"")</f>
        <v/>
      </c>
      <c r="AM648" s="182" t="str">
        <f>_xlfn.IFNA(VLOOKUP($AH648,Programma!$F$3:$K$1101,6,0),"")</f>
        <v/>
      </c>
      <c r="AN648" s="182" t="str">
        <f>_xlfn.IFNA(VLOOKUP($AH648,Programma!$F$3:$L$1101,7,0),"")</f>
        <v/>
      </c>
      <c r="AO648" s="182" t="str">
        <f>_xlfn.IFNA(VLOOKUP($AH648,Programma!$F$3:$M$1101,8,0),"")</f>
        <v/>
      </c>
      <c r="AP648" s="182" t="str">
        <f>_xlfn.IFNA(VLOOKUP($AH648,Programma!$F$3:$N$1101,9,0),"")</f>
        <v/>
      </c>
      <c r="AQ648" s="182" t="str">
        <f>_xlfn.IFNA(VLOOKUP($AH648,Programma!$F$3:$O$1101,10,0),"")</f>
        <v/>
      </c>
      <c r="AR648" s="182" t="str">
        <f>_xlfn.IFNA(VLOOKUP($AH648,Programma!$F$3:$P$1101,11,0),"")</f>
        <v/>
      </c>
      <c r="AS648" s="182" t="str">
        <f>_xlfn.IFNA(VLOOKUP($AH648,Programma!$F$3:$Q$1101,12,0),"")</f>
        <v/>
      </c>
      <c r="AT648" s="182" t="str">
        <f>_xlfn.IFNA(VLOOKUP($AH648,Programma!$F$3:$R$1101,13,0),"")</f>
        <v/>
      </c>
      <c r="AU648" s="182" t="str">
        <f>_xlfn.IFNA(VLOOKUP($AH648,Programma!$F$3:$S$1101,14,0),"")</f>
        <v/>
      </c>
      <c r="AV648" s="182" t="str">
        <f>_xlfn.IFNA(VLOOKUP($AH648,Programma!$F$3:$T$1101,15,0),"")</f>
        <v/>
      </c>
      <c r="AW648" s="182" t="str">
        <f>_xlfn.IFNA(VLOOKUP($AH648,Programma!$F$3:$U$1101,16,0),"")</f>
        <v/>
      </c>
      <c r="AX648" s="182" t="str">
        <f>_xlfn.IFNA(VLOOKUP($AH648,Programma!$F$3:$V$1101,17,0),"")</f>
        <v/>
      </c>
      <c r="AY648" s="182" t="str">
        <f>_xlfn.IFNA(VLOOKUP($AH648,Programma!$F$3:$W$1101,18,0),"")</f>
        <v/>
      </c>
      <c r="AZ648" s="182" t="str">
        <f>_xlfn.IFNA(VLOOKUP($AH648,Programma!$F$3:$X$1101,19,0),"")</f>
        <v/>
      </c>
      <c r="BA648" s="182" t="str">
        <f>_xlfn.IFNA(VLOOKUP($AH648,Programma!$F$3:$Y$1101,20,0),"")</f>
        <v/>
      </c>
      <c r="BB648" s="182"/>
      <c r="BC648" s="174" t="str">
        <f>IF(Ruimtestaat[[#This Row],[Frequentie weekend]]="","",_xlfn.CONCAT(Ruimtestaat[[#This Row],[Ruimte code]],"-",Ruimtestaat[[#This Row],[Frequentie weekend]]," ",Ruimtestaat[[#This Row],[Vloer code]]))</f>
        <v/>
      </c>
      <c r="BD648" s="182" t="str">
        <f>_xlfn.IFNA(VLOOKUP($BC648,Programma!$F$3:$G$1101,2,0),"")</f>
        <v/>
      </c>
      <c r="BE648" s="182" t="str">
        <f>_xlfn.IFNA(VLOOKUP($BC648,Programma!$F$3:$H$1101,3,0),"")</f>
        <v/>
      </c>
      <c r="BF648" s="182" t="str">
        <f>_xlfn.IFNA(VLOOKUP($BC648,Programma!$F$3:$I$1101,4,0),"")</f>
        <v/>
      </c>
      <c r="BG648" s="182" t="str">
        <f>_xlfn.IFNA(VLOOKUP($BC648,Programma!$F$3:$J$1101,5,0),"")</f>
        <v/>
      </c>
      <c r="BH648" s="182" t="str">
        <f>_xlfn.IFNA(VLOOKUP($BC648,Programma!$F$3:$K$1101,6,0),"")</f>
        <v/>
      </c>
      <c r="BI648" s="182" t="str">
        <f>_xlfn.IFNA(VLOOKUP($BC648,Programma!$F$3:$L$1101,7,0),"")</f>
        <v/>
      </c>
      <c r="BJ648" s="182" t="str">
        <f>_xlfn.IFNA(VLOOKUP($BC648,Programma!$F$3:$M$1101,8,0),"")</f>
        <v/>
      </c>
      <c r="BK648" s="182" t="str">
        <f>_xlfn.IFNA(VLOOKUP($BC648,Programma!$F$3:$N$1101,9,0),"")</f>
        <v/>
      </c>
      <c r="BL648" s="182" t="str">
        <f>_xlfn.IFNA(VLOOKUP($BC648,Programma!$F$3:$O$1101,10,0),"")</f>
        <v/>
      </c>
      <c r="BM648" s="182" t="str">
        <f>_xlfn.IFNA(VLOOKUP($BC648,Programma!$F$3:$P$1101,11,0),"")</f>
        <v/>
      </c>
      <c r="BN648" s="182" t="str">
        <f>_xlfn.IFNA(VLOOKUP($BC648,Programma!$F$3:$Q$1101,12,0),"")</f>
        <v/>
      </c>
      <c r="BO648" s="182" t="str">
        <f>_xlfn.IFNA(VLOOKUP($BC648,Programma!$F$3:$R$1101,13,0),"")</f>
        <v/>
      </c>
      <c r="BP648" s="182" t="str">
        <f>_xlfn.IFNA(VLOOKUP($BC648,Programma!$F$3:$S$1101,14,0),"")</f>
        <v/>
      </c>
      <c r="BQ648" s="182" t="str">
        <f>_xlfn.IFNA(VLOOKUP($BC648,Programma!$F$3:$T$1101,15,0),"")</f>
        <v/>
      </c>
      <c r="BR648" s="182" t="str">
        <f>_xlfn.IFNA(VLOOKUP($BC648,Programma!$F$3:$U$1101,16,0),"")</f>
        <v/>
      </c>
      <c r="BS648" s="182" t="str">
        <f>_xlfn.IFNA(VLOOKUP($BC648,Programma!$F$3:$V$1101,17,0),"")</f>
        <v/>
      </c>
      <c r="BT648" s="182" t="str">
        <f>_xlfn.IFNA(VLOOKUP($BC648,Programma!$F$3:$W$1101,18,0),"")</f>
        <v/>
      </c>
      <c r="BU648" s="182" t="str">
        <f>_xlfn.IFNA(VLOOKUP($BC648,Programma!$F$3:$X$1101,19,0),"")</f>
        <v/>
      </c>
      <c r="BV648" s="182" t="str">
        <f>_xlfn.IFNA(VLOOKUP($BC648,Programma!$F$3:$Y$1101,20,0),"")</f>
        <v/>
      </c>
    </row>
    <row r="649" spans="1:74" ht="15" customHeight="1">
      <c r="A649" s="99">
        <v>18</v>
      </c>
      <c r="B649" s="176" t="str">
        <f>VLOOKUP(Ruimtestaat[[#This Row],[Code]],Locaties[[Code]:[Locatie]],2,FALSE)</f>
        <v>OBS De Linde (Thij)</v>
      </c>
      <c r="C649" s="176" t="str">
        <f>VLOOKUP(Ruimtestaat[[#This Row],[Code]],Locaties[[#All],[Code]:[Adres]],4,FALSE)</f>
        <v>Zandhorstlaan 99</v>
      </c>
      <c r="D649" s="176" t="str">
        <f>VLOOKUP(Ruimtestaat[[#This Row],[Code]],Locaties[[#All],[Code]:[Postcode]],5,FALSE)</f>
        <v>7576 VR</v>
      </c>
      <c r="E649" s="176" t="str">
        <f>VLOOKUP(Ruimtestaat[[#This Row],[Code]],Locaties[#All],6,FALSE)</f>
        <v>Oldenzaal</v>
      </c>
      <c r="F649" s="183"/>
      <c r="G649" s="99" t="s">
        <v>1646</v>
      </c>
      <c r="H649" s="99" t="s">
        <v>1664</v>
      </c>
      <c r="I649" s="183" t="s">
        <v>1684</v>
      </c>
      <c r="J649" s="99">
        <v>5</v>
      </c>
      <c r="K649" s="183" t="str">
        <f>VLOOKUP(Ruimtestaat[[#This Row],[Ruimte code]],Ruimtegroepen[[#All],[Code]:[Ruimte omschrijving]],2,FALSE)</f>
        <v>Sanitair</v>
      </c>
      <c r="L649" s="99" t="s">
        <v>101</v>
      </c>
      <c r="M649" s="99" t="s">
        <v>1682</v>
      </c>
      <c r="N649" s="177">
        <v>3.9</v>
      </c>
      <c r="O649" s="177"/>
      <c r="P649" s="178" t="str">
        <f>VLOOKUP(Ruimtestaat[[#This Row],[Ruimte code]],Ruimtegroepen[],4,FALSE)</f>
        <v>Sa</v>
      </c>
      <c r="Q649" s="149">
        <v>40</v>
      </c>
      <c r="R649" s="149" t="s">
        <v>2</v>
      </c>
      <c r="S649" s="285">
        <f>IF(Q649&gt;0,IF(RIGHT(Ruimtestaat[[#This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49" s="286">
        <f>IF(S649&gt;0,VLOOKUP($J649,Ruimtegroepen[],3,FALSE)*VLOOKUP($L649,Vloersoorten[],3,FALSE)*VLOOKUP($R649,Frequenties[],3,FALSE)*VLOOKUP($A649,Locaties[],3,FALSE),0)</f>
        <v>0</v>
      </c>
      <c r="U649" s="287">
        <f>Ruimtestaat[[#This Row],[Uitvoeringen werkdagen]]*Ruimtestaat[[#This Row],[Oppervlak (netto)]]</f>
        <v>780</v>
      </c>
      <c r="V649" s="288">
        <f>IF(T649&gt;0,Ruimtestaat[[#This Row],[Prest. (m2 /jaar) werkdagen]]/Ruimtestaat[[#This Row],[Norm (m2/uur) werkdagen]],0)</f>
        <v>0</v>
      </c>
      <c r="W649" s="289">
        <f>Ruimtestaat[[#This Row],[uren / jaar werkdagen]]*Tariefsopbouw!$E$35</f>
        <v>0</v>
      </c>
      <c r="X649" s="226"/>
      <c r="Y649" s="290">
        <f>IF(Ruimtestaat[[#This Row],[Frequentie weekend]]&gt;0,VALUE(LEFT(X649,1))*Q649,0)</f>
        <v>0</v>
      </c>
      <c r="Z649" s="287">
        <f>IF($Y649&gt;0,VLOOKUP($J649,Ruimtegroepen[],3,FALSE)*VLOOKUP($L649,Vloersoorten[],3,FALSE)*VLOOKUP($X649,Frequenties[],3,FALSE)*VLOOKUP(#REF!,Locaties[],3,FALSE),0)</f>
        <v>0</v>
      </c>
      <c r="AA649" s="291">
        <f>Ruimtestaat[[#This Row],[Uitvoeringen weekend]]*Ruimtestaat[[#This Row],[Oppervlak (netto)]]</f>
        <v>0</v>
      </c>
      <c r="AB649" s="291">
        <f>IF(Z649&gt;0,Ruimtestaat[[#This Row],[Prest. (m2 /jaar) weekend]]/Ruimtestaat[[#This Row],[Norm (m2/uur) weekend]],0)</f>
        <v>0</v>
      </c>
      <c r="AC649" s="180">
        <f>Ruimtestaat[[#This Row],[uren / jaar weekend]]*Tariefsopbouw!$D$40</f>
        <v>0</v>
      </c>
      <c r="AD649" s="179">
        <f>Ruimtestaat[[#This Row],[Prest. (m2 /jaar) weekend]]+Ruimtestaat[[#This Row],[Prest. (m2 /jaar) werkdagen]]</f>
        <v>780</v>
      </c>
      <c r="AE649" s="179">
        <f>Ruimtestaat[[#This Row],[uren / jaar weekend]]+Ruimtestaat[[#This Row],[uren / jaar werkdagen]]</f>
        <v>0</v>
      </c>
      <c r="AF649" s="174">
        <f>Ruimtestaat[[#This Row],[kosten / jaar weekend]]+Ruimtestaat[[#This Row],[kosten / jaar werkdagen]]</f>
        <v>0</v>
      </c>
      <c r="AG649" s="174"/>
      <c r="AH649" s="174" t="str">
        <f>IF(Ruimtestaat[[#This Row],[Frequentie werkdagen]]="","",_xlfn.CONCAT(Ruimtestaat[[#This Row],[Ruimte code]],"-",Ruimtestaat[[#This Row],[Frequentie werkdagen]]," ",Ruimtestaat[[#This Row],[Vloer code]]))</f>
        <v>5-5w S</v>
      </c>
      <c r="AI649" s="182" t="str">
        <f>_xlfn.IFNA(VLOOKUP($AH649,Programma!$F$3:$G$1101,2,0),"")</f>
        <v>_</v>
      </c>
      <c r="AJ649" s="182" t="str">
        <f>_xlfn.IFNA(VLOOKUP($AH649,Programma!$F$3:$H$1101,3,0),"")</f>
        <v>_</v>
      </c>
      <c r="AK649" s="182" t="str">
        <f>_xlfn.IFNA(VLOOKUP($AH649,Programma!$F$3:$I$1101,4,0),"")</f>
        <v>_</v>
      </c>
      <c r="AL649" s="182" t="str">
        <f>_xlfn.IFNA(VLOOKUP($AH649,Programma!$F$3:$J$1101,5,0),"")</f>
        <v>4w</v>
      </c>
      <c r="AM649" s="182" t="str">
        <f>_xlfn.IFNA(VLOOKUP($AH649,Programma!$F$3:$K$1101,6,0),"")</f>
        <v>1w</v>
      </c>
      <c r="AN649" s="182" t="str">
        <f>_xlfn.IFNA(VLOOKUP($AH649,Programma!$F$3:$L$1101,7,0),"")</f>
        <v>_</v>
      </c>
      <c r="AO649" s="182" t="str">
        <f>_xlfn.IFNA(VLOOKUP($AH649,Programma!$F$3:$M$1101,8,0),"")</f>
        <v>_</v>
      </c>
      <c r="AP649" s="182" t="str">
        <f>_xlfn.IFNA(VLOOKUP($AH649,Programma!$F$3:$N$1101,9,0),"")</f>
        <v>_</v>
      </c>
      <c r="AQ649" s="182" t="str">
        <f>_xlfn.IFNA(VLOOKUP($AH649,Programma!$F$3:$O$1101,10,0),"")</f>
        <v>_</v>
      </c>
      <c r="AR649" s="182" t="str">
        <f>_xlfn.IFNA(VLOOKUP($AH649,Programma!$F$3:$P$1101,11,0),"")</f>
        <v>_</v>
      </c>
      <c r="AS649" s="182" t="str">
        <f>_xlfn.IFNA(VLOOKUP($AH649,Programma!$F$3:$Q$1101,12,0),"")</f>
        <v>_</v>
      </c>
      <c r="AT649" s="182" t="str">
        <f>_xlfn.IFNA(VLOOKUP($AH649,Programma!$F$3:$R$1101,13,0),"")</f>
        <v>_</v>
      </c>
      <c r="AU649" s="182" t="str">
        <f>_xlfn.IFNA(VLOOKUP($AH649,Programma!$F$3:$S$1101,14,0),"")</f>
        <v>_</v>
      </c>
      <c r="AV649" s="182" t="str">
        <f>_xlfn.IFNA(VLOOKUP($AH649,Programma!$F$3:$T$1101,15,0),"")</f>
        <v>_</v>
      </c>
      <c r="AW649" s="182" t="str">
        <f>_xlfn.IFNA(VLOOKUP($AH649,Programma!$F$3:$U$1101,16,0),"")</f>
        <v>_</v>
      </c>
      <c r="AX649" s="182" t="str">
        <f>_xlfn.IFNA(VLOOKUP($AH649,Programma!$F$3:$V$1101,17,0),"")</f>
        <v>_</v>
      </c>
      <c r="AY649" s="182" t="str">
        <f>_xlfn.IFNA(VLOOKUP($AH649,Programma!$F$3:$W$1101,18,0),"")</f>
        <v>4w</v>
      </c>
      <c r="AZ649" s="182" t="str">
        <f>_xlfn.IFNA(VLOOKUP($AH649,Programma!$F$3:$X$1101,19,0),"")</f>
        <v>1w</v>
      </c>
      <c r="BA649" s="182" t="str">
        <f>_xlfn.IFNA(VLOOKUP($AH649,Programma!$F$3:$Y$1101,20,0),"")</f>
        <v>_</v>
      </c>
      <c r="BB649" s="182"/>
      <c r="BC649" s="174" t="str">
        <f>IF(Ruimtestaat[[#This Row],[Frequentie weekend]]="","",_xlfn.CONCAT(Ruimtestaat[[#This Row],[Ruimte code]],"-",Ruimtestaat[[#This Row],[Frequentie weekend]]," ",Ruimtestaat[[#This Row],[Vloer code]]))</f>
        <v/>
      </c>
      <c r="BD649" s="182" t="str">
        <f>_xlfn.IFNA(VLOOKUP($BC649,Programma!$F$3:$G$1101,2,0),"")</f>
        <v/>
      </c>
      <c r="BE649" s="182" t="str">
        <f>_xlfn.IFNA(VLOOKUP($BC649,Programma!$F$3:$H$1101,3,0),"")</f>
        <v/>
      </c>
      <c r="BF649" s="182" t="str">
        <f>_xlfn.IFNA(VLOOKUP($BC649,Programma!$F$3:$I$1101,4,0),"")</f>
        <v/>
      </c>
      <c r="BG649" s="182" t="str">
        <f>_xlfn.IFNA(VLOOKUP($BC649,Programma!$F$3:$J$1101,5,0),"")</f>
        <v/>
      </c>
      <c r="BH649" s="182" t="str">
        <f>_xlfn.IFNA(VLOOKUP($BC649,Programma!$F$3:$K$1101,6,0),"")</f>
        <v/>
      </c>
      <c r="BI649" s="182" t="str">
        <f>_xlfn.IFNA(VLOOKUP($BC649,Programma!$F$3:$L$1101,7,0),"")</f>
        <v/>
      </c>
      <c r="BJ649" s="182" t="str">
        <f>_xlfn.IFNA(VLOOKUP($BC649,Programma!$F$3:$M$1101,8,0),"")</f>
        <v/>
      </c>
      <c r="BK649" s="182" t="str">
        <f>_xlfn.IFNA(VLOOKUP($BC649,Programma!$F$3:$N$1101,9,0),"")</f>
        <v/>
      </c>
      <c r="BL649" s="182" t="str">
        <f>_xlfn.IFNA(VLOOKUP($BC649,Programma!$F$3:$O$1101,10,0),"")</f>
        <v/>
      </c>
      <c r="BM649" s="182" t="str">
        <f>_xlfn.IFNA(VLOOKUP($BC649,Programma!$F$3:$P$1101,11,0),"")</f>
        <v/>
      </c>
      <c r="BN649" s="182" t="str">
        <f>_xlfn.IFNA(VLOOKUP($BC649,Programma!$F$3:$Q$1101,12,0),"")</f>
        <v/>
      </c>
      <c r="BO649" s="182" t="str">
        <f>_xlfn.IFNA(VLOOKUP($BC649,Programma!$F$3:$R$1101,13,0),"")</f>
        <v/>
      </c>
      <c r="BP649" s="182" t="str">
        <f>_xlfn.IFNA(VLOOKUP($BC649,Programma!$F$3:$S$1101,14,0),"")</f>
        <v/>
      </c>
      <c r="BQ649" s="182" t="str">
        <f>_xlfn.IFNA(VLOOKUP($BC649,Programma!$F$3:$T$1101,15,0),"")</f>
        <v/>
      </c>
      <c r="BR649" s="182" t="str">
        <f>_xlfn.IFNA(VLOOKUP($BC649,Programma!$F$3:$U$1101,16,0),"")</f>
        <v/>
      </c>
      <c r="BS649" s="182" t="str">
        <f>_xlfn.IFNA(VLOOKUP($BC649,Programma!$F$3:$V$1101,17,0),"")</f>
        <v/>
      </c>
      <c r="BT649" s="182" t="str">
        <f>_xlfn.IFNA(VLOOKUP($BC649,Programma!$F$3:$W$1101,18,0),"")</f>
        <v/>
      </c>
      <c r="BU649" s="182" t="str">
        <f>_xlfn.IFNA(VLOOKUP($BC649,Programma!$F$3:$X$1101,19,0),"")</f>
        <v/>
      </c>
      <c r="BV649" s="182" t="str">
        <f>_xlfn.IFNA(VLOOKUP($BC649,Programma!$F$3:$Y$1101,20,0),"")</f>
        <v/>
      </c>
    </row>
    <row r="650" spans="1:74" ht="15" customHeight="1">
      <c r="A650" s="99">
        <v>18</v>
      </c>
      <c r="B650" s="176" t="str">
        <f>VLOOKUP(Ruimtestaat[[#This Row],[Code]],Locaties[[Code]:[Locatie]],2,FALSE)</f>
        <v>OBS De Linde (Thij)</v>
      </c>
      <c r="C650" s="176" t="str">
        <f>VLOOKUP(Ruimtestaat[[#This Row],[Code]],Locaties[[#All],[Code]:[Adres]],4,FALSE)</f>
        <v>Zandhorstlaan 99</v>
      </c>
      <c r="D650" s="176" t="str">
        <f>VLOOKUP(Ruimtestaat[[#This Row],[Code]],Locaties[[#All],[Code]:[Postcode]],5,FALSE)</f>
        <v>7576 VR</v>
      </c>
      <c r="E650" s="176" t="str">
        <f>VLOOKUP(Ruimtestaat[[#This Row],[Code]],Locaties[#All],6,FALSE)</f>
        <v>Oldenzaal</v>
      </c>
      <c r="F650" s="183"/>
      <c r="G650" s="99" t="s">
        <v>1646</v>
      </c>
      <c r="H650" s="99" t="s">
        <v>1666</v>
      </c>
      <c r="I650" s="183" t="s">
        <v>1684</v>
      </c>
      <c r="J650" s="99">
        <v>5</v>
      </c>
      <c r="K650" s="183" t="str">
        <f>VLOOKUP(Ruimtestaat[[#This Row],[Ruimte code]],Ruimtegroepen[[#All],[Code]:[Ruimte omschrijving]],2,FALSE)</f>
        <v>Sanitair</v>
      </c>
      <c r="L650" s="99" t="s">
        <v>101</v>
      </c>
      <c r="M650" s="99" t="s">
        <v>1682</v>
      </c>
      <c r="N650" s="177">
        <v>3.7</v>
      </c>
      <c r="O650" s="177"/>
      <c r="P650" s="178" t="str">
        <f>VLOOKUP(Ruimtestaat[[#This Row],[Ruimte code]],Ruimtegroepen[],4,FALSE)</f>
        <v>Sa</v>
      </c>
      <c r="Q650" s="149">
        <v>40</v>
      </c>
      <c r="R650" s="149" t="s">
        <v>2</v>
      </c>
      <c r="S650" s="285">
        <f>IF(Q650&gt;0,IF(RIGHT(Ruimtestaat[[#This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0" s="286">
        <f>IF(S650&gt;0,VLOOKUP($J650,Ruimtegroepen[],3,FALSE)*VLOOKUP($L650,Vloersoorten[],3,FALSE)*VLOOKUP($R650,Frequenties[],3,FALSE)*VLOOKUP($A650,Locaties[],3,FALSE),0)</f>
        <v>0</v>
      </c>
      <c r="U650" s="287">
        <f>Ruimtestaat[[#This Row],[Uitvoeringen werkdagen]]*Ruimtestaat[[#This Row],[Oppervlak (netto)]]</f>
        <v>740</v>
      </c>
      <c r="V650" s="288">
        <f>IF(T650&gt;0,Ruimtestaat[[#This Row],[Prest. (m2 /jaar) werkdagen]]/Ruimtestaat[[#This Row],[Norm (m2/uur) werkdagen]],0)</f>
        <v>0</v>
      </c>
      <c r="W650" s="289">
        <f>Ruimtestaat[[#This Row],[uren / jaar werkdagen]]*Tariefsopbouw!$E$35</f>
        <v>0</v>
      </c>
      <c r="X650" s="226"/>
      <c r="Y650" s="290">
        <f>IF(Ruimtestaat[[#This Row],[Frequentie weekend]]&gt;0,VALUE(LEFT(X650,1))*Q650,0)</f>
        <v>0</v>
      </c>
      <c r="Z650" s="287">
        <f>IF($Y650&gt;0,VLOOKUP($J650,Ruimtegroepen[],3,FALSE)*VLOOKUP($L650,Vloersoorten[],3,FALSE)*VLOOKUP($X650,Frequenties[],3,FALSE)*VLOOKUP(#REF!,Locaties[],3,FALSE),0)</f>
        <v>0</v>
      </c>
      <c r="AA650" s="291">
        <f>Ruimtestaat[[#This Row],[Uitvoeringen weekend]]*Ruimtestaat[[#This Row],[Oppervlak (netto)]]</f>
        <v>0</v>
      </c>
      <c r="AB650" s="291">
        <f>IF(Z650&gt;0,Ruimtestaat[[#This Row],[Prest. (m2 /jaar) weekend]]/Ruimtestaat[[#This Row],[Norm (m2/uur) weekend]],0)</f>
        <v>0</v>
      </c>
      <c r="AC650" s="180">
        <f>Ruimtestaat[[#This Row],[uren / jaar weekend]]*Tariefsopbouw!$D$40</f>
        <v>0</v>
      </c>
      <c r="AD650" s="179">
        <f>Ruimtestaat[[#This Row],[Prest. (m2 /jaar) weekend]]+Ruimtestaat[[#This Row],[Prest. (m2 /jaar) werkdagen]]</f>
        <v>740</v>
      </c>
      <c r="AE650" s="179">
        <f>Ruimtestaat[[#This Row],[uren / jaar weekend]]+Ruimtestaat[[#This Row],[uren / jaar werkdagen]]</f>
        <v>0</v>
      </c>
      <c r="AF650" s="174">
        <f>Ruimtestaat[[#This Row],[kosten / jaar weekend]]+Ruimtestaat[[#This Row],[kosten / jaar werkdagen]]</f>
        <v>0</v>
      </c>
      <c r="AG650" s="174"/>
      <c r="AH650" s="174" t="str">
        <f>IF(Ruimtestaat[[#This Row],[Frequentie werkdagen]]="","",_xlfn.CONCAT(Ruimtestaat[[#This Row],[Ruimte code]],"-",Ruimtestaat[[#This Row],[Frequentie werkdagen]]," ",Ruimtestaat[[#This Row],[Vloer code]]))</f>
        <v>5-5w S</v>
      </c>
      <c r="AI650" s="182" t="str">
        <f>_xlfn.IFNA(VLOOKUP($AH650,Programma!$F$3:$G$1101,2,0),"")</f>
        <v>_</v>
      </c>
      <c r="AJ650" s="182" t="str">
        <f>_xlfn.IFNA(VLOOKUP($AH650,Programma!$F$3:$H$1101,3,0),"")</f>
        <v>_</v>
      </c>
      <c r="AK650" s="182" t="str">
        <f>_xlfn.IFNA(VLOOKUP($AH650,Programma!$F$3:$I$1101,4,0),"")</f>
        <v>_</v>
      </c>
      <c r="AL650" s="182" t="str">
        <f>_xlfn.IFNA(VLOOKUP($AH650,Programma!$F$3:$J$1101,5,0),"")</f>
        <v>4w</v>
      </c>
      <c r="AM650" s="182" t="str">
        <f>_xlfn.IFNA(VLOOKUP($AH650,Programma!$F$3:$K$1101,6,0),"")</f>
        <v>1w</v>
      </c>
      <c r="AN650" s="182" t="str">
        <f>_xlfn.IFNA(VLOOKUP($AH650,Programma!$F$3:$L$1101,7,0),"")</f>
        <v>_</v>
      </c>
      <c r="AO650" s="182" t="str">
        <f>_xlfn.IFNA(VLOOKUP($AH650,Programma!$F$3:$M$1101,8,0),"")</f>
        <v>_</v>
      </c>
      <c r="AP650" s="182" t="str">
        <f>_xlfn.IFNA(VLOOKUP($AH650,Programma!$F$3:$N$1101,9,0),"")</f>
        <v>_</v>
      </c>
      <c r="AQ650" s="182" t="str">
        <f>_xlfn.IFNA(VLOOKUP($AH650,Programma!$F$3:$O$1101,10,0),"")</f>
        <v>_</v>
      </c>
      <c r="AR650" s="182" t="str">
        <f>_xlfn.IFNA(VLOOKUP($AH650,Programma!$F$3:$P$1101,11,0),"")</f>
        <v>_</v>
      </c>
      <c r="AS650" s="182" t="str">
        <f>_xlfn.IFNA(VLOOKUP($AH650,Programma!$F$3:$Q$1101,12,0),"")</f>
        <v>_</v>
      </c>
      <c r="AT650" s="182" t="str">
        <f>_xlfn.IFNA(VLOOKUP($AH650,Programma!$F$3:$R$1101,13,0),"")</f>
        <v>_</v>
      </c>
      <c r="AU650" s="182" t="str">
        <f>_xlfn.IFNA(VLOOKUP($AH650,Programma!$F$3:$S$1101,14,0),"")</f>
        <v>_</v>
      </c>
      <c r="AV650" s="182" t="str">
        <f>_xlfn.IFNA(VLOOKUP($AH650,Programma!$F$3:$T$1101,15,0),"")</f>
        <v>_</v>
      </c>
      <c r="AW650" s="182" t="str">
        <f>_xlfn.IFNA(VLOOKUP($AH650,Programma!$F$3:$U$1101,16,0),"")</f>
        <v>_</v>
      </c>
      <c r="AX650" s="182" t="str">
        <f>_xlfn.IFNA(VLOOKUP($AH650,Programma!$F$3:$V$1101,17,0),"")</f>
        <v>_</v>
      </c>
      <c r="AY650" s="182" t="str">
        <f>_xlfn.IFNA(VLOOKUP($AH650,Programma!$F$3:$W$1101,18,0),"")</f>
        <v>4w</v>
      </c>
      <c r="AZ650" s="182" t="str">
        <f>_xlfn.IFNA(VLOOKUP($AH650,Programma!$F$3:$X$1101,19,0),"")</f>
        <v>1w</v>
      </c>
      <c r="BA650" s="182" t="str">
        <f>_xlfn.IFNA(VLOOKUP($AH650,Programma!$F$3:$Y$1101,20,0),"")</f>
        <v>_</v>
      </c>
      <c r="BB650" s="182"/>
      <c r="BC650" s="174" t="str">
        <f>IF(Ruimtestaat[[#This Row],[Frequentie weekend]]="","",_xlfn.CONCAT(Ruimtestaat[[#This Row],[Ruimte code]],"-",Ruimtestaat[[#This Row],[Frequentie weekend]]," ",Ruimtestaat[[#This Row],[Vloer code]]))</f>
        <v/>
      </c>
      <c r="BD650" s="182" t="str">
        <f>_xlfn.IFNA(VLOOKUP($BC650,Programma!$F$3:$G$1101,2,0),"")</f>
        <v/>
      </c>
      <c r="BE650" s="182" t="str">
        <f>_xlfn.IFNA(VLOOKUP($BC650,Programma!$F$3:$H$1101,3,0),"")</f>
        <v/>
      </c>
      <c r="BF650" s="182" t="str">
        <f>_xlfn.IFNA(VLOOKUP($BC650,Programma!$F$3:$I$1101,4,0),"")</f>
        <v/>
      </c>
      <c r="BG650" s="182" t="str">
        <f>_xlfn.IFNA(VLOOKUP($BC650,Programma!$F$3:$J$1101,5,0),"")</f>
        <v/>
      </c>
      <c r="BH650" s="182" t="str">
        <f>_xlfn.IFNA(VLOOKUP($BC650,Programma!$F$3:$K$1101,6,0),"")</f>
        <v/>
      </c>
      <c r="BI650" s="182" t="str">
        <f>_xlfn.IFNA(VLOOKUP($BC650,Programma!$F$3:$L$1101,7,0),"")</f>
        <v/>
      </c>
      <c r="BJ650" s="182" t="str">
        <f>_xlfn.IFNA(VLOOKUP($BC650,Programma!$F$3:$M$1101,8,0),"")</f>
        <v/>
      </c>
      <c r="BK650" s="182" t="str">
        <f>_xlfn.IFNA(VLOOKUP($BC650,Programma!$F$3:$N$1101,9,0),"")</f>
        <v/>
      </c>
      <c r="BL650" s="182" t="str">
        <f>_xlfn.IFNA(VLOOKUP($BC650,Programma!$F$3:$O$1101,10,0),"")</f>
        <v/>
      </c>
      <c r="BM650" s="182" t="str">
        <f>_xlfn.IFNA(VLOOKUP($BC650,Programma!$F$3:$P$1101,11,0),"")</f>
        <v/>
      </c>
      <c r="BN650" s="182" t="str">
        <f>_xlfn.IFNA(VLOOKUP($BC650,Programma!$F$3:$Q$1101,12,0),"")</f>
        <v/>
      </c>
      <c r="BO650" s="182" t="str">
        <f>_xlfn.IFNA(VLOOKUP($BC650,Programma!$F$3:$R$1101,13,0),"")</f>
        <v/>
      </c>
      <c r="BP650" s="182" t="str">
        <f>_xlfn.IFNA(VLOOKUP($BC650,Programma!$F$3:$S$1101,14,0),"")</f>
        <v/>
      </c>
      <c r="BQ650" s="182" t="str">
        <f>_xlfn.IFNA(VLOOKUP($BC650,Programma!$F$3:$T$1101,15,0),"")</f>
        <v/>
      </c>
      <c r="BR650" s="182" t="str">
        <f>_xlfn.IFNA(VLOOKUP($BC650,Programma!$F$3:$U$1101,16,0),"")</f>
        <v/>
      </c>
      <c r="BS650" s="182" t="str">
        <f>_xlfn.IFNA(VLOOKUP($BC650,Programma!$F$3:$V$1101,17,0),"")</f>
        <v/>
      </c>
      <c r="BT650" s="182" t="str">
        <f>_xlfn.IFNA(VLOOKUP($BC650,Programma!$F$3:$W$1101,18,0),"")</f>
        <v/>
      </c>
      <c r="BU650" s="182" t="str">
        <f>_xlfn.IFNA(VLOOKUP($BC650,Programma!$F$3:$X$1101,19,0),"")</f>
        <v/>
      </c>
      <c r="BV650" s="182" t="str">
        <f>_xlfn.IFNA(VLOOKUP($BC650,Programma!$F$3:$Y$1101,20,0),"")</f>
        <v/>
      </c>
    </row>
    <row r="651" spans="1:74" ht="15" customHeight="1">
      <c r="A651" s="99">
        <v>18</v>
      </c>
      <c r="B651" s="176" t="str">
        <f>VLOOKUP(Ruimtestaat[[#This Row],[Code]],Locaties[[Code]:[Locatie]],2,FALSE)</f>
        <v>OBS De Linde (Thij)</v>
      </c>
      <c r="C651" s="176" t="str">
        <f>VLOOKUP(Ruimtestaat[[#This Row],[Code]],Locaties[[#All],[Code]:[Adres]],4,FALSE)</f>
        <v>Zandhorstlaan 99</v>
      </c>
      <c r="D651" s="176" t="str">
        <f>VLOOKUP(Ruimtestaat[[#This Row],[Code]],Locaties[[#All],[Code]:[Postcode]],5,FALSE)</f>
        <v>7576 VR</v>
      </c>
      <c r="E651" s="176" t="str">
        <f>VLOOKUP(Ruimtestaat[[#This Row],[Code]],Locaties[#All],6,FALSE)</f>
        <v>Oldenzaal</v>
      </c>
      <c r="F651" s="183"/>
      <c r="G651" s="99" t="s">
        <v>1646</v>
      </c>
      <c r="H651" s="99" t="s">
        <v>1668</v>
      </c>
      <c r="I651" s="183" t="s">
        <v>1658</v>
      </c>
      <c r="J651" s="99">
        <v>6</v>
      </c>
      <c r="K651" s="183" t="str">
        <f>VLOOKUP(Ruimtestaat[[#This Row],[Ruimte code]],Ruimtegroepen[[#All],[Code]:[Ruimte omschrijving]],2,FALSE)</f>
        <v>Gangen/hallen</v>
      </c>
      <c r="L651" s="99" t="s">
        <v>101</v>
      </c>
      <c r="M651" s="99" t="s">
        <v>119</v>
      </c>
      <c r="N651" s="177">
        <v>27.1</v>
      </c>
      <c r="O651" s="177"/>
      <c r="P651" s="178" t="str">
        <f>VLOOKUP(Ruimtestaat[[#This Row],[Ruimte code]],Ruimtegroepen[],4,FALSE)</f>
        <v>Ve</v>
      </c>
      <c r="Q651" s="149">
        <v>40</v>
      </c>
      <c r="R651" s="149" t="s">
        <v>2</v>
      </c>
      <c r="S651" s="285">
        <f>IF(Q651&gt;0,IF(RIGHT(Ruimtestaat[[#This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1" s="286">
        <f>IF(S651&gt;0,VLOOKUP($J651,Ruimtegroepen[],3,FALSE)*VLOOKUP($L651,Vloersoorten[],3,FALSE)*VLOOKUP($R651,Frequenties[],3,FALSE)*VLOOKUP($A651,Locaties[],3,FALSE),0)</f>
        <v>0</v>
      </c>
      <c r="U651" s="287">
        <f>Ruimtestaat[[#This Row],[Uitvoeringen werkdagen]]*Ruimtestaat[[#This Row],[Oppervlak (netto)]]</f>
        <v>5420</v>
      </c>
      <c r="V651" s="288">
        <f>IF(T651&gt;0,Ruimtestaat[[#This Row],[Prest. (m2 /jaar) werkdagen]]/Ruimtestaat[[#This Row],[Norm (m2/uur) werkdagen]],0)</f>
        <v>0</v>
      </c>
      <c r="W651" s="289">
        <f>Ruimtestaat[[#This Row],[uren / jaar werkdagen]]*Tariefsopbouw!$E$35</f>
        <v>0</v>
      </c>
      <c r="X651" s="226"/>
      <c r="Y651" s="290">
        <f>IF(Ruimtestaat[[#This Row],[Frequentie weekend]]&gt;0,VALUE(LEFT(X651,1))*Q651,0)</f>
        <v>0</v>
      </c>
      <c r="Z651" s="287">
        <f>IF($Y651&gt;0,VLOOKUP($J651,Ruimtegroepen[],3,FALSE)*VLOOKUP($L651,Vloersoorten[],3,FALSE)*VLOOKUP($X651,Frequenties[],3,FALSE)*VLOOKUP(#REF!,Locaties[],3,FALSE),0)</f>
        <v>0</v>
      </c>
      <c r="AA651" s="291">
        <f>Ruimtestaat[[#This Row],[Uitvoeringen weekend]]*Ruimtestaat[[#This Row],[Oppervlak (netto)]]</f>
        <v>0</v>
      </c>
      <c r="AB651" s="291">
        <f>IF(Z651&gt;0,Ruimtestaat[[#This Row],[Prest. (m2 /jaar) weekend]]/Ruimtestaat[[#This Row],[Norm (m2/uur) weekend]],0)</f>
        <v>0</v>
      </c>
      <c r="AC651" s="180">
        <f>Ruimtestaat[[#This Row],[uren / jaar weekend]]*Tariefsopbouw!$D$40</f>
        <v>0</v>
      </c>
      <c r="AD651" s="179">
        <f>Ruimtestaat[[#This Row],[Prest. (m2 /jaar) weekend]]+Ruimtestaat[[#This Row],[Prest. (m2 /jaar) werkdagen]]</f>
        <v>5420</v>
      </c>
      <c r="AE651" s="179">
        <f>Ruimtestaat[[#This Row],[uren / jaar weekend]]+Ruimtestaat[[#This Row],[uren / jaar werkdagen]]</f>
        <v>0</v>
      </c>
      <c r="AF651" s="174">
        <f>Ruimtestaat[[#This Row],[kosten / jaar weekend]]+Ruimtestaat[[#This Row],[kosten / jaar werkdagen]]</f>
        <v>0</v>
      </c>
      <c r="AG651" s="174"/>
      <c r="AH651" s="174" t="str">
        <f>IF(Ruimtestaat[[#This Row],[Frequentie werkdagen]]="","",_xlfn.CONCAT(Ruimtestaat[[#This Row],[Ruimte code]],"-",Ruimtestaat[[#This Row],[Frequentie werkdagen]]," ",Ruimtestaat[[#This Row],[Vloer code]]))</f>
        <v>6-5w S</v>
      </c>
      <c r="AI651" s="182" t="str">
        <f>_xlfn.IFNA(VLOOKUP($AH651,Programma!$F$3:$G$1101,2,0),"")</f>
        <v>_</v>
      </c>
      <c r="AJ651" s="182" t="str">
        <f>_xlfn.IFNA(VLOOKUP($AH651,Programma!$F$3:$H$1101,3,0),"")</f>
        <v>_</v>
      </c>
      <c r="AK651" s="182" t="str">
        <f>_xlfn.IFNA(VLOOKUP($AH651,Programma!$F$3:$I$1101,4,0),"")</f>
        <v>5w</v>
      </c>
      <c r="AL651" s="182" t="str">
        <f>_xlfn.IFNA(VLOOKUP($AH651,Programma!$F$3:$J$1101,5,0),"")</f>
        <v>_</v>
      </c>
      <c r="AM651" s="182" t="str">
        <f>_xlfn.IFNA(VLOOKUP($AH651,Programma!$F$3:$K$1101,6,0),"")</f>
        <v>5w</v>
      </c>
      <c r="AN651" s="182" t="str">
        <f>_xlfn.IFNA(VLOOKUP($AH651,Programma!$F$3:$L$1101,7,0),"")</f>
        <v>_</v>
      </c>
      <c r="AO651" s="182" t="str">
        <f>_xlfn.IFNA(VLOOKUP($AH651,Programma!$F$3:$M$1101,8,0),"")</f>
        <v>_</v>
      </c>
      <c r="AP651" s="182" t="str">
        <f>_xlfn.IFNA(VLOOKUP($AH651,Programma!$F$3:$N$1101,9,0),"")</f>
        <v>_</v>
      </c>
      <c r="AQ651" s="182" t="str">
        <f>_xlfn.IFNA(VLOOKUP($AH651,Programma!$F$3:$O$1101,10,0),"")</f>
        <v>5w</v>
      </c>
      <c r="AR651" s="182" t="str">
        <f>_xlfn.IFNA(VLOOKUP($AH651,Programma!$F$3:$P$1101,11,0),"")</f>
        <v>5w</v>
      </c>
      <c r="AS651" s="182" t="str">
        <f>_xlfn.IFNA(VLOOKUP($AH651,Programma!$F$3:$Q$1101,12,0),"")</f>
        <v>1w</v>
      </c>
      <c r="AT651" s="182" t="str">
        <f>_xlfn.IFNA(VLOOKUP($AH651,Programma!$F$3:$R$1101,13,0),"")</f>
        <v>1w</v>
      </c>
      <c r="AU651" s="182" t="str">
        <f>_xlfn.IFNA(VLOOKUP($AH651,Programma!$F$3:$S$1101,14,0),"")</f>
        <v>1m</v>
      </c>
      <c r="AV651" s="182" t="str">
        <f>_xlfn.IFNA(VLOOKUP($AH651,Programma!$F$3:$T$1101,15,0),"")</f>
        <v>2j</v>
      </c>
      <c r="AW651" s="182" t="str">
        <f>_xlfn.IFNA(VLOOKUP($AH651,Programma!$F$3:$U$1101,16,0),"")</f>
        <v>1j</v>
      </c>
      <c r="AX651" s="182" t="str">
        <f>_xlfn.IFNA(VLOOKUP($AH651,Programma!$F$3:$V$1101,17,0),"")</f>
        <v>_</v>
      </c>
      <c r="AY651" s="182" t="str">
        <f>_xlfn.IFNA(VLOOKUP($AH651,Programma!$F$3:$W$1101,18,0),"")</f>
        <v>_</v>
      </c>
      <c r="AZ651" s="182" t="str">
        <f>_xlfn.IFNA(VLOOKUP($AH651,Programma!$F$3:$X$1101,19,0),"")</f>
        <v>_</v>
      </c>
      <c r="BA651" s="182" t="str">
        <f>_xlfn.IFNA(VLOOKUP($AH651,Programma!$F$3:$Y$1101,20,0),"")</f>
        <v>_</v>
      </c>
      <c r="BB651" s="182"/>
      <c r="BC651" s="174" t="str">
        <f>IF(Ruimtestaat[[#This Row],[Frequentie weekend]]="","",_xlfn.CONCAT(Ruimtestaat[[#This Row],[Ruimte code]],"-",Ruimtestaat[[#This Row],[Frequentie weekend]]," ",Ruimtestaat[[#This Row],[Vloer code]]))</f>
        <v/>
      </c>
      <c r="BD651" s="182" t="str">
        <f>_xlfn.IFNA(VLOOKUP($BC651,Programma!$F$3:$G$1101,2,0),"")</f>
        <v/>
      </c>
      <c r="BE651" s="182" t="str">
        <f>_xlfn.IFNA(VLOOKUP($BC651,Programma!$F$3:$H$1101,3,0),"")</f>
        <v/>
      </c>
      <c r="BF651" s="182" t="str">
        <f>_xlfn.IFNA(VLOOKUP($BC651,Programma!$F$3:$I$1101,4,0),"")</f>
        <v/>
      </c>
      <c r="BG651" s="182" t="str">
        <f>_xlfn.IFNA(VLOOKUP($BC651,Programma!$F$3:$J$1101,5,0),"")</f>
        <v/>
      </c>
      <c r="BH651" s="182" t="str">
        <f>_xlfn.IFNA(VLOOKUP($BC651,Programma!$F$3:$K$1101,6,0),"")</f>
        <v/>
      </c>
      <c r="BI651" s="182" t="str">
        <f>_xlfn.IFNA(VLOOKUP($BC651,Programma!$F$3:$L$1101,7,0),"")</f>
        <v/>
      </c>
      <c r="BJ651" s="182" t="str">
        <f>_xlfn.IFNA(VLOOKUP($BC651,Programma!$F$3:$M$1101,8,0),"")</f>
        <v/>
      </c>
      <c r="BK651" s="182" t="str">
        <f>_xlfn.IFNA(VLOOKUP($BC651,Programma!$F$3:$N$1101,9,0),"")</f>
        <v/>
      </c>
      <c r="BL651" s="182" t="str">
        <f>_xlfn.IFNA(VLOOKUP($BC651,Programma!$F$3:$O$1101,10,0),"")</f>
        <v/>
      </c>
      <c r="BM651" s="182" t="str">
        <f>_xlfn.IFNA(VLOOKUP($BC651,Programma!$F$3:$P$1101,11,0),"")</f>
        <v/>
      </c>
      <c r="BN651" s="182" t="str">
        <f>_xlfn.IFNA(VLOOKUP($BC651,Programma!$F$3:$Q$1101,12,0),"")</f>
        <v/>
      </c>
      <c r="BO651" s="182" t="str">
        <f>_xlfn.IFNA(VLOOKUP($BC651,Programma!$F$3:$R$1101,13,0),"")</f>
        <v/>
      </c>
      <c r="BP651" s="182" t="str">
        <f>_xlfn.IFNA(VLOOKUP($BC651,Programma!$F$3:$S$1101,14,0),"")</f>
        <v/>
      </c>
      <c r="BQ651" s="182" t="str">
        <f>_xlfn.IFNA(VLOOKUP($BC651,Programma!$F$3:$T$1101,15,0),"")</f>
        <v/>
      </c>
      <c r="BR651" s="182" t="str">
        <f>_xlfn.IFNA(VLOOKUP($BC651,Programma!$F$3:$U$1101,16,0),"")</f>
        <v/>
      </c>
      <c r="BS651" s="182" t="str">
        <f>_xlfn.IFNA(VLOOKUP($BC651,Programma!$F$3:$V$1101,17,0),"")</f>
        <v/>
      </c>
      <c r="BT651" s="182" t="str">
        <f>_xlfn.IFNA(VLOOKUP($BC651,Programma!$F$3:$W$1101,18,0),"")</f>
        <v/>
      </c>
      <c r="BU651" s="182" t="str">
        <f>_xlfn.IFNA(VLOOKUP($BC651,Programma!$F$3:$X$1101,19,0),"")</f>
        <v/>
      </c>
      <c r="BV651" s="182" t="str">
        <f>_xlfn.IFNA(VLOOKUP($BC651,Programma!$F$3:$Y$1101,20,0),"")</f>
        <v/>
      </c>
    </row>
    <row r="652" spans="1:74" ht="15" customHeight="1">
      <c r="A652" s="99">
        <v>18</v>
      </c>
      <c r="B652" s="176" t="str">
        <f>VLOOKUP(Ruimtestaat[[#This Row],[Code]],Locaties[[Code]:[Locatie]],2,FALSE)</f>
        <v>OBS De Linde (Thij)</v>
      </c>
      <c r="C652" s="176" t="str">
        <f>VLOOKUP(Ruimtestaat[[#This Row],[Code]],Locaties[[#All],[Code]:[Adres]],4,FALSE)</f>
        <v>Zandhorstlaan 99</v>
      </c>
      <c r="D652" s="176" t="str">
        <f>VLOOKUP(Ruimtestaat[[#This Row],[Code]],Locaties[[#All],[Code]:[Postcode]],5,FALSE)</f>
        <v>7576 VR</v>
      </c>
      <c r="E652" s="176" t="str">
        <f>VLOOKUP(Ruimtestaat[[#This Row],[Code]],Locaties[#All],6,FALSE)</f>
        <v>Oldenzaal</v>
      </c>
      <c r="F652" s="183"/>
      <c r="G652" s="99" t="s">
        <v>1646</v>
      </c>
      <c r="H652" s="99" t="s">
        <v>1669</v>
      </c>
      <c r="I652" s="183" t="s">
        <v>1784</v>
      </c>
      <c r="J652" s="99">
        <v>2</v>
      </c>
      <c r="K652" s="183" t="str">
        <f>VLOOKUP(Ruimtestaat[[#This Row],[Ruimte code]],Ruimtegroepen[[#All],[Code]:[Ruimte omschrijving]],2,FALSE)</f>
        <v>Kantoren</v>
      </c>
      <c r="L652" s="99" t="s">
        <v>100</v>
      </c>
      <c r="M652" s="99" t="s">
        <v>1697</v>
      </c>
      <c r="N652" s="177">
        <v>8.9</v>
      </c>
      <c r="O652" s="177"/>
      <c r="P652" s="178" t="str">
        <f>VLOOKUP(Ruimtestaat[[#This Row],[Ruimte code]],Ruimtegroepen[],4,FALSE)</f>
        <v>Bu</v>
      </c>
      <c r="Q652" s="149">
        <v>40</v>
      </c>
      <c r="R652" s="149" t="s">
        <v>18</v>
      </c>
      <c r="S652" s="285">
        <f>IF(Q652&gt;0,IF(RIGHT(Ruimtestaat[[#This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120</v>
      </c>
      <c r="T652" s="286">
        <f>IF(S652&gt;0,VLOOKUP($J652,Ruimtegroepen[],3,FALSE)*VLOOKUP($L652,Vloersoorten[],3,FALSE)*VLOOKUP($R652,Frequenties[],3,FALSE)*VLOOKUP($A652,Locaties[],3,FALSE),0)</f>
        <v>0</v>
      </c>
      <c r="U652" s="287">
        <f>Ruimtestaat[[#This Row],[Uitvoeringen werkdagen]]*Ruimtestaat[[#This Row],[Oppervlak (netto)]]</f>
        <v>1068</v>
      </c>
      <c r="V652" s="288">
        <f>IF(T652&gt;0,Ruimtestaat[[#This Row],[Prest. (m2 /jaar) werkdagen]]/Ruimtestaat[[#This Row],[Norm (m2/uur) werkdagen]],0)</f>
        <v>0</v>
      </c>
      <c r="W652" s="289">
        <f>Ruimtestaat[[#This Row],[uren / jaar werkdagen]]*Tariefsopbouw!$E$35</f>
        <v>0</v>
      </c>
      <c r="X652" s="226"/>
      <c r="Y652" s="290">
        <f>IF(Ruimtestaat[[#This Row],[Frequentie weekend]]&gt;0,VALUE(LEFT(X652,1))*Q652,0)</f>
        <v>0</v>
      </c>
      <c r="Z652" s="287">
        <f>IF($Y652&gt;0,VLOOKUP($J652,Ruimtegroepen[],3,FALSE)*VLOOKUP($L652,Vloersoorten[],3,FALSE)*VLOOKUP($X652,Frequenties[],3,FALSE)*VLOOKUP(#REF!,Locaties[],3,FALSE),0)</f>
        <v>0</v>
      </c>
      <c r="AA652" s="291">
        <f>Ruimtestaat[[#This Row],[Uitvoeringen weekend]]*Ruimtestaat[[#This Row],[Oppervlak (netto)]]</f>
        <v>0</v>
      </c>
      <c r="AB652" s="291">
        <f>IF(Z652&gt;0,Ruimtestaat[[#This Row],[Prest. (m2 /jaar) weekend]]/Ruimtestaat[[#This Row],[Norm (m2/uur) weekend]],0)</f>
        <v>0</v>
      </c>
      <c r="AC652" s="180">
        <f>Ruimtestaat[[#This Row],[uren / jaar weekend]]*Tariefsopbouw!$D$40</f>
        <v>0</v>
      </c>
      <c r="AD652" s="179">
        <f>Ruimtestaat[[#This Row],[Prest. (m2 /jaar) weekend]]+Ruimtestaat[[#This Row],[Prest. (m2 /jaar) werkdagen]]</f>
        <v>1068</v>
      </c>
      <c r="AE652" s="179">
        <f>Ruimtestaat[[#This Row],[uren / jaar weekend]]+Ruimtestaat[[#This Row],[uren / jaar werkdagen]]</f>
        <v>0</v>
      </c>
      <c r="AF652" s="174">
        <f>Ruimtestaat[[#This Row],[kosten / jaar weekend]]+Ruimtestaat[[#This Row],[kosten / jaar werkdagen]]</f>
        <v>0</v>
      </c>
      <c r="AG652" s="174"/>
      <c r="AH652" s="174" t="str">
        <f>IF(Ruimtestaat[[#This Row],[Frequentie werkdagen]]="","",_xlfn.CONCAT(Ruimtestaat[[#This Row],[Ruimte code]],"-",Ruimtestaat[[#This Row],[Frequentie werkdagen]]," ",Ruimtestaat[[#This Row],[Vloer code]]))</f>
        <v>2-3w L</v>
      </c>
      <c r="AI652" s="182" t="str">
        <f>_xlfn.IFNA(VLOOKUP($AH652,Programma!$F$3:$G$1101,2,0),"")</f>
        <v>_</v>
      </c>
      <c r="AJ652" s="182" t="str">
        <f>_xlfn.IFNA(VLOOKUP($AH652,Programma!$F$3:$H$1101,3,0),"")</f>
        <v>_</v>
      </c>
      <c r="AK652" s="182" t="str">
        <f>_xlfn.IFNA(VLOOKUP($AH652,Programma!$F$3:$I$1101,4,0),"")</f>
        <v>2w</v>
      </c>
      <c r="AL652" s="182" t="str">
        <f>_xlfn.IFNA(VLOOKUP($AH652,Programma!$F$3:$J$1101,5,0),"")</f>
        <v>1w</v>
      </c>
      <c r="AM652" s="182" t="str">
        <f>_xlfn.IFNA(VLOOKUP($AH652,Programma!$F$3:$K$1101,6,0),"")</f>
        <v>_</v>
      </c>
      <c r="AN652" s="182" t="str">
        <f>_xlfn.IFNA(VLOOKUP($AH652,Programma!$F$3:$L$1101,7,0),"")</f>
        <v>_</v>
      </c>
      <c r="AO652" s="182" t="str">
        <f>_xlfn.IFNA(VLOOKUP($AH652,Programma!$F$3:$M$1101,8,0),"")</f>
        <v>_</v>
      </c>
      <c r="AP652" s="182" t="str">
        <f>_xlfn.IFNA(VLOOKUP($AH652,Programma!$F$3:$N$1101,9,0),"")</f>
        <v>_</v>
      </c>
      <c r="AQ652" s="182" t="str">
        <f>_xlfn.IFNA(VLOOKUP($AH652,Programma!$F$3:$O$1101,10,0),"")</f>
        <v>3w</v>
      </c>
      <c r="AR652" s="182" t="str">
        <f>_xlfn.IFNA(VLOOKUP($AH652,Programma!$F$3:$P$1101,11,0),"")</f>
        <v>3w</v>
      </c>
      <c r="AS652" s="182" t="str">
        <f>_xlfn.IFNA(VLOOKUP($AH652,Programma!$F$3:$Q$1101,12,0),"")</f>
        <v>1w</v>
      </c>
      <c r="AT652" s="182" t="str">
        <f>_xlfn.IFNA(VLOOKUP($AH652,Programma!$F$3:$R$1101,13,0),"")</f>
        <v>1w</v>
      </c>
      <c r="AU652" s="182" t="str">
        <f>_xlfn.IFNA(VLOOKUP($AH652,Programma!$F$3:$S$1101,14,0),"")</f>
        <v>1m</v>
      </c>
      <c r="AV652" s="182" t="str">
        <f>_xlfn.IFNA(VLOOKUP($AH652,Programma!$F$3:$T$1101,15,0),"")</f>
        <v>2j</v>
      </c>
      <c r="AW652" s="182" t="str">
        <f>_xlfn.IFNA(VLOOKUP($AH652,Programma!$F$3:$U$1101,16,0),"")</f>
        <v>1j</v>
      </c>
      <c r="AX652" s="182" t="str">
        <f>_xlfn.IFNA(VLOOKUP($AH652,Programma!$F$3:$V$1101,17,0),"")</f>
        <v>_</v>
      </c>
      <c r="AY652" s="182" t="str">
        <f>_xlfn.IFNA(VLOOKUP($AH652,Programma!$F$3:$W$1101,18,0),"")</f>
        <v>_</v>
      </c>
      <c r="AZ652" s="182" t="str">
        <f>_xlfn.IFNA(VLOOKUP($AH652,Programma!$F$3:$X$1101,19,0),"")</f>
        <v>_</v>
      </c>
      <c r="BA652" s="182" t="str">
        <f>_xlfn.IFNA(VLOOKUP($AH652,Programma!$F$3:$Y$1101,20,0),"")</f>
        <v>_</v>
      </c>
      <c r="BB652" s="182"/>
      <c r="BC652" s="174" t="str">
        <f>IF(Ruimtestaat[[#This Row],[Frequentie weekend]]="","",_xlfn.CONCAT(Ruimtestaat[[#This Row],[Ruimte code]],"-",Ruimtestaat[[#This Row],[Frequentie weekend]]," ",Ruimtestaat[[#This Row],[Vloer code]]))</f>
        <v/>
      </c>
      <c r="BD652" s="182" t="str">
        <f>_xlfn.IFNA(VLOOKUP($BC652,Programma!$F$3:$G$1101,2,0),"")</f>
        <v/>
      </c>
      <c r="BE652" s="182" t="str">
        <f>_xlfn.IFNA(VLOOKUP($BC652,Programma!$F$3:$H$1101,3,0),"")</f>
        <v/>
      </c>
      <c r="BF652" s="182" t="str">
        <f>_xlfn.IFNA(VLOOKUP($BC652,Programma!$F$3:$I$1101,4,0),"")</f>
        <v/>
      </c>
      <c r="BG652" s="182" t="str">
        <f>_xlfn.IFNA(VLOOKUP($BC652,Programma!$F$3:$J$1101,5,0),"")</f>
        <v/>
      </c>
      <c r="BH652" s="182" t="str">
        <f>_xlfn.IFNA(VLOOKUP($BC652,Programma!$F$3:$K$1101,6,0),"")</f>
        <v/>
      </c>
      <c r="BI652" s="182" t="str">
        <f>_xlfn.IFNA(VLOOKUP($BC652,Programma!$F$3:$L$1101,7,0),"")</f>
        <v/>
      </c>
      <c r="BJ652" s="182" t="str">
        <f>_xlfn.IFNA(VLOOKUP($BC652,Programma!$F$3:$M$1101,8,0),"")</f>
        <v/>
      </c>
      <c r="BK652" s="182" t="str">
        <f>_xlfn.IFNA(VLOOKUP($BC652,Programma!$F$3:$N$1101,9,0),"")</f>
        <v/>
      </c>
      <c r="BL652" s="182" t="str">
        <f>_xlfn.IFNA(VLOOKUP($BC652,Programma!$F$3:$O$1101,10,0),"")</f>
        <v/>
      </c>
      <c r="BM652" s="182" t="str">
        <f>_xlfn.IFNA(VLOOKUP($BC652,Programma!$F$3:$P$1101,11,0),"")</f>
        <v/>
      </c>
      <c r="BN652" s="182" t="str">
        <f>_xlfn.IFNA(VLOOKUP($BC652,Programma!$F$3:$Q$1101,12,0),"")</f>
        <v/>
      </c>
      <c r="BO652" s="182" t="str">
        <f>_xlfn.IFNA(VLOOKUP($BC652,Programma!$F$3:$R$1101,13,0),"")</f>
        <v/>
      </c>
      <c r="BP652" s="182" t="str">
        <f>_xlfn.IFNA(VLOOKUP($BC652,Programma!$F$3:$S$1101,14,0),"")</f>
        <v/>
      </c>
      <c r="BQ652" s="182" t="str">
        <f>_xlfn.IFNA(VLOOKUP($BC652,Programma!$F$3:$T$1101,15,0),"")</f>
        <v/>
      </c>
      <c r="BR652" s="182" t="str">
        <f>_xlfn.IFNA(VLOOKUP($BC652,Programma!$F$3:$U$1101,16,0),"")</f>
        <v/>
      </c>
      <c r="BS652" s="182" t="str">
        <f>_xlfn.IFNA(VLOOKUP($BC652,Programma!$F$3:$V$1101,17,0),"")</f>
        <v/>
      </c>
      <c r="BT652" s="182" t="str">
        <f>_xlfn.IFNA(VLOOKUP($BC652,Programma!$F$3:$W$1101,18,0),"")</f>
        <v/>
      </c>
      <c r="BU652" s="182" t="str">
        <f>_xlfn.IFNA(VLOOKUP($BC652,Programma!$F$3:$X$1101,19,0),"")</f>
        <v/>
      </c>
      <c r="BV652" s="182" t="str">
        <f>_xlfn.IFNA(VLOOKUP($BC652,Programma!$F$3:$Y$1101,20,0),"")</f>
        <v/>
      </c>
    </row>
    <row r="653" spans="1:74" ht="15" customHeight="1">
      <c r="A653" s="99">
        <v>18</v>
      </c>
      <c r="B653" s="176" t="str">
        <f>VLOOKUP(Ruimtestaat[[#This Row],[Code]],Locaties[[Code]:[Locatie]],2,FALSE)</f>
        <v>OBS De Linde (Thij)</v>
      </c>
      <c r="C653" s="176" t="str">
        <f>VLOOKUP(Ruimtestaat[[#This Row],[Code]],Locaties[[#All],[Code]:[Adres]],4,FALSE)</f>
        <v>Zandhorstlaan 99</v>
      </c>
      <c r="D653" s="176" t="str">
        <f>VLOOKUP(Ruimtestaat[[#This Row],[Code]],Locaties[[#All],[Code]:[Postcode]],5,FALSE)</f>
        <v>7576 VR</v>
      </c>
      <c r="E653" s="176" t="str">
        <f>VLOOKUP(Ruimtestaat[[#This Row],[Code]],Locaties[#All],6,FALSE)</f>
        <v>Oldenzaal</v>
      </c>
      <c r="F653" s="183"/>
      <c r="G653" s="99" t="s">
        <v>1646</v>
      </c>
      <c r="H653" s="99" t="s">
        <v>1670</v>
      </c>
      <c r="I653" s="183" t="s">
        <v>1683</v>
      </c>
      <c r="J653" s="99">
        <v>20</v>
      </c>
      <c r="K653" s="183" t="str">
        <f>VLOOKUP(Ruimtestaat[[#This Row],[Ruimte code]],Ruimtegroepen[[#All],[Code]:[Ruimte omschrijving]],2,FALSE)</f>
        <v>Niet in Onderhoud</v>
      </c>
      <c r="L653" s="99" t="s">
        <v>100</v>
      </c>
      <c r="M653" s="99" t="s">
        <v>1697</v>
      </c>
      <c r="N653" s="177"/>
      <c r="O653" s="177">
        <v>5</v>
      </c>
      <c r="P653" s="178">
        <f>VLOOKUP(Ruimtestaat[[#This Row],[Ruimte code]],Ruimtegroepen[],4,FALSE)</f>
        <v>0</v>
      </c>
      <c r="Q653" s="149"/>
      <c r="R653" s="149"/>
      <c r="S653" s="285">
        <f>IF(Q653&gt;0,IF(RIGHT(Ruimtestaat[[#This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53" s="286">
        <f>IF(S653&gt;0,VLOOKUP($J653,Ruimtegroepen[],3,FALSE)*VLOOKUP($L653,Vloersoorten[],3,FALSE)*VLOOKUP($R653,Frequenties[],3,FALSE)*VLOOKUP($A653,Locaties[],3,FALSE),0)</f>
        <v>0</v>
      </c>
      <c r="U653" s="287">
        <f>Ruimtestaat[[#This Row],[Uitvoeringen werkdagen]]*Ruimtestaat[[#This Row],[Oppervlak (netto)]]</f>
        <v>0</v>
      </c>
      <c r="V653" s="288">
        <f>IF(T653&gt;0,Ruimtestaat[[#This Row],[Prest. (m2 /jaar) werkdagen]]/Ruimtestaat[[#This Row],[Norm (m2/uur) werkdagen]],0)</f>
        <v>0</v>
      </c>
      <c r="W653" s="289">
        <f>Ruimtestaat[[#This Row],[uren / jaar werkdagen]]*Tariefsopbouw!$E$35</f>
        <v>0</v>
      </c>
      <c r="X653" s="226"/>
      <c r="Y653" s="290">
        <f>IF(Ruimtestaat[[#This Row],[Frequentie weekend]]&gt;0,VALUE(LEFT(X653,1))*Q653,0)</f>
        <v>0</v>
      </c>
      <c r="Z653" s="287">
        <f>IF($Y653&gt;0,VLOOKUP($J653,Ruimtegroepen[],3,FALSE)*VLOOKUP($L653,Vloersoorten[],3,FALSE)*VLOOKUP($X653,Frequenties[],3,FALSE)*VLOOKUP(#REF!,Locaties[],3,FALSE),0)</f>
        <v>0</v>
      </c>
      <c r="AA653" s="291">
        <f>Ruimtestaat[[#This Row],[Uitvoeringen weekend]]*Ruimtestaat[[#This Row],[Oppervlak (netto)]]</f>
        <v>0</v>
      </c>
      <c r="AB653" s="291">
        <f>IF(Z653&gt;0,Ruimtestaat[[#This Row],[Prest. (m2 /jaar) weekend]]/Ruimtestaat[[#This Row],[Norm (m2/uur) weekend]],0)</f>
        <v>0</v>
      </c>
      <c r="AC653" s="180">
        <f>Ruimtestaat[[#This Row],[uren / jaar weekend]]*Tariefsopbouw!$D$40</f>
        <v>0</v>
      </c>
      <c r="AD653" s="179">
        <f>Ruimtestaat[[#This Row],[Prest. (m2 /jaar) weekend]]+Ruimtestaat[[#This Row],[Prest. (m2 /jaar) werkdagen]]</f>
        <v>0</v>
      </c>
      <c r="AE653" s="179">
        <f>Ruimtestaat[[#This Row],[uren / jaar weekend]]+Ruimtestaat[[#This Row],[uren / jaar werkdagen]]</f>
        <v>0</v>
      </c>
      <c r="AF653" s="174">
        <f>Ruimtestaat[[#This Row],[kosten / jaar weekend]]+Ruimtestaat[[#This Row],[kosten / jaar werkdagen]]</f>
        <v>0</v>
      </c>
      <c r="AG653" s="174"/>
      <c r="AH653" s="174" t="str">
        <f>IF(Ruimtestaat[[#This Row],[Frequentie werkdagen]]="","",_xlfn.CONCAT(Ruimtestaat[[#This Row],[Ruimte code]],"-",Ruimtestaat[[#This Row],[Frequentie werkdagen]]," ",Ruimtestaat[[#This Row],[Vloer code]]))</f>
        <v/>
      </c>
      <c r="AI653" s="182" t="str">
        <f>_xlfn.IFNA(VLOOKUP($AH653,Programma!$F$3:$G$1101,2,0),"")</f>
        <v/>
      </c>
      <c r="AJ653" s="182" t="str">
        <f>_xlfn.IFNA(VLOOKUP($AH653,Programma!$F$3:$H$1101,3,0),"")</f>
        <v/>
      </c>
      <c r="AK653" s="182" t="str">
        <f>_xlfn.IFNA(VLOOKUP($AH653,Programma!$F$3:$I$1101,4,0),"")</f>
        <v/>
      </c>
      <c r="AL653" s="182" t="str">
        <f>_xlfn.IFNA(VLOOKUP($AH653,Programma!$F$3:$J$1101,5,0),"")</f>
        <v/>
      </c>
      <c r="AM653" s="182" t="str">
        <f>_xlfn.IFNA(VLOOKUP($AH653,Programma!$F$3:$K$1101,6,0),"")</f>
        <v/>
      </c>
      <c r="AN653" s="182" t="str">
        <f>_xlfn.IFNA(VLOOKUP($AH653,Programma!$F$3:$L$1101,7,0),"")</f>
        <v/>
      </c>
      <c r="AO653" s="182" t="str">
        <f>_xlfn.IFNA(VLOOKUP($AH653,Programma!$F$3:$M$1101,8,0),"")</f>
        <v/>
      </c>
      <c r="AP653" s="182" t="str">
        <f>_xlfn.IFNA(VLOOKUP($AH653,Programma!$F$3:$N$1101,9,0),"")</f>
        <v/>
      </c>
      <c r="AQ653" s="182" t="str">
        <f>_xlfn.IFNA(VLOOKUP($AH653,Programma!$F$3:$O$1101,10,0),"")</f>
        <v/>
      </c>
      <c r="AR653" s="182" t="str">
        <f>_xlfn.IFNA(VLOOKUP($AH653,Programma!$F$3:$P$1101,11,0),"")</f>
        <v/>
      </c>
      <c r="AS653" s="182" t="str">
        <f>_xlfn.IFNA(VLOOKUP($AH653,Programma!$F$3:$Q$1101,12,0),"")</f>
        <v/>
      </c>
      <c r="AT653" s="182" t="str">
        <f>_xlfn.IFNA(VLOOKUP($AH653,Programma!$F$3:$R$1101,13,0),"")</f>
        <v/>
      </c>
      <c r="AU653" s="182" t="str">
        <f>_xlfn.IFNA(VLOOKUP($AH653,Programma!$F$3:$S$1101,14,0),"")</f>
        <v/>
      </c>
      <c r="AV653" s="182" t="str">
        <f>_xlfn.IFNA(VLOOKUP($AH653,Programma!$F$3:$T$1101,15,0),"")</f>
        <v/>
      </c>
      <c r="AW653" s="182" t="str">
        <f>_xlfn.IFNA(VLOOKUP($AH653,Programma!$F$3:$U$1101,16,0),"")</f>
        <v/>
      </c>
      <c r="AX653" s="182" t="str">
        <f>_xlfn.IFNA(VLOOKUP($AH653,Programma!$F$3:$V$1101,17,0),"")</f>
        <v/>
      </c>
      <c r="AY653" s="182" t="str">
        <f>_xlfn.IFNA(VLOOKUP($AH653,Programma!$F$3:$W$1101,18,0),"")</f>
        <v/>
      </c>
      <c r="AZ653" s="182" t="str">
        <f>_xlfn.IFNA(VLOOKUP($AH653,Programma!$F$3:$X$1101,19,0),"")</f>
        <v/>
      </c>
      <c r="BA653" s="182" t="str">
        <f>_xlfn.IFNA(VLOOKUP($AH653,Programma!$F$3:$Y$1101,20,0),"")</f>
        <v/>
      </c>
      <c r="BB653" s="182"/>
      <c r="BC653" s="174" t="str">
        <f>IF(Ruimtestaat[[#This Row],[Frequentie weekend]]="","",_xlfn.CONCAT(Ruimtestaat[[#This Row],[Ruimte code]],"-",Ruimtestaat[[#This Row],[Frequentie weekend]]," ",Ruimtestaat[[#This Row],[Vloer code]]))</f>
        <v/>
      </c>
      <c r="BD653" s="182" t="str">
        <f>_xlfn.IFNA(VLOOKUP($BC653,Programma!$F$3:$G$1101,2,0),"")</f>
        <v/>
      </c>
      <c r="BE653" s="182" t="str">
        <f>_xlfn.IFNA(VLOOKUP($BC653,Programma!$F$3:$H$1101,3,0),"")</f>
        <v/>
      </c>
      <c r="BF653" s="182" t="str">
        <f>_xlfn.IFNA(VLOOKUP($BC653,Programma!$F$3:$I$1101,4,0),"")</f>
        <v/>
      </c>
      <c r="BG653" s="182" t="str">
        <f>_xlfn.IFNA(VLOOKUP($BC653,Programma!$F$3:$J$1101,5,0),"")</f>
        <v/>
      </c>
      <c r="BH653" s="182" t="str">
        <f>_xlfn.IFNA(VLOOKUP($BC653,Programma!$F$3:$K$1101,6,0),"")</f>
        <v/>
      </c>
      <c r="BI653" s="182" t="str">
        <f>_xlfn.IFNA(VLOOKUP($BC653,Programma!$F$3:$L$1101,7,0),"")</f>
        <v/>
      </c>
      <c r="BJ653" s="182" t="str">
        <f>_xlfn.IFNA(VLOOKUP($BC653,Programma!$F$3:$M$1101,8,0),"")</f>
        <v/>
      </c>
      <c r="BK653" s="182" t="str">
        <f>_xlfn.IFNA(VLOOKUP($BC653,Programma!$F$3:$N$1101,9,0),"")</f>
        <v/>
      </c>
      <c r="BL653" s="182" t="str">
        <f>_xlfn.IFNA(VLOOKUP($BC653,Programma!$F$3:$O$1101,10,0),"")</f>
        <v/>
      </c>
      <c r="BM653" s="182" t="str">
        <f>_xlfn.IFNA(VLOOKUP($BC653,Programma!$F$3:$P$1101,11,0),"")</f>
        <v/>
      </c>
      <c r="BN653" s="182" t="str">
        <f>_xlfn.IFNA(VLOOKUP($BC653,Programma!$F$3:$Q$1101,12,0),"")</f>
        <v/>
      </c>
      <c r="BO653" s="182" t="str">
        <f>_xlfn.IFNA(VLOOKUP($BC653,Programma!$F$3:$R$1101,13,0),"")</f>
        <v/>
      </c>
      <c r="BP653" s="182" t="str">
        <f>_xlfn.IFNA(VLOOKUP($BC653,Programma!$F$3:$S$1101,14,0),"")</f>
        <v/>
      </c>
      <c r="BQ653" s="182" t="str">
        <f>_xlfn.IFNA(VLOOKUP($BC653,Programma!$F$3:$T$1101,15,0),"")</f>
        <v/>
      </c>
      <c r="BR653" s="182" t="str">
        <f>_xlfn.IFNA(VLOOKUP($BC653,Programma!$F$3:$U$1101,16,0),"")</f>
        <v/>
      </c>
      <c r="BS653" s="182" t="str">
        <f>_xlfn.IFNA(VLOOKUP($BC653,Programma!$F$3:$V$1101,17,0),"")</f>
        <v/>
      </c>
      <c r="BT653" s="182" t="str">
        <f>_xlfn.IFNA(VLOOKUP($BC653,Programma!$F$3:$W$1101,18,0),"")</f>
        <v/>
      </c>
      <c r="BU653" s="182" t="str">
        <f>_xlfn.IFNA(VLOOKUP($BC653,Programma!$F$3:$X$1101,19,0),"")</f>
        <v/>
      </c>
      <c r="BV653" s="182" t="str">
        <f>_xlfn.IFNA(VLOOKUP($BC653,Programma!$F$3:$Y$1101,20,0),"")</f>
        <v/>
      </c>
    </row>
    <row r="654" spans="1:74" ht="15" customHeight="1">
      <c r="A654" s="99">
        <v>18</v>
      </c>
      <c r="B654" s="176" t="str">
        <f>VLOOKUP(Ruimtestaat[[#This Row],[Code]],Locaties[[Code]:[Locatie]],2,FALSE)</f>
        <v>OBS De Linde (Thij)</v>
      </c>
      <c r="C654" s="176" t="str">
        <f>VLOOKUP(Ruimtestaat[[#This Row],[Code]],Locaties[[#All],[Code]:[Adres]],4,FALSE)</f>
        <v>Zandhorstlaan 99</v>
      </c>
      <c r="D654" s="176" t="str">
        <f>VLOOKUP(Ruimtestaat[[#This Row],[Code]],Locaties[[#All],[Code]:[Postcode]],5,FALSE)</f>
        <v>7576 VR</v>
      </c>
      <c r="E654" s="176" t="str">
        <f>VLOOKUP(Ruimtestaat[[#This Row],[Code]],Locaties[#All],6,FALSE)</f>
        <v>Oldenzaal</v>
      </c>
      <c r="F654" s="183"/>
      <c r="G654" s="99" t="s">
        <v>1646</v>
      </c>
      <c r="H654" s="99" t="s">
        <v>1671</v>
      </c>
      <c r="I654" s="183" t="s">
        <v>1686</v>
      </c>
      <c r="J654" s="99">
        <v>16</v>
      </c>
      <c r="K654" s="183" t="str">
        <f>VLOOKUP(Ruimtestaat[[#This Row],[Ruimte code]],Ruimtegroepen[[#All],[Code]:[Ruimte omschrijving]],2,FALSE)</f>
        <v>Leslokalen</v>
      </c>
      <c r="L654" s="99" t="s">
        <v>100</v>
      </c>
      <c r="M654" s="99" t="s">
        <v>1697</v>
      </c>
      <c r="N654" s="177">
        <v>58.1</v>
      </c>
      <c r="O654" s="177"/>
      <c r="P654" s="178" t="str">
        <f>VLOOKUP(Ruimtestaat[[#This Row],[Ruimte code]],Ruimtegroepen[],4,FALSE)</f>
        <v>Le</v>
      </c>
      <c r="Q654" s="149">
        <v>40</v>
      </c>
      <c r="R654" s="149" t="s">
        <v>2</v>
      </c>
      <c r="S654" s="285">
        <f>IF(Q654&gt;0,IF(RIGHT(Ruimtestaat[[#This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4" s="286">
        <f>IF(S654&gt;0,VLOOKUP($J654,Ruimtegroepen[],3,FALSE)*VLOOKUP($L654,Vloersoorten[],3,FALSE)*VLOOKUP($R654,Frequenties[],3,FALSE)*VLOOKUP($A654,Locaties[],3,FALSE),0)</f>
        <v>0</v>
      </c>
      <c r="U654" s="287">
        <f>Ruimtestaat[[#This Row],[Uitvoeringen werkdagen]]*Ruimtestaat[[#This Row],[Oppervlak (netto)]]</f>
        <v>11620</v>
      </c>
      <c r="V654" s="288">
        <f>IF(T654&gt;0,Ruimtestaat[[#This Row],[Prest. (m2 /jaar) werkdagen]]/Ruimtestaat[[#This Row],[Norm (m2/uur) werkdagen]],0)</f>
        <v>0</v>
      </c>
      <c r="W654" s="289">
        <f>Ruimtestaat[[#This Row],[uren / jaar werkdagen]]*Tariefsopbouw!$E$35</f>
        <v>0</v>
      </c>
      <c r="X654" s="226"/>
      <c r="Y654" s="290">
        <f>IF(Ruimtestaat[[#This Row],[Frequentie weekend]]&gt;0,VALUE(LEFT(X654,1))*Q654,0)</f>
        <v>0</v>
      </c>
      <c r="Z654" s="287">
        <f>IF($Y654&gt;0,VLOOKUP($J654,Ruimtegroepen[],3,FALSE)*VLOOKUP($L654,Vloersoorten[],3,FALSE)*VLOOKUP($X654,Frequenties[],3,FALSE)*VLOOKUP(#REF!,Locaties[],3,FALSE),0)</f>
        <v>0</v>
      </c>
      <c r="AA654" s="291">
        <f>Ruimtestaat[[#This Row],[Uitvoeringen weekend]]*Ruimtestaat[[#This Row],[Oppervlak (netto)]]</f>
        <v>0</v>
      </c>
      <c r="AB654" s="291">
        <f>IF(Z654&gt;0,Ruimtestaat[[#This Row],[Prest. (m2 /jaar) weekend]]/Ruimtestaat[[#This Row],[Norm (m2/uur) weekend]],0)</f>
        <v>0</v>
      </c>
      <c r="AC654" s="180">
        <f>Ruimtestaat[[#This Row],[uren / jaar weekend]]*Tariefsopbouw!$D$40</f>
        <v>0</v>
      </c>
      <c r="AD654" s="179">
        <f>Ruimtestaat[[#This Row],[Prest. (m2 /jaar) weekend]]+Ruimtestaat[[#This Row],[Prest. (m2 /jaar) werkdagen]]</f>
        <v>11620</v>
      </c>
      <c r="AE654" s="179">
        <f>Ruimtestaat[[#This Row],[uren / jaar weekend]]+Ruimtestaat[[#This Row],[uren / jaar werkdagen]]</f>
        <v>0</v>
      </c>
      <c r="AF654" s="174">
        <f>Ruimtestaat[[#This Row],[kosten / jaar weekend]]+Ruimtestaat[[#This Row],[kosten / jaar werkdagen]]</f>
        <v>0</v>
      </c>
      <c r="AG654" s="174"/>
      <c r="AH654" s="174" t="str">
        <f>IF(Ruimtestaat[[#This Row],[Frequentie werkdagen]]="","",_xlfn.CONCAT(Ruimtestaat[[#This Row],[Ruimte code]],"-",Ruimtestaat[[#This Row],[Frequentie werkdagen]]," ",Ruimtestaat[[#This Row],[Vloer code]]))</f>
        <v>16-5w L</v>
      </c>
      <c r="AI654" s="182" t="str">
        <f>_xlfn.IFNA(VLOOKUP($AH654,Programma!$F$3:$G$1101,2,0),"")</f>
        <v>_</v>
      </c>
      <c r="AJ654" s="182" t="str">
        <f>_xlfn.IFNA(VLOOKUP($AH654,Programma!$F$3:$H$1101,3,0),"")</f>
        <v>_</v>
      </c>
      <c r="AK654" s="182" t="str">
        <f>_xlfn.IFNA(VLOOKUP($AH654,Programma!$F$3:$I$1101,4,0),"")</f>
        <v>4w</v>
      </c>
      <c r="AL654" s="182" t="str">
        <f>_xlfn.IFNA(VLOOKUP($AH654,Programma!$F$3:$J$1101,5,0),"")</f>
        <v>1w</v>
      </c>
      <c r="AM654" s="182" t="str">
        <f>_xlfn.IFNA(VLOOKUP($AH654,Programma!$F$3:$K$1101,6,0),"")</f>
        <v>_</v>
      </c>
      <c r="AN654" s="182" t="str">
        <f>_xlfn.IFNA(VLOOKUP($AH654,Programma!$F$3:$L$1101,7,0),"")</f>
        <v>_</v>
      </c>
      <c r="AO654" s="182" t="str">
        <f>_xlfn.IFNA(VLOOKUP($AH654,Programma!$F$3:$M$1101,8,0),"")</f>
        <v>_</v>
      </c>
      <c r="AP654" s="182" t="str">
        <f>_xlfn.IFNA(VLOOKUP($AH654,Programma!$F$3:$N$1101,9,0),"")</f>
        <v>_</v>
      </c>
      <c r="AQ654" s="182" t="str">
        <f>_xlfn.IFNA(VLOOKUP($AH654,Programma!$F$3:$O$1101,10,0),"")</f>
        <v>5w</v>
      </c>
      <c r="AR654" s="182" t="str">
        <f>_xlfn.IFNA(VLOOKUP($AH654,Programma!$F$3:$P$1101,11,0),"")</f>
        <v>5w</v>
      </c>
      <c r="AS654" s="182" t="str">
        <f>_xlfn.IFNA(VLOOKUP($AH654,Programma!$F$3:$Q$1101,12,0),"")</f>
        <v>1w</v>
      </c>
      <c r="AT654" s="182" t="str">
        <f>_xlfn.IFNA(VLOOKUP($AH654,Programma!$F$3:$R$1101,13,0),"")</f>
        <v>1w</v>
      </c>
      <c r="AU654" s="182" t="str">
        <f>_xlfn.IFNA(VLOOKUP($AH654,Programma!$F$3:$S$1101,14,0),"")</f>
        <v>1m</v>
      </c>
      <c r="AV654" s="182" t="str">
        <f>_xlfn.IFNA(VLOOKUP($AH654,Programma!$F$3:$T$1101,15,0),"")</f>
        <v>2j</v>
      </c>
      <c r="AW654" s="182" t="str">
        <f>_xlfn.IFNA(VLOOKUP($AH654,Programma!$F$3:$U$1101,16,0),"")</f>
        <v>1j</v>
      </c>
      <c r="AX654" s="182" t="str">
        <f>_xlfn.IFNA(VLOOKUP($AH654,Programma!$F$3:$V$1101,17,0),"")</f>
        <v>_</v>
      </c>
      <c r="AY654" s="182" t="str">
        <f>_xlfn.IFNA(VLOOKUP($AH654,Programma!$F$3:$W$1101,18,0),"")</f>
        <v>_</v>
      </c>
      <c r="AZ654" s="182" t="str">
        <f>_xlfn.IFNA(VLOOKUP($AH654,Programma!$F$3:$X$1101,19,0),"")</f>
        <v>_</v>
      </c>
      <c r="BA654" s="182" t="str">
        <f>_xlfn.IFNA(VLOOKUP($AH654,Programma!$F$3:$Y$1101,20,0),"")</f>
        <v>_</v>
      </c>
      <c r="BB654" s="182"/>
      <c r="BC654" s="174" t="str">
        <f>IF(Ruimtestaat[[#This Row],[Frequentie weekend]]="","",_xlfn.CONCAT(Ruimtestaat[[#This Row],[Ruimte code]],"-",Ruimtestaat[[#This Row],[Frequentie weekend]]," ",Ruimtestaat[[#This Row],[Vloer code]]))</f>
        <v/>
      </c>
      <c r="BD654" s="182" t="str">
        <f>_xlfn.IFNA(VLOOKUP($BC654,Programma!$F$3:$G$1101,2,0),"")</f>
        <v/>
      </c>
      <c r="BE654" s="182" t="str">
        <f>_xlfn.IFNA(VLOOKUP($BC654,Programma!$F$3:$H$1101,3,0),"")</f>
        <v/>
      </c>
      <c r="BF654" s="182" t="str">
        <f>_xlfn.IFNA(VLOOKUP($BC654,Programma!$F$3:$I$1101,4,0),"")</f>
        <v/>
      </c>
      <c r="BG654" s="182" t="str">
        <f>_xlfn.IFNA(VLOOKUP($BC654,Programma!$F$3:$J$1101,5,0),"")</f>
        <v/>
      </c>
      <c r="BH654" s="182" t="str">
        <f>_xlfn.IFNA(VLOOKUP($BC654,Programma!$F$3:$K$1101,6,0),"")</f>
        <v/>
      </c>
      <c r="BI654" s="182" t="str">
        <f>_xlfn.IFNA(VLOOKUP($BC654,Programma!$F$3:$L$1101,7,0),"")</f>
        <v/>
      </c>
      <c r="BJ654" s="182" t="str">
        <f>_xlfn.IFNA(VLOOKUP($BC654,Programma!$F$3:$M$1101,8,0),"")</f>
        <v/>
      </c>
      <c r="BK654" s="182" t="str">
        <f>_xlfn.IFNA(VLOOKUP($BC654,Programma!$F$3:$N$1101,9,0),"")</f>
        <v/>
      </c>
      <c r="BL654" s="182" t="str">
        <f>_xlfn.IFNA(VLOOKUP($BC654,Programma!$F$3:$O$1101,10,0),"")</f>
        <v/>
      </c>
      <c r="BM654" s="182" t="str">
        <f>_xlfn.IFNA(VLOOKUP($BC654,Programma!$F$3:$P$1101,11,0),"")</f>
        <v/>
      </c>
      <c r="BN654" s="182" t="str">
        <f>_xlfn.IFNA(VLOOKUP($BC654,Programma!$F$3:$Q$1101,12,0),"")</f>
        <v/>
      </c>
      <c r="BO654" s="182" t="str">
        <f>_xlfn.IFNA(VLOOKUP($BC654,Programma!$F$3:$R$1101,13,0),"")</f>
        <v/>
      </c>
      <c r="BP654" s="182" t="str">
        <f>_xlfn.IFNA(VLOOKUP($BC654,Programma!$F$3:$S$1101,14,0),"")</f>
        <v/>
      </c>
      <c r="BQ654" s="182" t="str">
        <f>_xlfn.IFNA(VLOOKUP($BC654,Programma!$F$3:$T$1101,15,0),"")</f>
        <v/>
      </c>
      <c r="BR654" s="182" t="str">
        <f>_xlfn.IFNA(VLOOKUP($BC654,Programma!$F$3:$U$1101,16,0),"")</f>
        <v/>
      </c>
      <c r="BS654" s="182" t="str">
        <f>_xlfn.IFNA(VLOOKUP($BC654,Programma!$F$3:$V$1101,17,0),"")</f>
        <v/>
      </c>
      <c r="BT654" s="182" t="str">
        <f>_xlfn.IFNA(VLOOKUP($BC654,Programma!$F$3:$W$1101,18,0),"")</f>
        <v/>
      </c>
      <c r="BU654" s="182" t="str">
        <f>_xlfn.IFNA(VLOOKUP($BC654,Programma!$F$3:$X$1101,19,0),"")</f>
        <v/>
      </c>
      <c r="BV654" s="182" t="str">
        <f>_xlfn.IFNA(VLOOKUP($BC654,Programma!$F$3:$Y$1101,20,0),"")</f>
        <v/>
      </c>
    </row>
    <row r="655" spans="1:74" ht="15" customHeight="1">
      <c r="A655" s="99">
        <v>18</v>
      </c>
      <c r="B655" s="176" t="str">
        <f>VLOOKUP(Ruimtestaat[[#This Row],[Code]],Locaties[[Code]:[Locatie]],2,FALSE)</f>
        <v>OBS De Linde (Thij)</v>
      </c>
      <c r="C655" s="176" t="str">
        <f>VLOOKUP(Ruimtestaat[[#This Row],[Code]],Locaties[[#All],[Code]:[Adres]],4,FALSE)</f>
        <v>Zandhorstlaan 99</v>
      </c>
      <c r="D655" s="176" t="str">
        <f>VLOOKUP(Ruimtestaat[[#This Row],[Code]],Locaties[[#All],[Code]:[Postcode]],5,FALSE)</f>
        <v>7576 VR</v>
      </c>
      <c r="E655" s="176" t="str">
        <f>VLOOKUP(Ruimtestaat[[#This Row],[Code]],Locaties[#All],6,FALSE)</f>
        <v>Oldenzaal</v>
      </c>
      <c r="F655" s="183"/>
      <c r="G655" s="99" t="s">
        <v>1646</v>
      </c>
      <c r="H655" s="99" t="s">
        <v>1672</v>
      </c>
      <c r="I655" s="183" t="s">
        <v>1686</v>
      </c>
      <c r="J655" s="99">
        <v>16</v>
      </c>
      <c r="K655" s="183" t="str">
        <f>VLOOKUP(Ruimtestaat[[#This Row],[Ruimte code]],Ruimtegroepen[[#All],[Code]:[Ruimte omschrijving]],2,FALSE)</f>
        <v>Leslokalen</v>
      </c>
      <c r="L655" s="99" t="s">
        <v>100</v>
      </c>
      <c r="M655" s="99" t="s">
        <v>1697</v>
      </c>
      <c r="N655" s="177">
        <v>58.2</v>
      </c>
      <c r="O655" s="177"/>
      <c r="P655" s="178" t="str">
        <f>VLOOKUP(Ruimtestaat[[#This Row],[Ruimte code]],Ruimtegroepen[],4,FALSE)</f>
        <v>Le</v>
      </c>
      <c r="Q655" s="149">
        <v>40</v>
      </c>
      <c r="R655" s="149" t="s">
        <v>2</v>
      </c>
      <c r="S655" s="285">
        <f>IF(Q655&gt;0,IF(RIGHT(Ruimtestaat[[#This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5" s="286">
        <f>IF(S655&gt;0,VLOOKUP($J655,Ruimtegroepen[],3,FALSE)*VLOOKUP($L655,Vloersoorten[],3,FALSE)*VLOOKUP($R655,Frequenties[],3,FALSE)*VLOOKUP($A655,Locaties[],3,FALSE),0)</f>
        <v>0</v>
      </c>
      <c r="U655" s="287">
        <f>Ruimtestaat[[#This Row],[Uitvoeringen werkdagen]]*Ruimtestaat[[#This Row],[Oppervlak (netto)]]</f>
        <v>11640</v>
      </c>
      <c r="V655" s="288">
        <f>IF(T655&gt;0,Ruimtestaat[[#This Row],[Prest. (m2 /jaar) werkdagen]]/Ruimtestaat[[#This Row],[Norm (m2/uur) werkdagen]],0)</f>
        <v>0</v>
      </c>
      <c r="W655" s="289">
        <f>Ruimtestaat[[#This Row],[uren / jaar werkdagen]]*Tariefsopbouw!$E$35</f>
        <v>0</v>
      </c>
      <c r="X655" s="226"/>
      <c r="Y655" s="290">
        <f>IF(Ruimtestaat[[#This Row],[Frequentie weekend]]&gt;0,VALUE(LEFT(X655,1))*Q655,0)</f>
        <v>0</v>
      </c>
      <c r="Z655" s="287">
        <f>IF($Y655&gt;0,VLOOKUP($J655,Ruimtegroepen[],3,FALSE)*VLOOKUP($L655,Vloersoorten[],3,FALSE)*VLOOKUP($X655,Frequenties[],3,FALSE)*VLOOKUP(#REF!,Locaties[],3,FALSE),0)</f>
        <v>0</v>
      </c>
      <c r="AA655" s="291">
        <f>Ruimtestaat[[#This Row],[Uitvoeringen weekend]]*Ruimtestaat[[#This Row],[Oppervlak (netto)]]</f>
        <v>0</v>
      </c>
      <c r="AB655" s="291">
        <f>IF(Z655&gt;0,Ruimtestaat[[#This Row],[Prest. (m2 /jaar) weekend]]/Ruimtestaat[[#This Row],[Norm (m2/uur) weekend]],0)</f>
        <v>0</v>
      </c>
      <c r="AC655" s="180">
        <f>Ruimtestaat[[#This Row],[uren / jaar weekend]]*Tariefsopbouw!$D$40</f>
        <v>0</v>
      </c>
      <c r="AD655" s="179">
        <f>Ruimtestaat[[#This Row],[Prest. (m2 /jaar) weekend]]+Ruimtestaat[[#This Row],[Prest. (m2 /jaar) werkdagen]]</f>
        <v>11640</v>
      </c>
      <c r="AE655" s="179">
        <f>Ruimtestaat[[#This Row],[uren / jaar weekend]]+Ruimtestaat[[#This Row],[uren / jaar werkdagen]]</f>
        <v>0</v>
      </c>
      <c r="AF655" s="174">
        <f>Ruimtestaat[[#This Row],[kosten / jaar weekend]]+Ruimtestaat[[#This Row],[kosten / jaar werkdagen]]</f>
        <v>0</v>
      </c>
      <c r="AG655" s="174"/>
      <c r="AH655" s="174" t="str">
        <f>IF(Ruimtestaat[[#This Row],[Frequentie werkdagen]]="","",_xlfn.CONCAT(Ruimtestaat[[#This Row],[Ruimte code]],"-",Ruimtestaat[[#This Row],[Frequentie werkdagen]]," ",Ruimtestaat[[#This Row],[Vloer code]]))</f>
        <v>16-5w L</v>
      </c>
      <c r="AI655" s="182" t="str">
        <f>_xlfn.IFNA(VLOOKUP($AH655,Programma!$F$3:$G$1101,2,0),"")</f>
        <v>_</v>
      </c>
      <c r="AJ655" s="182" t="str">
        <f>_xlfn.IFNA(VLOOKUP($AH655,Programma!$F$3:$H$1101,3,0),"")</f>
        <v>_</v>
      </c>
      <c r="AK655" s="182" t="str">
        <f>_xlfn.IFNA(VLOOKUP($AH655,Programma!$F$3:$I$1101,4,0),"")</f>
        <v>4w</v>
      </c>
      <c r="AL655" s="182" t="str">
        <f>_xlfn.IFNA(VLOOKUP($AH655,Programma!$F$3:$J$1101,5,0),"")</f>
        <v>1w</v>
      </c>
      <c r="AM655" s="182" t="str">
        <f>_xlfn.IFNA(VLOOKUP($AH655,Programma!$F$3:$K$1101,6,0),"")</f>
        <v>_</v>
      </c>
      <c r="AN655" s="182" t="str">
        <f>_xlfn.IFNA(VLOOKUP($AH655,Programma!$F$3:$L$1101,7,0),"")</f>
        <v>_</v>
      </c>
      <c r="AO655" s="182" t="str">
        <f>_xlfn.IFNA(VLOOKUP($AH655,Programma!$F$3:$M$1101,8,0),"")</f>
        <v>_</v>
      </c>
      <c r="AP655" s="182" t="str">
        <f>_xlfn.IFNA(VLOOKUP($AH655,Programma!$F$3:$N$1101,9,0),"")</f>
        <v>_</v>
      </c>
      <c r="AQ655" s="182" t="str">
        <f>_xlfn.IFNA(VLOOKUP($AH655,Programma!$F$3:$O$1101,10,0),"")</f>
        <v>5w</v>
      </c>
      <c r="AR655" s="182" t="str">
        <f>_xlfn.IFNA(VLOOKUP($AH655,Programma!$F$3:$P$1101,11,0),"")</f>
        <v>5w</v>
      </c>
      <c r="AS655" s="182" t="str">
        <f>_xlfn.IFNA(VLOOKUP($AH655,Programma!$F$3:$Q$1101,12,0),"")</f>
        <v>1w</v>
      </c>
      <c r="AT655" s="182" t="str">
        <f>_xlfn.IFNA(VLOOKUP($AH655,Programma!$F$3:$R$1101,13,0),"")</f>
        <v>1w</v>
      </c>
      <c r="AU655" s="182" t="str">
        <f>_xlfn.IFNA(VLOOKUP($AH655,Programma!$F$3:$S$1101,14,0),"")</f>
        <v>1m</v>
      </c>
      <c r="AV655" s="182" t="str">
        <f>_xlfn.IFNA(VLOOKUP($AH655,Programma!$F$3:$T$1101,15,0),"")</f>
        <v>2j</v>
      </c>
      <c r="AW655" s="182" t="str">
        <f>_xlfn.IFNA(VLOOKUP($AH655,Programma!$F$3:$U$1101,16,0),"")</f>
        <v>1j</v>
      </c>
      <c r="AX655" s="182" t="str">
        <f>_xlfn.IFNA(VLOOKUP($AH655,Programma!$F$3:$V$1101,17,0),"")</f>
        <v>_</v>
      </c>
      <c r="AY655" s="182" t="str">
        <f>_xlfn.IFNA(VLOOKUP($AH655,Programma!$F$3:$W$1101,18,0),"")</f>
        <v>_</v>
      </c>
      <c r="AZ655" s="182" t="str">
        <f>_xlfn.IFNA(VLOOKUP($AH655,Programma!$F$3:$X$1101,19,0),"")</f>
        <v>_</v>
      </c>
      <c r="BA655" s="182" t="str">
        <f>_xlfn.IFNA(VLOOKUP($AH655,Programma!$F$3:$Y$1101,20,0),"")</f>
        <v>_</v>
      </c>
      <c r="BB655" s="182"/>
      <c r="BC655" s="174" t="str">
        <f>IF(Ruimtestaat[[#This Row],[Frequentie weekend]]="","",_xlfn.CONCAT(Ruimtestaat[[#This Row],[Ruimte code]],"-",Ruimtestaat[[#This Row],[Frequentie weekend]]," ",Ruimtestaat[[#This Row],[Vloer code]]))</f>
        <v/>
      </c>
      <c r="BD655" s="182" t="str">
        <f>_xlfn.IFNA(VLOOKUP($BC655,Programma!$F$3:$G$1101,2,0),"")</f>
        <v/>
      </c>
      <c r="BE655" s="182" t="str">
        <f>_xlfn.IFNA(VLOOKUP($BC655,Programma!$F$3:$H$1101,3,0),"")</f>
        <v/>
      </c>
      <c r="BF655" s="182" t="str">
        <f>_xlfn.IFNA(VLOOKUP($BC655,Programma!$F$3:$I$1101,4,0),"")</f>
        <v/>
      </c>
      <c r="BG655" s="182" t="str">
        <f>_xlfn.IFNA(VLOOKUP($BC655,Programma!$F$3:$J$1101,5,0),"")</f>
        <v/>
      </c>
      <c r="BH655" s="182" t="str">
        <f>_xlfn.IFNA(VLOOKUP($BC655,Programma!$F$3:$K$1101,6,0),"")</f>
        <v/>
      </c>
      <c r="BI655" s="182" t="str">
        <f>_xlfn.IFNA(VLOOKUP($BC655,Programma!$F$3:$L$1101,7,0),"")</f>
        <v/>
      </c>
      <c r="BJ655" s="182" t="str">
        <f>_xlfn.IFNA(VLOOKUP($BC655,Programma!$F$3:$M$1101,8,0),"")</f>
        <v/>
      </c>
      <c r="BK655" s="182" t="str">
        <f>_xlfn.IFNA(VLOOKUP($BC655,Programma!$F$3:$N$1101,9,0),"")</f>
        <v/>
      </c>
      <c r="BL655" s="182" t="str">
        <f>_xlfn.IFNA(VLOOKUP($BC655,Programma!$F$3:$O$1101,10,0),"")</f>
        <v/>
      </c>
      <c r="BM655" s="182" t="str">
        <f>_xlfn.IFNA(VLOOKUP($BC655,Programma!$F$3:$P$1101,11,0),"")</f>
        <v/>
      </c>
      <c r="BN655" s="182" t="str">
        <f>_xlfn.IFNA(VLOOKUP($BC655,Programma!$F$3:$Q$1101,12,0),"")</f>
        <v/>
      </c>
      <c r="BO655" s="182" t="str">
        <f>_xlfn.IFNA(VLOOKUP($BC655,Programma!$F$3:$R$1101,13,0),"")</f>
        <v/>
      </c>
      <c r="BP655" s="182" t="str">
        <f>_xlfn.IFNA(VLOOKUP($BC655,Programma!$F$3:$S$1101,14,0),"")</f>
        <v/>
      </c>
      <c r="BQ655" s="182" t="str">
        <f>_xlfn.IFNA(VLOOKUP($BC655,Programma!$F$3:$T$1101,15,0),"")</f>
        <v/>
      </c>
      <c r="BR655" s="182" t="str">
        <f>_xlfn.IFNA(VLOOKUP($BC655,Programma!$F$3:$U$1101,16,0),"")</f>
        <v/>
      </c>
      <c r="BS655" s="182" t="str">
        <f>_xlfn.IFNA(VLOOKUP($BC655,Programma!$F$3:$V$1101,17,0),"")</f>
        <v/>
      </c>
      <c r="BT655" s="182" t="str">
        <f>_xlfn.IFNA(VLOOKUP($BC655,Programma!$F$3:$W$1101,18,0),"")</f>
        <v/>
      </c>
      <c r="BU655" s="182" t="str">
        <f>_xlfn.IFNA(VLOOKUP($BC655,Programma!$F$3:$X$1101,19,0),"")</f>
        <v/>
      </c>
      <c r="BV655" s="182" t="str">
        <f>_xlfn.IFNA(VLOOKUP($BC655,Programma!$F$3:$Y$1101,20,0),"")</f>
        <v/>
      </c>
    </row>
    <row r="656" spans="1:74" ht="15" customHeight="1">
      <c r="A656" s="99">
        <v>18</v>
      </c>
      <c r="B656" s="176" t="str">
        <f>VLOOKUP(Ruimtestaat[[#This Row],[Code]],Locaties[[Code]:[Locatie]],2,FALSE)</f>
        <v>OBS De Linde (Thij)</v>
      </c>
      <c r="C656" s="176" t="str">
        <f>VLOOKUP(Ruimtestaat[[#This Row],[Code]],Locaties[[#All],[Code]:[Adres]],4,FALSE)</f>
        <v>Zandhorstlaan 99</v>
      </c>
      <c r="D656" s="176" t="str">
        <f>VLOOKUP(Ruimtestaat[[#This Row],[Code]],Locaties[[#All],[Code]:[Postcode]],5,FALSE)</f>
        <v>7576 VR</v>
      </c>
      <c r="E656" s="176" t="str">
        <f>VLOOKUP(Ruimtestaat[[#This Row],[Code]],Locaties[#All],6,FALSE)</f>
        <v>Oldenzaal</v>
      </c>
      <c r="F656" s="183"/>
      <c r="G656" s="99" t="s">
        <v>1646</v>
      </c>
      <c r="H656" s="99" t="s">
        <v>1673</v>
      </c>
      <c r="I656" s="183" t="s">
        <v>1821</v>
      </c>
      <c r="J656" s="99">
        <v>16</v>
      </c>
      <c r="K656" s="183" t="str">
        <f>VLOOKUP(Ruimtestaat[[#This Row],[Ruimte code]],Ruimtegroepen[[#All],[Code]:[Ruimte omschrijving]],2,FALSE)</f>
        <v>Leslokalen</v>
      </c>
      <c r="L656" s="99" t="s">
        <v>100</v>
      </c>
      <c r="M656" s="99" t="s">
        <v>1697</v>
      </c>
      <c r="N656" s="177">
        <v>58.5</v>
      </c>
      <c r="O656" s="177"/>
      <c r="P656" s="178" t="str">
        <f>VLOOKUP(Ruimtestaat[[#This Row],[Ruimte code]],Ruimtegroepen[],4,FALSE)</f>
        <v>Le</v>
      </c>
      <c r="Q656" s="149">
        <v>40</v>
      </c>
      <c r="R656" s="149" t="s">
        <v>2</v>
      </c>
      <c r="S656" s="285">
        <f>IF(Q656&gt;0,IF(RIGHT(Ruimtestaat[[#This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6" s="286">
        <f>IF(S656&gt;0,VLOOKUP($J656,Ruimtegroepen[],3,FALSE)*VLOOKUP($L656,Vloersoorten[],3,FALSE)*VLOOKUP($R656,Frequenties[],3,FALSE)*VLOOKUP($A656,Locaties[],3,FALSE),0)</f>
        <v>0</v>
      </c>
      <c r="U656" s="287">
        <f>Ruimtestaat[[#This Row],[Uitvoeringen werkdagen]]*Ruimtestaat[[#This Row],[Oppervlak (netto)]]</f>
        <v>11700</v>
      </c>
      <c r="V656" s="288">
        <f>IF(T656&gt;0,Ruimtestaat[[#This Row],[Prest. (m2 /jaar) werkdagen]]/Ruimtestaat[[#This Row],[Norm (m2/uur) werkdagen]],0)</f>
        <v>0</v>
      </c>
      <c r="W656" s="289">
        <f>Ruimtestaat[[#This Row],[uren / jaar werkdagen]]*Tariefsopbouw!$E$35</f>
        <v>0</v>
      </c>
      <c r="X656" s="226"/>
      <c r="Y656" s="290">
        <f>IF(Ruimtestaat[[#This Row],[Frequentie weekend]]&gt;0,VALUE(LEFT(X656,1))*Q656,0)</f>
        <v>0</v>
      </c>
      <c r="Z656" s="287">
        <f>IF($Y656&gt;0,VLOOKUP($J656,Ruimtegroepen[],3,FALSE)*VLOOKUP($L656,Vloersoorten[],3,FALSE)*VLOOKUP($X656,Frequenties[],3,FALSE)*VLOOKUP(#REF!,Locaties[],3,FALSE),0)</f>
        <v>0</v>
      </c>
      <c r="AA656" s="291">
        <f>Ruimtestaat[[#This Row],[Uitvoeringen weekend]]*Ruimtestaat[[#This Row],[Oppervlak (netto)]]</f>
        <v>0</v>
      </c>
      <c r="AB656" s="291">
        <f>IF(Z656&gt;0,Ruimtestaat[[#This Row],[Prest. (m2 /jaar) weekend]]/Ruimtestaat[[#This Row],[Norm (m2/uur) weekend]],0)</f>
        <v>0</v>
      </c>
      <c r="AC656" s="180">
        <f>Ruimtestaat[[#This Row],[uren / jaar weekend]]*Tariefsopbouw!$D$40</f>
        <v>0</v>
      </c>
      <c r="AD656" s="179">
        <f>Ruimtestaat[[#This Row],[Prest. (m2 /jaar) weekend]]+Ruimtestaat[[#This Row],[Prest. (m2 /jaar) werkdagen]]</f>
        <v>11700</v>
      </c>
      <c r="AE656" s="179">
        <f>Ruimtestaat[[#This Row],[uren / jaar weekend]]+Ruimtestaat[[#This Row],[uren / jaar werkdagen]]</f>
        <v>0</v>
      </c>
      <c r="AF656" s="174">
        <f>Ruimtestaat[[#This Row],[kosten / jaar weekend]]+Ruimtestaat[[#This Row],[kosten / jaar werkdagen]]</f>
        <v>0</v>
      </c>
      <c r="AG656" s="174"/>
      <c r="AH656" s="174" t="str">
        <f>IF(Ruimtestaat[[#This Row],[Frequentie werkdagen]]="","",_xlfn.CONCAT(Ruimtestaat[[#This Row],[Ruimte code]],"-",Ruimtestaat[[#This Row],[Frequentie werkdagen]]," ",Ruimtestaat[[#This Row],[Vloer code]]))</f>
        <v>16-5w L</v>
      </c>
      <c r="AI656" s="182" t="str">
        <f>_xlfn.IFNA(VLOOKUP($AH656,Programma!$F$3:$G$1101,2,0),"")</f>
        <v>_</v>
      </c>
      <c r="AJ656" s="182" t="str">
        <f>_xlfn.IFNA(VLOOKUP($AH656,Programma!$F$3:$H$1101,3,0),"")</f>
        <v>_</v>
      </c>
      <c r="AK656" s="182" t="str">
        <f>_xlfn.IFNA(VLOOKUP($AH656,Programma!$F$3:$I$1101,4,0),"")</f>
        <v>4w</v>
      </c>
      <c r="AL656" s="182" t="str">
        <f>_xlfn.IFNA(VLOOKUP($AH656,Programma!$F$3:$J$1101,5,0),"")</f>
        <v>1w</v>
      </c>
      <c r="AM656" s="182" t="str">
        <f>_xlfn.IFNA(VLOOKUP($AH656,Programma!$F$3:$K$1101,6,0),"")</f>
        <v>_</v>
      </c>
      <c r="AN656" s="182" t="str">
        <f>_xlfn.IFNA(VLOOKUP($AH656,Programma!$F$3:$L$1101,7,0),"")</f>
        <v>_</v>
      </c>
      <c r="AO656" s="182" t="str">
        <f>_xlfn.IFNA(VLOOKUP($AH656,Programma!$F$3:$M$1101,8,0),"")</f>
        <v>_</v>
      </c>
      <c r="AP656" s="182" t="str">
        <f>_xlfn.IFNA(VLOOKUP($AH656,Programma!$F$3:$N$1101,9,0),"")</f>
        <v>_</v>
      </c>
      <c r="AQ656" s="182" t="str">
        <f>_xlfn.IFNA(VLOOKUP($AH656,Programma!$F$3:$O$1101,10,0),"")</f>
        <v>5w</v>
      </c>
      <c r="AR656" s="182" t="str">
        <f>_xlfn.IFNA(VLOOKUP($AH656,Programma!$F$3:$P$1101,11,0),"")</f>
        <v>5w</v>
      </c>
      <c r="AS656" s="182" t="str">
        <f>_xlfn.IFNA(VLOOKUP($AH656,Programma!$F$3:$Q$1101,12,0),"")</f>
        <v>1w</v>
      </c>
      <c r="AT656" s="182" t="str">
        <f>_xlfn.IFNA(VLOOKUP($AH656,Programma!$F$3:$R$1101,13,0),"")</f>
        <v>1w</v>
      </c>
      <c r="AU656" s="182" t="str">
        <f>_xlfn.IFNA(VLOOKUP($AH656,Programma!$F$3:$S$1101,14,0),"")</f>
        <v>1m</v>
      </c>
      <c r="AV656" s="182" t="str">
        <f>_xlfn.IFNA(VLOOKUP($AH656,Programma!$F$3:$T$1101,15,0),"")</f>
        <v>2j</v>
      </c>
      <c r="AW656" s="182" t="str">
        <f>_xlfn.IFNA(VLOOKUP($AH656,Programma!$F$3:$U$1101,16,0),"")</f>
        <v>1j</v>
      </c>
      <c r="AX656" s="182" t="str">
        <f>_xlfn.IFNA(VLOOKUP($AH656,Programma!$F$3:$V$1101,17,0),"")</f>
        <v>_</v>
      </c>
      <c r="AY656" s="182" t="str">
        <f>_xlfn.IFNA(VLOOKUP($AH656,Programma!$F$3:$W$1101,18,0),"")</f>
        <v>_</v>
      </c>
      <c r="AZ656" s="182" t="str">
        <f>_xlfn.IFNA(VLOOKUP($AH656,Programma!$F$3:$X$1101,19,0),"")</f>
        <v>_</v>
      </c>
      <c r="BA656" s="182" t="str">
        <f>_xlfn.IFNA(VLOOKUP($AH656,Programma!$F$3:$Y$1101,20,0),"")</f>
        <v>_</v>
      </c>
      <c r="BB656" s="182"/>
      <c r="BC656" s="174" t="str">
        <f>IF(Ruimtestaat[[#This Row],[Frequentie weekend]]="","",_xlfn.CONCAT(Ruimtestaat[[#This Row],[Ruimte code]],"-",Ruimtestaat[[#This Row],[Frequentie weekend]]," ",Ruimtestaat[[#This Row],[Vloer code]]))</f>
        <v/>
      </c>
      <c r="BD656" s="182" t="str">
        <f>_xlfn.IFNA(VLOOKUP($BC656,Programma!$F$3:$G$1101,2,0),"")</f>
        <v/>
      </c>
      <c r="BE656" s="182" t="str">
        <f>_xlfn.IFNA(VLOOKUP($BC656,Programma!$F$3:$H$1101,3,0),"")</f>
        <v/>
      </c>
      <c r="BF656" s="182" t="str">
        <f>_xlfn.IFNA(VLOOKUP($BC656,Programma!$F$3:$I$1101,4,0),"")</f>
        <v/>
      </c>
      <c r="BG656" s="182" t="str">
        <f>_xlfn.IFNA(VLOOKUP($BC656,Programma!$F$3:$J$1101,5,0),"")</f>
        <v/>
      </c>
      <c r="BH656" s="182" t="str">
        <f>_xlfn.IFNA(VLOOKUP($BC656,Programma!$F$3:$K$1101,6,0),"")</f>
        <v/>
      </c>
      <c r="BI656" s="182" t="str">
        <f>_xlfn.IFNA(VLOOKUP($BC656,Programma!$F$3:$L$1101,7,0),"")</f>
        <v/>
      </c>
      <c r="BJ656" s="182" t="str">
        <f>_xlfn.IFNA(VLOOKUP($BC656,Programma!$F$3:$M$1101,8,0),"")</f>
        <v/>
      </c>
      <c r="BK656" s="182" t="str">
        <f>_xlfn.IFNA(VLOOKUP($BC656,Programma!$F$3:$N$1101,9,0),"")</f>
        <v/>
      </c>
      <c r="BL656" s="182" t="str">
        <f>_xlfn.IFNA(VLOOKUP($BC656,Programma!$F$3:$O$1101,10,0),"")</f>
        <v/>
      </c>
      <c r="BM656" s="182" t="str">
        <f>_xlfn.IFNA(VLOOKUP($BC656,Programma!$F$3:$P$1101,11,0),"")</f>
        <v/>
      </c>
      <c r="BN656" s="182" t="str">
        <f>_xlfn.IFNA(VLOOKUP($BC656,Programma!$F$3:$Q$1101,12,0),"")</f>
        <v/>
      </c>
      <c r="BO656" s="182" t="str">
        <f>_xlfn.IFNA(VLOOKUP($BC656,Programma!$F$3:$R$1101,13,0),"")</f>
        <v/>
      </c>
      <c r="BP656" s="182" t="str">
        <f>_xlfn.IFNA(VLOOKUP($BC656,Programma!$F$3:$S$1101,14,0),"")</f>
        <v/>
      </c>
      <c r="BQ656" s="182" t="str">
        <f>_xlfn.IFNA(VLOOKUP($BC656,Programma!$F$3:$T$1101,15,0),"")</f>
        <v/>
      </c>
      <c r="BR656" s="182" t="str">
        <f>_xlfn.IFNA(VLOOKUP($BC656,Programma!$F$3:$U$1101,16,0),"")</f>
        <v/>
      </c>
      <c r="BS656" s="182" t="str">
        <f>_xlfn.IFNA(VLOOKUP($BC656,Programma!$F$3:$V$1101,17,0),"")</f>
        <v/>
      </c>
      <c r="BT656" s="182" t="str">
        <f>_xlfn.IFNA(VLOOKUP($BC656,Programma!$F$3:$W$1101,18,0),"")</f>
        <v/>
      </c>
      <c r="BU656" s="182" t="str">
        <f>_xlfn.IFNA(VLOOKUP($BC656,Programma!$F$3:$X$1101,19,0),"")</f>
        <v/>
      </c>
      <c r="BV656" s="182" t="str">
        <f>_xlfn.IFNA(VLOOKUP($BC656,Programma!$F$3:$Y$1101,20,0),"")</f>
        <v/>
      </c>
    </row>
    <row r="657" spans="1:74" ht="15" customHeight="1">
      <c r="A657" s="99">
        <v>18</v>
      </c>
      <c r="B657" s="176" t="str">
        <f>VLOOKUP(Ruimtestaat[[#This Row],[Code]],Locaties[[Code]:[Locatie]],2,FALSE)</f>
        <v>OBS De Linde (Thij)</v>
      </c>
      <c r="C657" s="176" t="str">
        <f>VLOOKUP(Ruimtestaat[[#This Row],[Code]],Locaties[[#All],[Code]:[Adres]],4,FALSE)</f>
        <v>Zandhorstlaan 99</v>
      </c>
      <c r="D657" s="176" t="str">
        <f>VLOOKUP(Ruimtestaat[[#This Row],[Code]],Locaties[[#All],[Code]:[Postcode]],5,FALSE)</f>
        <v>7576 VR</v>
      </c>
      <c r="E657" s="176" t="str">
        <f>VLOOKUP(Ruimtestaat[[#This Row],[Code]],Locaties[#All],6,FALSE)</f>
        <v>Oldenzaal</v>
      </c>
      <c r="F657" s="183"/>
      <c r="G657" s="99" t="s">
        <v>1646</v>
      </c>
      <c r="H657" s="99" t="s">
        <v>1674</v>
      </c>
      <c r="I657" s="183" t="s">
        <v>1658</v>
      </c>
      <c r="J657" s="99">
        <v>6</v>
      </c>
      <c r="K657" s="183" t="str">
        <f>VLOOKUP(Ruimtestaat[[#This Row],[Ruimte code]],Ruimtegroepen[[#All],[Code]:[Ruimte omschrijving]],2,FALSE)</f>
        <v>Gangen/hallen</v>
      </c>
      <c r="L657" s="99" t="s">
        <v>101</v>
      </c>
      <c r="M657" s="99" t="s">
        <v>119</v>
      </c>
      <c r="N657" s="177">
        <v>38.1</v>
      </c>
      <c r="O657" s="177"/>
      <c r="P657" s="178" t="str">
        <f>VLOOKUP(Ruimtestaat[[#This Row],[Ruimte code]],Ruimtegroepen[],4,FALSE)</f>
        <v>Ve</v>
      </c>
      <c r="Q657" s="149">
        <v>40</v>
      </c>
      <c r="R657" s="149" t="s">
        <v>2</v>
      </c>
      <c r="S657" s="285">
        <f>IF(Q657&gt;0,IF(RIGHT(Ruimtestaat[[#This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7" s="286">
        <f>IF(S657&gt;0,VLOOKUP($J657,Ruimtegroepen[],3,FALSE)*VLOOKUP($L657,Vloersoorten[],3,FALSE)*VLOOKUP($R657,Frequenties[],3,FALSE)*VLOOKUP($A657,Locaties[],3,FALSE),0)</f>
        <v>0</v>
      </c>
      <c r="U657" s="287">
        <f>Ruimtestaat[[#This Row],[Uitvoeringen werkdagen]]*Ruimtestaat[[#This Row],[Oppervlak (netto)]]</f>
        <v>7620</v>
      </c>
      <c r="V657" s="288">
        <f>IF(T657&gt;0,Ruimtestaat[[#This Row],[Prest. (m2 /jaar) werkdagen]]/Ruimtestaat[[#This Row],[Norm (m2/uur) werkdagen]],0)</f>
        <v>0</v>
      </c>
      <c r="W657" s="289">
        <f>Ruimtestaat[[#This Row],[uren / jaar werkdagen]]*Tariefsopbouw!$E$35</f>
        <v>0</v>
      </c>
      <c r="X657" s="226"/>
      <c r="Y657" s="290">
        <f>IF(Ruimtestaat[[#This Row],[Frequentie weekend]]&gt;0,VALUE(LEFT(X657,1))*Q657,0)</f>
        <v>0</v>
      </c>
      <c r="Z657" s="287">
        <f>IF($Y657&gt;0,VLOOKUP($J657,Ruimtegroepen[],3,FALSE)*VLOOKUP($L657,Vloersoorten[],3,FALSE)*VLOOKUP($X657,Frequenties[],3,FALSE)*VLOOKUP(#REF!,Locaties[],3,FALSE),0)</f>
        <v>0</v>
      </c>
      <c r="AA657" s="291">
        <f>Ruimtestaat[[#This Row],[Uitvoeringen weekend]]*Ruimtestaat[[#This Row],[Oppervlak (netto)]]</f>
        <v>0</v>
      </c>
      <c r="AB657" s="291">
        <f>IF(Z657&gt;0,Ruimtestaat[[#This Row],[Prest. (m2 /jaar) weekend]]/Ruimtestaat[[#This Row],[Norm (m2/uur) weekend]],0)</f>
        <v>0</v>
      </c>
      <c r="AC657" s="180">
        <f>Ruimtestaat[[#This Row],[uren / jaar weekend]]*Tariefsopbouw!$D$40</f>
        <v>0</v>
      </c>
      <c r="AD657" s="179">
        <f>Ruimtestaat[[#This Row],[Prest. (m2 /jaar) weekend]]+Ruimtestaat[[#This Row],[Prest. (m2 /jaar) werkdagen]]</f>
        <v>7620</v>
      </c>
      <c r="AE657" s="179">
        <f>Ruimtestaat[[#This Row],[uren / jaar weekend]]+Ruimtestaat[[#This Row],[uren / jaar werkdagen]]</f>
        <v>0</v>
      </c>
      <c r="AF657" s="174">
        <f>Ruimtestaat[[#This Row],[kosten / jaar weekend]]+Ruimtestaat[[#This Row],[kosten / jaar werkdagen]]</f>
        <v>0</v>
      </c>
      <c r="AG657" s="174"/>
      <c r="AH657" s="174" t="str">
        <f>IF(Ruimtestaat[[#This Row],[Frequentie werkdagen]]="","",_xlfn.CONCAT(Ruimtestaat[[#This Row],[Ruimte code]],"-",Ruimtestaat[[#This Row],[Frequentie werkdagen]]," ",Ruimtestaat[[#This Row],[Vloer code]]))</f>
        <v>6-5w S</v>
      </c>
      <c r="AI657" s="182" t="str">
        <f>_xlfn.IFNA(VLOOKUP($AH657,Programma!$F$3:$G$1101,2,0),"")</f>
        <v>_</v>
      </c>
      <c r="AJ657" s="182" t="str">
        <f>_xlfn.IFNA(VLOOKUP($AH657,Programma!$F$3:$H$1101,3,0),"")</f>
        <v>_</v>
      </c>
      <c r="AK657" s="182" t="str">
        <f>_xlfn.IFNA(VLOOKUP($AH657,Programma!$F$3:$I$1101,4,0),"")</f>
        <v>5w</v>
      </c>
      <c r="AL657" s="182" t="str">
        <f>_xlfn.IFNA(VLOOKUP($AH657,Programma!$F$3:$J$1101,5,0),"")</f>
        <v>_</v>
      </c>
      <c r="AM657" s="182" t="str">
        <f>_xlfn.IFNA(VLOOKUP($AH657,Programma!$F$3:$K$1101,6,0),"")</f>
        <v>5w</v>
      </c>
      <c r="AN657" s="182" t="str">
        <f>_xlfn.IFNA(VLOOKUP($AH657,Programma!$F$3:$L$1101,7,0),"")</f>
        <v>_</v>
      </c>
      <c r="AO657" s="182" t="str">
        <f>_xlfn.IFNA(VLOOKUP($AH657,Programma!$F$3:$M$1101,8,0),"")</f>
        <v>_</v>
      </c>
      <c r="AP657" s="182" t="str">
        <f>_xlfn.IFNA(VLOOKUP($AH657,Programma!$F$3:$N$1101,9,0),"")</f>
        <v>_</v>
      </c>
      <c r="AQ657" s="182" t="str">
        <f>_xlfn.IFNA(VLOOKUP($AH657,Programma!$F$3:$O$1101,10,0),"")</f>
        <v>5w</v>
      </c>
      <c r="AR657" s="182" t="str">
        <f>_xlfn.IFNA(VLOOKUP($AH657,Programma!$F$3:$P$1101,11,0),"")</f>
        <v>5w</v>
      </c>
      <c r="AS657" s="182" t="str">
        <f>_xlfn.IFNA(VLOOKUP($AH657,Programma!$F$3:$Q$1101,12,0),"")</f>
        <v>1w</v>
      </c>
      <c r="AT657" s="182" t="str">
        <f>_xlfn.IFNA(VLOOKUP($AH657,Programma!$F$3:$R$1101,13,0),"")</f>
        <v>1w</v>
      </c>
      <c r="AU657" s="182" t="str">
        <f>_xlfn.IFNA(VLOOKUP($AH657,Programma!$F$3:$S$1101,14,0),"")</f>
        <v>1m</v>
      </c>
      <c r="AV657" s="182" t="str">
        <f>_xlfn.IFNA(VLOOKUP($AH657,Programma!$F$3:$T$1101,15,0),"")</f>
        <v>2j</v>
      </c>
      <c r="AW657" s="182" t="str">
        <f>_xlfn.IFNA(VLOOKUP($AH657,Programma!$F$3:$U$1101,16,0),"")</f>
        <v>1j</v>
      </c>
      <c r="AX657" s="182" t="str">
        <f>_xlfn.IFNA(VLOOKUP($AH657,Programma!$F$3:$V$1101,17,0),"")</f>
        <v>_</v>
      </c>
      <c r="AY657" s="182" t="str">
        <f>_xlfn.IFNA(VLOOKUP($AH657,Programma!$F$3:$W$1101,18,0),"")</f>
        <v>_</v>
      </c>
      <c r="AZ657" s="182" t="str">
        <f>_xlfn.IFNA(VLOOKUP($AH657,Programma!$F$3:$X$1101,19,0),"")</f>
        <v>_</v>
      </c>
      <c r="BA657" s="182" t="str">
        <f>_xlfn.IFNA(VLOOKUP($AH657,Programma!$F$3:$Y$1101,20,0),"")</f>
        <v>_</v>
      </c>
      <c r="BB657" s="182"/>
      <c r="BC657" s="174" t="str">
        <f>IF(Ruimtestaat[[#This Row],[Frequentie weekend]]="","",_xlfn.CONCAT(Ruimtestaat[[#This Row],[Ruimte code]],"-",Ruimtestaat[[#This Row],[Frequentie weekend]]," ",Ruimtestaat[[#This Row],[Vloer code]]))</f>
        <v/>
      </c>
      <c r="BD657" s="182" t="str">
        <f>_xlfn.IFNA(VLOOKUP($BC657,Programma!$F$3:$G$1101,2,0),"")</f>
        <v/>
      </c>
      <c r="BE657" s="182" t="str">
        <f>_xlfn.IFNA(VLOOKUP($BC657,Programma!$F$3:$H$1101,3,0),"")</f>
        <v/>
      </c>
      <c r="BF657" s="182" t="str">
        <f>_xlfn.IFNA(VLOOKUP($BC657,Programma!$F$3:$I$1101,4,0),"")</f>
        <v/>
      </c>
      <c r="BG657" s="182" t="str">
        <f>_xlfn.IFNA(VLOOKUP($BC657,Programma!$F$3:$J$1101,5,0),"")</f>
        <v/>
      </c>
      <c r="BH657" s="182" t="str">
        <f>_xlfn.IFNA(VLOOKUP($BC657,Programma!$F$3:$K$1101,6,0),"")</f>
        <v/>
      </c>
      <c r="BI657" s="182" t="str">
        <f>_xlfn.IFNA(VLOOKUP($BC657,Programma!$F$3:$L$1101,7,0),"")</f>
        <v/>
      </c>
      <c r="BJ657" s="182" t="str">
        <f>_xlfn.IFNA(VLOOKUP($BC657,Programma!$F$3:$M$1101,8,0),"")</f>
        <v/>
      </c>
      <c r="BK657" s="182" t="str">
        <f>_xlfn.IFNA(VLOOKUP($BC657,Programma!$F$3:$N$1101,9,0),"")</f>
        <v/>
      </c>
      <c r="BL657" s="182" t="str">
        <f>_xlfn.IFNA(VLOOKUP($BC657,Programma!$F$3:$O$1101,10,0),"")</f>
        <v/>
      </c>
      <c r="BM657" s="182" t="str">
        <f>_xlfn.IFNA(VLOOKUP($BC657,Programma!$F$3:$P$1101,11,0),"")</f>
        <v/>
      </c>
      <c r="BN657" s="182" t="str">
        <f>_xlfn.IFNA(VLOOKUP($BC657,Programma!$F$3:$Q$1101,12,0),"")</f>
        <v/>
      </c>
      <c r="BO657" s="182" t="str">
        <f>_xlfn.IFNA(VLOOKUP($BC657,Programma!$F$3:$R$1101,13,0),"")</f>
        <v/>
      </c>
      <c r="BP657" s="182" t="str">
        <f>_xlfn.IFNA(VLOOKUP($BC657,Programma!$F$3:$S$1101,14,0),"")</f>
        <v/>
      </c>
      <c r="BQ657" s="182" t="str">
        <f>_xlfn.IFNA(VLOOKUP($BC657,Programma!$F$3:$T$1101,15,0),"")</f>
        <v/>
      </c>
      <c r="BR657" s="182" t="str">
        <f>_xlfn.IFNA(VLOOKUP($BC657,Programma!$F$3:$U$1101,16,0),"")</f>
        <v/>
      </c>
      <c r="BS657" s="182" t="str">
        <f>_xlfn.IFNA(VLOOKUP($BC657,Programma!$F$3:$V$1101,17,0),"")</f>
        <v/>
      </c>
      <c r="BT657" s="182" t="str">
        <f>_xlfn.IFNA(VLOOKUP($BC657,Programma!$F$3:$W$1101,18,0),"")</f>
        <v/>
      </c>
      <c r="BU657" s="182" t="str">
        <f>_xlfn.IFNA(VLOOKUP($BC657,Programma!$F$3:$X$1101,19,0),"")</f>
        <v/>
      </c>
      <c r="BV657" s="182" t="str">
        <f>_xlfn.IFNA(VLOOKUP($BC657,Programma!$F$3:$Y$1101,20,0),"")</f>
        <v/>
      </c>
    </row>
    <row r="658" spans="1:74" ht="15" customHeight="1">
      <c r="A658" s="99">
        <v>18</v>
      </c>
      <c r="B658" s="176" t="str">
        <f>VLOOKUP(Ruimtestaat[[#This Row],[Code]],Locaties[[Code]:[Locatie]],2,FALSE)</f>
        <v>OBS De Linde (Thij)</v>
      </c>
      <c r="C658" s="176" t="str">
        <f>VLOOKUP(Ruimtestaat[[#This Row],[Code]],Locaties[[#All],[Code]:[Adres]],4,FALSE)</f>
        <v>Zandhorstlaan 99</v>
      </c>
      <c r="D658" s="176" t="str">
        <f>VLOOKUP(Ruimtestaat[[#This Row],[Code]],Locaties[[#All],[Code]:[Postcode]],5,FALSE)</f>
        <v>7576 VR</v>
      </c>
      <c r="E658" s="176" t="str">
        <f>VLOOKUP(Ruimtestaat[[#This Row],[Code]],Locaties[#All],6,FALSE)</f>
        <v>Oldenzaal</v>
      </c>
      <c r="F658" s="183"/>
      <c r="G658" s="99" t="s">
        <v>1646</v>
      </c>
      <c r="H658" s="99" t="s">
        <v>1675</v>
      </c>
      <c r="I658" s="183" t="s">
        <v>1688</v>
      </c>
      <c r="J658" s="99">
        <v>16</v>
      </c>
      <c r="K658" s="183" t="str">
        <f>VLOOKUP(Ruimtestaat[[#This Row],[Ruimte code]],Ruimtegroepen[[#All],[Code]:[Ruimte omschrijving]],2,FALSE)</f>
        <v>Leslokalen</v>
      </c>
      <c r="L658" s="99" t="s">
        <v>100</v>
      </c>
      <c r="M658" s="99" t="s">
        <v>1697</v>
      </c>
      <c r="N658" s="177">
        <v>56.1</v>
      </c>
      <c r="O658" s="177"/>
      <c r="P658" s="178" t="str">
        <f>VLOOKUP(Ruimtestaat[[#This Row],[Ruimte code]],Ruimtegroepen[],4,FALSE)</f>
        <v>Le</v>
      </c>
      <c r="Q658" s="149">
        <v>40</v>
      </c>
      <c r="R658" s="149" t="s">
        <v>2</v>
      </c>
      <c r="S658" s="285">
        <f>IF(Q658&gt;0,IF(RIGHT(Ruimtestaat[[#This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8" s="286">
        <f>IF(S658&gt;0,VLOOKUP($J658,Ruimtegroepen[],3,FALSE)*VLOOKUP($L658,Vloersoorten[],3,FALSE)*VLOOKUP($R658,Frequenties[],3,FALSE)*VLOOKUP($A658,Locaties[],3,FALSE),0)</f>
        <v>0</v>
      </c>
      <c r="U658" s="287">
        <f>Ruimtestaat[[#This Row],[Uitvoeringen werkdagen]]*Ruimtestaat[[#This Row],[Oppervlak (netto)]]</f>
        <v>11220</v>
      </c>
      <c r="V658" s="288">
        <f>IF(T658&gt;0,Ruimtestaat[[#This Row],[Prest. (m2 /jaar) werkdagen]]/Ruimtestaat[[#This Row],[Norm (m2/uur) werkdagen]],0)</f>
        <v>0</v>
      </c>
      <c r="W658" s="289">
        <f>Ruimtestaat[[#This Row],[uren / jaar werkdagen]]*Tariefsopbouw!$E$35</f>
        <v>0</v>
      </c>
      <c r="X658" s="226"/>
      <c r="Y658" s="290">
        <f>IF(Ruimtestaat[[#This Row],[Frequentie weekend]]&gt;0,VALUE(LEFT(X658,1))*Q658,0)</f>
        <v>0</v>
      </c>
      <c r="Z658" s="287">
        <f>IF($Y658&gt;0,VLOOKUP($J658,Ruimtegroepen[],3,FALSE)*VLOOKUP($L658,Vloersoorten[],3,FALSE)*VLOOKUP($X658,Frequenties[],3,FALSE)*VLOOKUP(#REF!,Locaties[],3,FALSE),0)</f>
        <v>0</v>
      </c>
      <c r="AA658" s="291">
        <f>Ruimtestaat[[#This Row],[Uitvoeringen weekend]]*Ruimtestaat[[#This Row],[Oppervlak (netto)]]</f>
        <v>0</v>
      </c>
      <c r="AB658" s="291">
        <f>IF(Z658&gt;0,Ruimtestaat[[#This Row],[Prest. (m2 /jaar) weekend]]/Ruimtestaat[[#This Row],[Norm (m2/uur) weekend]],0)</f>
        <v>0</v>
      </c>
      <c r="AC658" s="180">
        <f>Ruimtestaat[[#This Row],[uren / jaar weekend]]*Tariefsopbouw!$D$40</f>
        <v>0</v>
      </c>
      <c r="AD658" s="179">
        <f>Ruimtestaat[[#This Row],[Prest. (m2 /jaar) weekend]]+Ruimtestaat[[#This Row],[Prest. (m2 /jaar) werkdagen]]</f>
        <v>11220</v>
      </c>
      <c r="AE658" s="179">
        <f>Ruimtestaat[[#This Row],[uren / jaar weekend]]+Ruimtestaat[[#This Row],[uren / jaar werkdagen]]</f>
        <v>0</v>
      </c>
      <c r="AF658" s="174">
        <f>Ruimtestaat[[#This Row],[kosten / jaar weekend]]+Ruimtestaat[[#This Row],[kosten / jaar werkdagen]]</f>
        <v>0</v>
      </c>
      <c r="AG658" s="174"/>
      <c r="AH658" s="174" t="str">
        <f>IF(Ruimtestaat[[#This Row],[Frequentie werkdagen]]="","",_xlfn.CONCAT(Ruimtestaat[[#This Row],[Ruimte code]],"-",Ruimtestaat[[#This Row],[Frequentie werkdagen]]," ",Ruimtestaat[[#This Row],[Vloer code]]))</f>
        <v>16-5w L</v>
      </c>
      <c r="AI658" s="182" t="str">
        <f>_xlfn.IFNA(VLOOKUP($AH658,Programma!$F$3:$G$1101,2,0),"")</f>
        <v>_</v>
      </c>
      <c r="AJ658" s="182" t="str">
        <f>_xlfn.IFNA(VLOOKUP($AH658,Programma!$F$3:$H$1101,3,0),"")</f>
        <v>_</v>
      </c>
      <c r="AK658" s="182" t="str">
        <f>_xlfn.IFNA(VLOOKUP($AH658,Programma!$F$3:$I$1101,4,0),"")</f>
        <v>4w</v>
      </c>
      <c r="AL658" s="182" t="str">
        <f>_xlfn.IFNA(VLOOKUP($AH658,Programma!$F$3:$J$1101,5,0),"")</f>
        <v>1w</v>
      </c>
      <c r="AM658" s="182" t="str">
        <f>_xlfn.IFNA(VLOOKUP($AH658,Programma!$F$3:$K$1101,6,0),"")</f>
        <v>_</v>
      </c>
      <c r="AN658" s="182" t="str">
        <f>_xlfn.IFNA(VLOOKUP($AH658,Programma!$F$3:$L$1101,7,0),"")</f>
        <v>_</v>
      </c>
      <c r="AO658" s="182" t="str">
        <f>_xlfn.IFNA(VLOOKUP($AH658,Programma!$F$3:$M$1101,8,0),"")</f>
        <v>_</v>
      </c>
      <c r="AP658" s="182" t="str">
        <f>_xlfn.IFNA(VLOOKUP($AH658,Programma!$F$3:$N$1101,9,0),"")</f>
        <v>_</v>
      </c>
      <c r="AQ658" s="182" t="str">
        <f>_xlfn.IFNA(VLOOKUP($AH658,Programma!$F$3:$O$1101,10,0),"")</f>
        <v>5w</v>
      </c>
      <c r="AR658" s="182" t="str">
        <f>_xlfn.IFNA(VLOOKUP($AH658,Programma!$F$3:$P$1101,11,0),"")</f>
        <v>5w</v>
      </c>
      <c r="AS658" s="182" t="str">
        <f>_xlfn.IFNA(VLOOKUP($AH658,Programma!$F$3:$Q$1101,12,0),"")</f>
        <v>1w</v>
      </c>
      <c r="AT658" s="182" t="str">
        <f>_xlfn.IFNA(VLOOKUP($AH658,Programma!$F$3:$R$1101,13,0),"")</f>
        <v>1w</v>
      </c>
      <c r="AU658" s="182" t="str">
        <f>_xlfn.IFNA(VLOOKUP($AH658,Programma!$F$3:$S$1101,14,0),"")</f>
        <v>1m</v>
      </c>
      <c r="AV658" s="182" t="str">
        <f>_xlfn.IFNA(VLOOKUP($AH658,Programma!$F$3:$T$1101,15,0),"")</f>
        <v>2j</v>
      </c>
      <c r="AW658" s="182" t="str">
        <f>_xlfn.IFNA(VLOOKUP($AH658,Programma!$F$3:$U$1101,16,0),"")</f>
        <v>1j</v>
      </c>
      <c r="AX658" s="182" t="str">
        <f>_xlfn.IFNA(VLOOKUP($AH658,Programma!$F$3:$V$1101,17,0),"")</f>
        <v>_</v>
      </c>
      <c r="AY658" s="182" t="str">
        <f>_xlfn.IFNA(VLOOKUP($AH658,Programma!$F$3:$W$1101,18,0),"")</f>
        <v>_</v>
      </c>
      <c r="AZ658" s="182" t="str">
        <f>_xlfn.IFNA(VLOOKUP($AH658,Programma!$F$3:$X$1101,19,0),"")</f>
        <v>_</v>
      </c>
      <c r="BA658" s="182" t="str">
        <f>_xlfn.IFNA(VLOOKUP($AH658,Programma!$F$3:$Y$1101,20,0),"")</f>
        <v>_</v>
      </c>
      <c r="BB658" s="182"/>
      <c r="BC658" s="174" t="str">
        <f>IF(Ruimtestaat[[#This Row],[Frequentie weekend]]="","",_xlfn.CONCAT(Ruimtestaat[[#This Row],[Ruimte code]],"-",Ruimtestaat[[#This Row],[Frequentie weekend]]," ",Ruimtestaat[[#This Row],[Vloer code]]))</f>
        <v/>
      </c>
      <c r="BD658" s="182" t="str">
        <f>_xlfn.IFNA(VLOOKUP($BC658,Programma!$F$3:$G$1101,2,0),"")</f>
        <v/>
      </c>
      <c r="BE658" s="182" t="str">
        <f>_xlfn.IFNA(VLOOKUP($BC658,Programma!$F$3:$H$1101,3,0),"")</f>
        <v/>
      </c>
      <c r="BF658" s="182" t="str">
        <f>_xlfn.IFNA(VLOOKUP($BC658,Programma!$F$3:$I$1101,4,0),"")</f>
        <v/>
      </c>
      <c r="BG658" s="182" t="str">
        <f>_xlfn.IFNA(VLOOKUP($BC658,Programma!$F$3:$J$1101,5,0),"")</f>
        <v/>
      </c>
      <c r="BH658" s="182" t="str">
        <f>_xlfn.IFNA(VLOOKUP($BC658,Programma!$F$3:$K$1101,6,0),"")</f>
        <v/>
      </c>
      <c r="BI658" s="182" t="str">
        <f>_xlfn.IFNA(VLOOKUP($BC658,Programma!$F$3:$L$1101,7,0),"")</f>
        <v/>
      </c>
      <c r="BJ658" s="182" t="str">
        <f>_xlfn.IFNA(VLOOKUP($BC658,Programma!$F$3:$M$1101,8,0),"")</f>
        <v/>
      </c>
      <c r="BK658" s="182" t="str">
        <f>_xlfn.IFNA(VLOOKUP($BC658,Programma!$F$3:$N$1101,9,0),"")</f>
        <v/>
      </c>
      <c r="BL658" s="182" t="str">
        <f>_xlfn.IFNA(VLOOKUP($BC658,Programma!$F$3:$O$1101,10,0),"")</f>
        <v/>
      </c>
      <c r="BM658" s="182" t="str">
        <f>_xlfn.IFNA(VLOOKUP($BC658,Programma!$F$3:$P$1101,11,0),"")</f>
        <v/>
      </c>
      <c r="BN658" s="182" t="str">
        <f>_xlfn.IFNA(VLOOKUP($BC658,Programma!$F$3:$Q$1101,12,0),"")</f>
        <v/>
      </c>
      <c r="BO658" s="182" t="str">
        <f>_xlfn.IFNA(VLOOKUP($BC658,Programma!$F$3:$R$1101,13,0),"")</f>
        <v/>
      </c>
      <c r="BP658" s="182" t="str">
        <f>_xlfn.IFNA(VLOOKUP($BC658,Programma!$F$3:$S$1101,14,0),"")</f>
        <v/>
      </c>
      <c r="BQ658" s="182" t="str">
        <f>_xlfn.IFNA(VLOOKUP($BC658,Programma!$F$3:$T$1101,15,0),"")</f>
        <v/>
      </c>
      <c r="BR658" s="182" t="str">
        <f>_xlfn.IFNA(VLOOKUP($BC658,Programma!$F$3:$U$1101,16,0),"")</f>
        <v/>
      </c>
      <c r="BS658" s="182" t="str">
        <f>_xlfn.IFNA(VLOOKUP($BC658,Programma!$F$3:$V$1101,17,0),"")</f>
        <v/>
      </c>
      <c r="BT658" s="182" t="str">
        <f>_xlfn.IFNA(VLOOKUP($BC658,Programma!$F$3:$W$1101,18,0),"")</f>
        <v/>
      </c>
      <c r="BU658" s="182" t="str">
        <f>_xlfn.IFNA(VLOOKUP($BC658,Programma!$F$3:$X$1101,19,0),"")</f>
        <v/>
      </c>
      <c r="BV658" s="182" t="str">
        <f>_xlfn.IFNA(VLOOKUP($BC658,Programma!$F$3:$Y$1101,20,0),"")</f>
        <v/>
      </c>
    </row>
    <row r="659" spans="1:74" ht="15" customHeight="1">
      <c r="A659" s="99">
        <v>18</v>
      </c>
      <c r="B659" s="176" t="str">
        <f>VLOOKUP(Ruimtestaat[[#This Row],[Code]],Locaties[[Code]:[Locatie]],2,FALSE)</f>
        <v>OBS De Linde (Thij)</v>
      </c>
      <c r="C659" s="176" t="str">
        <f>VLOOKUP(Ruimtestaat[[#This Row],[Code]],Locaties[[#All],[Code]:[Adres]],4,FALSE)</f>
        <v>Zandhorstlaan 99</v>
      </c>
      <c r="D659" s="176" t="str">
        <f>VLOOKUP(Ruimtestaat[[#This Row],[Code]],Locaties[[#All],[Code]:[Postcode]],5,FALSE)</f>
        <v>7576 VR</v>
      </c>
      <c r="E659" s="176" t="str">
        <f>VLOOKUP(Ruimtestaat[[#This Row],[Code]],Locaties[#All],6,FALSE)</f>
        <v>Oldenzaal</v>
      </c>
      <c r="F659" s="183"/>
      <c r="G659" s="99" t="s">
        <v>1646</v>
      </c>
      <c r="H659" s="99" t="s">
        <v>1676</v>
      </c>
      <c r="I659" s="183" t="s">
        <v>1684</v>
      </c>
      <c r="J659" s="99">
        <v>5</v>
      </c>
      <c r="K659" s="183" t="str">
        <f>VLOOKUP(Ruimtestaat[[#This Row],[Ruimte code]],Ruimtegroepen[[#All],[Code]:[Ruimte omschrijving]],2,FALSE)</f>
        <v>Sanitair</v>
      </c>
      <c r="L659" s="99" t="s">
        <v>100</v>
      </c>
      <c r="M659" s="99" t="s">
        <v>1697</v>
      </c>
      <c r="N659" s="177">
        <v>7.9</v>
      </c>
      <c r="O659" s="177"/>
      <c r="P659" s="178" t="str">
        <f>VLOOKUP(Ruimtestaat[[#This Row],[Ruimte code]],Ruimtegroepen[],4,FALSE)</f>
        <v>Sa</v>
      </c>
      <c r="Q659" s="149">
        <v>40</v>
      </c>
      <c r="R659" s="149" t="s">
        <v>2</v>
      </c>
      <c r="S659" s="285">
        <f>IF(Q659&gt;0,IF(RIGHT(Ruimtestaat[[#This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9" s="286">
        <f>IF(S659&gt;0,VLOOKUP($J659,Ruimtegroepen[],3,FALSE)*VLOOKUP($L659,Vloersoorten[],3,FALSE)*VLOOKUP($R659,Frequenties[],3,FALSE)*VLOOKUP($A659,Locaties[],3,FALSE),0)</f>
        <v>0</v>
      </c>
      <c r="U659" s="287">
        <f>Ruimtestaat[[#This Row],[Uitvoeringen werkdagen]]*Ruimtestaat[[#This Row],[Oppervlak (netto)]]</f>
        <v>1580</v>
      </c>
      <c r="V659" s="288">
        <f>IF(T659&gt;0,Ruimtestaat[[#This Row],[Prest. (m2 /jaar) werkdagen]]/Ruimtestaat[[#This Row],[Norm (m2/uur) werkdagen]],0)</f>
        <v>0</v>
      </c>
      <c r="W659" s="289">
        <f>Ruimtestaat[[#This Row],[uren / jaar werkdagen]]*Tariefsopbouw!$E$35</f>
        <v>0</v>
      </c>
      <c r="X659" s="226"/>
      <c r="Y659" s="290">
        <f>IF(Ruimtestaat[[#This Row],[Frequentie weekend]]&gt;0,VALUE(LEFT(X659,1))*Q659,0)</f>
        <v>0</v>
      </c>
      <c r="Z659" s="287">
        <f>IF($Y659&gt;0,VLOOKUP($J659,Ruimtegroepen[],3,FALSE)*VLOOKUP($L659,Vloersoorten[],3,FALSE)*VLOOKUP($X659,Frequenties[],3,FALSE)*VLOOKUP(#REF!,Locaties[],3,FALSE),0)</f>
        <v>0</v>
      </c>
      <c r="AA659" s="291">
        <f>Ruimtestaat[[#This Row],[Uitvoeringen weekend]]*Ruimtestaat[[#This Row],[Oppervlak (netto)]]</f>
        <v>0</v>
      </c>
      <c r="AB659" s="291">
        <f>IF(Z659&gt;0,Ruimtestaat[[#This Row],[Prest. (m2 /jaar) weekend]]/Ruimtestaat[[#This Row],[Norm (m2/uur) weekend]],0)</f>
        <v>0</v>
      </c>
      <c r="AC659" s="180">
        <f>Ruimtestaat[[#This Row],[uren / jaar weekend]]*Tariefsopbouw!$D$40</f>
        <v>0</v>
      </c>
      <c r="AD659" s="179">
        <f>Ruimtestaat[[#This Row],[Prest. (m2 /jaar) weekend]]+Ruimtestaat[[#This Row],[Prest. (m2 /jaar) werkdagen]]</f>
        <v>1580</v>
      </c>
      <c r="AE659" s="179">
        <f>Ruimtestaat[[#This Row],[uren / jaar weekend]]+Ruimtestaat[[#This Row],[uren / jaar werkdagen]]</f>
        <v>0</v>
      </c>
      <c r="AF659" s="174">
        <f>Ruimtestaat[[#This Row],[kosten / jaar weekend]]+Ruimtestaat[[#This Row],[kosten / jaar werkdagen]]</f>
        <v>0</v>
      </c>
      <c r="AG659" s="174"/>
      <c r="AH659" s="174" t="str">
        <f>IF(Ruimtestaat[[#This Row],[Frequentie werkdagen]]="","",_xlfn.CONCAT(Ruimtestaat[[#This Row],[Ruimte code]],"-",Ruimtestaat[[#This Row],[Frequentie werkdagen]]," ",Ruimtestaat[[#This Row],[Vloer code]]))</f>
        <v>5-5w L</v>
      </c>
      <c r="AI659" s="182" t="str">
        <f>_xlfn.IFNA(VLOOKUP($AH659,Programma!$F$3:$G$1101,2,0),"")</f>
        <v>_</v>
      </c>
      <c r="AJ659" s="182" t="str">
        <f>_xlfn.IFNA(VLOOKUP($AH659,Programma!$F$3:$H$1101,3,0),"")</f>
        <v>_</v>
      </c>
      <c r="AK659" s="182" t="str">
        <f>_xlfn.IFNA(VLOOKUP($AH659,Programma!$F$3:$I$1101,4,0),"")</f>
        <v>_</v>
      </c>
      <c r="AL659" s="182" t="str">
        <f>_xlfn.IFNA(VLOOKUP($AH659,Programma!$F$3:$J$1101,5,0),"")</f>
        <v>4w</v>
      </c>
      <c r="AM659" s="182" t="str">
        <f>_xlfn.IFNA(VLOOKUP($AH659,Programma!$F$3:$K$1101,6,0),"")</f>
        <v>1w</v>
      </c>
      <c r="AN659" s="182" t="str">
        <f>_xlfn.IFNA(VLOOKUP($AH659,Programma!$F$3:$L$1101,7,0),"")</f>
        <v>_</v>
      </c>
      <c r="AO659" s="182" t="str">
        <f>_xlfn.IFNA(VLOOKUP($AH659,Programma!$F$3:$M$1101,8,0),"")</f>
        <v>_</v>
      </c>
      <c r="AP659" s="182" t="str">
        <f>_xlfn.IFNA(VLOOKUP($AH659,Programma!$F$3:$N$1101,9,0),"")</f>
        <v>_</v>
      </c>
      <c r="AQ659" s="182" t="str">
        <f>_xlfn.IFNA(VLOOKUP($AH659,Programma!$F$3:$O$1101,10,0),"")</f>
        <v>_</v>
      </c>
      <c r="AR659" s="182" t="str">
        <f>_xlfn.IFNA(VLOOKUP($AH659,Programma!$F$3:$P$1101,11,0),"")</f>
        <v>_</v>
      </c>
      <c r="AS659" s="182" t="str">
        <f>_xlfn.IFNA(VLOOKUP($AH659,Programma!$F$3:$Q$1101,12,0),"")</f>
        <v>_</v>
      </c>
      <c r="AT659" s="182" t="str">
        <f>_xlfn.IFNA(VLOOKUP($AH659,Programma!$F$3:$R$1101,13,0),"")</f>
        <v>_</v>
      </c>
      <c r="AU659" s="182" t="str">
        <f>_xlfn.IFNA(VLOOKUP($AH659,Programma!$F$3:$S$1101,14,0),"")</f>
        <v>_</v>
      </c>
      <c r="AV659" s="182" t="str">
        <f>_xlfn.IFNA(VLOOKUP($AH659,Programma!$F$3:$T$1101,15,0),"")</f>
        <v>_</v>
      </c>
      <c r="AW659" s="182" t="str">
        <f>_xlfn.IFNA(VLOOKUP($AH659,Programma!$F$3:$U$1101,16,0),"")</f>
        <v>_</v>
      </c>
      <c r="AX659" s="182" t="str">
        <f>_xlfn.IFNA(VLOOKUP($AH659,Programma!$F$3:$V$1101,17,0),"")</f>
        <v>_</v>
      </c>
      <c r="AY659" s="182" t="str">
        <f>_xlfn.IFNA(VLOOKUP($AH659,Programma!$F$3:$W$1101,18,0),"")</f>
        <v>4w</v>
      </c>
      <c r="AZ659" s="182" t="str">
        <f>_xlfn.IFNA(VLOOKUP($AH659,Programma!$F$3:$X$1101,19,0),"")</f>
        <v>1w</v>
      </c>
      <c r="BA659" s="182" t="str">
        <f>_xlfn.IFNA(VLOOKUP($AH659,Programma!$F$3:$Y$1101,20,0),"")</f>
        <v>_</v>
      </c>
      <c r="BB659" s="182"/>
      <c r="BC659" s="174" t="str">
        <f>IF(Ruimtestaat[[#This Row],[Frequentie weekend]]="","",_xlfn.CONCAT(Ruimtestaat[[#This Row],[Ruimte code]],"-",Ruimtestaat[[#This Row],[Frequentie weekend]]," ",Ruimtestaat[[#This Row],[Vloer code]]))</f>
        <v/>
      </c>
      <c r="BD659" s="182" t="str">
        <f>_xlfn.IFNA(VLOOKUP($BC659,Programma!$F$3:$G$1101,2,0),"")</f>
        <v/>
      </c>
      <c r="BE659" s="182" t="str">
        <f>_xlfn.IFNA(VLOOKUP($BC659,Programma!$F$3:$H$1101,3,0),"")</f>
        <v/>
      </c>
      <c r="BF659" s="182" t="str">
        <f>_xlfn.IFNA(VLOOKUP($BC659,Programma!$F$3:$I$1101,4,0),"")</f>
        <v/>
      </c>
      <c r="BG659" s="182" t="str">
        <f>_xlfn.IFNA(VLOOKUP($BC659,Programma!$F$3:$J$1101,5,0),"")</f>
        <v/>
      </c>
      <c r="BH659" s="182" t="str">
        <f>_xlfn.IFNA(VLOOKUP($BC659,Programma!$F$3:$K$1101,6,0),"")</f>
        <v/>
      </c>
      <c r="BI659" s="182" t="str">
        <f>_xlfn.IFNA(VLOOKUP($BC659,Programma!$F$3:$L$1101,7,0),"")</f>
        <v/>
      </c>
      <c r="BJ659" s="182" t="str">
        <f>_xlfn.IFNA(VLOOKUP($BC659,Programma!$F$3:$M$1101,8,0),"")</f>
        <v/>
      </c>
      <c r="BK659" s="182" t="str">
        <f>_xlfn.IFNA(VLOOKUP($BC659,Programma!$F$3:$N$1101,9,0),"")</f>
        <v/>
      </c>
      <c r="BL659" s="182" t="str">
        <f>_xlfn.IFNA(VLOOKUP($BC659,Programma!$F$3:$O$1101,10,0),"")</f>
        <v/>
      </c>
      <c r="BM659" s="182" t="str">
        <f>_xlfn.IFNA(VLOOKUP($BC659,Programma!$F$3:$P$1101,11,0),"")</f>
        <v/>
      </c>
      <c r="BN659" s="182" t="str">
        <f>_xlfn.IFNA(VLOOKUP($BC659,Programma!$F$3:$Q$1101,12,0),"")</f>
        <v/>
      </c>
      <c r="BO659" s="182" t="str">
        <f>_xlfn.IFNA(VLOOKUP($BC659,Programma!$F$3:$R$1101,13,0),"")</f>
        <v/>
      </c>
      <c r="BP659" s="182" t="str">
        <f>_xlfn.IFNA(VLOOKUP($BC659,Programma!$F$3:$S$1101,14,0),"")</f>
        <v/>
      </c>
      <c r="BQ659" s="182" t="str">
        <f>_xlfn.IFNA(VLOOKUP($BC659,Programma!$F$3:$T$1101,15,0),"")</f>
        <v/>
      </c>
      <c r="BR659" s="182" t="str">
        <f>_xlfn.IFNA(VLOOKUP($BC659,Programma!$F$3:$U$1101,16,0),"")</f>
        <v/>
      </c>
      <c r="BS659" s="182" t="str">
        <f>_xlfn.IFNA(VLOOKUP($BC659,Programma!$F$3:$V$1101,17,0),"")</f>
        <v/>
      </c>
      <c r="BT659" s="182" t="str">
        <f>_xlfn.IFNA(VLOOKUP($BC659,Programma!$F$3:$W$1101,18,0),"")</f>
        <v/>
      </c>
      <c r="BU659" s="182" t="str">
        <f>_xlfn.IFNA(VLOOKUP($BC659,Programma!$F$3:$X$1101,19,0),"")</f>
        <v/>
      </c>
      <c r="BV659" s="182" t="str">
        <f>_xlfn.IFNA(VLOOKUP($BC659,Programma!$F$3:$Y$1101,20,0),"")</f>
        <v/>
      </c>
    </row>
    <row r="660" spans="1:74" ht="15" customHeight="1">
      <c r="A660" s="99">
        <v>18</v>
      </c>
      <c r="B660" s="176" t="str">
        <f>VLOOKUP(Ruimtestaat[[#This Row],[Code]],Locaties[[Code]:[Locatie]],2,FALSE)</f>
        <v>OBS De Linde (Thij)</v>
      </c>
      <c r="C660" s="176" t="str">
        <f>VLOOKUP(Ruimtestaat[[#This Row],[Code]],Locaties[[#All],[Code]:[Adres]],4,FALSE)</f>
        <v>Zandhorstlaan 99</v>
      </c>
      <c r="D660" s="176" t="str">
        <f>VLOOKUP(Ruimtestaat[[#This Row],[Code]],Locaties[[#All],[Code]:[Postcode]],5,FALSE)</f>
        <v>7576 VR</v>
      </c>
      <c r="E660" s="176" t="str">
        <f>VLOOKUP(Ruimtestaat[[#This Row],[Code]],Locaties[#All],6,FALSE)</f>
        <v>Oldenzaal</v>
      </c>
      <c r="F660" s="183"/>
      <c r="G660" s="99" t="s">
        <v>1646</v>
      </c>
      <c r="H660" s="99" t="s">
        <v>1678</v>
      </c>
      <c r="I660" s="183" t="s">
        <v>1658</v>
      </c>
      <c r="J660" s="99">
        <v>6</v>
      </c>
      <c r="K660" s="183" t="str">
        <f>VLOOKUP(Ruimtestaat[[#This Row],[Ruimte code]],Ruimtegroepen[[#All],[Code]:[Ruimte omschrijving]],2,FALSE)</f>
        <v>Gangen/hallen</v>
      </c>
      <c r="L660" s="99" t="s">
        <v>100</v>
      </c>
      <c r="M660" s="99" t="s">
        <v>1697</v>
      </c>
      <c r="N660" s="177">
        <v>6.7</v>
      </c>
      <c r="O660" s="177"/>
      <c r="P660" s="178" t="str">
        <f>VLOOKUP(Ruimtestaat[[#This Row],[Ruimte code]],Ruimtegroepen[],4,FALSE)</f>
        <v>Ve</v>
      </c>
      <c r="Q660" s="149">
        <v>40</v>
      </c>
      <c r="R660" s="149" t="s">
        <v>2</v>
      </c>
      <c r="S660" s="285">
        <f>IF(Q660&gt;0,IF(RIGHT(Ruimtestaat[[#This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0" s="286">
        <f>IF(S660&gt;0,VLOOKUP($J660,Ruimtegroepen[],3,FALSE)*VLOOKUP($L660,Vloersoorten[],3,FALSE)*VLOOKUP($R660,Frequenties[],3,FALSE)*VLOOKUP($A660,Locaties[],3,FALSE),0)</f>
        <v>0</v>
      </c>
      <c r="U660" s="287">
        <f>Ruimtestaat[[#This Row],[Uitvoeringen werkdagen]]*Ruimtestaat[[#This Row],[Oppervlak (netto)]]</f>
        <v>1340</v>
      </c>
      <c r="V660" s="288">
        <f>IF(T660&gt;0,Ruimtestaat[[#This Row],[Prest. (m2 /jaar) werkdagen]]/Ruimtestaat[[#This Row],[Norm (m2/uur) werkdagen]],0)</f>
        <v>0</v>
      </c>
      <c r="W660" s="289">
        <f>Ruimtestaat[[#This Row],[uren / jaar werkdagen]]*Tariefsopbouw!$E$35</f>
        <v>0</v>
      </c>
      <c r="X660" s="226"/>
      <c r="Y660" s="290">
        <f>IF(Ruimtestaat[[#This Row],[Frequentie weekend]]&gt;0,VALUE(LEFT(X660,1))*Q660,0)</f>
        <v>0</v>
      </c>
      <c r="Z660" s="287">
        <f>IF($Y660&gt;0,VLOOKUP($J660,Ruimtegroepen[],3,FALSE)*VLOOKUP($L660,Vloersoorten[],3,FALSE)*VLOOKUP($X660,Frequenties[],3,FALSE)*VLOOKUP(#REF!,Locaties[],3,FALSE),0)</f>
        <v>0</v>
      </c>
      <c r="AA660" s="291">
        <f>Ruimtestaat[[#This Row],[Uitvoeringen weekend]]*Ruimtestaat[[#This Row],[Oppervlak (netto)]]</f>
        <v>0</v>
      </c>
      <c r="AB660" s="291">
        <f>IF(Z660&gt;0,Ruimtestaat[[#This Row],[Prest. (m2 /jaar) weekend]]/Ruimtestaat[[#This Row],[Norm (m2/uur) weekend]],0)</f>
        <v>0</v>
      </c>
      <c r="AC660" s="180">
        <f>Ruimtestaat[[#This Row],[uren / jaar weekend]]*Tariefsopbouw!$D$40</f>
        <v>0</v>
      </c>
      <c r="AD660" s="179">
        <f>Ruimtestaat[[#This Row],[Prest. (m2 /jaar) weekend]]+Ruimtestaat[[#This Row],[Prest. (m2 /jaar) werkdagen]]</f>
        <v>1340</v>
      </c>
      <c r="AE660" s="179">
        <f>Ruimtestaat[[#This Row],[uren / jaar weekend]]+Ruimtestaat[[#This Row],[uren / jaar werkdagen]]</f>
        <v>0</v>
      </c>
      <c r="AF660" s="174">
        <f>Ruimtestaat[[#This Row],[kosten / jaar weekend]]+Ruimtestaat[[#This Row],[kosten / jaar werkdagen]]</f>
        <v>0</v>
      </c>
      <c r="AG660" s="174"/>
      <c r="AH660" s="174" t="str">
        <f>IF(Ruimtestaat[[#This Row],[Frequentie werkdagen]]="","",_xlfn.CONCAT(Ruimtestaat[[#This Row],[Ruimte code]],"-",Ruimtestaat[[#This Row],[Frequentie werkdagen]]," ",Ruimtestaat[[#This Row],[Vloer code]]))</f>
        <v>6-5w L</v>
      </c>
      <c r="AI660" s="182" t="str">
        <f>_xlfn.IFNA(VLOOKUP($AH660,Programma!$F$3:$G$1101,2,0),"")</f>
        <v>_</v>
      </c>
      <c r="AJ660" s="182" t="str">
        <f>_xlfn.IFNA(VLOOKUP($AH660,Programma!$F$3:$H$1101,3,0),"")</f>
        <v>_</v>
      </c>
      <c r="AK660" s="182" t="str">
        <f>_xlfn.IFNA(VLOOKUP($AH660,Programma!$F$3:$I$1101,4,0),"")</f>
        <v>_</v>
      </c>
      <c r="AL660" s="182" t="str">
        <f>_xlfn.IFNA(VLOOKUP($AH660,Programma!$F$3:$J$1101,5,0),"")</f>
        <v>5w</v>
      </c>
      <c r="AM660" s="182" t="str">
        <f>_xlfn.IFNA(VLOOKUP($AH660,Programma!$F$3:$K$1101,6,0),"")</f>
        <v>_</v>
      </c>
      <c r="AN660" s="182" t="str">
        <f>_xlfn.IFNA(VLOOKUP($AH660,Programma!$F$3:$L$1101,7,0),"")</f>
        <v>_</v>
      </c>
      <c r="AO660" s="182" t="str">
        <f>_xlfn.IFNA(VLOOKUP($AH660,Programma!$F$3:$M$1101,8,0),"")</f>
        <v>_</v>
      </c>
      <c r="AP660" s="182" t="str">
        <f>_xlfn.IFNA(VLOOKUP($AH660,Programma!$F$3:$N$1101,9,0),"")</f>
        <v>_</v>
      </c>
      <c r="AQ660" s="182" t="str">
        <f>_xlfn.IFNA(VLOOKUP($AH660,Programma!$F$3:$O$1101,10,0),"")</f>
        <v>5w</v>
      </c>
      <c r="AR660" s="182" t="str">
        <f>_xlfn.IFNA(VLOOKUP($AH660,Programma!$F$3:$P$1101,11,0),"")</f>
        <v>5w</v>
      </c>
      <c r="AS660" s="182" t="str">
        <f>_xlfn.IFNA(VLOOKUP($AH660,Programma!$F$3:$Q$1101,12,0),"")</f>
        <v>1w</v>
      </c>
      <c r="AT660" s="182" t="str">
        <f>_xlfn.IFNA(VLOOKUP($AH660,Programma!$F$3:$R$1101,13,0),"")</f>
        <v>1w</v>
      </c>
      <c r="AU660" s="182" t="str">
        <f>_xlfn.IFNA(VLOOKUP($AH660,Programma!$F$3:$S$1101,14,0),"")</f>
        <v>1m</v>
      </c>
      <c r="AV660" s="182" t="str">
        <f>_xlfn.IFNA(VLOOKUP($AH660,Programma!$F$3:$T$1101,15,0),"")</f>
        <v>2j</v>
      </c>
      <c r="AW660" s="182" t="str">
        <f>_xlfn.IFNA(VLOOKUP($AH660,Programma!$F$3:$U$1101,16,0),"")</f>
        <v>1j</v>
      </c>
      <c r="AX660" s="182" t="str">
        <f>_xlfn.IFNA(VLOOKUP($AH660,Programma!$F$3:$V$1101,17,0),"")</f>
        <v>_</v>
      </c>
      <c r="AY660" s="182" t="str">
        <f>_xlfn.IFNA(VLOOKUP($AH660,Programma!$F$3:$W$1101,18,0),"")</f>
        <v>_</v>
      </c>
      <c r="AZ660" s="182" t="str">
        <f>_xlfn.IFNA(VLOOKUP($AH660,Programma!$F$3:$X$1101,19,0),"")</f>
        <v>_</v>
      </c>
      <c r="BA660" s="182" t="str">
        <f>_xlfn.IFNA(VLOOKUP($AH660,Programma!$F$3:$Y$1101,20,0),"")</f>
        <v>_</v>
      </c>
      <c r="BB660" s="182"/>
      <c r="BC660" s="174" t="str">
        <f>IF(Ruimtestaat[[#This Row],[Frequentie weekend]]="","",_xlfn.CONCAT(Ruimtestaat[[#This Row],[Ruimte code]],"-",Ruimtestaat[[#This Row],[Frequentie weekend]]," ",Ruimtestaat[[#This Row],[Vloer code]]))</f>
        <v/>
      </c>
      <c r="BD660" s="182" t="str">
        <f>_xlfn.IFNA(VLOOKUP($BC660,Programma!$F$3:$G$1101,2,0),"")</f>
        <v/>
      </c>
      <c r="BE660" s="182" t="str">
        <f>_xlfn.IFNA(VLOOKUP($BC660,Programma!$F$3:$H$1101,3,0),"")</f>
        <v/>
      </c>
      <c r="BF660" s="182" t="str">
        <f>_xlfn.IFNA(VLOOKUP($BC660,Programma!$F$3:$I$1101,4,0),"")</f>
        <v/>
      </c>
      <c r="BG660" s="182" t="str">
        <f>_xlfn.IFNA(VLOOKUP($BC660,Programma!$F$3:$J$1101,5,0),"")</f>
        <v/>
      </c>
      <c r="BH660" s="182" t="str">
        <f>_xlfn.IFNA(VLOOKUP($BC660,Programma!$F$3:$K$1101,6,0),"")</f>
        <v/>
      </c>
      <c r="BI660" s="182" t="str">
        <f>_xlfn.IFNA(VLOOKUP($BC660,Programma!$F$3:$L$1101,7,0),"")</f>
        <v/>
      </c>
      <c r="BJ660" s="182" t="str">
        <f>_xlfn.IFNA(VLOOKUP($BC660,Programma!$F$3:$M$1101,8,0),"")</f>
        <v/>
      </c>
      <c r="BK660" s="182" t="str">
        <f>_xlfn.IFNA(VLOOKUP($BC660,Programma!$F$3:$N$1101,9,0),"")</f>
        <v/>
      </c>
      <c r="BL660" s="182" t="str">
        <f>_xlfn.IFNA(VLOOKUP($BC660,Programma!$F$3:$O$1101,10,0),"")</f>
        <v/>
      </c>
      <c r="BM660" s="182" t="str">
        <f>_xlfn.IFNA(VLOOKUP($BC660,Programma!$F$3:$P$1101,11,0),"")</f>
        <v/>
      </c>
      <c r="BN660" s="182" t="str">
        <f>_xlfn.IFNA(VLOOKUP($BC660,Programma!$F$3:$Q$1101,12,0),"")</f>
        <v/>
      </c>
      <c r="BO660" s="182" t="str">
        <f>_xlfn.IFNA(VLOOKUP($BC660,Programma!$F$3:$R$1101,13,0),"")</f>
        <v/>
      </c>
      <c r="BP660" s="182" t="str">
        <f>_xlfn.IFNA(VLOOKUP($BC660,Programma!$F$3:$S$1101,14,0),"")</f>
        <v/>
      </c>
      <c r="BQ660" s="182" t="str">
        <f>_xlfn.IFNA(VLOOKUP($BC660,Programma!$F$3:$T$1101,15,0),"")</f>
        <v/>
      </c>
      <c r="BR660" s="182" t="str">
        <f>_xlfn.IFNA(VLOOKUP($BC660,Programma!$F$3:$U$1101,16,0),"")</f>
        <v/>
      </c>
      <c r="BS660" s="182" t="str">
        <f>_xlfn.IFNA(VLOOKUP($BC660,Programma!$F$3:$V$1101,17,0),"")</f>
        <v/>
      </c>
      <c r="BT660" s="182" t="str">
        <f>_xlfn.IFNA(VLOOKUP($BC660,Programma!$F$3:$W$1101,18,0),"")</f>
        <v/>
      </c>
      <c r="BU660" s="182" t="str">
        <f>_xlfn.IFNA(VLOOKUP($BC660,Programma!$F$3:$X$1101,19,0),"")</f>
        <v/>
      </c>
      <c r="BV660" s="182" t="str">
        <f>_xlfn.IFNA(VLOOKUP($BC660,Programma!$F$3:$Y$1101,20,0),"")</f>
        <v/>
      </c>
    </row>
    <row r="661" spans="1:74" ht="15" customHeight="1">
      <c r="A661" s="99">
        <v>18</v>
      </c>
      <c r="B661" s="176" t="str">
        <f>VLOOKUP(Ruimtestaat[[#This Row],[Code]],Locaties[[Code]:[Locatie]],2,FALSE)</f>
        <v>OBS De Linde (Thij)</v>
      </c>
      <c r="C661" s="176" t="str">
        <f>VLOOKUP(Ruimtestaat[[#This Row],[Code]],Locaties[[#All],[Code]:[Adres]],4,FALSE)</f>
        <v>Zandhorstlaan 99</v>
      </c>
      <c r="D661" s="176" t="str">
        <f>VLOOKUP(Ruimtestaat[[#This Row],[Code]],Locaties[[#All],[Code]:[Postcode]],5,FALSE)</f>
        <v>7576 VR</v>
      </c>
      <c r="E661" s="176" t="str">
        <f>VLOOKUP(Ruimtestaat[[#This Row],[Code]],Locaties[#All],6,FALSE)</f>
        <v>Oldenzaal</v>
      </c>
      <c r="F661" s="183"/>
      <c r="G661" s="99" t="s">
        <v>1646</v>
      </c>
      <c r="H661" s="99" t="s">
        <v>1680</v>
      </c>
      <c r="I661" s="183" t="s">
        <v>1688</v>
      </c>
      <c r="J661" s="99">
        <v>16</v>
      </c>
      <c r="K661" s="183" t="str">
        <f>VLOOKUP(Ruimtestaat[[#This Row],[Ruimte code]],Ruimtegroepen[[#All],[Code]:[Ruimte omschrijving]],2,FALSE)</f>
        <v>Leslokalen</v>
      </c>
      <c r="L661" s="99" t="s">
        <v>100</v>
      </c>
      <c r="M661" s="99" t="s">
        <v>1697</v>
      </c>
      <c r="N661" s="177">
        <v>54.2</v>
      </c>
      <c r="O661" s="177"/>
      <c r="P661" s="178" t="str">
        <f>VLOOKUP(Ruimtestaat[[#This Row],[Ruimte code]],Ruimtegroepen[],4,FALSE)</f>
        <v>Le</v>
      </c>
      <c r="Q661" s="149">
        <v>40</v>
      </c>
      <c r="R661" s="149" t="s">
        <v>2</v>
      </c>
      <c r="S661" s="285">
        <f>IF(Q661&gt;0,IF(RIGHT(Ruimtestaat[[#This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1" s="286">
        <f>IF(S661&gt;0,VLOOKUP($J661,Ruimtegroepen[],3,FALSE)*VLOOKUP($L661,Vloersoorten[],3,FALSE)*VLOOKUP($R661,Frequenties[],3,FALSE)*VLOOKUP($A661,Locaties[],3,FALSE),0)</f>
        <v>0</v>
      </c>
      <c r="U661" s="287">
        <f>Ruimtestaat[[#This Row],[Uitvoeringen werkdagen]]*Ruimtestaat[[#This Row],[Oppervlak (netto)]]</f>
        <v>10840</v>
      </c>
      <c r="V661" s="288">
        <f>IF(T661&gt;0,Ruimtestaat[[#This Row],[Prest. (m2 /jaar) werkdagen]]/Ruimtestaat[[#This Row],[Norm (m2/uur) werkdagen]],0)</f>
        <v>0</v>
      </c>
      <c r="W661" s="289">
        <f>Ruimtestaat[[#This Row],[uren / jaar werkdagen]]*Tariefsopbouw!$E$35</f>
        <v>0</v>
      </c>
      <c r="X661" s="226"/>
      <c r="Y661" s="290">
        <f>IF(Ruimtestaat[[#This Row],[Frequentie weekend]]&gt;0,VALUE(LEFT(X661,1))*Q661,0)</f>
        <v>0</v>
      </c>
      <c r="Z661" s="287">
        <f>IF($Y661&gt;0,VLOOKUP($J661,Ruimtegroepen[],3,FALSE)*VLOOKUP($L661,Vloersoorten[],3,FALSE)*VLOOKUP($X661,Frequenties[],3,FALSE)*VLOOKUP(#REF!,Locaties[],3,FALSE),0)</f>
        <v>0</v>
      </c>
      <c r="AA661" s="291">
        <f>Ruimtestaat[[#This Row],[Uitvoeringen weekend]]*Ruimtestaat[[#This Row],[Oppervlak (netto)]]</f>
        <v>0</v>
      </c>
      <c r="AB661" s="291">
        <f>IF(Z661&gt;0,Ruimtestaat[[#This Row],[Prest. (m2 /jaar) weekend]]/Ruimtestaat[[#This Row],[Norm (m2/uur) weekend]],0)</f>
        <v>0</v>
      </c>
      <c r="AC661" s="180">
        <f>Ruimtestaat[[#This Row],[uren / jaar weekend]]*Tariefsopbouw!$D$40</f>
        <v>0</v>
      </c>
      <c r="AD661" s="179">
        <f>Ruimtestaat[[#This Row],[Prest. (m2 /jaar) weekend]]+Ruimtestaat[[#This Row],[Prest. (m2 /jaar) werkdagen]]</f>
        <v>10840</v>
      </c>
      <c r="AE661" s="179">
        <f>Ruimtestaat[[#This Row],[uren / jaar weekend]]+Ruimtestaat[[#This Row],[uren / jaar werkdagen]]</f>
        <v>0</v>
      </c>
      <c r="AF661" s="174">
        <f>Ruimtestaat[[#This Row],[kosten / jaar weekend]]+Ruimtestaat[[#This Row],[kosten / jaar werkdagen]]</f>
        <v>0</v>
      </c>
      <c r="AG661" s="174"/>
      <c r="AH661" s="174" t="str">
        <f>IF(Ruimtestaat[[#This Row],[Frequentie werkdagen]]="","",_xlfn.CONCAT(Ruimtestaat[[#This Row],[Ruimte code]],"-",Ruimtestaat[[#This Row],[Frequentie werkdagen]]," ",Ruimtestaat[[#This Row],[Vloer code]]))</f>
        <v>16-5w L</v>
      </c>
      <c r="AI661" s="182" t="str">
        <f>_xlfn.IFNA(VLOOKUP($AH661,Programma!$F$3:$G$1101,2,0),"")</f>
        <v>_</v>
      </c>
      <c r="AJ661" s="182" t="str">
        <f>_xlfn.IFNA(VLOOKUP($AH661,Programma!$F$3:$H$1101,3,0),"")</f>
        <v>_</v>
      </c>
      <c r="AK661" s="182" t="str">
        <f>_xlfn.IFNA(VLOOKUP($AH661,Programma!$F$3:$I$1101,4,0),"")</f>
        <v>4w</v>
      </c>
      <c r="AL661" s="182" t="str">
        <f>_xlfn.IFNA(VLOOKUP($AH661,Programma!$F$3:$J$1101,5,0),"")</f>
        <v>1w</v>
      </c>
      <c r="AM661" s="182" t="str">
        <f>_xlfn.IFNA(VLOOKUP($AH661,Programma!$F$3:$K$1101,6,0),"")</f>
        <v>_</v>
      </c>
      <c r="AN661" s="182" t="str">
        <f>_xlfn.IFNA(VLOOKUP($AH661,Programma!$F$3:$L$1101,7,0),"")</f>
        <v>_</v>
      </c>
      <c r="AO661" s="182" t="str">
        <f>_xlfn.IFNA(VLOOKUP($AH661,Programma!$F$3:$M$1101,8,0),"")</f>
        <v>_</v>
      </c>
      <c r="AP661" s="182" t="str">
        <f>_xlfn.IFNA(VLOOKUP($AH661,Programma!$F$3:$N$1101,9,0),"")</f>
        <v>_</v>
      </c>
      <c r="AQ661" s="182" t="str">
        <f>_xlfn.IFNA(VLOOKUP($AH661,Programma!$F$3:$O$1101,10,0),"")</f>
        <v>5w</v>
      </c>
      <c r="AR661" s="182" t="str">
        <f>_xlfn.IFNA(VLOOKUP($AH661,Programma!$F$3:$P$1101,11,0),"")</f>
        <v>5w</v>
      </c>
      <c r="AS661" s="182" t="str">
        <f>_xlfn.IFNA(VLOOKUP($AH661,Programma!$F$3:$Q$1101,12,0),"")</f>
        <v>1w</v>
      </c>
      <c r="AT661" s="182" t="str">
        <f>_xlfn.IFNA(VLOOKUP($AH661,Programma!$F$3:$R$1101,13,0),"")</f>
        <v>1w</v>
      </c>
      <c r="AU661" s="182" t="str">
        <f>_xlfn.IFNA(VLOOKUP($AH661,Programma!$F$3:$S$1101,14,0),"")</f>
        <v>1m</v>
      </c>
      <c r="AV661" s="182" t="str">
        <f>_xlfn.IFNA(VLOOKUP($AH661,Programma!$F$3:$T$1101,15,0),"")</f>
        <v>2j</v>
      </c>
      <c r="AW661" s="182" t="str">
        <f>_xlfn.IFNA(VLOOKUP($AH661,Programma!$F$3:$U$1101,16,0),"")</f>
        <v>1j</v>
      </c>
      <c r="AX661" s="182" t="str">
        <f>_xlfn.IFNA(VLOOKUP($AH661,Programma!$F$3:$V$1101,17,0),"")</f>
        <v>_</v>
      </c>
      <c r="AY661" s="182" t="str">
        <f>_xlfn.IFNA(VLOOKUP($AH661,Programma!$F$3:$W$1101,18,0),"")</f>
        <v>_</v>
      </c>
      <c r="AZ661" s="182" t="str">
        <f>_xlfn.IFNA(VLOOKUP($AH661,Programma!$F$3:$X$1101,19,0),"")</f>
        <v>_</v>
      </c>
      <c r="BA661" s="182" t="str">
        <f>_xlfn.IFNA(VLOOKUP($AH661,Programma!$F$3:$Y$1101,20,0),"")</f>
        <v>_</v>
      </c>
      <c r="BB661" s="182"/>
      <c r="BC661" s="174" t="str">
        <f>IF(Ruimtestaat[[#This Row],[Frequentie weekend]]="","",_xlfn.CONCAT(Ruimtestaat[[#This Row],[Ruimte code]],"-",Ruimtestaat[[#This Row],[Frequentie weekend]]," ",Ruimtestaat[[#This Row],[Vloer code]]))</f>
        <v/>
      </c>
      <c r="BD661" s="182" t="str">
        <f>_xlfn.IFNA(VLOOKUP($BC661,Programma!$F$3:$G$1101,2,0),"")</f>
        <v/>
      </c>
      <c r="BE661" s="182" t="str">
        <f>_xlfn.IFNA(VLOOKUP($BC661,Programma!$F$3:$H$1101,3,0),"")</f>
        <v/>
      </c>
      <c r="BF661" s="182" t="str">
        <f>_xlfn.IFNA(VLOOKUP($BC661,Programma!$F$3:$I$1101,4,0),"")</f>
        <v/>
      </c>
      <c r="BG661" s="182" t="str">
        <f>_xlfn.IFNA(VLOOKUP($BC661,Programma!$F$3:$J$1101,5,0),"")</f>
        <v/>
      </c>
      <c r="BH661" s="182" t="str">
        <f>_xlfn.IFNA(VLOOKUP($BC661,Programma!$F$3:$K$1101,6,0),"")</f>
        <v/>
      </c>
      <c r="BI661" s="182" t="str">
        <f>_xlfn.IFNA(VLOOKUP($BC661,Programma!$F$3:$L$1101,7,0),"")</f>
        <v/>
      </c>
      <c r="BJ661" s="182" t="str">
        <f>_xlfn.IFNA(VLOOKUP($BC661,Programma!$F$3:$M$1101,8,0),"")</f>
        <v/>
      </c>
      <c r="BK661" s="182" t="str">
        <f>_xlfn.IFNA(VLOOKUP($BC661,Programma!$F$3:$N$1101,9,0),"")</f>
        <v/>
      </c>
      <c r="BL661" s="182" t="str">
        <f>_xlfn.IFNA(VLOOKUP($BC661,Programma!$F$3:$O$1101,10,0),"")</f>
        <v/>
      </c>
      <c r="BM661" s="182" t="str">
        <f>_xlfn.IFNA(VLOOKUP($BC661,Programma!$F$3:$P$1101,11,0),"")</f>
        <v/>
      </c>
      <c r="BN661" s="182" t="str">
        <f>_xlfn.IFNA(VLOOKUP($BC661,Programma!$F$3:$Q$1101,12,0),"")</f>
        <v/>
      </c>
      <c r="BO661" s="182" t="str">
        <f>_xlfn.IFNA(VLOOKUP($BC661,Programma!$F$3:$R$1101,13,0),"")</f>
        <v/>
      </c>
      <c r="BP661" s="182" t="str">
        <f>_xlfn.IFNA(VLOOKUP($BC661,Programma!$F$3:$S$1101,14,0),"")</f>
        <v/>
      </c>
      <c r="BQ661" s="182" t="str">
        <f>_xlfn.IFNA(VLOOKUP($BC661,Programma!$F$3:$T$1101,15,0),"")</f>
        <v/>
      </c>
      <c r="BR661" s="182" t="str">
        <f>_xlfn.IFNA(VLOOKUP($BC661,Programma!$F$3:$U$1101,16,0),"")</f>
        <v/>
      </c>
      <c r="BS661" s="182" t="str">
        <f>_xlfn.IFNA(VLOOKUP($BC661,Programma!$F$3:$V$1101,17,0),"")</f>
        <v/>
      </c>
      <c r="BT661" s="182" t="str">
        <f>_xlfn.IFNA(VLOOKUP($BC661,Programma!$F$3:$W$1101,18,0),"")</f>
        <v/>
      </c>
      <c r="BU661" s="182" t="str">
        <f>_xlfn.IFNA(VLOOKUP($BC661,Programma!$F$3:$X$1101,19,0),"")</f>
        <v/>
      </c>
      <c r="BV661" s="182" t="str">
        <f>_xlfn.IFNA(VLOOKUP($BC661,Programma!$F$3:$Y$1101,20,0),"")</f>
        <v/>
      </c>
    </row>
    <row r="662" spans="1:74" ht="15" customHeight="1">
      <c r="A662" s="99">
        <v>18</v>
      </c>
      <c r="B662" s="176" t="str">
        <f>VLOOKUP(Ruimtestaat[[#This Row],[Code]],Locaties[[Code]:[Locatie]],2,FALSE)</f>
        <v>OBS De Linde (Thij)</v>
      </c>
      <c r="C662" s="176" t="str">
        <f>VLOOKUP(Ruimtestaat[[#This Row],[Code]],Locaties[[#All],[Code]:[Adres]],4,FALSE)</f>
        <v>Zandhorstlaan 99</v>
      </c>
      <c r="D662" s="176" t="str">
        <f>VLOOKUP(Ruimtestaat[[#This Row],[Code]],Locaties[[#All],[Code]:[Postcode]],5,FALSE)</f>
        <v>7576 VR</v>
      </c>
      <c r="E662" s="176" t="str">
        <f>VLOOKUP(Ruimtestaat[[#This Row],[Code]],Locaties[#All],6,FALSE)</f>
        <v>Oldenzaal</v>
      </c>
      <c r="F662" s="183"/>
      <c r="G662" s="99" t="s">
        <v>1646</v>
      </c>
      <c r="H662" s="99" t="s">
        <v>1689</v>
      </c>
      <c r="I662" s="183" t="s">
        <v>1655</v>
      </c>
      <c r="J662" s="99">
        <v>5</v>
      </c>
      <c r="K662" s="183" t="str">
        <f>VLOOKUP(Ruimtestaat[[#This Row],[Ruimte code]],Ruimtegroepen[[#All],[Code]:[Ruimte omschrijving]],2,FALSE)</f>
        <v>Sanitair</v>
      </c>
      <c r="L662" s="99" t="s">
        <v>101</v>
      </c>
      <c r="M662" s="99" t="s">
        <v>1682</v>
      </c>
      <c r="N662" s="177">
        <v>4.2300000000000004</v>
      </c>
      <c r="O662" s="177"/>
      <c r="P662" s="178" t="str">
        <f>VLOOKUP(Ruimtestaat[[#This Row],[Ruimte code]],Ruimtegroepen[],4,FALSE)</f>
        <v>Sa</v>
      </c>
      <c r="Q662" s="149">
        <v>40</v>
      </c>
      <c r="R662" s="149" t="s">
        <v>2</v>
      </c>
      <c r="S662" s="285">
        <f>IF(Q662&gt;0,IF(RIGHT(Ruimtestaat[[#This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2" s="286">
        <f>IF(S662&gt;0,VLOOKUP($J662,Ruimtegroepen[],3,FALSE)*VLOOKUP($L662,Vloersoorten[],3,FALSE)*VLOOKUP($R662,Frequenties[],3,FALSE)*VLOOKUP($A662,Locaties[],3,FALSE),0)</f>
        <v>0</v>
      </c>
      <c r="U662" s="287">
        <f>Ruimtestaat[[#This Row],[Uitvoeringen werkdagen]]*Ruimtestaat[[#This Row],[Oppervlak (netto)]]</f>
        <v>846.00000000000011</v>
      </c>
      <c r="V662" s="288">
        <f>IF(T662&gt;0,Ruimtestaat[[#This Row],[Prest. (m2 /jaar) werkdagen]]/Ruimtestaat[[#This Row],[Norm (m2/uur) werkdagen]],0)</f>
        <v>0</v>
      </c>
      <c r="W662" s="289">
        <f>Ruimtestaat[[#This Row],[uren / jaar werkdagen]]*Tariefsopbouw!$E$35</f>
        <v>0</v>
      </c>
      <c r="X662" s="226"/>
      <c r="Y662" s="290">
        <f>IF(Ruimtestaat[[#This Row],[Frequentie weekend]]&gt;0,VALUE(LEFT(X662,1))*Q662,0)</f>
        <v>0</v>
      </c>
      <c r="Z662" s="287">
        <f>IF($Y662&gt;0,VLOOKUP($J662,Ruimtegroepen[],3,FALSE)*VLOOKUP($L662,Vloersoorten[],3,FALSE)*VLOOKUP($X662,Frequenties[],3,FALSE)*VLOOKUP(#REF!,Locaties[],3,FALSE),0)</f>
        <v>0</v>
      </c>
      <c r="AA662" s="291">
        <f>Ruimtestaat[[#This Row],[Uitvoeringen weekend]]*Ruimtestaat[[#This Row],[Oppervlak (netto)]]</f>
        <v>0</v>
      </c>
      <c r="AB662" s="291">
        <f>IF(Z662&gt;0,Ruimtestaat[[#This Row],[Prest. (m2 /jaar) weekend]]/Ruimtestaat[[#This Row],[Norm (m2/uur) weekend]],0)</f>
        <v>0</v>
      </c>
      <c r="AC662" s="180">
        <f>Ruimtestaat[[#This Row],[uren / jaar weekend]]*Tariefsopbouw!$D$40</f>
        <v>0</v>
      </c>
      <c r="AD662" s="179">
        <f>Ruimtestaat[[#This Row],[Prest. (m2 /jaar) weekend]]+Ruimtestaat[[#This Row],[Prest. (m2 /jaar) werkdagen]]</f>
        <v>846.00000000000011</v>
      </c>
      <c r="AE662" s="179">
        <f>Ruimtestaat[[#This Row],[uren / jaar weekend]]+Ruimtestaat[[#This Row],[uren / jaar werkdagen]]</f>
        <v>0</v>
      </c>
      <c r="AF662" s="174">
        <f>Ruimtestaat[[#This Row],[kosten / jaar weekend]]+Ruimtestaat[[#This Row],[kosten / jaar werkdagen]]</f>
        <v>0</v>
      </c>
      <c r="AG662" s="174"/>
      <c r="AH662" s="174" t="str">
        <f>IF(Ruimtestaat[[#This Row],[Frequentie werkdagen]]="","",_xlfn.CONCAT(Ruimtestaat[[#This Row],[Ruimte code]],"-",Ruimtestaat[[#This Row],[Frequentie werkdagen]]," ",Ruimtestaat[[#This Row],[Vloer code]]))</f>
        <v>5-5w S</v>
      </c>
      <c r="AI662" s="182" t="str">
        <f>_xlfn.IFNA(VLOOKUP($AH662,Programma!$F$3:$G$1101,2,0),"")</f>
        <v>_</v>
      </c>
      <c r="AJ662" s="182" t="str">
        <f>_xlfn.IFNA(VLOOKUP($AH662,Programma!$F$3:$H$1101,3,0),"")</f>
        <v>_</v>
      </c>
      <c r="AK662" s="182" t="str">
        <f>_xlfn.IFNA(VLOOKUP($AH662,Programma!$F$3:$I$1101,4,0),"")</f>
        <v>_</v>
      </c>
      <c r="AL662" s="182" t="str">
        <f>_xlfn.IFNA(VLOOKUP($AH662,Programma!$F$3:$J$1101,5,0),"")</f>
        <v>4w</v>
      </c>
      <c r="AM662" s="182" t="str">
        <f>_xlfn.IFNA(VLOOKUP($AH662,Programma!$F$3:$K$1101,6,0),"")</f>
        <v>1w</v>
      </c>
      <c r="AN662" s="182" t="str">
        <f>_xlfn.IFNA(VLOOKUP($AH662,Programma!$F$3:$L$1101,7,0),"")</f>
        <v>_</v>
      </c>
      <c r="AO662" s="182" t="str">
        <f>_xlfn.IFNA(VLOOKUP($AH662,Programma!$F$3:$M$1101,8,0),"")</f>
        <v>_</v>
      </c>
      <c r="AP662" s="182" t="str">
        <f>_xlfn.IFNA(VLOOKUP($AH662,Programma!$F$3:$N$1101,9,0),"")</f>
        <v>_</v>
      </c>
      <c r="AQ662" s="182" t="str">
        <f>_xlfn.IFNA(VLOOKUP($AH662,Programma!$F$3:$O$1101,10,0),"")</f>
        <v>_</v>
      </c>
      <c r="AR662" s="182" t="str">
        <f>_xlfn.IFNA(VLOOKUP($AH662,Programma!$F$3:$P$1101,11,0),"")</f>
        <v>_</v>
      </c>
      <c r="AS662" s="182" t="str">
        <f>_xlfn.IFNA(VLOOKUP($AH662,Programma!$F$3:$Q$1101,12,0),"")</f>
        <v>_</v>
      </c>
      <c r="AT662" s="182" t="str">
        <f>_xlfn.IFNA(VLOOKUP($AH662,Programma!$F$3:$R$1101,13,0),"")</f>
        <v>_</v>
      </c>
      <c r="AU662" s="182" t="str">
        <f>_xlfn.IFNA(VLOOKUP($AH662,Programma!$F$3:$S$1101,14,0),"")</f>
        <v>_</v>
      </c>
      <c r="AV662" s="182" t="str">
        <f>_xlfn.IFNA(VLOOKUP($AH662,Programma!$F$3:$T$1101,15,0),"")</f>
        <v>_</v>
      </c>
      <c r="AW662" s="182" t="str">
        <f>_xlfn.IFNA(VLOOKUP($AH662,Programma!$F$3:$U$1101,16,0),"")</f>
        <v>_</v>
      </c>
      <c r="AX662" s="182" t="str">
        <f>_xlfn.IFNA(VLOOKUP($AH662,Programma!$F$3:$V$1101,17,0),"")</f>
        <v>_</v>
      </c>
      <c r="AY662" s="182" t="str">
        <f>_xlfn.IFNA(VLOOKUP($AH662,Programma!$F$3:$W$1101,18,0),"")</f>
        <v>4w</v>
      </c>
      <c r="AZ662" s="182" t="str">
        <f>_xlfn.IFNA(VLOOKUP($AH662,Programma!$F$3:$X$1101,19,0),"")</f>
        <v>1w</v>
      </c>
      <c r="BA662" s="182" t="str">
        <f>_xlfn.IFNA(VLOOKUP($AH662,Programma!$F$3:$Y$1101,20,0),"")</f>
        <v>_</v>
      </c>
      <c r="BB662" s="182"/>
      <c r="BC662" s="174" t="str">
        <f>IF(Ruimtestaat[[#This Row],[Frequentie weekend]]="","",_xlfn.CONCAT(Ruimtestaat[[#This Row],[Ruimte code]],"-",Ruimtestaat[[#This Row],[Frequentie weekend]]," ",Ruimtestaat[[#This Row],[Vloer code]]))</f>
        <v/>
      </c>
      <c r="BD662" s="182" t="str">
        <f>_xlfn.IFNA(VLOOKUP($BC662,Programma!$F$3:$G$1101,2,0),"")</f>
        <v/>
      </c>
      <c r="BE662" s="182" t="str">
        <f>_xlfn.IFNA(VLOOKUP($BC662,Programma!$F$3:$H$1101,3,0),"")</f>
        <v/>
      </c>
      <c r="BF662" s="182" t="str">
        <f>_xlfn.IFNA(VLOOKUP($BC662,Programma!$F$3:$I$1101,4,0),"")</f>
        <v/>
      </c>
      <c r="BG662" s="182" t="str">
        <f>_xlfn.IFNA(VLOOKUP($BC662,Programma!$F$3:$J$1101,5,0),"")</f>
        <v/>
      </c>
      <c r="BH662" s="182" t="str">
        <f>_xlfn.IFNA(VLOOKUP($BC662,Programma!$F$3:$K$1101,6,0),"")</f>
        <v/>
      </c>
      <c r="BI662" s="182" t="str">
        <f>_xlfn.IFNA(VLOOKUP($BC662,Programma!$F$3:$L$1101,7,0),"")</f>
        <v/>
      </c>
      <c r="BJ662" s="182" t="str">
        <f>_xlfn.IFNA(VLOOKUP($BC662,Programma!$F$3:$M$1101,8,0),"")</f>
        <v/>
      </c>
      <c r="BK662" s="182" t="str">
        <f>_xlfn.IFNA(VLOOKUP($BC662,Programma!$F$3:$N$1101,9,0),"")</f>
        <v/>
      </c>
      <c r="BL662" s="182" t="str">
        <f>_xlfn.IFNA(VLOOKUP($BC662,Programma!$F$3:$O$1101,10,0),"")</f>
        <v/>
      </c>
      <c r="BM662" s="182" t="str">
        <f>_xlfn.IFNA(VLOOKUP($BC662,Programma!$F$3:$P$1101,11,0),"")</f>
        <v/>
      </c>
      <c r="BN662" s="182" t="str">
        <f>_xlfn.IFNA(VLOOKUP($BC662,Programma!$F$3:$Q$1101,12,0),"")</f>
        <v/>
      </c>
      <c r="BO662" s="182" t="str">
        <f>_xlfn.IFNA(VLOOKUP($BC662,Programma!$F$3:$R$1101,13,0),"")</f>
        <v/>
      </c>
      <c r="BP662" s="182" t="str">
        <f>_xlfn.IFNA(VLOOKUP($BC662,Programma!$F$3:$S$1101,14,0),"")</f>
        <v/>
      </c>
      <c r="BQ662" s="182" t="str">
        <f>_xlfn.IFNA(VLOOKUP($BC662,Programma!$F$3:$T$1101,15,0),"")</f>
        <v/>
      </c>
      <c r="BR662" s="182" t="str">
        <f>_xlfn.IFNA(VLOOKUP($BC662,Programma!$F$3:$U$1101,16,0),"")</f>
        <v/>
      </c>
      <c r="BS662" s="182" t="str">
        <f>_xlfn.IFNA(VLOOKUP($BC662,Programma!$F$3:$V$1101,17,0),"")</f>
        <v/>
      </c>
      <c r="BT662" s="182" t="str">
        <f>_xlfn.IFNA(VLOOKUP($BC662,Programma!$F$3:$W$1101,18,0),"")</f>
        <v/>
      </c>
      <c r="BU662" s="182" t="str">
        <f>_xlfn.IFNA(VLOOKUP($BC662,Programma!$F$3:$X$1101,19,0),"")</f>
        <v/>
      </c>
      <c r="BV662" s="182" t="str">
        <f>_xlfn.IFNA(VLOOKUP($BC662,Programma!$F$3:$Y$1101,20,0),"")</f>
        <v/>
      </c>
    </row>
    <row r="663" spans="1:74" ht="15" customHeight="1">
      <c r="A663" s="99">
        <v>18</v>
      </c>
      <c r="B663" s="176" t="str">
        <f>VLOOKUP(Ruimtestaat[[#This Row],[Code]],Locaties[[Code]:[Locatie]],2,FALSE)</f>
        <v>OBS De Linde (Thij)</v>
      </c>
      <c r="C663" s="176" t="str">
        <f>VLOOKUP(Ruimtestaat[[#This Row],[Code]],Locaties[[#All],[Code]:[Adres]],4,FALSE)</f>
        <v>Zandhorstlaan 99</v>
      </c>
      <c r="D663" s="176" t="str">
        <f>VLOOKUP(Ruimtestaat[[#This Row],[Code]],Locaties[[#All],[Code]:[Postcode]],5,FALSE)</f>
        <v>7576 VR</v>
      </c>
      <c r="E663" s="176" t="str">
        <f>VLOOKUP(Ruimtestaat[[#This Row],[Code]],Locaties[#All],6,FALSE)</f>
        <v>Oldenzaal</v>
      </c>
      <c r="F663" s="183"/>
      <c r="G663" s="99" t="s">
        <v>1646</v>
      </c>
      <c r="H663" s="99" t="s">
        <v>1691</v>
      </c>
      <c r="I663" s="183" t="s">
        <v>1688</v>
      </c>
      <c r="J663" s="99">
        <v>16</v>
      </c>
      <c r="K663" s="183" t="str">
        <f>VLOOKUP(Ruimtestaat[[#This Row],[Ruimte code]],Ruimtegroepen[[#All],[Code]:[Ruimte omschrijving]],2,FALSE)</f>
        <v>Leslokalen</v>
      </c>
      <c r="L663" s="99" t="s">
        <v>100</v>
      </c>
      <c r="M663" s="99" t="s">
        <v>1697</v>
      </c>
      <c r="N663" s="177">
        <v>72.8</v>
      </c>
      <c r="O663" s="177"/>
      <c r="P663" s="178" t="str">
        <f>VLOOKUP(Ruimtestaat[[#This Row],[Ruimte code]],Ruimtegroepen[],4,FALSE)</f>
        <v>Le</v>
      </c>
      <c r="Q663" s="149">
        <v>40</v>
      </c>
      <c r="R663" s="149" t="s">
        <v>2</v>
      </c>
      <c r="S663" s="285">
        <f>IF(Q663&gt;0,IF(RIGHT(Ruimtestaat[[#This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3" s="286">
        <f>IF(S663&gt;0,VLOOKUP($J663,Ruimtegroepen[],3,FALSE)*VLOOKUP($L663,Vloersoorten[],3,FALSE)*VLOOKUP($R663,Frequenties[],3,FALSE)*VLOOKUP($A663,Locaties[],3,FALSE),0)</f>
        <v>0</v>
      </c>
      <c r="U663" s="287">
        <f>Ruimtestaat[[#This Row],[Uitvoeringen werkdagen]]*Ruimtestaat[[#This Row],[Oppervlak (netto)]]</f>
        <v>14560</v>
      </c>
      <c r="V663" s="288">
        <f>IF(T663&gt;0,Ruimtestaat[[#This Row],[Prest. (m2 /jaar) werkdagen]]/Ruimtestaat[[#This Row],[Norm (m2/uur) werkdagen]],0)</f>
        <v>0</v>
      </c>
      <c r="W663" s="289">
        <f>Ruimtestaat[[#This Row],[uren / jaar werkdagen]]*Tariefsopbouw!$E$35</f>
        <v>0</v>
      </c>
      <c r="X663" s="226"/>
      <c r="Y663" s="290">
        <f>IF(Ruimtestaat[[#This Row],[Frequentie weekend]]&gt;0,VALUE(LEFT(X663,1))*Q663,0)</f>
        <v>0</v>
      </c>
      <c r="Z663" s="287">
        <f>IF($Y663&gt;0,VLOOKUP($J663,Ruimtegroepen[],3,FALSE)*VLOOKUP($L663,Vloersoorten[],3,FALSE)*VLOOKUP($X663,Frequenties[],3,FALSE)*VLOOKUP(#REF!,Locaties[],3,FALSE),0)</f>
        <v>0</v>
      </c>
      <c r="AA663" s="291">
        <f>Ruimtestaat[[#This Row],[Uitvoeringen weekend]]*Ruimtestaat[[#This Row],[Oppervlak (netto)]]</f>
        <v>0</v>
      </c>
      <c r="AB663" s="291">
        <f>IF(Z663&gt;0,Ruimtestaat[[#This Row],[Prest. (m2 /jaar) weekend]]/Ruimtestaat[[#This Row],[Norm (m2/uur) weekend]],0)</f>
        <v>0</v>
      </c>
      <c r="AC663" s="180">
        <f>Ruimtestaat[[#This Row],[uren / jaar weekend]]*Tariefsopbouw!$D$40</f>
        <v>0</v>
      </c>
      <c r="AD663" s="179">
        <f>Ruimtestaat[[#This Row],[Prest. (m2 /jaar) weekend]]+Ruimtestaat[[#This Row],[Prest. (m2 /jaar) werkdagen]]</f>
        <v>14560</v>
      </c>
      <c r="AE663" s="179">
        <f>Ruimtestaat[[#This Row],[uren / jaar weekend]]+Ruimtestaat[[#This Row],[uren / jaar werkdagen]]</f>
        <v>0</v>
      </c>
      <c r="AF663" s="174">
        <f>Ruimtestaat[[#This Row],[kosten / jaar weekend]]+Ruimtestaat[[#This Row],[kosten / jaar werkdagen]]</f>
        <v>0</v>
      </c>
      <c r="AG663" s="174"/>
      <c r="AH663" s="174" t="str">
        <f>IF(Ruimtestaat[[#This Row],[Frequentie werkdagen]]="","",_xlfn.CONCAT(Ruimtestaat[[#This Row],[Ruimte code]],"-",Ruimtestaat[[#This Row],[Frequentie werkdagen]]," ",Ruimtestaat[[#This Row],[Vloer code]]))</f>
        <v>16-5w L</v>
      </c>
      <c r="AI663" s="182" t="str">
        <f>_xlfn.IFNA(VLOOKUP($AH663,Programma!$F$3:$G$1101,2,0),"")</f>
        <v>_</v>
      </c>
      <c r="AJ663" s="182" t="str">
        <f>_xlfn.IFNA(VLOOKUP($AH663,Programma!$F$3:$H$1101,3,0),"")</f>
        <v>_</v>
      </c>
      <c r="AK663" s="182" t="str">
        <f>_xlfn.IFNA(VLOOKUP($AH663,Programma!$F$3:$I$1101,4,0),"")</f>
        <v>4w</v>
      </c>
      <c r="AL663" s="182" t="str">
        <f>_xlfn.IFNA(VLOOKUP($AH663,Programma!$F$3:$J$1101,5,0),"")</f>
        <v>1w</v>
      </c>
      <c r="AM663" s="182" t="str">
        <f>_xlfn.IFNA(VLOOKUP($AH663,Programma!$F$3:$K$1101,6,0),"")</f>
        <v>_</v>
      </c>
      <c r="AN663" s="182" t="str">
        <f>_xlfn.IFNA(VLOOKUP($AH663,Programma!$F$3:$L$1101,7,0),"")</f>
        <v>_</v>
      </c>
      <c r="AO663" s="182" t="str">
        <f>_xlfn.IFNA(VLOOKUP($AH663,Programma!$F$3:$M$1101,8,0),"")</f>
        <v>_</v>
      </c>
      <c r="AP663" s="182" t="str">
        <f>_xlfn.IFNA(VLOOKUP($AH663,Programma!$F$3:$N$1101,9,0),"")</f>
        <v>_</v>
      </c>
      <c r="AQ663" s="182" t="str">
        <f>_xlfn.IFNA(VLOOKUP($AH663,Programma!$F$3:$O$1101,10,0),"")</f>
        <v>5w</v>
      </c>
      <c r="AR663" s="182" t="str">
        <f>_xlfn.IFNA(VLOOKUP($AH663,Programma!$F$3:$P$1101,11,0),"")</f>
        <v>5w</v>
      </c>
      <c r="AS663" s="182" t="str">
        <f>_xlfn.IFNA(VLOOKUP($AH663,Programma!$F$3:$Q$1101,12,0),"")</f>
        <v>1w</v>
      </c>
      <c r="AT663" s="182" t="str">
        <f>_xlfn.IFNA(VLOOKUP($AH663,Programma!$F$3:$R$1101,13,0),"")</f>
        <v>1w</v>
      </c>
      <c r="AU663" s="182" t="str">
        <f>_xlfn.IFNA(VLOOKUP($AH663,Programma!$F$3:$S$1101,14,0),"")</f>
        <v>1m</v>
      </c>
      <c r="AV663" s="182" t="str">
        <f>_xlfn.IFNA(VLOOKUP($AH663,Programma!$F$3:$T$1101,15,0),"")</f>
        <v>2j</v>
      </c>
      <c r="AW663" s="182" t="str">
        <f>_xlfn.IFNA(VLOOKUP($AH663,Programma!$F$3:$U$1101,16,0),"")</f>
        <v>1j</v>
      </c>
      <c r="AX663" s="182" t="str">
        <f>_xlfn.IFNA(VLOOKUP($AH663,Programma!$F$3:$V$1101,17,0),"")</f>
        <v>_</v>
      </c>
      <c r="AY663" s="182" t="str">
        <f>_xlfn.IFNA(VLOOKUP($AH663,Programma!$F$3:$W$1101,18,0),"")</f>
        <v>_</v>
      </c>
      <c r="AZ663" s="182" t="str">
        <f>_xlfn.IFNA(VLOOKUP($AH663,Programma!$F$3:$X$1101,19,0),"")</f>
        <v>_</v>
      </c>
      <c r="BA663" s="182" t="str">
        <f>_xlfn.IFNA(VLOOKUP($AH663,Programma!$F$3:$Y$1101,20,0),"")</f>
        <v>_</v>
      </c>
      <c r="BB663" s="182"/>
      <c r="BC663" s="174" t="str">
        <f>IF(Ruimtestaat[[#This Row],[Frequentie weekend]]="","",_xlfn.CONCAT(Ruimtestaat[[#This Row],[Ruimte code]],"-",Ruimtestaat[[#This Row],[Frequentie weekend]]," ",Ruimtestaat[[#This Row],[Vloer code]]))</f>
        <v/>
      </c>
      <c r="BD663" s="182" t="str">
        <f>_xlfn.IFNA(VLOOKUP($BC663,Programma!$F$3:$G$1101,2,0),"")</f>
        <v/>
      </c>
      <c r="BE663" s="182" t="str">
        <f>_xlfn.IFNA(VLOOKUP($BC663,Programma!$F$3:$H$1101,3,0),"")</f>
        <v/>
      </c>
      <c r="BF663" s="182" t="str">
        <f>_xlfn.IFNA(VLOOKUP($BC663,Programma!$F$3:$I$1101,4,0),"")</f>
        <v/>
      </c>
      <c r="BG663" s="182" t="str">
        <f>_xlfn.IFNA(VLOOKUP($BC663,Programma!$F$3:$J$1101,5,0),"")</f>
        <v/>
      </c>
      <c r="BH663" s="182" t="str">
        <f>_xlfn.IFNA(VLOOKUP($BC663,Programma!$F$3:$K$1101,6,0),"")</f>
        <v/>
      </c>
      <c r="BI663" s="182" t="str">
        <f>_xlfn.IFNA(VLOOKUP($BC663,Programma!$F$3:$L$1101,7,0),"")</f>
        <v/>
      </c>
      <c r="BJ663" s="182" t="str">
        <f>_xlfn.IFNA(VLOOKUP($BC663,Programma!$F$3:$M$1101,8,0),"")</f>
        <v/>
      </c>
      <c r="BK663" s="182" t="str">
        <f>_xlfn.IFNA(VLOOKUP($BC663,Programma!$F$3:$N$1101,9,0),"")</f>
        <v/>
      </c>
      <c r="BL663" s="182" t="str">
        <f>_xlfn.IFNA(VLOOKUP($BC663,Programma!$F$3:$O$1101,10,0),"")</f>
        <v/>
      </c>
      <c r="BM663" s="182" t="str">
        <f>_xlfn.IFNA(VLOOKUP($BC663,Programma!$F$3:$P$1101,11,0),"")</f>
        <v/>
      </c>
      <c r="BN663" s="182" t="str">
        <f>_xlfn.IFNA(VLOOKUP($BC663,Programma!$F$3:$Q$1101,12,0),"")</f>
        <v/>
      </c>
      <c r="BO663" s="182" t="str">
        <f>_xlfn.IFNA(VLOOKUP($BC663,Programma!$F$3:$R$1101,13,0),"")</f>
        <v/>
      </c>
      <c r="BP663" s="182" t="str">
        <f>_xlfn.IFNA(VLOOKUP($BC663,Programma!$F$3:$S$1101,14,0),"")</f>
        <v/>
      </c>
      <c r="BQ663" s="182" t="str">
        <f>_xlfn.IFNA(VLOOKUP($BC663,Programma!$F$3:$T$1101,15,0),"")</f>
        <v/>
      </c>
      <c r="BR663" s="182" t="str">
        <f>_xlfn.IFNA(VLOOKUP($BC663,Programma!$F$3:$U$1101,16,0),"")</f>
        <v/>
      </c>
      <c r="BS663" s="182" t="str">
        <f>_xlfn.IFNA(VLOOKUP($BC663,Programma!$F$3:$V$1101,17,0),"")</f>
        <v/>
      </c>
      <c r="BT663" s="182" t="str">
        <f>_xlfn.IFNA(VLOOKUP($BC663,Programma!$F$3:$W$1101,18,0),"")</f>
        <v/>
      </c>
      <c r="BU663" s="182" t="str">
        <f>_xlfn.IFNA(VLOOKUP($BC663,Programma!$F$3:$X$1101,19,0),"")</f>
        <v/>
      </c>
      <c r="BV663" s="182" t="str">
        <f>_xlfn.IFNA(VLOOKUP($BC663,Programma!$F$3:$Y$1101,20,0),"")</f>
        <v/>
      </c>
    </row>
    <row r="664" spans="1:74" ht="15" customHeight="1">
      <c r="A664" s="99">
        <v>18</v>
      </c>
      <c r="B664" s="176" t="str">
        <f>VLOOKUP(Ruimtestaat[[#This Row],[Code]],Locaties[[Code]:[Locatie]],2,FALSE)</f>
        <v>OBS De Linde (Thij)</v>
      </c>
      <c r="C664" s="176" t="str">
        <f>VLOOKUP(Ruimtestaat[[#This Row],[Code]],Locaties[[#All],[Code]:[Adres]],4,FALSE)</f>
        <v>Zandhorstlaan 99</v>
      </c>
      <c r="D664" s="176" t="str">
        <f>VLOOKUP(Ruimtestaat[[#This Row],[Code]],Locaties[[#All],[Code]:[Postcode]],5,FALSE)</f>
        <v>7576 VR</v>
      </c>
      <c r="E664" s="176" t="str">
        <f>VLOOKUP(Ruimtestaat[[#This Row],[Code]],Locaties[#All],6,FALSE)</f>
        <v>Oldenzaal</v>
      </c>
      <c r="F664" s="183"/>
      <c r="G664" s="99" t="s">
        <v>1646</v>
      </c>
      <c r="H664" s="99" t="s">
        <v>1692</v>
      </c>
      <c r="I664" s="183" t="s">
        <v>1658</v>
      </c>
      <c r="J664" s="99">
        <v>6</v>
      </c>
      <c r="K664" s="183" t="str">
        <f>VLOOKUP(Ruimtestaat[[#This Row],[Ruimte code]],Ruimtegroepen[[#All],[Code]:[Ruimte omschrijving]],2,FALSE)</f>
        <v>Gangen/hallen</v>
      </c>
      <c r="L664" s="99" t="s">
        <v>101</v>
      </c>
      <c r="M664" s="99" t="s">
        <v>119</v>
      </c>
      <c r="N664" s="177">
        <v>48.73</v>
      </c>
      <c r="O664" s="177"/>
      <c r="P664" s="178" t="str">
        <f>VLOOKUP(Ruimtestaat[[#This Row],[Ruimte code]],Ruimtegroepen[],4,FALSE)</f>
        <v>Ve</v>
      </c>
      <c r="Q664" s="149">
        <v>40</v>
      </c>
      <c r="R664" s="149" t="s">
        <v>20</v>
      </c>
      <c r="S664" s="285">
        <f>IF(Q664&gt;0,IF(RIGHT(Ruimtestaat[[#This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160</v>
      </c>
      <c r="T664" s="286">
        <f>IF(S664&gt;0,VLOOKUP($J664,Ruimtegroepen[],3,FALSE)*VLOOKUP($L664,Vloersoorten[],3,FALSE)*VLOOKUP($R664,Frequenties[],3,FALSE)*VLOOKUP($A664,Locaties[],3,FALSE),0)</f>
        <v>0</v>
      </c>
      <c r="U664" s="287">
        <f>Ruimtestaat[[#This Row],[Uitvoeringen werkdagen]]*Ruimtestaat[[#This Row],[Oppervlak (netto)]]</f>
        <v>7796.7999999999993</v>
      </c>
      <c r="V664" s="288">
        <f>IF(T664&gt;0,Ruimtestaat[[#This Row],[Prest. (m2 /jaar) werkdagen]]/Ruimtestaat[[#This Row],[Norm (m2/uur) werkdagen]],0)</f>
        <v>0</v>
      </c>
      <c r="W664" s="289">
        <f>Ruimtestaat[[#This Row],[uren / jaar werkdagen]]*Tariefsopbouw!$E$35</f>
        <v>0</v>
      </c>
      <c r="X664" s="226"/>
      <c r="Y664" s="290">
        <f>IF(Ruimtestaat[[#This Row],[Frequentie weekend]]&gt;0,VALUE(LEFT(X664,1))*Q664,0)</f>
        <v>0</v>
      </c>
      <c r="Z664" s="287">
        <f>IF($Y664&gt;0,VLOOKUP($J664,Ruimtegroepen[],3,FALSE)*VLOOKUP($L664,Vloersoorten[],3,FALSE)*VLOOKUP($X664,Frequenties[],3,FALSE)*VLOOKUP(#REF!,Locaties[],3,FALSE),0)</f>
        <v>0</v>
      </c>
      <c r="AA664" s="291">
        <f>Ruimtestaat[[#This Row],[Uitvoeringen weekend]]*Ruimtestaat[[#This Row],[Oppervlak (netto)]]</f>
        <v>0</v>
      </c>
      <c r="AB664" s="291">
        <f>IF(Z664&gt;0,Ruimtestaat[[#This Row],[Prest. (m2 /jaar) weekend]]/Ruimtestaat[[#This Row],[Norm (m2/uur) weekend]],0)</f>
        <v>0</v>
      </c>
      <c r="AC664" s="180">
        <f>Ruimtestaat[[#This Row],[uren / jaar weekend]]*Tariefsopbouw!$D$40</f>
        <v>0</v>
      </c>
      <c r="AD664" s="179">
        <f>Ruimtestaat[[#This Row],[Prest. (m2 /jaar) weekend]]+Ruimtestaat[[#This Row],[Prest. (m2 /jaar) werkdagen]]</f>
        <v>7796.7999999999993</v>
      </c>
      <c r="AE664" s="179">
        <f>Ruimtestaat[[#This Row],[uren / jaar weekend]]+Ruimtestaat[[#This Row],[uren / jaar werkdagen]]</f>
        <v>0</v>
      </c>
      <c r="AF664" s="174">
        <f>Ruimtestaat[[#This Row],[kosten / jaar weekend]]+Ruimtestaat[[#This Row],[kosten / jaar werkdagen]]</f>
        <v>0</v>
      </c>
      <c r="AG664" s="174"/>
      <c r="AH664" s="174" t="str">
        <f>IF(Ruimtestaat[[#This Row],[Frequentie werkdagen]]="","",_xlfn.CONCAT(Ruimtestaat[[#This Row],[Ruimte code]],"-",Ruimtestaat[[#This Row],[Frequentie werkdagen]]," ",Ruimtestaat[[#This Row],[Vloer code]]))</f>
        <v>6-4w S</v>
      </c>
      <c r="AI664" s="182" t="str">
        <f>_xlfn.IFNA(VLOOKUP($AH664,Programma!$F$3:$G$1101,2,0),"")</f>
        <v>_</v>
      </c>
      <c r="AJ664" s="182" t="str">
        <f>_xlfn.IFNA(VLOOKUP($AH664,Programma!$F$3:$H$1101,3,0),"")</f>
        <v>_</v>
      </c>
      <c r="AK664" s="182" t="str">
        <f>_xlfn.IFNA(VLOOKUP($AH664,Programma!$F$3:$I$1101,4,0),"")</f>
        <v>4w</v>
      </c>
      <c r="AL664" s="182" t="str">
        <f>_xlfn.IFNA(VLOOKUP($AH664,Programma!$F$3:$J$1101,5,0),"")</f>
        <v>_</v>
      </c>
      <c r="AM664" s="182" t="str">
        <f>_xlfn.IFNA(VLOOKUP($AH664,Programma!$F$3:$K$1101,6,0),"")</f>
        <v>4w</v>
      </c>
      <c r="AN664" s="182" t="str">
        <f>_xlfn.IFNA(VLOOKUP($AH664,Programma!$F$3:$L$1101,7,0),"")</f>
        <v>_</v>
      </c>
      <c r="AO664" s="182" t="str">
        <f>_xlfn.IFNA(VLOOKUP($AH664,Programma!$F$3:$M$1101,8,0),"")</f>
        <v>_</v>
      </c>
      <c r="AP664" s="182" t="str">
        <f>_xlfn.IFNA(VLOOKUP($AH664,Programma!$F$3:$N$1101,9,0),"")</f>
        <v>_</v>
      </c>
      <c r="AQ664" s="182" t="str">
        <f>_xlfn.IFNA(VLOOKUP($AH664,Programma!$F$3:$O$1101,10,0),"")</f>
        <v>4w</v>
      </c>
      <c r="AR664" s="182" t="str">
        <f>_xlfn.IFNA(VLOOKUP($AH664,Programma!$F$3:$P$1101,11,0),"")</f>
        <v>4w</v>
      </c>
      <c r="AS664" s="182" t="str">
        <f>_xlfn.IFNA(VLOOKUP($AH664,Programma!$F$3:$Q$1101,12,0),"")</f>
        <v>1w</v>
      </c>
      <c r="AT664" s="182" t="str">
        <f>_xlfn.IFNA(VLOOKUP($AH664,Programma!$F$3:$R$1101,13,0),"")</f>
        <v>1w</v>
      </c>
      <c r="AU664" s="182" t="str">
        <f>_xlfn.IFNA(VLOOKUP($AH664,Programma!$F$3:$S$1101,14,0),"")</f>
        <v>1m</v>
      </c>
      <c r="AV664" s="182" t="str">
        <f>_xlfn.IFNA(VLOOKUP($AH664,Programma!$F$3:$T$1101,15,0),"")</f>
        <v>2j</v>
      </c>
      <c r="AW664" s="182" t="str">
        <f>_xlfn.IFNA(VLOOKUP($AH664,Programma!$F$3:$U$1101,16,0),"")</f>
        <v>1j</v>
      </c>
      <c r="AX664" s="182" t="str">
        <f>_xlfn.IFNA(VLOOKUP($AH664,Programma!$F$3:$V$1101,17,0),"")</f>
        <v>_</v>
      </c>
      <c r="AY664" s="182" t="str">
        <f>_xlfn.IFNA(VLOOKUP($AH664,Programma!$F$3:$W$1101,18,0),"")</f>
        <v>_</v>
      </c>
      <c r="AZ664" s="182" t="str">
        <f>_xlfn.IFNA(VLOOKUP($AH664,Programma!$F$3:$X$1101,19,0),"")</f>
        <v>_</v>
      </c>
      <c r="BA664" s="182" t="str">
        <f>_xlfn.IFNA(VLOOKUP($AH664,Programma!$F$3:$Y$1101,20,0),"")</f>
        <v>_</v>
      </c>
      <c r="BB664" s="182"/>
      <c r="BC664" s="174" t="str">
        <f>IF(Ruimtestaat[[#This Row],[Frequentie weekend]]="","",_xlfn.CONCAT(Ruimtestaat[[#This Row],[Ruimte code]],"-",Ruimtestaat[[#This Row],[Frequentie weekend]]," ",Ruimtestaat[[#This Row],[Vloer code]]))</f>
        <v/>
      </c>
      <c r="BD664" s="182" t="str">
        <f>_xlfn.IFNA(VLOOKUP($BC664,Programma!$F$3:$G$1101,2,0),"")</f>
        <v/>
      </c>
      <c r="BE664" s="182" t="str">
        <f>_xlfn.IFNA(VLOOKUP($BC664,Programma!$F$3:$H$1101,3,0),"")</f>
        <v/>
      </c>
      <c r="BF664" s="182" t="str">
        <f>_xlfn.IFNA(VLOOKUP($BC664,Programma!$F$3:$I$1101,4,0),"")</f>
        <v/>
      </c>
      <c r="BG664" s="182" t="str">
        <f>_xlfn.IFNA(VLOOKUP($BC664,Programma!$F$3:$J$1101,5,0),"")</f>
        <v/>
      </c>
      <c r="BH664" s="182" t="str">
        <f>_xlfn.IFNA(VLOOKUP($BC664,Programma!$F$3:$K$1101,6,0),"")</f>
        <v/>
      </c>
      <c r="BI664" s="182" t="str">
        <f>_xlfn.IFNA(VLOOKUP($BC664,Programma!$F$3:$L$1101,7,0),"")</f>
        <v/>
      </c>
      <c r="BJ664" s="182" t="str">
        <f>_xlfn.IFNA(VLOOKUP($BC664,Programma!$F$3:$M$1101,8,0),"")</f>
        <v/>
      </c>
      <c r="BK664" s="182" t="str">
        <f>_xlfn.IFNA(VLOOKUP($BC664,Programma!$F$3:$N$1101,9,0),"")</f>
        <v/>
      </c>
      <c r="BL664" s="182" t="str">
        <f>_xlfn.IFNA(VLOOKUP($BC664,Programma!$F$3:$O$1101,10,0),"")</f>
        <v/>
      </c>
      <c r="BM664" s="182" t="str">
        <f>_xlfn.IFNA(VLOOKUP($BC664,Programma!$F$3:$P$1101,11,0),"")</f>
        <v/>
      </c>
      <c r="BN664" s="182" t="str">
        <f>_xlfn.IFNA(VLOOKUP($BC664,Programma!$F$3:$Q$1101,12,0),"")</f>
        <v/>
      </c>
      <c r="BO664" s="182" t="str">
        <f>_xlfn.IFNA(VLOOKUP($BC664,Programma!$F$3:$R$1101,13,0),"")</f>
        <v/>
      </c>
      <c r="BP664" s="182" t="str">
        <f>_xlfn.IFNA(VLOOKUP($BC664,Programma!$F$3:$S$1101,14,0),"")</f>
        <v/>
      </c>
      <c r="BQ664" s="182" t="str">
        <f>_xlfn.IFNA(VLOOKUP($BC664,Programma!$F$3:$T$1101,15,0),"")</f>
        <v/>
      </c>
      <c r="BR664" s="182" t="str">
        <f>_xlfn.IFNA(VLOOKUP($BC664,Programma!$F$3:$U$1101,16,0),"")</f>
        <v/>
      </c>
      <c r="BS664" s="182" t="str">
        <f>_xlfn.IFNA(VLOOKUP($BC664,Programma!$F$3:$V$1101,17,0),"")</f>
        <v/>
      </c>
      <c r="BT664" s="182" t="str">
        <f>_xlfn.IFNA(VLOOKUP($BC664,Programma!$F$3:$W$1101,18,0),"")</f>
        <v/>
      </c>
      <c r="BU664" s="182" t="str">
        <f>_xlfn.IFNA(VLOOKUP($BC664,Programma!$F$3:$X$1101,19,0),"")</f>
        <v/>
      </c>
      <c r="BV664" s="182" t="str">
        <f>_xlfn.IFNA(VLOOKUP($BC664,Programma!$F$3:$Y$1101,20,0),"")</f>
        <v/>
      </c>
    </row>
    <row r="665" spans="1:74" ht="15" customHeight="1">
      <c r="A665" s="99">
        <v>18</v>
      </c>
      <c r="B665" s="176" t="str">
        <f>VLOOKUP(Ruimtestaat[[#This Row],[Code]],Locaties[[Code]:[Locatie]],2,FALSE)</f>
        <v>OBS De Linde (Thij)</v>
      </c>
      <c r="C665" s="176" t="str">
        <f>VLOOKUP(Ruimtestaat[[#This Row],[Code]],Locaties[[#All],[Code]:[Adres]],4,FALSE)</f>
        <v>Zandhorstlaan 99</v>
      </c>
      <c r="D665" s="176" t="str">
        <f>VLOOKUP(Ruimtestaat[[#This Row],[Code]],Locaties[[#All],[Code]:[Postcode]],5,FALSE)</f>
        <v>7576 VR</v>
      </c>
      <c r="E665" s="176" t="str">
        <f>VLOOKUP(Ruimtestaat[[#This Row],[Code]],Locaties[#All],6,FALSE)</f>
        <v>Oldenzaal</v>
      </c>
      <c r="F665" s="183"/>
      <c r="G665" s="99" t="s">
        <v>1646</v>
      </c>
      <c r="H665" s="99" t="s">
        <v>1693</v>
      </c>
      <c r="I665" s="183" t="s">
        <v>1684</v>
      </c>
      <c r="J665" s="99">
        <v>5</v>
      </c>
      <c r="K665" s="183" t="str">
        <f>VLOOKUP(Ruimtestaat[[#This Row],[Ruimte code]],Ruimtegroepen[[#All],[Code]:[Ruimte omschrijving]],2,FALSE)</f>
        <v>Sanitair</v>
      </c>
      <c r="L665" s="99" t="s">
        <v>101</v>
      </c>
      <c r="M665" s="99" t="s">
        <v>1682</v>
      </c>
      <c r="N665" s="177">
        <v>4.0999999999999996</v>
      </c>
      <c r="O665" s="177"/>
      <c r="P665" s="178" t="str">
        <f>VLOOKUP(Ruimtestaat[[#This Row],[Ruimte code]],Ruimtegroepen[],4,FALSE)</f>
        <v>Sa</v>
      </c>
      <c r="Q665" s="149">
        <v>40</v>
      </c>
      <c r="R665" s="149" t="s">
        <v>2</v>
      </c>
      <c r="S665" s="285">
        <f>IF(Q665&gt;0,IF(RIGHT(Ruimtestaat[[#This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5" s="286">
        <f>IF(S665&gt;0,VLOOKUP($J665,Ruimtegroepen[],3,FALSE)*VLOOKUP($L665,Vloersoorten[],3,FALSE)*VLOOKUP($R665,Frequenties[],3,FALSE)*VLOOKUP($A665,Locaties[],3,FALSE),0)</f>
        <v>0</v>
      </c>
      <c r="U665" s="287">
        <f>Ruimtestaat[[#This Row],[Uitvoeringen werkdagen]]*Ruimtestaat[[#This Row],[Oppervlak (netto)]]</f>
        <v>819.99999999999989</v>
      </c>
      <c r="V665" s="288">
        <f>IF(T665&gt;0,Ruimtestaat[[#This Row],[Prest. (m2 /jaar) werkdagen]]/Ruimtestaat[[#This Row],[Norm (m2/uur) werkdagen]],0)</f>
        <v>0</v>
      </c>
      <c r="W665" s="289">
        <f>Ruimtestaat[[#This Row],[uren / jaar werkdagen]]*Tariefsopbouw!$E$35</f>
        <v>0</v>
      </c>
      <c r="X665" s="226"/>
      <c r="Y665" s="290">
        <f>IF(Ruimtestaat[[#This Row],[Frequentie weekend]]&gt;0,VALUE(LEFT(X665,1))*Q665,0)</f>
        <v>0</v>
      </c>
      <c r="Z665" s="287">
        <f>IF($Y665&gt;0,VLOOKUP($J665,Ruimtegroepen[],3,FALSE)*VLOOKUP($L665,Vloersoorten[],3,FALSE)*VLOOKUP($X665,Frequenties[],3,FALSE)*VLOOKUP(#REF!,Locaties[],3,FALSE),0)</f>
        <v>0</v>
      </c>
      <c r="AA665" s="291">
        <f>Ruimtestaat[[#This Row],[Uitvoeringen weekend]]*Ruimtestaat[[#This Row],[Oppervlak (netto)]]</f>
        <v>0</v>
      </c>
      <c r="AB665" s="291">
        <f>IF(Z665&gt;0,Ruimtestaat[[#This Row],[Prest. (m2 /jaar) weekend]]/Ruimtestaat[[#This Row],[Norm (m2/uur) weekend]],0)</f>
        <v>0</v>
      </c>
      <c r="AC665" s="180">
        <f>Ruimtestaat[[#This Row],[uren / jaar weekend]]*Tariefsopbouw!$D$40</f>
        <v>0</v>
      </c>
      <c r="AD665" s="179">
        <f>Ruimtestaat[[#This Row],[Prest. (m2 /jaar) weekend]]+Ruimtestaat[[#This Row],[Prest. (m2 /jaar) werkdagen]]</f>
        <v>819.99999999999989</v>
      </c>
      <c r="AE665" s="179">
        <f>Ruimtestaat[[#This Row],[uren / jaar weekend]]+Ruimtestaat[[#This Row],[uren / jaar werkdagen]]</f>
        <v>0</v>
      </c>
      <c r="AF665" s="174">
        <f>Ruimtestaat[[#This Row],[kosten / jaar weekend]]+Ruimtestaat[[#This Row],[kosten / jaar werkdagen]]</f>
        <v>0</v>
      </c>
      <c r="AG665" s="174"/>
      <c r="AH665" s="174" t="str">
        <f>IF(Ruimtestaat[[#This Row],[Frequentie werkdagen]]="","",_xlfn.CONCAT(Ruimtestaat[[#This Row],[Ruimte code]],"-",Ruimtestaat[[#This Row],[Frequentie werkdagen]]," ",Ruimtestaat[[#This Row],[Vloer code]]))</f>
        <v>5-5w S</v>
      </c>
      <c r="AI665" s="182" t="str">
        <f>_xlfn.IFNA(VLOOKUP($AH665,Programma!$F$3:$G$1101,2,0),"")</f>
        <v>_</v>
      </c>
      <c r="AJ665" s="182" t="str">
        <f>_xlfn.IFNA(VLOOKUP($AH665,Programma!$F$3:$H$1101,3,0),"")</f>
        <v>_</v>
      </c>
      <c r="AK665" s="182" t="str">
        <f>_xlfn.IFNA(VLOOKUP($AH665,Programma!$F$3:$I$1101,4,0),"")</f>
        <v>_</v>
      </c>
      <c r="AL665" s="182" t="str">
        <f>_xlfn.IFNA(VLOOKUP($AH665,Programma!$F$3:$J$1101,5,0),"")</f>
        <v>4w</v>
      </c>
      <c r="AM665" s="182" t="str">
        <f>_xlfn.IFNA(VLOOKUP($AH665,Programma!$F$3:$K$1101,6,0),"")</f>
        <v>1w</v>
      </c>
      <c r="AN665" s="182" t="str">
        <f>_xlfn.IFNA(VLOOKUP($AH665,Programma!$F$3:$L$1101,7,0),"")</f>
        <v>_</v>
      </c>
      <c r="AO665" s="182" t="str">
        <f>_xlfn.IFNA(VLOOKUP($AH665,Programma!$F$3:$M$1101,8,0),"")</f>
        <v>_</v>
      </c>
      <c r="AP665" s="182" t="str">
        <f>_xlfn.IFNA(VLOOKUP($AH665,Programma!$F$3:$N$1101,9,0),"")</f>
        <v>_</v>
      </c>
      <c r="AQ665" s="182" t="str">
        <f>_xlfn.IFNA(VLOOKUP($AH665,Programma!$F$3:$O$1101,10,0),"")</f>
        <v>_</v>
      </c>
      <c r="AR665" s="182" t="str">
        <f>_xlfn.IFNA(VLOOKUP($AH665,Programma!$F$3:$P$1101,11,0),"")</f>
        <v>_</v>
      </c>
      <c r="AS665" s="182" t="str">
        <f>_xlfn.IFNA(VLOOKUP($AH665,Programma!$F$3:$Q$1101,12,0),"")</f>
        <v>_</v>
      </c>
      <c r="AT665" s="182" t="str">
        <f>_xlfn.IFNA(VLOOKUP($AH665,Programma!$F$3:$R$1101,13,0),"")</f>
        <v>_</v>
      </c>
      <c r="AU665" s="182" t="str">
        <f>_xlfn.IFNA(VLOOKUP($AH665,Programma!$F$3:$S$1101,14,0),"")</f>
        <v>_</v>
      </c>
      <c r="AV665" s="182" t="str">
        <f>_xlfn.IFNA(VLOOKUP($AH665,Programma!$F$3:$T$1101,15,0),"")</f>
        <v>_</v>
      </c>
      <c r="AW665" s="182" t="str">
        <f>_xlfn.IFNA(VLOOKUP($AH665,Programma!$F$3:$U$1101,16,0),"")</f>
        <v>_</v>
      </c>
      <c r="AX665" s="182" t="str">
        <f>_xlfn.IFNA(VLOOKUP($AH665,Programma!$F$3:$V$1101,17,0),"")</f>
        <v>_</v>
      </c>
      <c r="AY665" s="182" t="str">
        <f>_xlfn.IFNA(VLOOKUP($AH665,Programma!$F$3:$W$1101,18,0),"")</f>
        <v>4w</v>
      </c>
      <c r="AZ665" s="182" t="str">
        <f>_xlfn.IFNA(VLOOKUP($AH665,Programma!$F$3:$X$1101,19,0),"")</f>
        <v>1w</v>
      </c>
      <c r="BA665" s="182" t="str">
        <f>_xlfn.IFNA(VLOOKUP($AH665,Programma!$F$3:$Y$1101,20,0),"")</f>
        <v>_</v>
      </c>
      <c r="BB665" s="182"/>
      <c r="BC665" s="174" t="str">
        <f>IF(Ruimtestaat[[#This Row],[Frequentie weekend]]="","",_xlfn.CONCAT(Ruimtestaat[[#This Row],[Ruimte code]],"-",Ruimtestaat[[#This Row],[Frequentie weekend]]," ",Ruimtestaat[[#This Row],[Vloer code]]))</f>
        <v/>
      </c>
      <c r="BD665" s="182" t="str">
        <f>_xlfn.IFNA(VLOOKUP($BC665,Programma!$F$3:$G$1101,2,0),"")</f>
        <v/>
      </c>
      <c r="BE665" s="182" t="str">
        <f>_xlfn.IFNA(VLOOKUP($BC665,Programma!$F$3:$H$1101,3,0),"")</f>
        <v/>
      </c>
      <c r="BF665" s="182" t="str">
        <f>_xlfn.IFNA(VLOOKUP($BC665,Programma!$F$3:$I$1101,4,0),"")</f>
        <v/>
      </c>
      <c r="BG665" s="182" t="str">
        <f>_xlfn.IFNA(VLOOKUP($BC665,Programma!$F$3:$J$1101,5,0),"")</f>
        <v/>
      </c>
      <c r="BH665" s="182" t="str">
        <f>_xlfn.IFNA(VLOOKUP($BC665,Programma!$F$3:$K$1101,6,0),"")</f>
        <v/>
      </c>
      <c r="BI665" s="182" t="str">
        <f>_xlfn.IFNA(VLOOKUP($BC665,Programma!$F$3:$L$1101,7,0),"")</f>
        <v/>
      </c>
      <c r="BJ665" s="182" t="str">
        <f>_xlfn.IFNA(VLOOKUP($BC665,Programma!$F$3:$M$1101,8,0),"")</f>
        <v/>
      </c>
      <c r="BK665" s="182" t="str">
        <f>_xlfn.IFNA(VLOOKUP($BC665,Programma!$F$3:$N$1101,9,0),"")</f>
        <v/>
      </c>
      <c r="BL665" s="182" t="str">
        <f>_xlfn.IFNA(VLOOKUP($BC665,Programma!$F$3:$O$1101,10,0),"")</f>
        <v/>
      </c>
      <c r="BM665" s="182" t="str">
        <f>_xlfn.IFNA(VLOOKUP($BC665,Programma!$F$3:$P$1101,11,0),"")</f>
        <v/>
      </c>
      <c r="BN665" s="182" t="str">
        <f>_xlfn.IFNA(VLOOKUP($BC665,Programma!$F$3:$Q$1101,12,0),"")</f>
        <v/>
      </c>
      <c r="BO665" s="182" t="str">
        <f>_xlfn.IFNA(VLOOKUP($BC665,Programma!$F$3:$R$1101,13,0),"")</f>
        <v/>
      </c>
      <c r="BP665" s="182" t="str">
        <f>_xlfn.IFNA(VLOOKUP($BC665,Programma!$F$3:$S$1101,14,0),"")</f>
        <v/>
      </c>
      <c r="BQ665" s="182" t="str">
        <f>_xlfn.IFNA(VLOOKUP($BC665,Programma!$F$3:$T$1101,15,0),"")</f>
        <v/>
      </c>
      <c r="BR665" s="182" t="str">
        <f>_xlfn.IFNA(VLOOKUP($BC665,Programma!$F$3:$U$1101,16,0),"")</f>
        <v/>
      </c>
      <c r="BS665" s="182" t="str">
        <f>_xlfn.IFNA(VLOOKUP($BC665,Programma!$F$3:$V$1101,17,0),"")</f>
        <v/>
      </c>
      <c r="BT665" s="182" t="str">
        <f>_xlfn.IFNA(VLOOKUP($BC665,Programma!$F$3:$W$1101,18,0),"")</f>
        <v/>
      </c>
      <c r="BU665" s="182" t="str">
        <f>_xlfn.IFNA(VLOOKUP($BC665,Programma!$F$3:$X$1101,19,0),"")</f>
        <v/>
      </c>
      <c r="BV665" s="182" t="str">
        <f>_xlfn.IFNA(VLOOKUP($BC665,Programma!$F$3:$Y$1101,20,0),"")</f>
        <v/>
      </c>
    </row>
    <row r="666" spans="1:74" ht="15" customHeight="1">
      <c r="A666" s="99">
        <v>18</v>
      </c>
      <c r="B666" s="176" t="str">
        <f>VLOOKUP(Ruimtestaat[[#This Row],[Code]],Locaties[[Code]:[Locatie]],2,FALSE)</f>
        <v>OBS De Linde (Thij)</v>
      </c>
      <c r="C666" s="176" t="str">
        <f>VLOOKUP(Ruimtestaat[[#This Row],[Code]],Locaties[[#All],[Code]:[Adres]],4,FALSE)</f>
        <v>Zandhorstlaan 99</v>
      </c>
      <c r="D666" s="176" t="str">
        <f>VLOOKUP(Ruimtestaat[[#This Row],[Code]],Locaties[[#All],[Code]:[Postcode]],5,FALSE)</f>
        <v>7576 VR</v>
      </c>
      <c r="E666" s="176" t="str">
        <f>VLOOKUP(Ruimtestaat[[#This Row],[Code]],Locaties[#All],6,FALSE)</f>
        <v>Oldenzaal</v>
      </c>
      <c r="F666" s="183"/>
      <c r="G666" s="99" t="s">
        <v>1646</v>
      </c>
      <c r="H666" s="99" t="s">
        <v>1694</v>
      </c>
      <c r="I666" s="183" t="s">
        <v>1729</v>
      </c>
      <c r="J666" s="99">
        <v>17</v>
      </c>
      <c r="K666" s="183" t="str">
        <f>VLOOKUP(Ruimtestaat[[#This Row],[Ruimte code]],Ruimtegroepen[[#All],[Code]:[Ruimte omschrijving]],2,FALSE)</f>
        <v>Toestelberging</v>
      </c>
      <c r="L666" s="99" t="s">
        <v>100</v>
      </c>
      <c r="M666" s="99" t="s">
        <v>1697</v>
      </c>
      <c r="N666" s="177">
        <v>7.1</v>
      </c>
      <c r="O666" s="177"/>
      <c r="P666" s="178" t="str">
        <f>VLOOKUP(Ruimtestaat[[#This Row],[Ruimte code]],Ruimtegroepen[],4,FALSE)</f>
        <v>Ve</v>
      </c>
      <c r="Q666" s="149">
        <v>40</v>
      </c>
      <c r="R666" s="149" t="s">
        <v>15</v>
      </c>
      <c r="S666" s="285">
        <f>IF(Q666&gt;0,IF(RIGHT(Ruimtestaat[[#This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40</v>
      </c>
      <c r="T666" s="286">
        <f>IF(S666&gt;0,VLOOKUP($J666,Ruimtegroepen[],3,FALSE)*VLOOKUP($L666,Vloersoorten[],3,FALSE)*VLOOKUP($R666,Frequenties[],3,FALSE)*VLOOKUP($A666,Locaties[],3,FALSE),0)</f>
        <v>0</v>
      </c>
      <c r="U666" s="287">
        <f>Ruimtestaat[[#This Row],[Uitvoeringen werkdagen]]*Ruimtestaat[[#This Row],[Oppervlak (netto)]]</f>
        <v>284</v>
      </c>
      <c r="V666" s="288">
        <f>IF(T666&gt;0,Ruimtestaat[[#This Row],[Prest. (m2 /jaar) werkdagen]]/Ruimtestaat[[#This Row],[Norm (m2/uur) werkdagen]],0)</f>
        <v>0</v>
      </c>
      <c r="W666" s="289">
        <f>Ruimtestaat[[#This Row],[uren / jaar werkdagen]]*Tariefsopbouw!$E$35</f>
        <v>0</v>
      </c>
      <c r="X666" s="226"/>
      <c r="Y666" s="290">
        <f>IF(Ruimtestaat[[#This Row],[Frequentie weekend]]&gt;0,VALUE(LEFT(X666,1))*Q666,0)</f>
        <v>0</v>
      </c>
      <c r="Z666" s="287">
        <f>IF($Y666&gt;0,VLOOKUP($J666,Ruimtegroepen[],3,FALSE)*VLOOKUP($L666,Vloersoorten[],3,FALSE)*VLOOKUP($X666,Frequenties[],3,FALSE)*VLOOKUP(#REF!,Locaties[],3,FALSE),0)</f>
        <v>0</v>
      </c>
      <c r="AA666" s="291">
        <f>Ruimtestaat[[#This Row],[Uitvoeringen weekend]]*Ruimtestaat[[#This Row],[Oppervlak (netto)]]</f>
        <v>0</v>
      </c>
      <c r="AB666" s="291">
        <f>IF(Z666&gt;0,Ruimtestaat[[#This Row],[Prest. (m2 /jaar) weekend]]/Ruimtestaat[[#This Row],[Norm (m2/uur) weekend]],0)</f>
        <v>0</v>
      </c>
      <c r="AC666" s="180">
        <f>Ruimtestaat[[#This Row],[uren / jaar weekend]]*Tariefsopbouw!$D$40</f>
        <v>0</v>
      </c>
      <c r="AD666" s="179">
        <f>Ruimtestaat[[#This Row],[Prest. (m2 /jaar) weekend]]+Ruimtestaat[[#This Row],[Prest. (m2 /jaar) werkdagen]]</f>
        <v>284</v>
      </c>
      <c r="AE666" s="179">
        <f>Ruimtestaat[[#This Row],[uren / jaar weekend]]+Ruimtestaat[[#This Row],[uren / jaar werkdagen]]</f>
        <v>0</v>
      </c>
      <c r="AF666" s="174">
        <f>Ruimtestaat[[#This Row],[kosten / jaar weekend]]+Ruimtestaat[[#This Row],[kosten / jaar werkdagen]]</f>
        <v>0</v>
      </c>
      <c r="AG666" s="174"/>
      <c r="AH666" s="174" t="str">
        <f>IF(Ruimtestaat[[#This Row],[Frequentie werkdagen]]="","",_xlfn.CONCAT(Ruimtestaat[[#This Row],[Ruimte code]],"-",Ruimtestaat[[#This Row],[Frequentie werkdagen]]," ",Ruimtestaat[[#This Row],[Vloer code]]))</f>
        <v>17-1w L</v>
      </c>
      <c r="AI666" s="182" t="str">
        <f>_xlfn.IFNA(VLOOKUP($AH666,Programma!$F$3:$G$1101,2,0),"")</f>
        <v>_</v>
      </c>
      <c r="AJ666" s="182" t="str">
        <f>_xlfn.IFNA(VLOOKUP($AH666,Programma!$F$3:$H$1101,3,0),"")</f>
        <v>_</v>
      </c>
      <c r="AK666" s="182" t="str">
        <f>_xlfn.IFNA(VLOOKUP($AH666,Programma!$F$3:$I$1101,4,0),"")</f>
        <v>_</v>
      </c>
      <c r="AL666" s="182" t="str">
        <f>_xlfn.IFNA(VLOOKUP($AH666,Programma!$F$3:$J$1101,5,0),"")</f>
        <v>1w</v>
      </c>
      <c r="AM666" s="182" t="str">
        <f>_xlfn.IFNA(VLOOKUP($AH666,Programma!$F$3:$K$1101,6,0),"")</f>
        <v>_</v>
      </c>
      <c r="AN666" s="182" t="str">
        <f>_xlfn.IFNA(VLOOKUP($AH666,Programma!$F$3:$L$1101,7,0),"")</f>
        <v>_</v>
      </c>
      <c r="AO666" s="182" t="str">
        <f>_xlfn.IFNA(VLOOKUP($AH666,Programma!$F$3:$M$1101,8,0),"")</f>
        <v>_</v>
      </c>
      <c r="AP666" s="182" t="str">
        <f>_xlfn.IFNA(VLOOKUP($AH666,Programma!$F$3:$N$1101,9,0),"")</f>
        <v>_</v>
      </c>
      <c r="AQ666" s="182" t="str">
        <f>_xlfn.IFNA(VLOOKUP($AH666,Programma!$F$3:$O$1101,10,0),"")</f>
        <v>1w</v>
      </c>
      <c r="AR666" s="182" t="str">
        <f>_xlfn.IFNA(VLOOKUP($AH666,Programma!$F$3:$P$1101,11,0),"")</f>
        <v>1w</v>
      </c>
      <c r="AS666" s="182" t="str">
        <f>_xlfn.IFNA(VLOOKUP($AH666,Programma!$F$3:$Q$1101,12,0),"")</f>
        <v>1w</v>
      </c>
      <c r="AT666" s="182" t="str">
        <f>_xlfn.IFNA(VLOOKUP($AH666,Programma!$F$3:$R$1101,13,0),"")</f>
        <v>1w</v>
      </c>
      <c r="AU666" s="182" t="str">
        <f>_xlfn.IFNA(VLOOKUP($AH666,Programma!$F$3:$S$1101,14,0),"")</f>
        <v>1m</v>
      </c>
      <c r="AV666" s="182" t="str">
        <f>_xlfn.IFNA(VLOOKUP($AH666,Programma!$F$3:$T$1101,15,0),"")</f>
        <v>2j</v>
      </c>
      <c r="AW666" s="182" t="str">
        <f>_xlfn.IFNA(VLOOKUP($AH666,Programma!$F$3:$U$1101,16,0),"")</f>
        <v>1j</v>
      </c>
      <c r="AX666" s="182" t="str">
        <f>_xlfn.IFNA(VLOOKUP($AH666,Programma!$F$3:$V$1101,17,0),"")</f>
        <v>_</v>
      </c>
      <c r="AY666" s="182" t="str">
        <f>_xlfn.IFNA(VLOOKUP($AH666,Programma!$F$3:$W$1101,18,0),"")</f>
        <v>_</v>
      </c>
      <c r="AZ666" s="182" t="str">
        <f>_xlfn.IFNA(VLOOKUP($AH666,Programma!$F$3:$X$1101,19,0),"")</f>
        <v>_</v>
      </c>
      <c r="BA666" s="182" t="str">
        <f>_xlfn.IFNA(VLOOKUP($AH666,Programma!$F$3:$Y$1101,20,0),"")</f>
        <v>_</v>
      </c>
      <c r="BB666" s="182"/>
      <c r="BC666" s="174" t="str">
        <f>IF(Ruimtestaat[[#This Row],[Frequentie weekend]]="","",_xlfn.CONCAT(Ruimtestaat[[#This Row],[Ruimte code]],"-",Ruimtestaat[[#This Row],[Frequentie weekend]]," ",Ruimtestaat[[#This Row],[Vloer code]]))</f>
        <v/>
      </c>
      <c r="BD666" s="182" t="str">
        <f>_xlfn.IFNA(VLOOKUP($BC666,Programma!$F$3:$G$1101,2,0),"")</f>
        <v/>
      </c>
      <c r="BE666" s="182" t="str">
        <f>_xlfn.IFNA(VLOOKUP($BC666,Programma!$F$3:$H$1101,3,0),"")</f>
        <v/>
      </c>
      <c r="BF666" s="182" t="str">
        <f>_xlfn.IFNA(VLOOKUP($BC666,Programma!$F$3:$I$1101,4,0),"")</f>
        <v/>
      </c>
      <c r="BG666" s="182" t="str">
        <f>_xlfn.IFNA(VLOOKUP($BC666,Programma!$F$3:$J$1101,5,0),"")</f>
        <v/>
      </c>
      <c r="BH666" s="182" t="str">
        <f>_xlfn.IFNA(VLOOKUP($BC666,Programma!$F$3:$K$1101,6,0),"")</f>
        <v/>
      </c>
      <c r="BI666" s="182" t="str">
        <f>_xlfn.IFNA(VLOOKUP($BC666,Programma!$F$3:$L$1101,7,0),"")</f>
        <v/>
      </c>
      <c r="BJ666" s="182" t="str">
        <f>_xlfn.IFNA(VLOOKUP($BC666,Programma!$F$3:$M$1101,8,0),"")</f>
        <v/>
      </c>
      <c r="BK666" s="182" t="str">
        <f>_xlfn.IFNA(VLOOKUP($BC666,Programma!$F$3:$N$1101,9,0),"")</f>
        <v/>
      </c>
      <c r="BL666" s="182" t="str">
        <f>_xlfn.IFNA(VLOOKUP($BC666,Programma!$F$3:$O$1101,10,0),"")</f>
        <v/>
      </c>
      <c r="BM666" s="182" t="str">
        <f>_xlfn.IFNA(VLOOKUP($BC666,Programma!$F$3:$P$1101,11,0),"")</f>
        <v/>
      </c>
      <c r="BN666" s="182" t="str">
        <f>_xlfn.IFNA(VLOOKUP($BC666,Programma!$F$3:$Q$1101,12,0),"")</f>
        <v/>
      </c>
      <c r="BO666" s="182" t="str">
        <f>_xlfn.IFNA(VLOOKUP($BC666,Programma!$F$3:$R$1101,13,0),"")</f>
        <v/>
      </c>
      <c r="BP666" s="182" t="str">
        <f>_xlfn.IFNA(VLOOKUP($BC666,Programma!$F$3:$S$1101,14,0),"")</f>
        <v/>
      </c>
      <c r="BQ666" s="182" t="str">
        <f>_xlfn.IFNA(VLOOKUP($BC666,Programma!$F$3:$T$1101,15,0),"")</f>
        <v/>
      </c>
      <c r="BR666" s="182" t="str">
        <f>_xlfn.IFNA(VLOOKUP($BC666,Programma!$F$3:$U$1101,16,0),"")</f>
        <v/>
      </c>
      <c r="BS666" s="182" t="str">
        <f>_xlfn.IFNA(VLOOKUP($BC666,Programma!$F$3:$V$1101,17,0),"")</f>
        <v/>
      </c>
      <c r="BT666" s="182" t="str">
        <f>_xlfn.IFNA(VLOOKUP($BC666,Programma!$F$3:$W$1101,18,0),"")</f>
        <v/>
      </c>
      <c r="BU666" s="182" t="str">
        <f>_xlfn.IFNA(VLOOKUP($BC666,Programma!$F$3:$X$1101,19,0),"")</f>
        <v/>
      </c>
      <c r="BV666" s="182" t="str">
        <f>_xlfn.IFNA(VLOOKUP($BC666,Programma!$F$3:$Y$1101,20,0),"")</f>
        <v/>
      </c>
    </row>
    <row r="667" spans="1:74" ht="15" customHeight="1">
      <c r="A667" s="99">
        <v>18</v>
      </c>
      <c r="B667" s="176" t="str">
        <f>VLOOKUP(Ruimtestaat[[#This Row],[Code]],Locaties[[Code]:[Locatie]],2,FALSE)</f>
        <v>OBS De Linde (Thij)</v>
      </c>
      <c r="C667" s="176" t="str">
        <f>VLOOKUP(Ruimtestaat[[#This Row],[Code]],Locaties[[#All],[Code]:[Adres]],4,FALSE)</f>
        <v>Zandhorstlaan 99</v>
      </c>
      <c r="D667" s="176" t="str">
        <f>VLOOKUP(Ruimtestaat[[#This Row],[Code]],Locaties[[#All],[Code]:[Postcode]],5,FALSE)</f>
        <v>7576 VR</v>
      </c>
      <c r="E667" s="176" t="str">
        <f>VLOOKUP(Ruimtestaat[[#This Row],[Code]],Locaties[#All],6,FALSE)</f>
        <v>Oldenzaal</v>
      </c>
      <c r="F667" s="183"/>
      <c r="G667" s="99" t="s">
        <v>1646</v>
      </c>
      <c r="H667" s="99" t="s">
        <v>1695</v>
      </c>
      <c r="I667" s="183" t="s">
        <v>1690</v>
      </c>
      <c r="J667" s="99">
        <v>18</v>
      </c>
      <c r="K667" s="183" t="str">
        <f>VLOOKUP(Ruimtestaat[[#This Row],[Ruimte code]],Ruimtegroepen[[#All],[Code]:[Ruimte omschrijving]],2,FALSE)</f>
        <v>Gymzaal</v>
      </c>
      <c r="L667" s="99" t="s">
        <v>100</v>
      </c>
      <c r="M667" s="99" t="s">
        <v>1697</v>
      </c>
      <c r="N667" s="177">
        <v>73</v>
      </c>
      <c r="O667" s="177"/>
      <c r="P667" s="178" t="str">
        <f>VLOOKUP(Ruimtestaat[[#This Row],[Ruimte code]],Ruimtegroepen[],4,FALSE)</f>
        <v>Sp</v>
      </c>
      <c r="Q667" s="149">
        <v>40</v>
      </c>
      <c r="R667" s="149" t="s">
        <v>2</v>
      </c>
      <c r="S667" s="285">
        <f>IF(Q667&gt;0,IF(RIGHT(Ruimtestaat[[#This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7" s="286">
        <f>IF(S667&gt;0,VLOOKUP($J667,Ruimtegroepen[],3,FALSE)*VLOOKUP($L667,Vloersoorten[],3,FALSE)*VLOOKUP($R667,Frequenties[],3,FALSE)*VLOOKUP($A667,Locaties[],3,FALSE),0)</f>
        <v>0</v>
      </c>
      <c r="U667" s="287">
        <f>Ruimtestaat[[#This Row],[Uitvoeringen werkdagen]]*Ruimtestaat[[#This Row],[Oppervlak (netto)]]</f>
        <v>14600</v>
      </c>
      <c r="V667" s="288">
        <f>IF(T667&gt;0,Ruimtestaat[[#This Row],[Prest. (m2 /jaar) werkdagen]]/Ruimtestaat[[#This Row],[Norm (m2/uur) werkdagen]],0)</f>
        <v>0</v>
      </c>
      <c r="W667" s="289">
        <f>Ruimtestaat[[#This Row],[uren / jaar werkdagen]]*Tariefsopbouw!$E$35</f>
        <v>0</v>
      </c>
      <c r="X667" s="226"/>
      <c r="Y667" s="290">
        <f>IF(Ruimtestaat[[#This Row],[Frequentie weekend]]&gt;0,VALUE(LEFT(X667,1))*Q667,0)</f>
        <v>0</v>
      </c>
      <c r="Z667" s="287">
        <f>IF($Y667&gt;0,VLOOKUP($J667,Ruimtegroepen[],3,FALSE)*VLOOKUP($L667,Vloersoorten[],3,FALSE)*VLOOKUP($X667,Frequenties[],3,FALSE)*VLOOKUP(#REF!,Locaties[],3,FALSE),0)</f>
        <v>0</v>
      </c>
      <c r="AA667" s="291">
        <f>Ruimtestaat[[#This Row],[Uitvoeringen weekend]]*Ruimtestaat[[#This Row],[Oppervlak (netto)]]</f>
        <v>0</v>
      </c>
      <c r="AB667" s="291">
        <f>IF(Z667&gt;0,Ruimtestaat[[#This Row],[Prest. (m2 /jaar) weekend]]/Ruimtestaat[[#This Row],[Norm (m2/uur) weekend]],0)</f>
        <v>0</v>
      </c>
      <c r="AC667" s="180">
        <f>Ruimtestaat[[#This Row],[uren / jaar weekend]]*Tariefsopbouw!$D$40</f>
        <v>0</v>
      </c>
      <c r="AD667" s="179">
        <f>Ruimtestaat[[#This Row],[Prest. (m2 /jaar) weekend]]+Ruimtestaat[[#This Row],[Prest. (m2 /jaar) werkdagen]]</f>
        <v>14600</v>
      </c>
      <c r="AE667" s="179">
        <f>Ruimtestaat[[#This Row],[uren / jaar weekend]]+Ruimtestaat[[#This Row],[uren / jaar werkdagen]]</f>
        <v>0</v>
      </c>
      <c r="AF667" s="174">
        <f>Ruimtestaat[[#This Row],[kosten / jaar weekend]]+Ruimtestaat[[#This Row],[kosten / jaar werkdagen]]</f>
        <v>0</v>
      </c>
      <c r="AG667" s="174"/>
      <c r="AH667" s="174" t="str">
        <f>IF(Ruimtestaat[[#This Row],[Frequentie werkdagen]]="","",_xlfn.CONCAT(Ruimtestaat[[#This Row],[Ruimte code]],"-",Ruimtestaat[[#This Row],[Frequentie werkdagen]]," ",Ruimtestaat[[#This Row],[Vloer code]]))</f>
        <v>18-5w L</v>
      </c>
      <c r="AI667" s="182" t="str">
        <f>_xlfn.IFNA(VLOOKUP($AH667,Programma!$F$3:$G$1101,2,0),"")</f>
        <v>_</v>
      </c>
      <c r="AJ667" s="182" t="str">
        <f>_xlfn.IFNA(VLOOKUP($AH667,Programma!$F$3:$H$1101,3,0),"")</f>
        <v>_</v>
      </c>
      <c r="AK667" s="182" t="str">
        <f>_xlfn.IFNA(VLOOKUP($AH667,Programma!$F$3:$I$1101,4,0),"")</f>
        <v>4w</v>
      </c>
      <c r="AL667" s="182" t="str">
        <f>_xlfn.IFNA(VLOOKUP($AH667,Programma!$F$3:$J$1101,5,0),"")</f>
        <v>1w</v>
      </c>
      <c r="AM667" s="182" t="str">
        <f>_xlfn.IFNA(VLOOKUP($AH667,Programma!$F$3:$K$1101,6,0),"")</f>
        <v>_</v>
      </c>
      <c r="AN667" s="182" t="str">
        <f>_xlfn.IFNA(VLOOKUP($AH667,Programma!$F$3:$L$1101,7,0),"")</f>
        <v>_</v>
      </c>
      <c r="AO667" s="182" t="str">
        <f>_xlfn.IFNA(VLOOKUP($AH667,Programma!$F$3:$M$1101,8,0),"")</f>
        <v>_</v>
      </c>
      <c r="AP667" s="182" t="str">
        <f>_xlfn.IFNA(VLOOKUP($AH667,Programma!$F$3:$N$1101,9,0),"")</f>
        <v>_</v>
      </c>
      <c r="AQ667" s="182" t="str">
        <f>_xlfn.IFNA(VLOOKUP($AH667,Programma!$F$3:$O$1101,10,0),"")</f>
        <v>5w</v>
      </c>
      <c r="AR667" s="182" t="str">
        <f>_xlfn.IFNA(VLOOKUP($AH667,Programma!$F$3:$P$1101,11,0),"")</f>
        <v>5w</v>
      </c>
      <c r="AS667" s="182" t="str">
        <f>_xlfn.IFNA(VLOOKUP($AH667,Programma!$F$3:$Q$1101,12,0),"")</f>
        <v>5w</v>
      </c>
      <c r="AT667" s="182" t="str">
        <f>_xlfn.IFNA(VLOOKUP($AH667,Programma!$F$3:$R$1101,13,0),"")</f>
        <v>5w</v>
      </c>
      <c r="AU667" s="182" t="str">
        <f>_xlfn.IFNA(VLOOKUP($AH667,Programma!$F$3:$S$1101,14,0),"")</f>
        <v>1m</v>
      </c>
      <c r="AV667" s="182" t="str">
        <f>_xlfn.IFNA(VLOOKUP($AH667,Programma!$F$3:$T$1101,15,0),"")</f>
        <v>2j</v>
      </c>
      <c r="AW667" s="182" t="str">
        <f>_xlfn.IFNA(VLOOKUP($AH667,Programma!$F$3:$U$1101,16,0),"")</f>
        <v>1j</v>
      </c>
      <c r="AX667" s="182" t="str">
        <f>_xlfn.IFNA(VLOOKUP($AH667,Programma!$F$3:$V$1101,17,0),"")</f>
        <v>_</v>
      </c>
      <c r="AY667" s="182" t="str">
        <f>_xlfn.IFNA(VLOOKUP($AH667,Programma!$F$3:$W$1101,18,0),"")</f>
        <v>_</v>
      </c>
      <c r="AZ667" s="182" t="str">
        <f>_xlfn.IFNA(VLOOKUP($AH667,Programma!$F$3:$X$1101,19,0),"")</f>
        <v>_</v>
      </c>
      <c r="BA667" s="182" t="str">
        <f>_xlfn.IFNA(VLOOKUP($AH667,Programma!$F$3:$Y$1101,20,0),"")</f>
        <v>_</v>
      </c>
      <c r="BB667" s="182"/>
      <c r="BC667" s="174" t="str">
        <f>IF(Ruimtestaat[[#This Row],[Frequentie weekend]]="","",_xlfn.CONCAT(Ruimtestaat[[#This Row],[Ruimte code]],"-",Ruimtestaat[[#This Row],[Frequentie weekend]]," ",Ruimtestaat[[#This Row],[Vloer code]]))</f>
        <v/>
      </c>
      <c r="BD667" s="182" t="str">
        <f>_xlfn.IFNA(VLOOKUP($BC667,Programma!$F$3:$G$1101,2,0),"")</f>
        <v/>
      </c>
      <c r="BE667" s="182" t="str">
        <f>_xlfn.IFNA(VLOOKUP($BC667,Programma!$F$3:$H$1101,3,0),"")</f>
        <v/>
      </c>
      <c r="BF667" s="182" t="str">
        <f>_xlfn.IFNA(VLOOKUP($BC667,Programma!$F$3:$I$1101,4,0),"")</f>
        <v/>
      </c>
      <c r="BG667" s="182" t="str">
        <f>_xlfn.IFNA(VLOOKUP($BC667,Programma!$F$3:$J$1101,5,0),"")</f>
        <v/>
      </c>
      <c r="BH667" s="182" t="str">
        <f>_xlfn.IFNA(VLOOKUP($BC667,Programma!$F$3:$K$1101,6,0),"")</f>
        <v/>
      </c>
      <c r="BI667" s="182" t="str">
        <f>_xlfn.IFNA(VLOOKUP($BC667,Programma!$F$3:$L$1101,7,0),"")</f>
        <v/>
      </c>
      <c r="BJ667" s="182" t="str">
        <f>_xlfn.IFNA(VLOOKUP($BC667,Programma!$F$3:$M$1101,8,0),"")</f>
        <v/>
      </c>
      <c r="BK667" s="182" t="str">
        <f>_xlfn.IFNA(VLOOKUP($BC667,Programma!$F$3:$N$1101,9,0),"")</f>
        <v/>
      </c>
      <c r="BL667" s="182" t="str">
        <f>_xlfn.IFNA(VLOOKUP($BC667,Programma!$F$3:$O$1101,10,0),"")</f>
        <v/>
      </c>
      <c r="BM667" s="182" t="str">
        <f>_xlfn.IFNA(VLOOKUP($BC667,Programma!$F$3:$P$1101,11,0),"")</f>
        <v/>
      </c>
      <c r="BN667" s="182" t="str">
        <f>_xlfn.IFNA(VLOOKUP($BC667,Programma!$F$3:$Q$1101,12,0),"")</f>
        <v/>
      </c>
      <c r="BO667" s="182" t="str">
        <f>_xlfn.IFNA(VLOOKUP($BC667,Programma!$F$3:$R$1101,13,0),"")</f>
        <v/>
      </c>
      <c r="BP667" s="182" t="str">
        <f>_xlfn.IFNA(VLOOKUP($BC667,Programma!$F$3:$S$1101,14,0),"")</f>
        <v/>
      </c>
      <c r="BQ667" s="182" t="str">
        <f>_xlfn.IFNA(VLOOKUP($BC667,Programma!$F$3:$T$1101,15,0),"")</f>
        <v/>
      </c>
      <c r="BR667" s="182" t="str">
        <f>_xlfn.IFNA(VLOOKUP($BC667,Programma!$F$3:$U$1101,16,0),"")</f>
        <v/>
      </c>
      <c r="BS667" s="182" t="str">
        <f>_xlfn.IFNA(VLOOKUP($BC667,Programma!$F$3:$V$1101,17,0),"")</f>
        <v/>
      </c>
      <c r="BT667" s="182" t="str">
        <f>_xlfn.IFNA(VLOOKUP($BC667,Programma!$F$3:$W$1101,18,0),"")</f>
        <v/>
      </c>
      <c r="BU667" s="182" t="str">
        <f>_xlfn.IFNA(VLOOKUP($BC667,Programma!$F$3:$X$1101,19,0),"")</f>
        <v/>
      </c>
      <c r="BV667" s="182" t="str">
        <f>_xlfn.IFNA(VLOOKUP($BC667,Programma!$F$3:$Y$1101,20,0),"")</f>
        <v/>
      </c>
    </row>
    <row r="668" spans="1:74" ht="15" customHeight="1">
      <c r="A668" s="99">
        <v>18</v>
      </c>
      <c r="B668" s="176" t="str">
        <f>VLOOKUP(Ruimtestaat[[#This Row],[Code]],Locaties[[Code]:[Locatie]],2,FALSE)</f>
        <v>OBS De Linde (Thij)</v>
      </c>
      <c r="C668" s="176" t="str">
        <f>VLOOKUP(Ruimtestaat[[#This Row],[Code]],Locaties[[#All],[Code]:[Adres]],4,FALSE)</f>
        <v>Zandhorstlaan 99</v>
      </c>
      <c r="D668" s="176" t="str">
        <f>VLOOKUP(Ruimtestaat[[#This Row],[Code]],Locaties[[#All],[Code]:[Postcode]],5,FALSE)</f>
        <v>7576 VR</v>
      </c>
      <c r="E668" s="176" t="str">
        <f>VLOOKUP(Ruimtestaat[[#This Row],[Code]],Locaties[#All],6,FALSE)</f>
        <v>Oldenzaal</v>
      </c>
      <c r="F668" s="183"/>
      <c r="G668" s="99" t="s">
        <v>1646</v>
      </c>
      <c r="H668" s="99" t="s">
        <v>1696</v>
      </c>
      <c r="I668" s="183" t="s">
        <v>1658</v>
      </c>
      <c r="J668" s="99">
        <v>6</v>
      </c>
      <c r="K668" s="183" t="str">
        <f>VLOOKUP(Ruimtestaat[[#This Row],[Ruimte code]],Ruimtegroepen[[#All],[Code]:[Ruimte omschrijving]],2,FALSE)</f>
        <v>Gangen/hallen</v>
      </c>
      <c r="L668" s="99" t="s">
        <v>101</v>
      </c>
      <c r="M668" s="99" t="s">
        <v>119</v>
      </c>
      <c r="N668" s="177">
        <v>51.5</v>
      </c>
      <c r="O668" s="177"/>
      <c r="P668" s="178" t="str">
        <f>VLOOKUP(Ruimtestaat[[#This Row],[Ruimte code]],Ruimtegroepen[],4,FALSE)</f>
        <v>Ve</v>
      </c>
      <c r="Q668" s="149">
        <v>40</v>
      </c>
      <c r="R668" s="149" t="s">
        <v>2</v>
      </c>
      <c r="S668" s="285">
        <f>IF(Q668&gt;0,IF(RIGHT(Ruimtestaat[[#This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8" s="286">
        <f>IF(S668&gt;0,VLOOKUP($J668,Ruimtegroepen[],3,FALSE)*VLOOKUP($L668,Vloersoorten[],3,FALSE)*VLOOKUP($R668,Frequenties[],3,FALSE)*VLOOKUP($A668,Locaties[],3,FALSE),0)</f>
        <v>0</v>
      </c>
      <c r="U668" s="287">
        <f>Ruimtestaat[[#This Row],[Uitvoeringen werkdagen]]*Ruimtestaat[[#This Row],[Oppervlak (netto)]]</f>
        <v>10300</v>
      </c>
      <c r="V668" s="288">
        <f>IF(T668&gt;0,Ruimtestaat[[#This Row],[Prest. (m2 /jaar) werkdagen]]/Ruimtestaat[[#This Row],[Norm (m2/uur) werkdagen]],0)</f>
        <v>0</v>
      </c>
      <c r="W668" s="289">
        <f>Ruimtestaat[[#This Row],[uren / jaar werkdagen]]*Tariefsopbouw!$E$35</f>
        <v>0</v>
      </c>
      <c r="X668" s="226"/>
      <c r="Y668" s="290">
        <f>IF(Ruimtestaat[[#This Row],[Frequentie weekend]]&gt;0,VALUE(LEFT(X668,1))*Q668,0)</f>
        <v>0</v>
      </c>
      <c r="Z668" s="287">
        <f>IF($Y668&gt;0,VLOOKUP($J668,Ruimtegroepen[],3,FALSE)*VLOOKUP($L668,Vloersoorten[],3,FALSE)*VLOOKUP($X668,Frequenties[],3,FALSE)*VLOOKUP(#REF!,Locaties[],3,FALSE),0)</f>
        <v>0</v>
      </c>
      <c r="AA668" s="291">
        <f>Ruimtestaat[[#This Row],[Uitvoeringen weekend]]*Ruimtestaat[[#This Row],[Oppervlak (netto)]]</f>
        <v>0</v>
      </c>
      <c r="AB668" s="291">
        <f>IF(Z668&gt;0,Ruimtestaat[[#This Row],[Prest. (m2 /jaar) weekend]]/Ruimtestaat[[#This Row],[Norm (m2/uur) weekend]],0)</f>
        <v>0</v>
      </c>
      <c r="AC668" s="180">
        <f>Ruimtestaat[[#This Row],[uren / jaar weekend]]*Tariefsopbouw!$D$40</f>
        <v>0</v>
      </c>
      <c r="AD668" s="179">
        <f>Ruimtestaat[[#This Row],[Prest. (m2 /jaar) weekend]]+Ruimtestaat[[#This Row],[Prest. (m2 /jaar) werkdagen]]</f>
        <v>10300</v>
      </c>
      <c r="AE668" s="179">
        <f>Ruimtestaat[[#This Row],[uren / jaar weekend]]+Ruimtestaat[[#This Row],[uren / jaar werkdagen]]</f>
        <v>0</v>
      </c>
      <c r="AF668" s="174">
        <f>Ruimtestaat[[#This Row],[kosten / jaar weekend]]+Ruimtestaat[[#This Row],[kosten / jaar werkdagen]]</f>
        <v>0</v>
      </c>
      <c r="AG668" s="174"/>
      <c r="AH668" s="174" t="str">
        <f>IF(Ruimtestaat[[#This Row],[Frequentie werkdagen]]="","",_xlfn.CONCAT(Ruimtestaat[[#This Row],[Ruimte code]],"-",Ruimtestaat[[#This Row],[Frequentie werkdagen]]," ",Ruimtestaat[[#This Row],[Vloer code]]))</f>
        <v>6-5w S</v>
      </c>
      <c r="AI668" s="182" t="str">
        <f>_xlfn.IFNA(VLOOKUP($AH668,Programma!$F$3:$G$1101,2,0),"")</f>
        <v>_</v>
      </c>
      <c r="AJ668" s="182" t="str">
        <f>_xlfn.IFNA(VLOOKUP($AH668,Programma!$F$3:$H$1101,3,0),"")</f>
        <v>_</v>
      </c>
      <c r="AK668" s="182" t="str">
        <f>_xlfn.IFNA(VLOOKUP($AH668,Programma!$F$3:$I$1101,4,0),"")</f>
        <v>5w</v>
      </c>
      <c r="AL668" s="182" t="str">
        <f>_xlfn.IFNA(VLOOKUP($AH668,Programma!$F$3:$J$1101,5,0),"")</f>
        <v>_</v>
      </c>
      <c r="AM668" s="182" t="str">
        <f>_xlfn.IFNA(VLOOKUP($AH668,Programma!$F$3:$K$1101,6,0),"")</f>
        <v>5w</v>
      </c>
      <c r="AN668" s="182" t="str">
        <f>_xlfn.IFNA(VLOOKUP($AH668,Programma!$F$3:$L$1101,7,0),"")</f>
        <v>_</v>
      </c>
      <c r="AO668" s="182" t="str">
        <f>_xlfn.IFNA(VLOOKUP($AH668,Programma!$F$3:$M$1101,8,0),"")</f>
        <v>_</v>
      </c>
      <c r="AP668" s="182" t="str">
        <f>_xlfn.IFNA(VLOOKUP($AH668,Programma!$F$3:$N$1101,9,0),"")</f>
        <v>_</v>
      </c>
      <c r="AQ668" s="182" t="str">
        <f>_xlfn.IFNA(VLOOKUP($AH668,Programma!$F$3:$O$1101,10,0),"")</f>
        <v>5w</v>
      </c>
      <c r="AR668" s="182" t="str">
        <f>_xlfn.IFNA(VLOOKUP($AH668,Programma!$F$3:$P$1101,11,0),"")</f>
        <v>5w</v>
      </c>
      <c r="AS668" s="182" t="str">
        <f>_xlfn.IFNA(VLOOKUP($AH668,Programma!$F$3:$Q$1101,12,0),"")</f>
        <v>1w</v>
      </c>
      <c r="AT668" s="182" t="str">
        <f>_xlfn.IFNA(VLOOKUP($AH668,Programma!$F$3:$R$1101,13,0),"")</f>
        <v>1w</v>
      </c>
      <c r="AU668" s="182" t="str">
        <f>_xlfn.IFNA(VLOOKUP($AH668,Programma!$F$3:$S$1101,14,0),"")</f>
        <v>1m</v>
      </c>
      <c r="AV668" s="182" t="str">
        <f>_xlfn.IFNA(VLOOKUP($AH668,Programma!$F$3:$T$1101,15,0),"")</f>
        <v>2j</v>
      </c>
      <c r="AW668" s="182" t="str">
        <f>_xlfn.IFNA(VLOOKUP($AH668,Programma!$F$3:$U$1101,16,0),"")</f>
        <v>1j</v>
      </c>
      <c r="AX668" s="182" t="str">
        <f>_xlfn.IFNA(VLOOKUP($AH668,Programma!$F$3:$V$1101,17,0),"")</f>
        <v>_</v>
      </c>
      <c r="AY668" s="182" t="str">
        <f>_xlfn.IFNA(VLOOKUP($AH668,Programma!$F$3:$W$1101,18,0),"")</f>
        <v>_</v>
      </c>
      <c r="AZ668" s="182" t="str">
        <f>_xlfn.IFNA(VLOOKUP($AH668,Programma!$F$3:$X$1101,19,0),"")</f>
        <v>_</v>
      </c>
      <c r="BA668" s="182" t="str">
        <f>_xlfn.IFNA(VLOOKUP($AH668,Programma!$F$3:$Y$1101,20,0),"")</f>
        <v>_</v>
      </c>
      <c r="BB668" s="182"/>
      <c r="BC668" s="174" t="str">
        <f>IF(Ruimtestaat[[#This Row],[Frequentie weekend]]="","",_xlfn.CONCAT(Ruimtestaat[[#This Row],[Ruimte code]],"-",Ruimtestaat[[#This Row],[Frequentie weekend]]," ",Ruimtestaat[[#This Row],[Vloer code]]))</f>
        <v/>
      </c>
      <c r="BD668" s="182" t="str">
        <f>_xlfn.IFNA(VLOOKUP($BC668,Programma!$F$3:$G$1101,2,0),"")</f>
        <v/>
      </c>
      <c r="BE668" s="182" t="str">
        <f>_xlfn.IFNA(VLOOKUP($BC668,Programma!$F$3:$H$1101,3,0),"")</f>
        <v/>
      </c>
      <c r="BF668" s="182" t="str">
        <f>_xlfn.IFNA(VLOOKUP($BC668,Programma!$F$3:$I$1101,4,0),"")</f>
        <v/>
      </c>
      <c r="BG668" s="182" t="str">
        <f>_xlfn.IFNA(VLOOKUP($BC668,Programma!$F$3:$J$1101,5,0),"")</f>
        <v/>
      </c>
      <c r="BH668" s="182" t="str">
        <f>_xlfn.IFNA(VLOOKUP($BC668,Programma!$F$3:$K$1101,6,0),"")</f>
        <v/>
      </c>
      <c r="BI668" s="182" t="str">
        <f>_xlfn.IFNA(VLOOKUP($BC668,Programma!$F$3:$L$1101,7,0),"")</f>
        <v/>
      </c>
      <c r="BJ668" s="182" t="str">
        <f>_xlfn.IFNA(VLOOKUP($BC668,Programma!$F$3:$M$1101,8,0),"")</f>
        <v/>
      </c>
      <c r="BK668" s="182" t="str">
        <f>_xlfn.IFNA(VLOOKUP($BC668,Programma!$F$3:$N$1101,9,0),"")</f>
        <v/>
      </c>
      <c r="BL668" s="182" t="str">
        <f>_xlfn.IFNA(VLOOKUP($BC668,Programma!$F$3:$O$1101,10,0),"")</f>
        <v/>
      </c>
      <c r="BM668" s="182" t="str">
        <f>_xlfn.IFNA(VLOOKUP($BC668,Programma!$F$3:$P$1101,11,0),"")</f>
        <v/>
      </c>
      <c r="BN668" s="182" t="str">
        <f>_xlfn.IFNA(VLOOKUP($BC668,Programma!$F$3:$Q$1101,12,0),"")</f>
        <v/>
      </c>
      <c r="BO668" s="182" t="str">
        <f>_xlfn.IFNA(VLOOKUP($BC668,Programma!$F$3:$R$1101,13,0),"")</f>
        <v/>
      </c>
      <c r="BP668" s="182" t="str">
        <f>_xlfn.IFNA(VLOOKUP($BC668,Programma!$F$3:$S$1101,14,0),"")</f>
        <v/>
      </c>
      <c r="BQ668" s="182" t="str">
        <f>_xlfn.IFNA(VLOOKUP($BC668,Programma!$F$3:$T$1101,15,0),"")</f>
        <v/>
      </c>
      <c r="BR668" s="182" t="str">
        <f>_xlfn.IFNA(VLOOKUP($BC668,Programma!$F$3:$U$1101,16,0),"")</f>
        <v/>
      </c>
      <c r="BS668" s="182" t="str">
        <f>_xlfn.IFNA(VLOOKUP($BC668,Programma!$F$3:$V$1101,17,0),"")</f>
        <v/>
      </c>
      <c r="BT668" s="182" t="str">
        <f>_xlfn.IFNA(VLOOKUP($BC668,Programma!$F$3:$W$1101,18,0),"")</f>
        <v/>
      </c>
      <c r="BU668" s="182" t="str">
        <f>_xlfn.IFNA(VLOOKUP($BC668,Programma!$F$3:$X$1101,19,0),"")</f>
        <v/>
      </c>
      <c r="BV668" s="182" t="str">
        <f>_xlfn.IFNA(VLOOKUP($BC668,Programma!$F$3:$Y$1101,20,0),"")</f>
        <v/>
      </c>
    </row>
    <row r="669" spans="1:74" ht="15" customHeight="1">
      <c r="A669" s="99">
        <v>18</v>
      </c>
      <c r="B669" s="176" t="str">
        <f>VLOOKUP(Ruimtestaat[[#This Row],[Code]],Locaties[[Code]:[Locatie]],2,FALSE)</f>
        <v>OBS De Linde (Thij)</v>
      </c>
      <c r="C669" s="176" t="str">
        <f>VLOOKUP(Ruimtestaat[[#This Row],[Code]],Locaties[[#All],[Code]:[Adres]],4,FALSE)</f>
        <v>Zandhorstlaan 99</v>
      </c>
      <c r="D669" s="176" t="str">
        <f>VLOOKUP(Ruimtestaat[[#This Row],[Code]],Locaties[[#All],[Code]:[Postcode]],5,FALSE)</f>
        <v>7576 VR</v>
      </c>
      <c r="E669" s="176" t="str">
        <f>VLOOKUP(Ruimtestaat[[#This Row],[Code]],Locaties[#All],6,FALSE)</f>
        <v>Oldenzaal</v>
      </c>
      <c r="F669" s="183"/>
      <c r="G669" s="99" t="s">
        <v>1646</v>
      </c>
      <c r="H669" s="99" t="s">
        <v>1703</v>
      </c>
      <c r="I669" s="183" t="s">
        <v>1688</v>
      </c>
      <c r="J669" s="99">
        <v>16</v>
      </c>
      <c r="K669" s="183" t="str">
        <f>VLOOKUP(Ruimtestaat[[#This Row],[Ruimte code]],Ruimtegroepen[[#All],[Code]:[Ruimte omschrijving]],2,FALSE)</f>
        <v>Leslokalen</v>
      </c>
      <c r="L669" s="99" t="s">
        <v>100</v>
      </c>
      <c r="M669" s="99" t="s">
        <v>1697</v>
      </c>
      <c r="N669" s="177">
        <v>70.900000000000006</v>
      </c>
      <c r="O669" s="177"/>
      <c r="P669" s="178" t="str">
        <f>VLOOKUP(Ruimtestaat[[#This Row],[Ruimte code]],Ruimtegroepen[],4,FALSE)</f>
        <v>Le</v>
      </c>
      <c r="Q669" s="149">
        <v>40</v>
      </c>
      <c r="R669" s="149" t="s">
        <v>2</v>
      </c>
      <c r="S669" s="285">
        <f>IF(Q669&gt;0,IF(RIGHT(Ruimtestaat[[#This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69" s="286">
        <f>IF(S669&gt;0,VLOOKUP($J669,Ruimtegroepen[],3,FALSE)*VLOOKUP($L669,Vloersoorten[],3,FALSE)*VLOOKUP($R669,Frequenties[],3,FALSE)*VLOOKUP($A669,Locaties[],3,FALSE),0)</f>
        <v>0</v>
      </c>
      <c r="U669" s="287">
        <f>Ruimtestaat[[#This Row],[Uitvoeringen werkdagen]]*Ruimtestaat[[#This Row],[Oppervlak (netto)]]</f>
        <v>14180.000000000002</v>
      </c>
      <c r="V669" s="288">
        <f>IF(T669&gt;0,Ruimtestaat[[#This Row],[Prest. (m2 /jaar) werkdagen]]/Ruimtestaat[[#This Row],[Norm (m2/uur) werkdagen]],0)</f>
        <v>0</v>
      </c>
      <c r="W669" s="289">
        <f>Ruimtestaat[[#This Row],[uren / jaar werkdagen]]*Tariefsopbouw!$E$35</f>
        <v>0</v>
      </c>
      <c r="X669" s="226"/>
      <c r="Y669" s="290">
        <f>IF(Ruimtestaat[[#This Row],[Frequentie weekend]]&gt;0,VALUE(LEFT(X669,1))*Q669,0)</f>
        <v>0</v>
      </c>
      <c r="Z669" s="287">
        <f>IF($Y669&gt;0,VLOOKUP($J669,Ruimtegroepen[],3,FALSE)*VLOOKUP($L669,Vloersoorten[],3,FALSE)*VLOOKUP($X669,Frequenties[],3,FALSE)*VLOOKUP(#REF!,Locaties[],3,FALSE),0)</f>
        <v>0</v>
      </c>
      <c r="AA669" s="291">
        <f>Ruimtestaat[[#This Row],[Uitvoeringen weekend]]*Ruimtestaat[[#This Row],[Oppervlak (netto)]]</f>
        <v>0</v>
      </c>
      <c r="AB669" s="291">
        <f>IF(Z669&gt;0,Ruimtestaat[[#This Row],[Prest. (m2 /jaar) weekend]]/Ruimtestaat[[#This Row],[Norm (m2/uur) weekend]],0)</f>
        <v>0</v>
      </c>
      <c r="AC669" s="180">
        <f>Ruimtestaat[[#This Row],[uren / jaar weekend]]*Tariefsopbouw!$D$40</f>
        <v>0</v>
      </c>
      <c r="AD669" s="179">
        <f>Ruimtestaat[[#This Row],[Prest. (m2 /jaar) weekend]]+Ruimtestaat[[#This Row],[Prest. (m2 /jaar) werkdagen]]</f>
        <v>14180.000000000002</v>
      </c>
      <c r="AE669" s="179">
        <f>Ruimtestaat[[#This Row],[uren / jaar weekend]]+Ruimtestaat[[#This Row],[uren / jaar werkdagen]]</f>
        <v>0</v>
      </c>
      <c r="AF669" s="174">
        <f>Ruimtestaat[[#This Row],[kosten / jaar weekend]]+Ruimtestaat[[#This Row],[kosten / jaar werkdagen]]</f>
        <v>0</v>
      </c>
      <c r="AG669" s="174"/>
      <c r="AH669" s="174" t="str">
        <f>IF(Ruimtestaat[[#This Row],[Frequentie werkdagen]]="","",_xlfn.CONCAT(Ruimtestaat[[#This Row],[Ruimte code]],"-",Ruimtestaat[[#This Row],[Frequentie werkdagen]]," ",Ruimtestaat[[#This Row],[Vloer code]]))</f>
        <v>16-5w L</v>
      </c>
      <c r="AI669" s="182" t="str">
        <f>_xlfn.IFNA(VLOOKUP($AH669,Programma!$F$3:$G$1101,2,0),"")</f>
        <v>_</v>
      </c>
      <c r="AJ669" s="182" t="str">
        <f>_xlfn.IFNA(VLOOKUP($AH669,Programma!$F$3:$H$1101,3,0),"")</f>
        <v>_</v>
      </c>
      <c r="AK669" s="182" t="str">
        <f>_xlfn.IFNA(VLOOKUP($AH669,Programma!$F$3:$I$1101,4,0),"")</f>
        <v>4w</v>
      </c>
      <c r="AL669" s="182" t="str">
        <f>_xlfn.IFNA(VLOOKUP($AH669,Programma!$F$3:$J$1101,5,0),"")</f>
        <v>1w</v>
      </c>
      <c r="AM669" s="182" t="str">
        <f>_xlfn.IFNA(VLOOKUP($AH669,Programma!$F$3:$K$1101,6,0),"")</f>
        <v>_</v>
      </c>
      <c r="AN669" s="182" t="str">
        <f>_xlfn.IFNA(VLOOKUP($AH669,Programma!$F$3:$L$1101,7,0),"")</f>
        <v>_</v>
      </c>
      <c r="AO669" s="182" t="str">
        <f>_xlfn.IFNA(VLOOKUP($AH669,Programma!$F$3:$M$1101,8,0),"")</f>
        <v>_</v>
      </c>
      <c r="AP669" s="182" t="str">
        <f>_xlfn.IFNA(VLOOKUP($AH669,Programma!$F$3:$N$1101,9,0),"")</f>
        <v>_</v>
      </c>
      <c r="AQ669" s="182" t="str">
        <f>_xlfn.IFNA(VLOOKUP($AH669,Programma!$F$3:$O$1101,10,0),"")</f>
        <v>5w</v>
      </c>
      <c r="AR669" s="182" t="str">
        <f>_xlfn.IFNA(VLOOKUP($AH669,Programma!$F$3:$P$1101,11,0),"")</f>
        <v>5w</v>
      </c>
      <c r="AS669" s="182" t="str">
        <f>_xlfn.IFNA(VLOOKUP($AH669,Programma!$F$3:$Q$1101,12,0),"")</f>
        <v>1w</v>
      </c>
      <c r="AT669" s="182" t="str">
        <f>_xlfn.IFNA(VLOOKUP($AH669,Programma!$F$3:$R$1101,13,0),"")</f>
        <v>1w</v>
      </c>
      <c r="AU669" s="182" t="str">
        <f>_xlfn.IFNA(VLOOKUP($AH669,Programma!$F$3:$S$1101,14,0),"")</f>
        <v>1m</v>
      </c>
      <c r="AV669" s="182" t="str">
        <f>_xlfn.IFNA(VLOOKUP($AH669,Programma!$F$3:$T$1101,15,0),"")</f>
        <v>2j</v>
      </c>
      <c r="AW669" s="182" t="str">
        <f>_xlfn.IFNA(VLOOKUP($AH669,Programma!$F$3:$U$1101,16,0),"")</f>
        <v>1j</v>
      </c>
      <c r="AX669" s="182" t="str">
        <f>_xlfn.IFNA(VLOOKUP($AH669,Programma!$F$3:$V$1101,17,0),"")</f>
        <v>_</v>
      </c>
      <c r="AY669" s="182" t="str">
        <f>_xlfn.IFNA(VLOOKUP($AH669,Programma!$F$3:$W$1101,18,0),"")</f>
        <v>_</v>
      </c>
      <c r="AZ669" s="182" t="str">
        <f>_xlfn.IFNA(VLOOKUP($AH669,Programma!$F$3:$X$1101,19,0),"")</f>
        <v>_</v>
      </c>
      <c r="BA669" s="182" t="str">
        <f>_xlfn.IFNA(VLOOKUP($AH669,Programma!$F$3:$Y$1101,20,0),"")</f>
        <v>_</v>
      </c>
      <c r="BB669" s="182"/>
      <c r="BC669" s="174" t="str">
        <f>IF(Ruimtestaat[[#This Row],[Frequentie weekend]]="","",_xlfn.CONCAT(Ruimtestaat[[#This Row],[Ruimte code]],"-",Ruimtestaat[[#This Row],[Frequentie weekend]]," ",Ruimtestaat[[#This Row],[Vloer code]]))</f>
        <v/>
      </c>
      <c r="BD669" s="182" t="str">
        <f>_xlfn.IFNA(VLOOKUP($BC669,Programma!$F$3:$G$1101,2,0),"")</f>
        <v/>
      </c>
      <c r="BE669" s="182" t="str">
        <f>_xlfn.IFNA(VLOOKUP($BC669,Programma!$F$3:$H$1101,3,0),"")</f>
        <v/>
      </c>
      <c r="BF669" s="182" t="str">
        <f>_xlfn.IFNA(VLOOKUP($BC669,Programma!$F$3:$I$1101,4,0),"")</f>
        <v/>
      </c>
      <c r="BG669" s="182" t="str">
        <f>_xlfn.IFNA(VLOOKUP($BC669,Programma!$F$3:$J$1101,5,0),"")</f>
        <v/>
      </c>
      <c r="BH669" s="182" t="str">
        <f>_xlfn.IFNA(VLOOKUP($BC669,Programma!$F$3:$K$1101,6,0),"")</f>
        <v/>
      </c>
      <c r="BI669" s="182" t="str">
        <f>_xlfn.IFNA(VLOOKUP($BC669,Programma!$F$3:$L$1101,7,0),"")</f>
        <v/>
      </c>
      <c r="BJ669" s="182" t="str">
        <f>_xlfn.IFNA(VLOOKUP($BC669,Programma!$F$3:$M$1101,8,0),"")</f>
        <v/>
      </c>
      <c r="BK669" s="182" t="str">
        <f>_xlfn.IFNA(VLOOKUP($BC669,Programma!$F$3:$N$1101,9,0),"")</f>
        <v/>
      </c>
      <c r="BL669" s="182" t="str">
        <f>_xlfn.IFNA(VLOOKUP($BC669,Programma!$F$3:$O$1101,10,0),"")</f>
        <v/>
      </c>
      <c r="BM669" s="182" t="str">
        <f>_xlfn.IFNA(VLOOKUP($BC669,Programma!$F$3:$P$1101,11,0),"")</f>
        <v/>
      </c>
      <c r="BN669" s="182" t="str">
        <f>_xlfn.IFNA(VLOOKUP($BC669,Programma!$F$3:$Q$1101,12,0),"")</f>
        <v/>
      </c>
      <c r="BO669" s="182" t="str">
        <f>_xlfn.IFNA(VLOOKUP($BC669,Programma!$F$3:$R$1101,13,0),"")</f>
        <v/>
      </c>
      <c r="BP669" s="182" t="str">
        <f>_xlfn.IFNA(VLOOKUP($BC669,Programma!$F$3:$S$1101,14,0),"")</f>
        <v/>
      </c>
      <c r="BQ669" s="182" t="str">
        <f>_xlfn.IFNA(VLOOKUP($BC669,Programma!$F$3:$T$1101,15,0),"")</f>
        <v/>
      </c>
      <c r="BR669" s="182" t="str">
        <f>_xlfn.IFNA(VLOOKUP($BC669,Programma!$F$3:$U$1101,16,0),"")</f>
        <v/>
      </c>
      <c r="BS669" s="182" t="str">
        <f>_xlfn.IFNA(VLOOKUP($BC669,Programma!$F$3:$V$1101,17,0),"")</f>
        <v/>
      </c>
      <c r="BT669" s="182" t="str">
        <f>_xlfn.IFNA(VLOOKUP($BC669,Programma!$F$3:$W$1101,18,0),"")</f>
        <v/>
      </c>
      <c r="BU669" s="182" t="str">
        <f>_xlfn.IFNA(VLOOKUP($BC669,Programma!$F$3:$X$1101,19,0),"")</f>
        <v/>
      </c>
      <c r="BV669" s="182" t="str">
        <f>_xlfn.IFNA(VLOOKUP($BC669,Programma!$F$3:$Y$1101,20,0),"")</f>
        <v/>
      </c>
    </row>
    <row r="670" spans="1:74" ht="15" customHeight="1">
      <c r="A670" s="99">
        <v>18</v>
      </c>
      <c r="B670" s="176" t="str">
        <f>VLOOKUP(Ruimtestaat[[#This Row],[Code]],Locaties[[Code]:[Locatie]],2,FALSE)</f>
        <v>OBS De Linde (Thij)</v>
      </c>
      <c r="C670" s="176" t="str">
        <f>VLOOKUP(Ruimtestaat[[#This Row],[Code]],Locaties[[#All],[Code]:[Adres]],4,FALSE)</f>
        <v>Zandhorstlaan 99</v>
      </c>
      <c r="D670" s="176" t="str">
        <f>VLOOKUP(Ruimtestaat[[#This Row],[Code]],Locaties[[#All],[Code]:[Postcode]],5,FALSE)</f>
        <v>7576 VR</v>
      </c>
      <c r="E670" s="176" t="str">
        <f>VLOOKUP(Ruimtestaat[[#This Row],[Code]],Locaties[#All],6,FALSE)</f>
        <v>Oldenzaal</v>
      </c>
      <c r="F670" s="183"/>
      <c r="G670" s="99" t="s">
        <v>1646</v>
      </c>
      <c r="H670" s="99" t="s">
        <v>1704</v>
      </c>
      <c r="I670" s="183" t="s">
        <v>1685</v>
      </c>
      <c r="J670" s="99">
        <v>20</v>
      </c>
      <c r="K670" s="183" t="str">
        <f>VLOOKUP(Ruimtestaat[[#This Row],[Ruimte code]],Ruimtegroepen[[#All],[Code]:[Ruimte omschrijving]],2,FALSE)</f>
        <v>Niet in Onderhoud</v>
      </c>
      <c r="L670" s="99" t="s">
        <v>101</v>
      </c>
      <c r="M670" s="99" t="s">
        <v>1682</v>
      </c>
      <c r="N670" s="177"/>
      <c r="O670" s="177">
        <v>1</v>
      </c>
      <c r="P670" s="178">
        <f>VLOOKUP(Ruimtestaat[[#This Row],[Ruimte code]],Ruimtegroepen[],4,FALSE)</f>
        <v>0</v>
      </c>
      <c r="Q670" s="149"/>
      <c r="R670" s="149"/>
      <c r="S670" s="285">
        <f>IF(Q670&gt;0,IF(RIGHT(Ruimtestaat[[#This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70" s="286">
        <f>IF(S670&gt;0,VLOOKUP($J670,Ruimtegroepen[],3,FALSE)*VLOOKUP($L670,Vloersoorten[],3,FALSE)*VLOOKUP($R670,Frequenties[],3,FALSE)*VLOOKUP($A670,Locaties[],3,FALSE),0)</f>
        <v>0</v>
      </c>
      <c r="U670" s="287">
        <f>Ruimtestaat[[#This Row],[Uitvoeringen werkdagen]]*Ruimtestaat[[#This Row],[Oppervlak (netto)]]</f>
        <v>0</v>
      </c>
      <c r="V670" s="288">
        <f>IF(T670&gt;0,Ruimtestaat[[#This Row],[Prest. (m2 /jaar) werkdagen]]/Ruimtestaat[[#This Row],[Norm (m2/uur) werkdagen]],0)</f>
        <v>0</v>
      </c>
      <c r="W670" s="289">
        <f>Ruimtestaat[[#This Row],[uren / jaar werkdagen]]*Tariefsopbouw!$E$35</f>
        <v>0</v>
      </c>
      <c r="X670" s="226"/>
      <c r="Y670" s="290">
        <f>IF(Ruimtestaat[[#This Row],[Frequentie weekend]]&gt;0,VALUE(LEFT(X670,1))*Q670,0)</f>
        <v>0</v>
      </c>
      <c r="Z670" s="287">
        <f>IF($Y670&gt;0,VLOOKUP($J670,Ruimtegroepen[],3,FALSE)*VLOOKUP($L670,Vloersoorten[],3,FALSE)*VLOOKUP($X670,Frequenties[],3,FALSE)*VLOOKUP(#REF!,Locaties[],3,FALSE),0)</f>
        <v>0</v>
      </c>
      <c r="AA670" s="291">
        <f>Ruimtestaat[[#This Row],[Uitvoeringen weekend]]*Ruimtestaat[[#This Row],[Oppervlak (netto)]]</f>
        <v>0</v>
      </c>
      <c r="AB670" s="291">
        <f>IF(Z670&gt;0,Ruimtestaat[[#This Row],[Prest. (m2 /jaar) weekend]]/Ruimtestaat[[#This Row],[Norm (m2/uur) weekend]],0)</f>
        <v>0</v>
      </c>
      <c r="AC670" s="180">
        <f>Ruimtestaat[[#This Row],[uren / jaar weekend]]*Tariefsopbouw!$D$40</f>
        <v>0</v>
      </c>
      <c r="AD670" s="179">
        <f>Ruimtestaat[[#This Row],[Prest. (m2 /jaar) weekend]]+Ruimtestaat[[#This Row],[Prest. (m2 /jaar) werkdagen]]</f>
        <v>0</v>
      </c>
      <c r="AE670" s="179">
        <f>Ruimtestaat[[#This Row],[uren / jaar weekend]]+Ruimtestaat[[#This Row],[uren / jaar werkdagen]]</f>
        <v>0</v>
      </c>
      <c r="AF670" s="174">
        <f>Ruimtestaat[[#This Row],[kosten / jaar weekend]]+Ruimtestaat[[#This Row],[kosten / jaar werkdagen]]</f>
        <v>0</v>
      </c>
      <c r="AG670" s="174"/>
      <c r="AH670" s="174" t="str">
        <f>IF(Ruimtestaat[[#This Row],[Frequentie werkdagen]]="","",_xlfn.CONCAT(Ruimtestaat[[#This Row],[Ruimte code]],"-",Ruimtestaat[[#This Row],[Frequentie werkdagen]]," ",Ruimtestaat[[#This Row],[Vloer code]]))</f>
        <v/>
      </c>
      <c r="AI670" s="182" t="str">
        <f>_xlfn.IFNA(VLOOKUP($AH670,Programma!$F$3:$G$1101,2,0),"")</f>
        <v/>
      </c>
      <c r="AJ670" s="182" t="str">
        <f>_xlfn.IFNA(VLOOKUP($AH670,Programma!$F$3:$H$1101,3,0),"")</f>
        <v/>
      </c>
      <c r="AK670" s="182" t="str">
        <f>_xlfn.IFNA(VLOOKUP($AH670,Programma!$F$3:$I$1101,4,0),"")</f>
        <v/>
      </c>
      <c r="AL670" s="182" t="str">
        <f>_xlfn.IFNA(VLOOKUP($AH670,Programma!$F$3:$J$1101,5,0),"")</f>
        <v/>
      </c>
      <c r="AM670" s="182" t="str">
        <f>_xlfn.IFNA(VLOOKUP($AH670,Programma!$F$3:$K$1101,6,0),"")</f>
        <v/>
      </c>
      <c r="AN670" s="182" t="str">
        <f>_xlfn.IFNA(VLOOKUP($AH670,Programma!$F$3:$L$1101,7,0),"")</f>
        <v/>
      </c>
      <c r="AO670" s="182" t="str">
        <f>_xlfn.IFNA(VLOOKUP($AH670,Programma!$F$3:$M$1101,8,0),"")</f>
        <v/>
      </c>
      <c r="AP670" s="182" t="str">
        <f>_xlfn.IFNA(VLOOKUP($AH670,Programma!$F$3:$N$1101,9,0),"")</f>
        <v/>
      </c>
      <c r="AQ670" s="182" t="str">
        <f>_xlfn.IFNA(VLOOKUP($AH670,Programma!$F$3:$O$1101,10,0),"")</f>
        <v/>
      </c>
      <c r="AR670" s="182" t="str">
        <f>_xlfn.IFNA(VLOOKUP($AH670,Programma!$F$3:$P$1101,11,0),"")</f>
        <v/>
      </c>
      <c r="AS670" s="182" t="str">
        <f>_xlfn.IFNA(VLOOKUP($AH670,Programma!$F$3:$Q$1101,12,0),"")</f>
        <v/>
      </c>
      <c r="AT670" s="182" t="str">
        <f>_xlfn.IFNA(VLOOKUP($AH670,Programma!$F$3:$R$1101,13,0),"")</f>
        <v/>
      </c>
      <c r="AU670" s="182" t="str">
        <f>_xlfn.IFNA(VLOOKUP($AH670,Programma!$F$3:$S$1101,14,0),"")</f>
        <v/>
      </c>
      <c r="AV670" s="182" t="str">
        <f>_xlfn.IFNA(VLOOKUP($AH670,Programma!$F$3:$T$1101,15,0),"")</f>
        <v/>
      </c>
      <c r="AW670" s="182" t="str">
        <f>_xlfn.IFNA(VLOOKUP($AH670,Programma!$F$3:$U$1101,16,0),"")</f>
        <v/>
      </c>
      <c r="AX670" s="182" t="str">
        <f>_xlfn.IFNA(VLOOKUP($AH670,Programma!$F$3:$V$1101,17,0),"")</f>
        <v/>
      </c>
      <c r="AY670" s="182" t="str">
        <f>_xlfn.IFNA(VLOOKUP($AH670,Programma!$F$3:$W$1101,18,0),"")</f>
        <v/>
      </c>
      <c r="AZ670" s="182" t="str">
        <f>_xlfn.IFNA(VLOOKUP($AH670,Programma!$F$3:$X$1101,19,0),"")</f>
        <v/>
      </c>
      <c r="BA670" s="182" t="str">
        <f>_xlfn.IFNA(VLOOKUP($AH670,Programma!$F$3:$Y$1101,20,0),"")</f>
        <v/>
      </c>
      <c r="BB670" s="182"/>
      <c r="BC670" s="174" t="str">
        <f>IF(Ruimtestaat[[#This Row],[Frequentie weekend]]="","",_xlfn.CONCAT(Ruimtestaat[[#This Row],[Ruimte code]],"-",Ruimtestaat[[#This Row],[Frequentie weekend]]," ",Ruimtestaat[[#This Row],[Vloer code]]))</f>
        <v/>
      </c>
      <c r="BD670" s="182" t="str">
        <f>_xlfn.IFNA(VLOOKUP($BC670,Programma!$F$3:$G$1101,2,0),"")</f>
        <v/>
      </c>
      <c r="BE670" s="182" t="str">
        <f>_xlfn.IFNA(VLOOKUP($BC670,Programma!$F$3:$H$1101,3,0),"")</f>
        <v/>
      </c>
      <c r="BF670" s="182" t="str">
        <f>_xlfn.IFNA(VLOOKUP($BC670,Programma!$F$3:$I$1101,4,0),"")</f>
        <v/>
      </c>
      <c r="BG670" s="182" t="str">
        <f>_xlfn.IFNA(VLOOKUP($BC670,Programma!$F$3:$J$1101,5,0),"")</f>
        <v/>
      </c>
      <c r="BH670" s="182" t="str">
        <f>_xlfn.IFNA(VLOOKUP($BC670,Programma!$F$3:$K$1101,6,0),"")</f>
        <v/>
      </c>
      <c r="BI670" s="182" t="str">
        <f>_xlfn.IFNA(VLOOKUP($BC670,Programma!$F$3:$L$1101,7,0),"")</f>
        <v/>
      </c>
      <c r="BJ670" s="182" t="str">
        <f>_xlfn.IFNA(VLOOKUP($BC670,Programma!$F$3:$M$1101,8,0),"")</f>
        <v/>
      </c>
      <c r="BK670" s="182" t="str">
        <f>_xlfn.IFNA(VLOOKUP($BC670,Programma!$F$3:$N$1101,9,0),"")</f>
        <v/>
      </c>
      <c r="BL670" s="182" t="str">
        <f>_xlfn.IFNA(VLOOKUP($BC670,Programma!$F$3:$O$1101,10,0),"")</f>
        <v/>
      </c>
      <c r="BM670" s="182" t="str">
        <f>_xlfn.IFNA(VLOOKUP($BC670,Programma!$F$3:$P$1101,11,0),"")</f>
        <v/>
      </c>
      <c r="BN670" s="182" t="str">
        <f>_xlfn.IFNA(VLOOKUP($BC670,Programma!$F$3:$Q$1101,12,0),"")</f>
        <v/>
      </c>
      <c r="BO670" s="182" t="str">
        <f>_xlfn.IFNA(VLOOKUP($BC670,Programma!$F$3:$R$1101,13,0),"")</f>
        <v/>
      </c>
      <c r="BP670" s="182" t="str">
        <f>_xlfn.IFNA(VLOOKUP($BC670,Programma!$F$3:$S$1101,14,0),"")</f>
        <v/>
      </c>
      <c r="BQ670" s="182" t="str">
        <f>_xlfn.IFNA(VLOOKUP($BC670,Programma!$F$3:$T$1101,15,0),"")</f>
        <v/>
      </c>
      <c r="BR670" s="182" t="str">
        <f>_xlfn.IFNA(VLOOKUP($BC670,Programma!$F$3:$U$1101,16,0),"")</f>
        <v/>
      </c>
      <c r="BS670" s="182" t="str">
        <f>_xlfn.IFNA(VLOOKUP($BC670,Programma!$F$3:$V$1101,17,0),"")</f>
        <v/>
      </c>
      <c r="BT670" s="182" t="str">
        <f>_xlfn.IFNA(VLOOKUP($BC670,Programma!$F$3:$W$1101,18,0),"")</f>
        <v/>
      </c>
      <c r="BU670" s="182" t="str">
        <f>_xlfn.IFNA(VLOOKUP($BC670,Programma!$F$3:$X$1101,19,0),"")</f>
        <v/>
      </c>
      <c r="BV670" s="182" t="str">
        <f>_xlfn.IFNA(VLOOKUP($BC670,Programma!$F$3:$Y$1101,20,0),"")</f>
        <v/>
      </c>
    </row>
    <row r="671" spans="1:74" ht="15" customHeight="1">
      <c r="A671" s="99">
        <v>18</v>
      </c>
      <c r="B671" s="176" t="str">
        <f>VLOOKUP(Ruimtestaat[[#This Row],[Code]],Locaties[[Code]:[Locatie]],2,FALSE)</f>
        <v>OBS De Linde (Thij)</v>
      </c>
      <c r="C671" s="176" t="str">
        <f>VLOOKUP(Ruimtestaat[[#This Row],[Code]],Locaties[[#All],[Code]:[Adres]],4,FALSE)</f>
        <v>Zandhorstlaan 99</v>
      </c>
      <c r="D671" s="176" t="str">
        <f>VLOOKUP(Ruimtestaat[[#This Row],[Code]],Locaties[[#All],[Code]:[Postcode]],5,FALSE)</f>
        <v>7576 VR</v>
      </c>
      <c r="E671" s="176" t="str">
        <f>VLOOKUP(Ruimtestaat[[#This Row],[Code]],Locaties[#All],6,FALSE)</f>
        <v>Oldenzaal</v>
      </c>
      <c r="F671" s="183"/>
      <c r="G671" s="99" t="s">
        <v>1646</v>
      </c>
      <c r="H671" s="99" t="s">
        <v>1705</v>
      </c>
      <c r="I671" s="183" t="s">
        <v>1684</v>
      </c>
      <c r="J671" s="99">
        <v>5</v>
      </c>
      <c r="K671" s="183" t="str">
        <f>VLOOKUP(Ruimtestaat[[#This Row],[Ruimte code]],Ruimtegroepen[[#All],[Code]:[Ruimte omschrijving]],2,FALSE)</f>
        <v>Sanitair</v>
      </c>
      <c r="L671" s="99" t="s">
        <v>101</v>
      </c>
      <c r="M671" s="99" t="s">
        <v>1682</v>
      </c>
      <c r="N671" s="177">
        <v>4.2</v>
      </c>
      <c r="O671" s="177"/>
      <c r="P671" s="178" t="str">
        <f>VLOOKUP(Ruimtestaat[[#This Row],[Ruimte code]],Ruimtegroepen[],4,FALSE)</f>
        <v>Sa</v>
      </c>
      <c r="Q671" s="149">
        <v>40</v>
      </c>
      <c r="R671" s="149" t="s">
        <v>2</v>
      </c>
      <c r="S671" s="285">
        <f>IF(Q671&gt;0,IF(RIGHT(Ruimtestaat[[#This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1" s="286">
        <f>IF(S671&gt;0,VLOOKUP($J671,Ruimtegroepen[],3,FALSE)*VLOOKUP($L671,Vloersoorten[],3,FALSE)*VLOOKUP($R671,Frequenties[],3,FALSE)*VLOOKUP($A671,Locaties[],3,FALSE),0)</f>
        <v>0</v>
      </c>
      <c r="U671" s="287">
        <f>Ruimtestaat[[#This Row],[Uitvoeringen werkdagen]]*Ruimtestaat[[#This Row],[Oppervlak (netto)]]</f>
        <v>840</v>
      </c>
      <c r="V671" s="288">
        <f>IF(T671&gt;0,Ruimtestaat[[#This Row],[Prest. (m2 /jaar) werkdagen]]/Ruimtestaat[[#This Row],[Norm (m2/uur) werkdagen]],0)</f>
        <v>0</v>
      </c>
      <c r="W671" s="289">
        <f>Ruimtestaat[[#This Row],[uren / jaar werkdagen]]*Tariefsopbouw!$E$35</f>
        <v>0</v>
      </c>
      <c r="X671" s="226"/>
      <c r="Y671" s="290">
        <f>IF(Ruimtestaat[[#This Row],[Frequentie weekend]]&gt;0,VALUE(LEFT(X671,1))*Q671,0)</f>
        <v>0</v>
      </c>
      <c r="Z671" s="287">
        <f>IF($Y671&gt;0,VLOOKUP($J671,Ruimtegroepen[],3,FALSE)*VLOOKUP($L671,Vloersoorten[],3,FALSE)*VLOOKUP($X671,Frequenties[],3,FALSE)*VLOOKUP(#REF!,Locaties[],3,FALSE),0)</f>
        <v>0</v>
      </c>
      <c r="AA671" s="291">
        <f>Ruimtestaat[[#This Row],[Uitvoeringen weekend]]*Ruimtestaat[[#This Row],[Oppervlak (netto)]]</f>
        <v>0</v>
      </c>
      <c r="AB671" s="291">
        <f>IF(Z671&gt;0,Ruimtestaat[[#This Row],[Prest. (m2 /jaar) weekend]]/Ruimtestaat[[#This Row],[Norm (m2/uur) weekend]],0)</f>
        <v>0</v>
      </c>
      <c r="AC671" s="180">
        <f>Ruimtestaat[[#This Row],[uren / jaar weekend]]*Tariefsopbouw!$D$40</f>
        <v>0</v>
      </c>
      <c r="AD671" s="179">
        <f>Ruimtestaat[[#This Row],[Prest. (m2 /jaar) weekend]]+Ruimtestaat[[#This Row],[Prest. (m2 /jaar) werkdagen]]</f>
        <v>840</v>
      </c>
      <c r="AE671" s="179">
        <f>Ruimtestaat[[#This Row],[uren / jaar weekend]]+Ruimtestaat[[#This Row],[uren / jaar werkdagen]]</f>
        <v>0</v>
      </c>
      <c r="AF671" s="174">
        <f>Ruimtestaat[[#This Row],[kosten / jaar weekend]]+Ruimtestaat[[#This Row],[kosten / jaar werkdagen]]</f>
        <v>0</v>
      </c>
      <c r="AG671" s="174"/>
      <c r="AH671" s="174" t="str">
        <f>IF(Ruimtestaat[[#This Row],[Frequentie werkdagen]]="","",_xlfn.CONCAT(Ruimtestaat[[#This Row],[Ruimte code]],"-",Ruimtestaat[[#This Row],[Frequentie werkdagen]]," ",Ruimtestaat[[#This Row],[Vloer code]]))</f>
        <v>5-5w S</v>
      </c>
      <c r="AI671" s="182" t="str">
        <f>_xlfn.IFNA(VLOOKUP($AH671,Programma!$F$3:$G$1101,2,0),"")</f>
        <v>_</v>
      </c>
      <c r="AJ671" s="182" t="str">
        <f>_xlfn.IFNA(VLOOKUP($AH671,Programma!$F$3:$H$1101,3,0),"")</f>
        <v>_</v>
      </c>
      <c r="AK671" s="182" t="str">
        <f>_xlfn.IFNA(VLOOKUP($AH671,Programma!$F$3:$I$1101,4,0),"")</f>
        <v>_</v>
      </c>
      <c r="AL671" s="182" t="str">
        <f>_xlfn.IFNA(VLOOKUP($AH671,Programma!$F$3:$J$1101,5,0),"")</f>
        <v>4w</v>
      </c>
      <c r="AM671" s="182" t="str">
        <f>_xlfn.IFNA(VLOOKUP($AH671,Programma!$F$3:$K$1101,6,0),"")</f>
        <v>1w</v>
      </c>
      <c r="AN671" s="182" t="str">
        <f>_xlfn.IFNA(VLOOKUP($AH671,Programma!$F$3:$L$1101,7,0),"")</f>
        <v>_</v>
      </c>
      <c r="AO671" s="182" t="str">
        <f>_xlfn.IFNA(VLOOKUP($AH671,Programma!$F$3:$M$1101,8,0),"")</f>
        <v>_</v>
      </c>
      <c r="AP671" s="182" t="str">
        <f>_xlfn.IFNA(VLOOKUP($AH671,Programma!$F$3:$N$1101,9,0),"")</f>
        <v>_</v>
      </c>
      <c r="AQ671" s="182" t="str">
        <f>_xlfn.IFNA(VLOOKUP($AH671,Programma!$F$3:$O$1101,10,0),"")</f>
        <v>_</v>
      </c>
      <c r="AR671" s="182" t="str">
        <f>_xlfn.IFNA(VLOOKUP($AH671,Programma!$F$3:$P$1101,11,0),"")</f>
        <v>_</v>
      </c>
      <c r="AS671" s="182" t="str">
        <f>_xlfn.IFNA(VLOOKUP($AH671,Programma!$F$3:$Q$1101,12,0),"")</f>
        <v>_</v>
      </c>
      <c r="AT671" s="182" t="str">
        <f>_xlfn.IFNA(VLOOKUP($AH671,Programma!$F$3:$R$1101,13,0),"")</f>
        <v>_</v>
      </c>
      <c r="AU671" s="182" t="str">
        <f>_xlfn.IFNA(VLOOKUP($AH671,Programma!$F$3:$S$1101,14,0),"")</f>
        <v>_</v>
      </c>
      <c r="AV671" s="182" t="str">
        <f>_xlfn.IFNA(VLOOKUP($AH671,Programma!$F$3:$T$1101,15,0),"")</f>
        <v>_</v>
      </c>
      <c r="AW671" s="182" t="str">
        <f>_xlfn.IFNA(VLOOKUP($AH671,Programma!$F$3:$U$1101,16,0),"")</f>
        <v>_</v>
      </c>
      <c r="AX671" s="182" t="str">
        <f>_xlfn.IFNA(VLOOKUP($AH671,Programma!$F$3:$V$1101,17,0),"")</f>
        <v>_</v>
      </c>
      <c r="AY671" s="182" t="str">
        <f>_xlfn.IFNA(VLOOKUP($AH671,Programma!$F$3:$W$1101,18,0),"")</f>
        <v>4w</v>
      </c>
      <c r="AZ671" s="182" t="str">
        <f>_xlfn.IFNA(VLOOKUP($AH671,Programma!$F$3:$X$1101,19,0),"")</f>
        <v>1w</v>
      </c>
      <c r="BA671" s="182" t="str">
        <f>_xlfn.IFNA(VLOOKUP($AH671,Programma!$F$3:$Y$1101,20,0),"")</f>
        <v>_</v>
      </c>
      <c r="BB671" s="182"/>
      <c r="BC671" s="174" t="str">
        <f>IF(Ruimtestaat[[#This Row],[Frequentie weekend]]="","",_xlfn.CONCAT(Ruimtestaat[[#This Row],[Ruimte code]],"-",Ruimtestaat[[#This Row],[Frequentie weekend]]," ",Ruimtestaat[[#This Row],[Vloer code]]))</f>
        <v/>
      </c>
      <c r="BD671" s="182" t="str">
        <f>_xlfn.IFNA(VLOOKUP($BC671,Programma!$F$3:$G$1101,2,0),"")</f>
        <v/>
      </c>
      <c r="BE671" s="182" t="str">
        <f>_xlfn.IFNA(VLOOKUP($BC671,Programma!$F$3:$H$1101,3,0),"")</f>
        <v/>
      </c>
      <c r="BF671" s="182" t="str">
        <f>_xlfn.IFNA(VLOOKUP($BC671,Programma!$F$3:$I$1101,4,0),"")</f>
        <v/>
      </c>
      <c r="BG671" s="182" t="str">
        <f>_xlfn.IFNA(VLOOKUP($BC671,Programma!$F$3:$J$1101,5,0),"")</f>
        <v/>
      </c>
      <c r="BH671" s="182" t="str">
        <f>_xlfn.IFNA(VLOOKUP($BC671,Programma!$F$3:$K$1101,6,0),"")</f>
        <v/>
      </c>
      <c r="BI671" s="182" t="str">
        <f>_xlfn.IFNA(VLOOKUP($BC671,Programma!$F$3:$L$1101,7,0),"")</f>
        <v/>
      </c>
      <c r="BJ671" s="182" t="str">
        <f>_xlfn.IFNA(VLOOKUP($BC671,Programma!$F$3:$M$1101,8,0),"")</f>
        <v/>
      </c>
      <c r="BK671" s="182" t="str">
        <f>_xlfn.IFNA(VLOOKUP($BC671,Programma!$F$3:$N$1101,9,0),"")</f>
        <v/>
      </c>
      <c r="BL671" s="182" t="str">
        <f>_xlfn.IFNA(VLOOKUP($BC671,Programma!$F$3:$O$1101,10,0),"")</f>
        <v/>
      </c>
      <c r="BM671" s="182" t="str">
        <f>_xlfn.IFNA(VLOOKUP($BC671,Programma!$F$3:$P$1101,11,0),"")</f>
        <v/>
      </c>
      <c r="BN671" s="182" t="str">
        <f>_xlfn.IFNA(VLOOKUP($BC671,Programma!$F$3:$Q$1101,12,0),"")</f>
        <v/>
      </c>
      <c r="BO671" s="182" t="str">
        <f>_xlfn.IFNA(VLOOKUP($BC671,Programma!$F$3:$R$1101,13,0),"")</f>
        <v/>
      </c>
      <c r="BP671" s="182" t="str">
        <f>_xlfn.IFNA(VLOOKUP($BC671,Programma!$F$3:$S$1101,14,0),"")</f>
        <v/>
      </c>
      <c r="BQ671" s="182" t="str">
        <f>_xlfn.IFNA(VLOOKUP($BC671,Programma!$F$3:$T$1101,15,0),"")</f>
        <v/>
      </c>
      <c r="BR671" s="182" t="str">
        <f>_xlfn.IFNA(VLOOKUP($BC671,Programma!$F$3:$U$1101,16,0),"")</f>
        <v/>
      </c>
      <c r="BS671" s="182" t="str">
        <f>_xlfn.IFNA(VLOOKUP($BC671,Programma!$F$3:$V$1101,17,0),"")</f>
        <v/>
      </c>
      <c r="BT671" s="182" t="str">
        <f>_xlfn.IFNA(VLOOKUP($BC671,Programma!$F$3:$W$1101,18,0),"")</f>
        <v/>
      </c>
      <c r="BU671" s="182" t="str">
        <f>_xlfn.IFNA(VLOOKUP($BC671,Programma!$F$3:$X$1101,19,0),"")</f>
        <v/>
      </c>
      <c r="BV671" s="182" t="str">
        <f>_xlfn.IFNA(VLOOKUP($BC671,Programma!$F$3:$Y$1101,20,0),"")</f>
        <v/>
      </c>
    </row>
    <row r="672" spans="1:74" ht="15" customHeight="1">
      <c r="A672" s="99">
        <v>18</v>
      </c>
      <c r="B672" s="176" t="str">
        <f>VLOOKUP(Ruimtestaat[[#This Row],[Code]],Locaties[[Code]:[Locatie]],2,FALSE)</f>
        <v>OBS De Linde (Thij)</v>
      </c>
      <c r="C672" s="176" t="str">
        <f>VLOOKUP(Ruimtestaat[[#This Row],[Code]],Locaties[[#All],[Code]:[Adres]],4,FALSE)</f>
        <v>Zandhorstlaan 99</v>
      </c>
      <c r="D672" s="176" t="str">
        <f>VLOOKUP(Ruimtestaat[[#This Row],[Code]],Locaties[[#All],[Code]:[Postcode]],5,FALSE)</f>
        <v>7576 VR</v>
      </c>
      <c r="E672" s="176" t="str">
        <f>VLOOKUP(Ruimtestaat[[#This Row],[Code]],Locaties[#All],6,FALSE)</f>
        <v>Oldenzaal</v>
      </c>
      <c r="F672" s="183"/>
      <c r="G672" s="99" t="s">
        <v>1646</v>
      </c>
      <c r="H672" s="99" t="s">
        <v>1706</v>
      </c>
      <c r="I672" s="183" t="s">
        <v>38</v>
      </c>
      <c r="J672" s="99">
        <v>7</v>
      </c>
      <c r="K672" s="183" t="str">
        <f>VLOOKUP(Ruimtestaat[[#This Row],[Ruimte code]],Ruimtegroepen[[#All],[Code]:[Ruimte omschrijving]],2,FALSE)</f>
        <v>Entree</v>
      </c>
      <c r="L672" s="99" t="s">
        <v>99</v>
      </c>
      <c r="M672" s="99" t="s">
        <v>1700</v>
      </c>
      <c r="N672" s="177">
        <v>6</v>
      </c>
      <c r="O672" s="177"/>
      <c r="P672" s="178" t="str">
        <f>VLOOKUP(Ruimtestaat[[#This Row],[Ruimte code]],Ruimtegroepen[],4,FALSE)</f>
        <v>Ve</v>
      </c>
      <c r="Q672" s="149">
        <v>40</v>
      </c>
      <c r="R672" s="149" t="s">
        <v>20</v>
      </c>
      <c r="S672" s="285">
        <f>IF(Q672&gt;0,IF(RIGHT(Ruimtestaat[[#This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160</v>
      </c>
      <c r="T672" s="286">
        <f>IF(S672&gt;0,VLOOKUP($J672,Ruimtegroepen[],3,FALSE)*VLOOKUP($L672,Vloersoorten[],3,FALSE)*VLOOKUP($R672,Frequenties[],3,FALSE)*VLOOKUP($A672,Locaties[],3,FALSE),0)</f>
        <v>0</v>
      </c>
      <c r="U672" s="287">
        <f>Ruimtestaat[[#This Row],[Uitvoeringen werkdagen]]*Ruimtestaat[[#This Row],[Oppervlak (netto)]]</f>
        <v>960</v>
      </c>
      <c r="V672" s="288">
        <f>IF(T672&gt;0,Ruimtestaat[[#This Row],[Prest. (m2 /jaar) werkdagen]]/Ruimtestaat[[#This Row],[Norm (m2/uur) werkdagen]],0)</f>
        <v>0</v>
      </c>
      <c r="W672" s="289">
        <f>Ruimtestaat[[#This Row],[uren / jaar werkdagen]]*Tariefsopbouw!$E$35</f>
        <v>0</v>
      </c>
      <c r="X672" s="226"/>
      <c r="Y672" s="290">
        <f>IF(Ruimtestaat[[#This Row],[Frequentie weekend]]&gt;0,VALUE(LEFT(X672,1))*Q672,0)</f>
        <v>0</v>
      </c>
      <c r="Z672" s="287">
        <f>IF($Y672&gt;0,VLOOKUP($J672,Ruimtegroepen[],3,FALSE)*VLOOKUP($L672,Vloersoorten[],3,FALSE)*VLOOKUP($X672,Frequenties[],3,FALSE)*VLOOKUP(#REF!,Locaties[],3,FALSE),0)</f>
        <v>0</v>
      </c>
      <c r="AA672" s="291">
        <f>Ruimtestaat[[#This Row],[Uitvoeringen weekend]]*Ruimtestaat[[#This Row],[Oppervlak (netto)]]</f>
        <v>0</v>
      </c>
      <c r="AB672" s="291">
        <f>IF(Z672&gt;0,Ruimtestaat[[#This Row],[Prest. (m2 /jaar) weekend]]/Ruimtestaat[[#This Row],[Norm (m2/uur) weekend]],0)</f>
        <v>0</v>
      </c>
      <c r="AC672" s="180">
        <f>Ruimtestaat[[#This Row],[uren / jaar weekend]]*Tariefsopbouw!$D$40</f>
        <v>0</v>
      </c>
      <c r="AD672" s="179">
        <f>Ruimtestaat[[#This Row],[Prest. (m2 /jaar) weekend]]+Ruimtestaat[[#This Row],[Prest. (m2 /jaar) werkdagen]]</f>
        <v>960</v>
      </c>
      <c r="AE672" s="179">
        <f>Ruimtestaat[[#This Row],[uren / jaar weekend]]+Ruimtestaat[[#This Row],[uren / jaar werkdagen]]</f>
        <v>0</v>
      </c>
      <c r="AF672" s="174">
        <f>Ruimtestaat[[#This Row],[kosten / jaar weekend]]+Ruimtestaat[[#This Row],[kosten / jaar werkdagen]]</f>
        <v>0</v>
      </c>
      <c r="AG672" s="174"/>
      <c r="AH672" s="174" t="str">
        <f>IF(Ruimtestaat[[#This Row],[Frequentie werkdagen]]="","",_xlfn.CONCAT(Ruimtestaat[[#This Row],[Ruimte code]],"-",Ruimtestaat[[#This Row],[Frequentie werkdagen]]," ",Ruimtestaat[[#This Row],[Vloer code]]))</f>
        <v>7-4w T</v>
      </c>
      <c r="AI672" s="182" t="str">
        <f>_xlfn.IFNA(VLOOKUP($AH672,Programma!$F$3:$G$1101,2,0),"")</f>
        <v>_</v>
      </c>
      <c r="AJ672" s="182" t="str">
        <f>_xlfn.IFNA(VLOOKUP($AH672,Programma!$F$3:$H$1101,3,0),"")</f>
        <v>4w</v>
      </c>
      <c r="AK672" s="182" t="str">
        <f>_xlfn.IFNA(VLOOKUP($AH672,Programma!$F$3:$I$1101,4,0),"")</f>
        <v>_</v>
      </c>
      <c r="AL672" s="182" t="str">
        <f>_xlfn.IFNA(VLOOKUP($AH672,Programma!$F$3:$J$1101,5,0),"")</f>
        <v>_</v>
      </c>
      <c r="AM672" s="182" t="str">
        <f>_xlfn.IFNA(VLOOKUP($AH672,Programma!$F$3:$K$1101,6,0),"")</f>
        <v>_</v>
      </c>
      <c r="AN672" s="182" t="str">
        <f>_xlfn.IFNA(VLOOKUP($AH672,Programma!$F$3:$L$1101,7,0),"")</f>
        <v>_</v>
      </c>
      <c r="AO672" s="182" t="str">
        <f>_xlfn.IFNA(VLOOKUP($AH672,Programma!$F$3:$M$1101,8,0),"")</f>
        <v>_</v>
      </c>
      <c r="AP672" s="182" t="str">
        <f>_xlfn.IFNA(VLOOKUP($AH672,Programma!$F$3:$N$1101,9,0),"")</f>
        <v>_</v>
      </c>
      <c r="AQ672" s="182" t="str">
        <f>_xlfn.IFNA(VLOOKUP($AH672,Programma!$F$3:$O$1101,10,0),"")</f>
        <v>4w</v>
      </c>
      <c r="AR672" s="182" t="str">
        <f>_xlfn.IFNA(VLOOKUP($AH672,Programma!$F$3:$P$1101,11,0),"")</f>
        <v>4w</v>
      </c>
      <c r="AS672" s="182" t="str">
        <f>_xlfn.IFNA(VLOOKUP($AH672,Programma!$F$3:$Q$1101,12,0),"")</f>
        <v>1w</v>
      </c>
      <c r="AT672" s="182" t="str">
        <f>_xlfn.IFNA(VLOOKUP($AH672,Programma!$F$3:$R$1101,13,0),"")</f>
        <v>1w</v>
      </c>
      <c r="AU672" s="182" t="str">
        <f>_xlfn.IFNA(VLOOKUP($AH672,Programma!$F$3:$S$1101,14,0),"")</f>
        <v>1m</v>
      </c>
      <c r="AV672" s="182" t="str">
        <f>_xlfn.IFNA(VLOOKUP($AH672,Programma!$F$3:$T$1101,15,0),"")</f>
        <v>2j</v>
      </c>
      <c r="AW672" s="182" t="str">
        <f>_xlfn.IFNA(VLOOKUP($AH672,Programma!$F$3:$U$1101,16,0),"")</f>
        <v>1j</v>
      </c>
      <c r="AX672" s="182" t="str">
        <f>_xlfn.IFNA(VLOOKUP($AH672,Programma!$F$3:$V$1101,17,0),"")</f>
        <v>_</v>
      </c>
      <c r="AY672" s="182" t="str">
        <f>_xlfn.IFNA(VLOOKUP($AH672,Programma!$F$3:$W$1101,18,0),"")</f>
        <v>_</v>
      </c>
      <c r="AZ672" s="182" t="str">
        <f>_xlfn.IFNA(VLOOKUP($AH672,Programma!$F$3:$X$1101,19,0),"")</f>
        <v>_</v>
      </c>
      <c r="BA672" s="182" t="str">
        <f>_xlfn.IFNA(VLOOKUP($AH672,Programma!$F$3:$Y$1101,20,0),"")</f>
        <v>_</v>
      </c>
      <c r="BB672" s="182"/>
      <c r="BC672" s="174" t="str">
        <f>IF(Ruimtestaat[[#This Row],[Frequentie weekend]]="","",_xlfn.CONCAT(Ruimtestaat[[#This Row],[Ruimte code]],"-",Ruimtestaat[[#This Row],[Frequentie weekend]]," ",Ruimtestaat[[#This Row],[Vloer code]]))</f>
        <v/>
      </c>
      <c r="BD672" s="182" t="str">
        <f>_xlfn.IFNA(VLOOKUP($BC672,Programma!$F$3:$G$1101,2,0),"")</f>
        <v/>
      </c>
      <c r="BE672" s="182" t="str">
        <f>_xlfn.IFNA(VLOOKUP($BC672,Programma!$F$3:$H$1101,3,0),"")</f>
        <v/>
      </c>
      <c r="BF672" s="182" t="str">
        <f>_xlfn.IFNA(VLOOKUP($BC672,Programma!$F$3:$I$1101,4,0),"")</f>
        <v/>
      </c>
      <c r="BG672" s="182" t="str">
        <f>_xlfn.IFNA(VLOOKUP($BC672,Programma!$F$3:$J$1101,5,0),"")</f>
        <v/>
      </c>
      <c r="BH672" s="182" t="str">
        <f>_xlfn.IFNA(VLOOKUP($BC672,Programma!$F$3:$K$1101,6,0),"")</f>
        <v/>
      </c>
      <c r="BI672" s="182" t="str">
        <f>_xlfn.IFNA(VLOOKUP($BC672,Programma!$F$3:$L$1101,7,0),"")</f>
        <v/>
      </c>
      <c r="BJ672" s="182" t="str">
        <f>_xlfn.IFNA(VLOOKUP($BC672,Programma!$F$3:$M$1101,8,0),"")</f>
        <v/>
      </c>
      <c r="BK672" s="182" t="str">
        <f>_xlfn.IFNA(VLOOKUP($BC672,Programma!$F$3:$N$1101,9,0),"")</f>
        <v/>
      </c>
      <c r="BL672" s="182" t="str">
        <f>_xlfn.IFNA(VLOOKUP($BC672,Programma!$F$3:$O$1101,10,0),"")</f>
        <v/>
      </c>
      <c r="BM672" s="182" t="str">
        <f>_xlfn.IFNA(VLOOKUP($BC672,Programma!$F$3:$P$1101,11,0),"")</f>
        <v/>
      </c>
      <c r="BN672" s="182" t="str">
        <f>_xlfn.IFNA(VLOOKUP($BC672,Programma!$F$3:$Q$1101,12,0),"")</f>
        <v/>
      </c>
      <c r="BO672" s="182" t="str">
        <f>_xlfn.IFNA(VLOOKUP($BC672,Programma!$F$3:$R$1101,13,0),"")</f>
        <v/>
      </c>
      <c r="BP672" s="182" t="str">
        <f>_xlfn.IFNA(VLOOKUP($BC672,Programma!$F$3:$S$1101,14,0),"")</f>
        <v/>
      </c>
      <c r="BQ672" s="182" t="str">
        <f>_xlfn.IFNA(VLOOKUP($BC672,Programma!$F$3:$T$1101,15,0),"")</f>
        <v/>
      </c>
      <c r="BR672" s="182" t="str">
        <f>_xlfn.IFNA(VLOOKUP($BC672,Programma!$F$3:$U$1101,16,0),"")</f>
        <v/>
      </c>
      <c r="BS672" s="182" t="str">
        <f>_xlfn.IFNA(VLOOKUP($BC672,Programma!$F$3:$V$1101,17,0),"")</f>
        <v/>
      </c>
      <c r="BT672" s="182" t="str">
        <f>_xlfn.IFNA(VLOOKUP($BC672,Programma!$F$3:$W$1101,18,0),"")</f>
        <v/>
      </c>
      <c r="BU672" s="182" t="str">
        <f>_xlfn.IFNA(VLOOKUP($BC672,Programma!$F$3:$X$1101,19,0),"")</f>
        <v/>
      </c>
      <c r="BV672" s="182" t="str">
        <f>_xlfn.IFNA(VLOOKUP($BC672,Programma!$F$3:$Y$1101,20,0),"")</f>
        <v/>
      </c>
    </row>
    <row r="673" spans="1:74" ht="15" customHeight="1">
      <c r="A673" s="99">
        <v>18</v>
      </c>
      <c r="B673" s="176" t="str">
        <f>VLOOKUP(Ruimtestaat[[#This Row],[Code]],Locaties[[Code]:[Locatie]],2,FALSE)</f>
        <v>OBS De Linde (Thij)</v>
      </c>
      <c r="C673" s="176" t="str">
        <f>VLOOKUP(Ruimtestaat[[#This Row],[Code]],Locaties[[#All],[Code]:[Adres]],4,FALSE)</f>
        <v>Zandhorstlaan 99</v>
      </c>
      <c r="D673" s="176" t="str">
        <f>VLOOKUP(Ruimtestaat[[#This Row],[Code]],Locaties[[#All],[Code]:[Postcode]],5,FALSE)</f>
        <v>7576 VR</v>
      </c>
      <c r="E673" s="176" t="str">
        <f>VLOOKUP(Ruimtestaat[[#This Row],[Code]],Locaties[#All],6,FALSE)</f>
        <v>Oldenzaal</v>
      </c>
      <c r="F673" s="183"/>
      <c r="G673" s="99" t="s">
        <v>1646</v>
      </c>
      <c r="H673" s="99" t="s">
        <v>1707</v>
      </c>
      <c r="I673" s="183" t="s">
        <v>1822</v>
      </c>
      <c r="J673" s="99">
        <v>5</v>
      </c>
      <c r="K673" s="183" t="str">
        <f>VLOOKUP(Ruimtestaat[[#This Row],[Ruimte code]],Ruimtegroepen[[#All],[Code]:[Ruimte omschrijving]],2,FALSE)</f>
        <v>Sanitair</v>
      </c>
      <c r="L673" s="99" t="s">
        <v>101</v>
      </c>
      <c r="M673" s="99" t="s">
        <v>1682</v>
      </c>
      <c r="N673" s="177">
        <v>2.5</v>
      </c>
      <c r="O673" s="177"/>
      <c r="P673" s="178" t="str">
        <f>VLOOKUP(Ruimtestaat[[#This Row],[Ruimte code]],Ruimtegroepen[],4,FALSE)</f>
        <v>Sa</v>
      </c>
      <c r="Q673" s="149">
        <v>40</v>
      </c>
      <c r="R673" s="149" t="s">
        <v>2</v>
      </c>
      <c r="S673" s="285">
        <f>IF(Q673&gt;0,IF(RIGHT(Ruimtestaat[[#This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3" s="286">
        <f>IF(S673&gt;0,VLOOKUP($J673,Ruimtegroepen[],3,FALSE)*VLOOKUP($L673,Vloersoorten[],3,FALSE)*VLOOKUP($R673,Frequenties[],3,FALSE)*VLOOKUP($A673,Locaties[],3,FALSE),0)</f>
        <v>0</v>
      </c>
      <c r="U673" s="287">
        <f>Ruimtestaat[[#This Row],[Uitvoeringen werkdagen]]*Ruimtestaat[[#This Row],[Oppervlak (netto)]]</f>
        <v>500</v>
      </c>
      <c r="V673" s="288">
        <f>IF(T673&gt;0,Ruimtestaat[[#This Row],[Prest. (m2 /jaar) werkdagen]]/Ruimtestaat[[#This Row],[Norm (m2/uur) werkdagen]],0)</f>
        <v>0</v>
      </c>
      <c r="W673" s="289">
        <f>Ruimtestaat[[#This Row],[uren / jaar werkdagen]]*Tariefsopbouw!$E$35</f>
        <v>0</v>
      </c>
      <c r="X673" s="226"/>
      <c r="Y673" s="290">
        <f>IF(Ruimtestaat[[#This Row],[Frequentie weekend]]&gt;0,VALUE(LEFT(X673,1))*Q673,0)</f>
        <v>0</v>
      </c>
      <c r="Z673" s="287">
        <f>IF($Y673&gt;0,VLOOKUP($J673,Ruimtegroepen[],3,FALSE)*VLOOKUP($L673,Vloersoorten[],3,FALSE)*VLOOKUP($X673,Frequenties[],3,FALSE)*VLOOKUP(#REF!,Locaties[],3,FALSE),0)</f>
        <v>0</v>
      </c>
      <c r="AA673" s="291">
        <f>Ruimtestaat[[#This Row],[Uitvoeringen weekend]]*Ruimtestaat[[#This Row],[Oppervlak (netto)]]</f>
        <v>0</v>
      </c>
      <c r="AB673" s="291">
        <f>IF(Z673&gt;0,Ruimtestaat[[#This Row],[Prest. (m2 /jaar) weekend]]/Ruimtestaat[[#This Row],[Norm (m2/uur) weekend]],0)</f>
        <v>0</v>
      </c>
      <c r="AC673" s="180">
        <f>Ruimtestaat[[#This Row],[uren / jaar weekend]]*Tariefsopbouw!$D$40</f>
        <v>0</v>
      </c>
      <c r="AD673" s="179">
        <f>Ruimtestaat[[#This Row],[Prest. (m2 /jaar) weekend]]+Ruimtestaat[[#This Row],[Prest. (m2 /jaar) werkdagen]]</f>
        <v>500</v>
      </c>
      <c r="AE673" s="179">
        <f>Ruimtestaat[[#This Row],[uren / jaar weekend]]+Ruimtestaat[[#This Row],[uren / jaar werkdagen]]</f>
        <v>0</v>
      </c>
      <c r="AF673" s="174">
        <f>Ruimtestaat[[#This Row],[kosten / jaar weekend]]+Ruimtestaat[[#This Row],[kosten / jaar werkdagen]]</f>
        <v>0</v>
      </c>
      <c r="AG673" s="174"/>
      <c r="AH673" s="174" t="str">
        <f>IF(Ruimtestaat[[#This Row],[Frequentie werkdagen]]="","",_xlfn.CONCAT(Ruimtestaat[[#This Row],[Ruimte code]],"-",Ruimtestaat[[#This Row],[Frequentie werkdagen]]," ",Ruimtestaat[[#This Row],[Vloer code]]))</f>
        <v>5-5w S</v>
      </c>
      <c r="AI673" s="182" t="str">
        <f>_xlfn.IFNA(VLOOKUP($AH673,Programma!$F$3:$G$1101,2,0),"")</f>
        <v>_</v>
      </c>
      <c r="AJ673" s="182" t="str">
        <f>_xlfn.IFNA(VLOOKUP($AH673,Programma!$F$3:$H$1101,3,0),"")</f>
        <v>_</v>
      </c>
      <c r="AK673" s="182" t="str">
        <f>_xlfn.IFNA(VLOOKUP($AH673,Programma!$F$3:$I$1101,4,0),"")</f>
        <v>_</v>
      </c>
      <c r="AL673" s="182" t="str">
        <f>_xlfn.IFNA(VLOOKUP($AH673,Programma!$F$3:$J$1101,5,0),"")</f>
        <v>4w</v>
      </c>
      <c r="AM673" s="182" t="str">
        <f>_xlfn.IFNA(VLOOKUP($AH673,Programma!$F$3:$K$1101,6,0),"")</f>
        <v>1w</v>
      </c>
      <c r="AN673" s="182" t="str">
        <f>_xlfn.IFNA(VLOOKUP($AH673,Programma!$F$3:$L$1101,7,0),"")</f>
        <v>_</v>
      </c>
      <c r="AO673" s="182" t="str">
        <f>_xlfn.IFNA(VLOOKUP($AH673,Programma!$F$3:$M$1101,8,0),"")</f>
        <v>_</v>
      </c>
      <c r="AP673" s="182" t="str">
        <f>_xlfn.IFNA(VLOOKUP($AH673,Programma!$F$3:$N$1101,9,0),"")</f>
        <v>_</v>
      </c>
      <c r="AQ673" s="182" t="str">
        <f>_xlfn.IFNA(VLOOKUP($AH673,Programma!$F$3:$O$1101,10,0),"")</f>
        <v>_</v>
      </c>
      <c r="AR673" s="182" t="str">
        <f>_xlfn.IFNA(VLOOKUP($AH673,Programma!$F$3:$P$1101,11,0),"")</f>
        <v>_</v>
      </c>
      <c r="AS673" s="182" t="str">
        <f>_xlfn.IFNA(VLOOKUP($AH673,Programma!$F$3:$Q$1101,12,0),"")</f>
        <v>_</v>
      </c>
      <c r="AT673" s="182" t="str">
        <f>_xlfn.IFNA(VLOOKUP($AH673,Programma!$F$3:$R$1101,13,0),"")</f>
        <v>_</v>
      </c>
      <c r="AU673" s="182" t="str">
        <f>_xlfn.IFNA(VLOOKUP($AH673,Programma!$F$3:$S$1101,14,0),"")</f>
        <v>_</v>
      </c>
      <c r="AV673" s="182" t="str">
        <f>_xlfn.IFNA(VLOOKUP($AH673,Programma!$F$3:$T$1101,15,0),"")</f>
        <v>_</v>
      </c>
      <c r="AW673" s="182" t="str">
        <f>_xlfn.IFNA(VLOOKUP($AH673,Programma!$F$3:$U$1101,16,0),"")</f>
        <v>_</v>
      </c>
      <c r="AX673" s="182" t="str">
        <f>_xlfn.IFNA(VLOOKUP($AH673,Programma!$F$3:$V$1101,17,0),"")</f>
        <v>_</v>
      </c>
      <c r="AY673" s="182" t="str">
        <f>_xlfn.IFNA(VLOOKUP($AH673,Programma!$F$3:$W$1101,18,0),"")</f>
        <v>4w</v>
      </c>
      <c r="AZ673" s="182" t="str">
        <f>_xlfn.IFNA(VLOOKUP($AH673,Programma!$F$3:$X$1101,19,0),"")</f>
        <v>1w</v>
      </c>
      <c r="BA673" s="182" t="str">
        <f>_xlfn.IFNA(VLOOKUP($AH673,Programma!$F$3:$Y$1101,20,0),"")</f>
        <v>_</v>
      </c>
      <c r="BB673" s="182"/>
      <c r="BC673" s="174" t="str">
        <f>IF(Ruimtestaat[[#This Row],[Frequentie weekend]]="","",_xlfn.CONCAT(Ruimtestaat[[#This Row],[Ruimte code]],"-",Ruimtestaat[[#This Row],[Frequentie weekend]]," ",Ruimtestaat[[#This Row],[Vloer code]]))</f>
        <v/>
      </c>
      <c r="BD673" s="182" t="str">
        <f>_xlfn.IFNA(VLOOKUP($BC673,Programma!$F$3:$G$1101,2,0),"")</f>
        <v/>
      </c>
      <c r="BE673" s="182" t="str">
        <f>_xlfn.IFNA(VLOOKUP($BC673,Programma!$F$3:$H$1101,3,0),"")</f>
        <v/>
      </c>
      <c r="BF673" s="182" t="str">
        <f>_xlfn.IFNA(VLOOKUP($BC673,Programma!$F$3:$I$1101,4,0),"")</f>
        <v/>
      </c>
      <c r="BG673" s="182" t="str">
        <f>_xlfn.IFNA(VLOOKUP($BC673,Programma!$F$3:$J$1101,5,0),"")</f>
        <v/>
      </c>
      <c r="BH673" s="182" t="str">
        <f>_xlfn.IFNA(VLOOKUP($BC673,Programma!$F$3:$K$1101,6,0),"")</f>
        <v/>
      </c>
      <c r="BI673" s="182" t="str">
        <f>_xlfn.IFNA(VLOOKUP($BC673,Programma!$F$3:$L$1101,7,0),"")</f>
        <v/>
      </c>
      <c r="BJ673" s="182" t="str">
        <f>_xlfn.IFNA(VLOOKUP($BC673,Programma!$F$3:$M$1101,8,0),"")</f>
        <v/>
      </c>
      <c r="BK673" s="182" t="str">
        <f>_xlfn.IFNA(VLOOKUP($BC673,Programma!$F$3:$N$1101,9,0),"")</f>
        <v/>
      </c>
      <c r="BL673" s="182" t="str">
        <f>_xlfn.IFNA(VLOOKUP($BC673,Programma!$F$3:$O$1101,10,0),"")</f>
        <v/>
      </c>
      <c r="BM673" s="182" t="str">
        <f>_xlfn.IFNA(VLOOKUP($BC673,Programma!$F$3:$P$1101,11,0),"")</f>
        <v/>
      </c>
      <c r="BN673" s="182" t="str">
        <f>_xlfn.IFNA(VLOOKUP($BC673,Programma!$F$3:$Q$1101,12,0),"")</f>
        <v/>
      </c>
      <c r="BO673" s="182" t="str">
        <f>_xlfn.IFNA(VLOOKUP($BC673,Programma!$F$3:$R$1101,13,0),"")</f>
        <v/>
      </c>
      <c r="BP673" s="182" t="str">
        <f>_xlfn.IFNA(VLOOKUP($BC673,Programma!$F$3:$S$1101,14,0),"")</f>
        <v/>
      </c>
      <c r="BQ673" s="182" t="str">
        <f>_xlfn.IFNA(VLOOKUP($BC673,Programma!$F$3:$T$1101,15,0),"")</f>
        <v/>
      </c>
      <c r="BR673" s="182" t="str">
        <f>_xlfn.IFNA(VLOOKUP($BC673,Programma!$F$3:$U$1101,16,0),"")</f>
        <v/>
      </c>
      <c r="BS673" s="182" t="str">
        <f>_xlfn.IFNA(VLOOKUP($BC673,Programma!$F$3:$V$1101,17,0),"")</f>
        <v/>
      </c>
      <c r="BT673" s="182" t="str">
        <f>_xlfn.IFNA(VLOOKUP($BC673,Programma!$F$3:$W$1101,18,0),"")</f>
        <v/>
      </c>
      <c r="BU673" s="182" t="str">
        <f>_xlfn.IFNA(VLOOKUP($BC673,Programma!$F$3:$X$1101,19,0),"")</f>
        <v/>
      </c>
      <c r="BV673" s="182" t="str">
        <f>_xlfn.IFNA(VLOOKUP($BC673,Programma!$F$3:$Y$1101,20,0),"")</f>
        <v/>
      </c>
    </row>
    <row r="674" spans="1:74" ht="15" customHeight="1">
      <c r="A674" s="99">
        <v>18</v>
      </c>
      <c r="B674" s="176" t="str">
        <f>VLOOKUP(Ruimtestaat[[#This Row],[Code]],Locaties[[Code]:[Locatie]],2,FALSE)</f>
        <v>OBS De Linde (Thij)</v>
      </c>
      <c r="C674" s="176" t="str">
        <f>VLOOKUP(Ruimtestaat[[#This Row],[Code]],Locaties[[#All],[Code]:[Adres]],4,FALSE)</f>
        <v>Zandhorstlaan 99</v>
      </c>
      <c r="D674" s="176" t="str">
        <f>VLOOKUP(Ruimtestaat[[#This Row],[Code]],Locaties[[#All],[Code]:[Postcode]],5,FALSE)</f>
        <v>7576 VR</v>
      </c>
      <c r="E674" s="176" t="str">
        <f>VLOOKUP(Ruimtestaat[[#This Row],[Code]],Locaties[#All],6,FALSE)</f>
        <v>Oldenzaal</v>
      </c>
      <c r="F674" s="183"/>
      <c r="G674" s="99" t="s">
        <v>1646</v>
      </c>
      <c r="H674" s="99" t="s">
        <v>1708</v>
      </c>
      <c r="I674" s="183" t="s">
        <v>1823</v>
      </c>
      <c r="J674" s="99">
        <v>16</v>
      </c>
      <c r="K674" s="183" t="str">
        <f>VLOOKUP(Ruimtestaat[[#This Row],[Ruimte code]],Ruimtegroepen[[#All],[Code]:[Ruimte omschrijving]],2,FALSE)</f>
        <v>Leslokalen</v>
      </c>
      <c r="L674" s="99" t="s">
        <v>100</v>
      </c>
      <c r="M674" s="99" t="s">
        <v>1697</v>
      </c>
      <c r="N674" s="177">
        <v>72.599999999999994</v>
      </c>
      <c r="O674" s="177"/>
      <c r="P674" s="178" t="str">
        <f>VLOOKUP(Ruimtestaat[[#This Row],[Ruimte code]],Ruimtegroepen[],4,FALSE)</f>
        <v>Le</v>
      </c>
      <c r="Q674" s="149">
        <v>40</v>
      </c>
      <c r="R674" s="149" t="s">
        <v>2</v>
      </c>
      <c r="S674" s="285">
        <f>IF(Q674&gt;0,IF(RIGHT(Ruimtestaat[[#This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4" s="286">
        <f>IF(S674&gt;0,VLOOKUP($J674,Ruimtegroepen[],3,FALSE)*VLOOKUP($L674,Vloersoorten[],3,FALSE)*VLOOKUP($R674,Frequenties[],3,FALSE)*VLOOKUP($A674,Locaties[],3,FALSE),0)</f>
        <v>0</v>
      </c>
      <c r="U674" s="287">
        <f>Ruimtestaat[[#This Row],[Uitvoeringen werkdagen]]*Ruimtestaat[[#This Row],[Oppervlak (netto)]]</f>
        <v>14519.999999999998</v>
      </c>
      <c r="V674" s="288">
        <f>IF(T674&gt;0,Ruimtestaat[[#This Row],[Prest. (m2 /jaar) werkdagen]]/Ruimtestaat[[#This Row],[Norm (m2/uur) werkdagen]],0)</f>
        <v>0</v>
      </c>
      <c r="W674" s="289">
        <f>Ruimtestaat[[#This Row],[uren / jaar werkdagen]]*Tariefsopbouw!$E$35</f>
        <v>0</v>
      </c>
      <c r="X674" s="226"/>
      <c r="Y674" s="290">
        <f>IF(Ruimtestaat[[#This Row],[Frequentie weekend]]&gt;0,VALUE(LEFT(X674,1))*Q674,0)</f>
        <v>0</v>
      </c>
      <c r="Z674" s="287">
        <f>IF($Y674&gt;0,VLOOKUP($J674,Ruimtegroepen[],3,FALSE)*VLOOKUP($L674,Vloersoorten[],3,FALSE)*VLOOKUP($X674,Frequenties[],3,FALSE)*VLOOKUP(#REF!,Locaties[],3,FALSE),0)</f>
        <v>0</v>
      </c>
      <c r="AA674" s="291">
        <f>Ruimtestaat[[#This Row],[Uitvoeringen weekend]]*Ruimtestaat[[#This Row],[Oppervlak (netto)]]</f>
        <v>0</v>
      </c>
      <c r="AB674" s="291">
        <f>IF(Z674&gt;0,Ruimtestaat[[#This Row],[Prest. (m2 /jaar) weekend]]/Ruimtestaat[[#This Row],[Norm (m2/uur) weekend]],0)</f>
        <v>0</v>
      </c>
      <c r="AC674" s="180">
        <f>Ruimtestaat[[#This Row],[uren / jaar weekend]]*Tariefsopbouw!$D$40</f>
        <v>0</v>
      </c>
      <c r="AD674" s="179">
        <f>Ruimtestaat[[#This Row],[Prest. (m2 /jaar) weekend]]+Ruimtestaat[[#This Row],[Prest. (m2 /jaar) werkdagen]]</f>
        <v>14519.999999999998</v>
      </c>
      <c r="AE674" s="179">
        <f>Ruimtestaat[[#This Row],[uren / jaar weekend]]+Ruimtestaat[[#This Row],[uren / jaar werkdagen]]</f>
        <v>0</v>
      </c>
      <c r="AF674" s="174">
        <f>Ruimtestaat[[#This Row],[kosten / jaar weekend]]+Ruimtestaat[[#This Row],[kosten / jaar werkdagen]]</f>
        <v>0</v>
      </c>
      <c r="AG674" s="174"/>
      <c r="AH674" s="174" t="str">
        <f>IF(Ruimtestaat[[#This Row],[Frequentie werkdagen]]="","",_xlfn.CONCAT(Ruimtestaat[[#This Row],[Ruimte code]],"-",Ruimtestaat[[#This Row],[Frequentie werkdagen]]," ",Ruimtestaat[[#This Row],[Vloer code]]))</f>
        <v>16-5w L</v>
      </c>
      <c r="AI674" s="182" t="str">
        <f>_xlfn.IFNA(VLOOKUP($AH674,Programma!$F$3:$G$1101,2,0),"")</f>
        <v>_</v>
      </c>
      <c r="AJ674" s="182" t="str">
        <f>_xlfn.IFNA(VLOOKUP($AH674,Programma!$F$3:$H$1101,3,0),"")</f>
        <v>_</v>
      </c>
      <c r="AK674" s="182" t="str">
        <f>_xlfn.IFNA(VLOOKUP($AH674,Programma!$F$3:$I$1101,4,0),"")</f>
        <v>4w</v>
      </c>
      <c r="AL674" s="182" t="str">
        <f>_xlfn.IFNA(VLOOKUP($AH674,Programma!$F$3:$J$1101,5,0),"")</f>
        <v>1w</v>
      </c>
      <c r="AM674" s="182" t="str">
        <f>_xlfn.IFNA(VLOOKUP($AH674,Programma!$F$3:$K$1101,6,0),"")</f>
        <v>_</v>
      </c>
      <c r="AN674" s="182" t="str">
        <f>_xlfn.IFNA(VLOOKUP($AH674,Programma!$F$3:$L$1101,7,0),"")</f>
        <v>_</v>
      </c>
      <c r="AO674" s="182" t="str">
        <f>_xlfn.IFNA(VLOOKUP($AH674,Programma!$F$3:$M$1101,8,0),"")</f>
        <v>_</v>
      </c>
      <c r="AP674" s="182" t="str">
        <f>_xlfn.IFNA(VLOOKUP($AH674,Programma!$F$3:$N$1101,9,0),"")</f>
        <v>_</v>
      </c>
      <c r="AQ674" s="182" t="str">
        <f>_xlfn.IFNA(VLOOKUP($AH674,Programma!$F$3:$O$1101,10,0),"")</f>
        <v>5w</v>
      </c>
      <c r="AR674" s="182" t="str">
        <f>_xlfn.IFNA(VLOOKUP($AH674,Programma!$F$3:$P$1101,11,0),"")</f>
        <v>5w</v>
      </c>
      <c r="AS674" s="182" t="str">
        <f>_xlfn.IFNA(VLOOKUP($AH674,Programma!$F$3:$Q$1101,12,0),"")</f>
        <v>1w</v>
      </c>
      <c r="AT674" s="182" t="str">
        <f>_xlfn.IFNA(VLOOKUP($AH674,Programma!$F$3:$R$1101,13,0),"")</f>
        <v>1w</v>
      </c>
      <c r="AU674" s="182" t="str">
        <f>_xlfn.IFNA(VLOOKUP($AH674,Programma!$F$3:$S$1101,14,0),"")</f>
        <v>1m</v>
      </c>
      <c r="AV674" s="182" t="str">
        <f>_xlfn.IFNA(VLOOKUP($AH674,Programma!$F$3:$T$1101,15,0),"")</f>
        <v>2j</v>
      </c>
      <c r="AW674" s="182" t="str">
        <f>_xlfn.IFNA(VLOOKUP($AH674,Programma!$F$3:$U$1101,16,0),"")</f>
        <v>1j</v>
      </c>
      <c r="AX674" s="182" t="str">
        <f>_xlfn.IFNA(VLOOKUP($AH674,Programma!$F$3:$V$1101,17,0),"")</f>
        <v>_</v>
      </c>
      <c r="AY674" s="182" t="str">
        <f>_xlfn.IFNA(VLOOKUP($AH674,Programma!$F$3:$W$1101,18,0),"")</f>
        <v>_</v>
      </c>
      <c r="AZ674" s="182" t="str">
        <f>_xlfn.IFNA(VLOOKUP($AH674,Programma!$F$3:$X$1101,19,0),"")</f>
        <v>_</v>
      </c>
      <c r="BA674" s="182" t="str">
        <f>_xlfn.IFNA(VLOOKUP($AH674,Programma!$F$3:$Y$1101,20,0),"")</f>
        <v>_</v>
      </c>
      <c r="BB674" s="182"/>
      <c r="BC674" s="174" t="str">
        <f>IF(Ruimtestaat[[#This Row],[Frequentie weekend]]="","",_xlfn.CONCAT(Ruimtestaat[[#This Row],[Ruimte code]],"-",Ruimtestaat[[#This Row],[Frequentie weekend]]," ",Ruimtestaat[[#This Row],[Vloer code]]))</f>
        <v/>
      </c>
      <c r="BD674" s="182" t="str">
        <f>_xlfn.IFNA(VLOOKUP($BC674,Programma!$F$3:$G$1101,2,0),"")</f>
        <v/>
      </c>
      <c r="BE674" s="182" t="str">
        <f>_xlfn.IFNA(VLOOKUP($BC674,Programma!$F$3:$H$1101,3,0),"")</f>
        <v/>
      </c>
      <c r="BF674" s="182" t="str">
        <f>_xlfn.IFNA(VLOOKUP($BC674,Programma!$F$3:$I$1101,4,0),"")</f>
        <v/>
      </c>
      <c r="BG674" s="182" t="str">
        <f>_xlfn.IFNA(VLOOKUP($BC674,Programma!$F$3:$J$1101,5,0),"")</f>
        <v/>
      </c>
      <c r="BH674" s="182" t="str">
        <f>_xlfn.IFNA(VLOOKUP($BC674,Programma!$F$3:$K$1101,6,0),"")</f>
        <v/>
      </c>
      <c r="BI674" s="182" t="str">
        <f>_xlfn.IFNA(VLOOKUP($BC674,Programma!$F$3:$L$1101,7,0),"")</f>
        <v/>
      </c>
      <c r="BJ674" s="182" t="str">
        <f>_xlfn.IFNA(VLOOKUP($BC674,Programma!$F$3:$M$1101,8,0),"")</f>
        <v/>
      </c>
      <c r="BK674" s="182" t="str">
        <f>_xlfn.IFNA(VLOOKUP($BC674,Programma!$F$3:$N$1101,9,0),"")</f>
        <v/>
      </c>
      <c r="BL674" s="182" t="str">
        <f>_xlfn.IFNA(VLOOKUP($BC674,Programma!$F$3:$O$1101,10,0),"")</f>
        <v/>
      </c>
      <c r="BM674" s="182" t="str">
        <f>_xlfn.IFNA(VLOOKUP($BC674,Programma!$F$3:$P$1101,11,0),"")</f>
        <v/>
      </c>
      <c r="BN674" s="182" t="str">
        <f>_xlfn.IFNA(VLOOKUP($BC674,Programma!$F$3:$Q$1101,12,0),"")</f>
        <v/>
      </c>
      <c r="BO674" s="182" t="str">
        <f>_xlfn.IFNA(VLOOKUP($BC674,Programma!$F$3:$R$1101,13,0),"")</f>
        <v/>
      </c>
      <c r="BP674" s="182" t="str">
        <f>_xlfn.IFNA(VLOOKUP($BC674,Programma!$F$3:$S$1101,14,0),"")</f>
        <v/>
      </c>
      <c r="BQ674" s="182" t="str">
        <f>_xlfn.IFNA(VLOOKUP($BC674,Programma!$F$3:$T$1101,15,0),"")</f>
        <v/>
      </c>
      <c r="BR674" s="182" t="str">
        <f>_xlfn.IFNA(VLOOKUP($BC674,Programma!$F$3:$U$1101,16,0),"")</f>
        <v/>
      </c>
      <c r="BS674" s="182" t="str">
        <f>_xlfn.IFNA(VLOOKUP($BC674,Programma!$F$3:$V$1101,17,0),"")</f>
        <v/>
      </c>
      <c r="BT674" s="182" t="str">
        <f>_xlfn.IFNA(VLOOKUP($BC674,Programma!$F$3:$W$1101,18,0),"")</f>
        <v/>
      </c>
      <c r="BU674" s="182" t="str">
        <f>_xlfn.IFNA(VLOOKUP($BC674,Programma!$F$3:$X$1101,19,0),"")</f>
        <v/>
      </c>
      <c r="BV674" s="182" t="str">
        <f>_xlfn.IFNA(VLOOKUP($BC674,Programma!$F$3:$Y$1101,20,0),"")</f>
        <v/>
      </c>
    </row>
    <row r="675" spans="1:74" ht="15" customHeight="1">
      <c r="A675" s="99">
        <v>18</v>
      </c>
      <c r="B675" s="176" t="str">
        <f>VLOOKUP(Ruimtestaat[[#This Row],[Code]],Locaties[[Code]:[Locatie]],2,FALSE)</f>
        <v>OBS De Linde (Thij)</v>
      </c>
      <c r="C675" s="176" t="str">
        <f>VLOOKUP(Ruimtestaat[[#This Row],[Code]],Locaties[[#All],[Code]:[Adres]],4,FALSE)</f>
        <v>Zandhorstlaan 99</v>
      </c>
      <c r="D675" s="176" t="str">
        <f>VLOOKUP(Ruimtestaat[[#This Row],[Code]],Locaties[[#All],[Code]:[Postcode]],5,FALSE)</f>
        <v>7576 VR</v>
      </c>
      <c r="E675" s="176" t="str">
        <f>VLOOKUP(Ruimtestaat[[#This Row],[Code]],Locaties[#All],6,FALSE)</f>
        <v>Oldenzaal</v>
      </c>
      <c r="F675" s="183"/>
      <c r="G675" s="99" t="s">
        <v>1646</v>
      </c>
      <c r="H675" s="99" t="s">
        <v>1709</v>
      </c>
      <c r="I675" s="183" t="s">
        <v>1824</v>
      </c>
      <c r="J675" s="99">
        <v>5</v>
      </c>
      <c r="K675" s="183" t="str">
        <f>VLOOKUP(Ruimtestaat[[#This Row],[Ruimte code]],Ruimtegroepen[[#All],[Code]:[Ruimte omschrijving]],2,FALSE)</f>
        <v>Sanitair</v>
      </c>
      <c r="L675" s="99" t="s">
        <v>100</v>
      </c>
      <c r="M675" s="99" t="s">
        <v>1697</v>
      </c>
      <c r="N675" s="177">
        <v>11.54</v>
      </c>
      <c r="O675" s="177"/>
      <c r="P675" s="178" t="str">
        <f>VLOOKUP(Ruimtestaat[[#This Row],[Ruimte code]],Ruimtegroepen[],4,FALSE)</f>
        <v>Sa</v>
      </c>
      <c r="Q675" s="149">
        <v>40</v>
      </c>
      <c r="R675" s="149" t="s">
        <v>2</v>
      </c>
      <c r="S675" s="285">
        <f>IF(Q675&gt;0,IF(RIGHT(Ruimtestaat[[#This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5" s="286">
        <f>IF(S675&gt;0,VLOOKUP($J675,Ruimtegroepen[],3,FALSE)*VLOOKUP($L675,Vloersoorten[],3,FALSE)*VLOOKUP($R675,Frequenties[],3,FALSE)*VLOOKUP($A675,Locaties[],3,FALSE),0)</f>
        <v>0</v>
      </c>
      <c r="U675" s="287">
        <f>Ruimtestaat[[#This Row],[Uitvoeringen werkdagen]]*Ruimtestaat[[#This Row],[Oppervlak (netto)]]</f>
        <v>2308</v>
      </c>
      <c r="V675" s="288">
        <f>IF(T675&gt;0,Ruimtestaat[[#This Row],[Prest. (m2 /jaar) werkdagen]]/Ruimtestaat[[#This Row],[Norm (m2/uur) werkdagen]],0)</f>
        <v>0</v>
      </c>
      <c r="W675" s="289">
        <f>Ruimtestaat[[#This Row],[uren / jaar werkdagen]]*Tariefsopbouw!$E$35</f>
        <v>0</v>
      </c>
      <c r="X675" s="226"/>
      <c r="Y675" s="290">
        <f>IF(Ruimtestaat[[#This Row],[Frequentie weekend]]&gt;0,VALUE(LEFT(X675,1))*Q675,0)</f>
        <v>0</v>
      </c>
      <c r="Z675" s="287">
        <f>IF($Y675&gt;0,VLOOKUP($J675,Ruimtegroepen[],3,FALSE)*VLOOKUP($L675,Vloersoorten[],3,FALSE)*VLOOKUP($X675,Frequenties[],3,FALSE)*VLOOKUP(#REF!,Locaties[],3,FALSE),0)</f>
        <v>0</v>
      </c>
      <c r="AA675" s="291">
        <f>Ruimtestaat[[#This Row],[Uitvoeringen weekend]]*Ruimtestaat[[#This Row],[Oppervlak (netto)]]</f>
        <v>0</v>
      </c>
      <c r="AB675" s="291">
        <f>IF(Z675&gt;0,Ruimtestaat[[#This Row],[Prest. (m2 /jaar) weekend]]/Ruimtestaat[[#This Row],[Norm (m2/uur) weekend]],0)</f>
        <v>0</v>
      </c>
      <c r="AC675" s="180">
        <f>Ruimtestaat[[#This Row],[uren / jaar weekend]]*Tariefsopbouw!$D$40</f>
        <v>0</v>
      </c>
      <c r="AD675" s="179">
        <f>Ruimtestaat[[#This Row],[Prest. (m2 /jaar) weekend]]+Ruimtestaat[[#This Row],[Prest. (m2 /jaar) werkdagen]]</f>
        <v>2308</v>
      </c>
      <c r="AE675" s="179">
        <f>Ruimtestaat[[#This Row],[uren / jaar weekend]]+Ruimtestaat[[#This Row],[uren / jaar werkdagen]]</f>
        <v>0</v>
      </c>
      <c r="AF675" s="174">
        <f>Ruimtestaat[[#This Row],[kosten / jaar weekend]]+Ruimtestaat[[#This Row],[kosten / jaar werkdagen]]</f>
        <v>0</v>
      </c>
      <c r="AG675" s="174"/>
      <c r="AH675" s="174" t="str">
        <f>IF(Ruimtestaat[[#This Row],[Frequentie werkdagen]]="","",_xlfn.CONCAT(Ruimtestaat[[#This Row],[Ruimte code]],"-",Ruimtestaat[[#This Row],[Frequentie werkdagen]]," ",Ruimtestaat[[#This Row],[Vloer code]]))</f>
        <v>5-5w L</v>
      </c>
      <c r="AI675" s="182" t="str">
        <f>_xlfn.IFNA(VLOOKUP($AH675,Programma!$F$3:$G$1101,2,0),"")</f>
        <v>_</v>
      </c>
      <c r="AJ675" s="182" t="str">
        <f>_xlfn.IFNA(VLOOKUP($AH675,Programma!$F$3:$H$1101,3,0),"")</f>
        <v>_</v>
      </c>
      <c r="AK675" s="182" t="str">
        <f>_xlfn.IFNA(VLOOKUP($AH675,Programma!$F$3:$I$1101,4,0),"")</f>
        <v>_</v>
      </c>
      <c r="AL675" s="182" t="str">
        <f>_xlfn.IFNA(VLOOKUP($AH675,Programma!$F$3:$J$1101,5,0),"")</f>
        <v>4w</v>
      </c>
      <c r="AM675" s="182" t="str">
        <f>_xlfn.IFNA(VLOOKUP($AH675,Programma!$F$3:$K$1101,6,0),"")</f>
        <v>1w</v>
      </c>
      <c r="AN675" s="182" t="str">
        <f>_xlfn.IFNA(VLOOKUP($AH675,Programma!$F$3:$L$1101,7,0),"")</f>
        <v>_</v>
      </c>
      <c r="AO675" s="182" t="str">
        <f>_xlfn.IFNA(VLOOKUP($AH675,Programma!$F$3:$M$1101,8,0),"")</f>
        <v>_</v>
      </c>
      <c r="AP675" s="182" t="str">
        <f>_xlfn.IFNA(VLOOKUP($AH675,Programma!$F$3:$N$1101,9,0),"")</f>
        <v>_</v>
      </c>
      <c r="AQ675" s="182" t="str">
        <f>_xlfn.IFNA(VLOOKUP($AH675,Programma!$F$3:$O$1101,10,0),"")</f>
        <v>_</v>
      </c>
      <c r="AR675" s="182" t="str">
        <f>_xlfn.IFNA(VLOOKUP($AH675,Programma!$F$3:$P$1101,11,0),"")</f>
        <v>_</v>
      </c>
      <c r="AS675" s="182" t="str">
        <f>_xlfn.IFNA(VLOOKUP($AH675,Programma!$F$3:$Q$1101,12,0),"")</f>
        <v>_</v>
      </c>
      <c r="AT675" s="182" t="str">
        <f>_xlfn.IFNA(VLOOKUP($AH675,Programma!$F$3:$R$1101,13,0),"")</f>
        <v>_</v>
      </c>
      <c r="AU675" s="182" t="str">
        <f>_xlfn.IFNA(VLOOKUP($AH675,Programma!$F$3:$S$1101,14,0),"")</f>
        <v>_</v>
      </c>
      <c r="AV675" s="182" t="str">
        <f>_xlfn.IFNA(VLOOKUP($AH675,Programma!$F$3:$T$1101,15,0),"")</f>
        <v>_</v>
      </c>
      <c r="AW675" s="182" t="str">
        <f>_xlfn.IFNA(VLOOKUP($AH675,Programma!$F$3:$U$1101,16,0),"")</f>
        <v>_</v>
      </c>
      <c r="AX675" s="182" t="str">
        <f>_xlfn.IFNA(VLOOKUP($AH675,Programma!$F$3:$V$1101,17,0),"")</f>
        <v>_</v>
      </c>
      <c r="AY675" s="182" t="str">
        <f>_xlfn.IFNA(VLOOKUP($AH675,Programma!$F$3:$W$1101,18,0),"")</f>
        <v>4w</v>
      </c>
      <c r="AZ675" s="182" t="str">
        <f>_xlfn.IFNA(VLOOKUP($AH675,Programma!$F$3:$X$1101,19,0),"")</f>
        <v>1w</v>
      </c>
      <c r="BA675" s="182" t="str">
        <f>_xlfn.IFNA(VLOOKUP($AH675,Programma!$F$3:$Y$1101,20,0),"")</f>
        <v>_</v>
      </c>
      <c r="BB675" s="182"/>
      <c r="BC675" s="174" t="str">
        <f>IF(Ruimtestaat[[#This Row],[Frequentie weekend]]="","",_xlfn.CONCAT(Ruimtestaat[[#This Row],[Ruimte code]],"-",Ruimtestaat[[#This Row],[Frequentie weekend]]," ",Ruimtestaat[[#This Row],[Vloer code]]))</f>
        <v/>
      </c>
      <c r="BD675" s="182" t="str">
        <f>_xlfn.IFNA(VLOOKUP($BC675,Programma!$F$3:$G$1101,2,0),"")</f>
        <v/>
      </c>
      <c r="BE675" s="182" t="str">
        <f>_xlfn.IFNA(VLOOKUP($BC675,Programma!$F$3:$H$1101,3,0),"")</f>
        <v/>
      </c>
      <c r="BF675" s="182" t="str">
        <f>_xlfn.IFNA(VLOOKUP($BC675,Programma!$F$3:$I$1101,4,0),"")</f>
        <v/>
      </c>
      <c r="BG675" s="182" t="str">
        <f>_xlfn.IFNA(VLOOKUP($BC675,Programma!$F$3:$J$1101,5,0),"")</f>
        <v/>
      </c>
      <c r="BH675" s="182" t="str">
        <f>_xlfn.IFNA(VLOOKUP($BC675,Programma!$F$3:$K$1101,6,0),"")</f>
        <v/>
      </c>
      <c r="BI675" s="182" t="str">
        <f>_xlfn.IFNA(VLOOKUP($BC675,Programma!$F$3:$L$1101,7,0),"")</f>
        <v/>
      </c>
      <c r="BJ675" s="182" t="str">
        <f>_xlfn.IFNA(VLOOKUP($BC675,Programma!$F$3:$M$1101,8,0),"")</f>
        <v/>
      </c>
      <c r="BK675" s="182" t="str">
        <f>_xlfn.IFNA(VLOOKUP($BC675,Programma!$F$3:$N$1101,9,0),"")</f>
        <v/>
      </c>
      <c r="BL675" s="182" t="str">
        <f>_xlfn.IFNA(VLOOKUP($BC675,Programma!$F$3:$O$1101,10,0),"")</f>
        <v/>
      </c>
      <c r="BM675" s="182" t="str">
        <f>_xlfn.IFNA(VLOOKUP($BC675,Programma!$F$3:$P$1101,11,0),"")</f>
        <v/>
      </c>
      <c r="BN675" s="182" t="str">
        <f>_xlfn.IFNA(VLOOKUP($BC675,Programma!$F$3:$Q$1101,12,0),"")</f>
        <v/>
      </c>
      <c r="BO675" s="182" t="str">
        <f>_xlfn.IFNA(VLOOKUP($BC675,Programma!$F$3:$R$1101,13,0),"")</f>
        <v/>
      </c>
      <c r="BP675" s="182" t="str">
        <f>_xlfn.IFNA(VLOOKUP($BC675,Programma!$F$3:$S$1101,14,0),"")</f>
        <v/>
      </c>
      <c r="BQ675" s="182" t="str">
        <f>_xlfn.IFNA(VLOOKUP($BC675,Programma!$F$3:$T$1101,15,0),"")</f>
        <v/>
      </c>
      <c r="BR675" s="182" t="str">
        <f>_xlfn.IFNA(VLOOKUP($BC675,Programma!$F$3:$U$1101,16,0),"")</f>
        <v/>
      </c>
      <c r="BS675" s="182" t="str">
        <f>_xlfn.IFNA(VLOOKUP($BC675,Programma!$F$3:$V$1101,17,0),"")</f>
        <v/>
      </c>
      <c r="BT675" s="182" t="str">
        <f>_xlfn.IFNA(VLOOKUP($BC675,Programma!$F$3:$W$1101,18,0),"")</f>
        <v/>
      </c>
      <c r="BU675" s="182" t="str">
        <f>_xlfn.IFNA(VLOOKUP($BC675,Programma!$F$3:$X$1101,19,0),"")</f>
        <v/>
      </c>
      <c r="BV675" s="182" t="str">
        <f>_xlfn.IFNA(VLOOKUP($BC675,Programma!$F$3:$Y$1101,20,0),"")</f>
        <v/>
      </c>
    </row>
  </sheetData>
  <sheetProtection algorithmName="SHA-512" hashValue="scX3Cn03E1Lgawve5phbuP+IwYclxIHbQqVbZ0GP+FOyAhhyCkgne/Q/ih3hwlJp28VWnjS4kdHkBWvvwfQqMg==" saltValue="eL4o+iJWYti6M3AmaE3DkQ==" spinCount="100000" sheet="1" objects="1" scenarios="1" selectLockedCells="1"/>
  <sortState xmlns:xlrd2="http://schemas.microsoft.com/office/spreadsheetml/2017/richdata2" ref="B34:R558">
    <sortCondition ref="F34:F558"/>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2"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119"/>
  <sheetViews>
    <sheetView showGridLines="0" view="pageBreakPreview" zoomScaleNormal="100" zoomScaleSheetLayoutView="100" workbookViewId="0">
      <selection activeCell="A2" sqref="A2:H2"/>
    </sheetView>
  </sheetViews>
  <sheetFormatPr defaultColWidth="9.140625" defaultRowHeight="15" customHeight="1"/>
  <cols>
    <col min="1" max="1" width="9.7109375" style="78" customWidth="1"/>
    <col min="2" max="2" width="56.28515625" style="78" customWidth="1"/>
    <col min="3" max="3" width="14.85546875" style="99" customWidth="1"/>
    <col min="4" max="4" width="62" style="78" customWidth="1"/>
    <col min="5" max="5" width="17.7109375" style="78" bestFit="1" customWidth="1"/>
    <col min="6" max="6" width="17.7109375" style="196" bestFit="1" customWidth="1"/>
    <col min="7" max="7" width="17.7109375" style="78" bestFit="1" customWidth="1"/>
    <col min="8" max="8" width="18" style="78" bestFit="1" customWidth="1"/>
    <col min="9" max="9" width="19" style="78" customWidth="1"/>
    <col min="10" max="10" width="6.42578125" style="78" customWidth="1"/>
    <col min="11" max="11" width="9.140625" style="78"/>
    <col min="12" max="12" width="35.7109375" style="78" customWidth="1"/>
    <col min="13" max="13" width="15.85546875" style="78" customWidth="1"/>
    <col min="14" max="16384" width="9.140625" style="78"/>
  </cols>
  <sheetData>
    <row r="1" spans="1:13" s="55" customFormat="1" ht="26.25" customHeight="1">
      <c r="A1" s="363" t="s">
        <v>160</v>
      </c>
      <c r="B1" s="363"/>
      <c r="C1" s="363"/>
      <c r="D1" s="363"/>
      <c r="E1" s="363"/>
      <c r="F1" s="363"/>
      <c r="G1" s="363"/>
      <c r="H1" s="363"/>
    </row>
    <row r="2" spans="1:13" s="55" customFormat="1" ht="15" customHeight="1">
      <c r="A2" s="425" t="s">
        <v>1588</v>
      </c>
      <c r="B2" s="411"/>
      <c r="C2" s="411"/>
      <c r="D2" s="411"/>
      <c r="E2" s="411"/>
      <c r="F2" s="411"/>
      <c r="G2" s="411"/>
      <c r="H2" s="411"/>
    </row>
    <row r="3" spans="1:13" ht="15" customHeight="1">
      <c r="B3" s="99"/>
      <c r="C3" s="78"/>
      <c r="D3" s="194"/>
      <c r="E3" s="195"/>
    </row>
    <row r="4" spans="1:13" ht="15" customHeight="1">
      <c r="A4" s="78" t="s">
        <v>168</v>
      </c>
      <c r="B4" s="197"/>
      <c r="C4" s="197"/>
      <c r="D4" s="197"/>
      <c r="E4" s="197"/>
      <c r="F4" s="198"/>
      <c r="G4" s="199"/>
    </row>
    <row r="5" spans="1:13" ht="15" customHeight="1">
      <c r="A5" s="78" t="s">
        <v>221</v>
      </c>
      <c r="B5" s="197"/>
      <c r="C5" s="197"/>
      <c r="D5" s="197"/>
      <c r="E5" s="197"/>
      <c r="F5" s="198"/>
      <c r="G5" s="199"/>
    </row>
    <row r="6" spans="1:13" ht="15" customHeight="1">
      <c r="A6" s="78" t="s">
        <v>214</v>
      </c>
      <c r="B6" s="200"/>
      <c r="C6" s="201"/>
      <c r="D6" s="201"/>
      <c r="E6" s="201"/>
      <c r="F6" s="202"/>
    </row>
    <row r="7" spans="1:13" ht="15" customHeight="1">
      <c r="B7" s="200"/>
      <c r="C7" s="200"/>
      <c r="D7" s="203"/>
      <c r="E7" s="396" t="s">
        <v>243</v>
      </c>
      <c r="F7" s="396"/>
      <c r="G7" s="396"/>
      <c r="H7" s="396"/>
      <c r="I7" s="396"/>
      <c r="M7" s="204"/>
    </row>
    <row r="8" spans="1:13" s="79" customFormat="1" ht="26.25" customHeight="1">
      <c r="A8" s="283" t="s">
        <v>198</v>
      </c>
      <c r="B8" s="283" t="s">
        <v>150</v>
      </c>
      <c r="C8" s="283" t="s">
        <v>142</v>
      </c>
      <c r="D8" s="283" t="s">
        <v>1299</v>
      </c>
      <c r="E8" s="304" t="s">
        <v>1242</v>
      </c>
      <c r="F8" s="304" t="s">
        <v>1300</v>
      </c>
      <c r="G8" s="304" t="s">
        <v>1577</v>
      </c>
      <c r="H8" s="304" t="s">
        <v>1626</v>
      </c>
      <c r="I8" s="304" t="s">
        <v>1849</v>
      </c>
      <c r="M8" s="205"/>
    </row>
    <row r="9" spans="1:13" ht="15" customHeight="1">
      <c r="A9" s="211">
        <v>1</v>
      </c>
      <c r="B9" s="225" t="s">
        <v>155</v>
      </c>
      <c r="C9" s="426">
        <v>0</v>
      </c>
      <c r="D9" s="212" t="s">
        <v>151</v>
      </c>
      <c r="E9" s="206" t="e">
        <f>InvulVloer19[[#This Row],[Prijs]]*Tariefsopbouw!$I$37+InvulVloer19[[#This Row],[Prijs]]</f>
        <v>#DIV/0!</v>
      </c>
      <c r="F9" s="293" t="e">
        <f>InvulVloer19[[#This Row],[2027]]*Tariefsopbouw!$K$37+InvulVloer19[[#This Row],[2027]]</f>
        <v>#DIV/0!</v>
      </c>
      <c r="G9" s="293" t="e">
        <f>InvulVloer19[[#This Row],[2028]]*Tariefsopbouw!$M$37+InvulVloer19[[#This Row],[2028]]</f>
        <v>#DIV/0!</v>
      </c>
      <c r="H9" s="293" t="e">
        <f>InvulVloer19[[#This Row],[2029]]*Tariefsopbouw!$O$37+InvulVloer19[[#This Row],[2029]]</f>
        <v>#DIV/0!</v>
      </c>
      <c r="I9" s="293" t="e">
        <f>InvulVloer19[[#This Row],[2030]]*Tariefsopbouw!$Q$37+InvulVloer19[[#This Row],[2030]]</f>
        <v>#DIV/0!</v>
      </c>
      <c r="M9" s="204"/>
    </row>
    <row r="10" spans="1:13" ht="15" customHeight="1">
      <c r="A10" s="211">
        <v>2</v>
      </c>
      <c r="B10" s="225" t="s">
        <v>244</v>
      </c>
      <c r="C10" s="426">
        <v>0</v>
      </c>
      <c r="D10" s="212" t="s">
        <v>151</v>
      </c>
      <c r="E10" s="206" t="e">
        <f>InvulVloer19[[#This Row],[Prijs]]*Tariefsopbouw!$I$37+InvulVloer19[[#This Row],[Prijs]]</f>
        <v>#DIV/0!</v>
      </c>
      <c r="F10" s="206" t="e">
        <f>InvulVloer19[[#This Row],[2027]]*Tariefsopbouw!$K$37+InvulVloer19[[#This Row],[2027]]</f>
        <v>#DIV/0!</v>
      </c>
      <c r="G10" s="206" t="e">
        <f>InvulVloer19[[#This Row],[2028]]*Tariefsopbouw!$M$37+InvulVloer19[[#This Row],[2028]]</f>
        <v>#DIV/0!</v>
      </c>
      <c r="H10" s="206" t="e">
        <f>InvulVloer19[[#This Row],[2029]]*Tariefsopbouw!$O$37+InvulVloer19[[#This Row],[2029]]</f>
        <v>#DIV/0!</v>
      </c>
      <c r="I10" s="206" t="e">
        <f>InvulVloer19[[#This Row],[2030]]*Tariefsopbouw!$Q$37+InvulVloer19[[#This Row],[2030]]</f>
        <v>#DIV/0!</v>
      </c>
      <c r="M10" s="207"/>
    </row>
    <row r="11" spans="1:13" ht="15" customHeight="1">
      <c r="A11" s="211">
        <v>3</v>
      </c>
      <c r="B11" s="225" t="s">
        <v>156</v>
      </c>
      <c r="C11" s="426">
        <v>0</v>
      </c>
      <c r="D11" s="212" t="s">
        <v>152</v>
      </c>
      <c r="E11" s="206" t="e">
        <f>InvulVloer19[[#This Row],[Prijs]]*Tariefsopbouw!$I$37+InvulVloer19[[#This Row],[Prijs]]</f>
        <v>#DIV/0!</v>
      </c>
      <c r="F11" s="206" t="e">
        <f>InvulVloer19[[#This Row],[2027]]*Tariefsopbouw!$K$37+InvulVloer19[[#This Row],[2027]]</f>
        <v>#DIV/0!</v>
      </c>
      <c r="G11" s="206" t="e">
        <f>InvulVloer19[[#This Row],[2028]]*Tariefsopbouw!$M$37+InvulVloer19[[#This Row],[2028]]</f>
        <v>#DIV/0!</v>
      </c>
      <c r="H11" s="206" t="e">
        <f>InvulVloer19[[#This Row],[2029]]*Tariefsopbouw!$O$37+InvulVloer19[[#This Row],[2029]]</f>
        <v>#DIV/0!</v>
      </c>
      <c r="I11" s="206" t="e">
        <f>InvulVloer19[[#This Row],[2030]]*Tariefsopbouw!$Q$37+InvulVloer19[[#This Row],[2030]]</f>
        <v>#DIV/0!</v>
      </c>
      <c r="M11" s="208"/>
    </row>
    <row r="12" spans="1:13" ht="15" customHeight="1">
      <c r="A12" s="211">
        <v>4</v>
      </c>
      <c r="B12" s="225" t="s">
        <v>245</v>
      </c>
      <c r="C12" s="426">
        <v>0</v>
      </c>
      <c r="D12" s="212" t="s">
        <v>151</v>
      </c>
      <c r="E12" s="206" t="e">
        <f>InvulVloer19[[#This Row],[Prijs]]*Tariefsopbouw!$I$37+InvulVloer19[[#This Row],[Prijs]]</f>
        <v>#DIV/0!</v>
      </c>
      <c r="F12" s="206" t="e">
        <f>InvulVloer19[[#This Row],[2027]]*Tariefsopbouw!$K$37+InvulVloer19[[#This Row],[2027]]</f>
        <v>#DIV/0!</v>
      </c>
      <c r="G12" s="206" t="e">
        <f>InvulVloer19[[#This Row],[2028]]*Tariefsopbouw!$M$37+InvulVloer19[[#This Row],[2028]]</f>
        <v>#DIV/0!</v>
      </c>
      <c r="H12" s="206" t="e">
        <f>InvulVloer19[[#This Row],[2029]]*Tariefsopbouw!$O$37+InvulVloer19[[#This Row],[2029]]</f>
        <v>#DIV/0!</v>
      </c>
      <c r="I12" s="206" t="e">
        <f>InvulVloer19[[#This Row],[2030]]*Tariefsopbouw!$Q$37+InvulVloer19[[#This Row],[2030]]</f>
        <v>#DIV/0!</v>
      </c>
    </row>
    <row r="13" spans="1:13" ht="15" customHeight="1">
      <c r="A13" s="211">
        <v>5</v>
      </c>
      <c r="B13" s="225" t="s">
        <v>246</v>
      </c>
      <c r="C13" s="426">
        <v>0</v>
      </c>
      <c r="D13" s="212" t="s">
        <v>151</v>
      </c>
      <c r="E13" s="206" t="e">
        <f>InvulVloer19[[#This Row],[Prijs]]*Tariefsopbouw!$I$37+InvulVloer19[[#This Row],[Prijs]]</f>
        <v>#DIV/0!</v>
      </c>
      <c r="F13" s="206" t="e">
        <f>InvulVloer19[[#This Row],[2027]]*Tariefsopbouw!$K$37+InvulVloer19[[#This Row],[2027]]</f>
        <v>#DIV/0!</v>
      </c>
      <c r="G13" s="206" t="e">
        <f>InvulVloer19[[#This Row],[2028]]*Tariefsopbouw!$M$37+InvulVloer19[[#This Row],[2028]]</f>
        <v>#DIV/0!</v>
      </c>
      <c r="H13" s="206" t="e">
        <f>InvulVloer19[[#This Row],[2029]]*Tariefsopbouw!$O$37+InvulVloer19[[#This Row],[2029]]</f>
        <v>#DIV/0!</v>
      </c>
      <c r="I13" s="206" t="e">
        <f>InvulVloer19[[#This Row],[2030]]*Tariefsopbouw!$Q$37+InvulVloer19[[#This Row],[2030]]</f>
        <v>#DIV/0!</v>
      </c>
    </row>
    <row r="14" spans="1:13" ht="15" customHeight="1">
      <c r="A14" s="211">
        <v>6</v>
      </c>
      <c r="B14" s="225" t="s">
        <v>157</v>
      </c>
      <c r="C14" s="426">
        <v>0</v>
      </c>
      <c r="D14" s="212" t="s">
        <v>151</v>
      </c>
      <c r="E14" s="206" t="e">
        <f>InvulVloer19[[#This Row],[Prijs]]*Tariefsopbouw!$I$37+InvulVloer19[[#This Row],[Prijs]]</f>
        <v>#DIV/0!</v>
      </c>
      <c r="F14" s="206" t="e">
        <f>InvulVloer19[[#This Row],[2027]]*Tariefsopbouw!$K$37+InvulVloer19[[#This Row],[2027]]</f>
        <v>#DIV/0!</v>
      </c>
      <c r="G14" s="206" t="e">
        <f>InvulVloer19[[#This Row],[2028]]*Tariefsopbouw!$M$37+InvulVloer19[[#This Row],[2028]]</f>
        <v>#DIV/0!</v>
      </c>
      <c r="H14" s="206" t="e">
        <f>InvulVloer19[[#This Row],[2029]]*Tariefsopbouw!$O$37+InvulVloer19[[#This Row],[2029]]</f>
        <v>#DIV/0!</v>
      </c>
      <c r="I14" s="206" t="e">
        <f>InvulVloer19[[#This Row],[2030]]*Tariefsopbouw!$Q$37+InvulVloer19[[#This Row],[2030]]</f>
        <v>#DIV/0!</v>
      </c>
    </row>
    <row r="15" spans="1:13" ht="15" customHeight="1">
      <c r="A15" s="211">
        <v>7</v>
      </c>
      <c r="B15" s="225" t="s">
        <v>1584</v>
      </c>
      <c r="C15" s="426">
        <v>0</v>
      </c>
      <c r="D15" s="212" t="s">
        <v>151</v>
      </c>
      <c r="E15" s="206" t="e">
        <f>InvulVloer19[[#This Row],[Prijs]]*Tariefsopbouw!$I$37+InvulVloer19[[#This Row],[Prijs]]</f>
        <v>#DIV/0!</v>
      </c>
      <c r="F15" s="294" t="e">
        <f>InvulVloer19[[#This Row],[2027]]*Tariefsopbouw!$K$37+InvulVloer19[[#This Row],[2027]]</f>
        <v>#DIV/0!</v>
      </c>
      <c r="G15" s="206" t="e">
        <f>InvulVloer19[[#This Row],[2028]]*Tariefsopbouw!$M$37+InvulVloer19[[#This Row],[2028]]</f>
        <v>#DIV/0!</v>
      </c>
      <c r="H15" s="206" t="e">
        <f>InvulVloer19[[#This Row],[2029]]*Tariefsopbouw!$O$37+InvulVloer19[[#This Row],[2029]]</f>
        <v>#DIV/0!</v>
      </c>
      <c r="I15" s="206" t="e">
        <f>InvulVloer19[[#This Row],[2030]]*Tariefsopbouw!$Q$37+InvulVloer19[[#This Row],[2030]]</f>
        <v>#DIV/0!</v>
      </c>
    </row>
    <row r="16" spans="1:13" ht="15" customHeight="1">
      <c r="A16" s="211">
        <v>8</v>
      </c>
      <c r="B16" s="212" t="s">
        <v>159</v>
      </c>
      <c r="C16" s="426">
        <v>0</v>
      </c>
      <c r="D16" s="212" t="s">
        <v>151</v>
      </c>
      <c r="E16" s="206" t="e">
        <f>InvulVloer19[[#This Row],[Prijs]]*Tariefsopbouw!$I$37+InvulVloer19[[#This Row],[Prijs]]</f>
        <v>#DIV/0!</v>
      </c>
      <c r="F16" s="206" t="e">
        <f>InvulVloer19[[#This Row],[2027]]*Tariefsopbouw!$K$37+InvulVloer19[[#This Row],[2027]]</f>
        <v>#DIV/0!</v>
      </c>
      <c r="G16" s="206" t="e">
        <f>InvulVloer19[[#This Row],[2028]]*Tariefsopbouw!$M$37+InvulVloer19[[#This Row],[2028]]</f>
        <v>#DIV/0!</v>
      </c>
      <c r="H16" s="206" t="e">
        <f>InvulVloer19[[#This Row],[2029]]*Tariefsopbouw!$O$37+InvulVloer19[[#This Row],[2029]]</f>
        <v>#DIV/0!</v>
      </c>
      <c r="I16" s="206" t="e">
        <f>InvulVloer19[[#This Row],[2030]]*Tariefsopbouw!$Q$37+InvulVloer19[[#This Row],[2030]]</f>
        <v>#DIV/0!</v>
      </c>
    </row>
    <row r="17" spans="1:13" ht="15" customHeight="1">
      <c r="A17" s="211">
        <v>9</v>
      </c>
      <c r="B17" s="296" t="s">
        <v>186</v>
      </c>
      <c r="C17" s="426">
        <v>0</v>
      </c>
      <c r="D17" s="212" t="s">
        <v>151</v>
      </c>
      <c r="E17" s="206" t="e">
        <f>InvulVloer19[[#This Row],[Prijs]]*Tariefsopbouw!$I$37+InvulVloer19[[#This Row],[Prijs]]</f>
        <v>#DIV/0!</v>
      </c>
      <c r="F17" s="206" t="e">
        <f>InvulVloer19[[#This Row],[2027]]*Tariefsopbouw!$K$37+InvulVloer19[[#This Row],[2027]]</f>
        <v>#DIV/0!</v>
      </c>
      <c r="G17" s="206" t="e">
        <f>InvulVloer19[[#This Row],[2028]]*Tariefsopbouw!$M$37+InvulVloer19[[#This Row],[2028]]</f>
        <v>#DIV/0!</v>
      </c>
      <c r="H17" s="206" t="e">
        <f>InvulVloer19[[#This Row],[2029]]*Tariefsopbouw!$O$37+InvulVloer19[[#This Row],[2029]]</f>
        <v>#DIV/0!</v>
      </c>
      <c r="I17" s="206" t="e">
        <f>InvulVloer19[[#This Row],[2030]]*Tariefsopbouw!$Q$37+InvulVloer19[[#This Row],[2030]]</f>
        <v>#DIV/0!</v>
      </c>
    </row>
    <row r="18" spans="1:13" ht="15" customHeight="1">
      <c r="A18" s="211">
        <v>10</v>
      </c>
      <c r="B18" s="296" t="s">
        <v>1825</v>
      </c>
      <c r="C18" s="426">
        <v>0</v>
      </c>
      <c r="D18" s="212" t="s">
        <v>151</v>
      </c>
      <c r="E18" s="292" t="e">
        <f>InvulVloer19[[#This Row],[Prijs]]*Tariefsopbouw!$I$37+InvulVloer19[[#This Row],[Prijs]]</f>
        <v>#DIV/0!</v>
      </c>
      <c r="F18" s="295" t="e">
        <f>InvulVloer19[[#This Row],[2027]]*Tariefsopbouw!$K$37+InvulVloer19[[#This Row],[2027]]</f>
        <v>#DIV/0!</v>
      </c>
      <c r="G18" s="292" t="e">
        <f>InvulVloer19[[#This Row],[2028]]*Tariefsopbouw!$M$37+InvulVloer19[[#This Row],[2028]]</f>
        <v>#DIV/0!</v>
      </c>
      <c r="H18" s="292" t="e">
        <f>InvulVloer19[[#This Row],[2029]]*Tariefsopbouw!$O$37+InvulVloer19[[#This Row],[2029]]</f>
        <v>#DIV/0!</v>
      </c>
      <c r="I18" s="292" t="e">
        <f>InvulVloer19[[#This Row],[2030]]*Tariefsopbouw!$Q$37+InvulVloer19[[#This Row],[2030]]</f>
        <v>#DIV/0!</v>
      </c>
    </row>
    <row r="19" spans="1:13" ht="15" customHeight="1">
      <c r="B19" s="99"/>
      <c r="E19" s="209"/>
      <c r="F19" s="210"/>
      <c r="G19" s="209"/>
      <c r="H19" s="209"/>
    </row>
    <row r="20" spans="1:13" s="149" customFormat="1" ht="26.25" customHeight="1">
      <c r="A20" s="283" t="s">
        <v>197</v>
      </c>
      <c r="B20" s="283" t="s">
        <v>135</v>
      </c>
      <c r="C20" s="283" t="s">
        <v>198</v>
      </c>
      <c r="D20" s="283" t="s">
        <v>226</v>
      </c>
      <c r="E20" s="283" t="s">
        <v>153</v>
      </c>
      <c r="F20" s="283" t="s">
        <v>154</v>
      </c>
      <c r="G20" s="283" t="s">
        <v>158</v>
      </c>
      <c r="H20" s="283" t="s">
        <v>137</v>
      </c>
      <c r="I20" s="283" t="s">
        <v>1260</v>
      </c>
    </row>
    <row r="21" spans="1:13" ht="14.25" customHeight="1">
      <c r="A21" s="211">
        <v>1</v>
      </c>
      <c r="B21" s="212" t="str">
        <f>VLOOKUP(OverzichtVloer20[[#This Row],[Code Locatie]],Locaties[],2,0)</f>
        <v xml:space="preserve">OBS Molenbeek </v>
      </c>
      <c r="C21" s="211">
        <v>4</v>
      </c>
      <c r="D21" s="203" t="str">
        <f>IF(Vloeronderhoud!$C21&gt;0,VLOOKUP(Vloeronderhoud!$C21,$A$8:$B$18,2,FALSE),"")</f>
        <v>Tapijtreinigen, sproei-extractiemethode</v>
      </c>
      <c r="E21" s="214" t="s">
        <v>99</v>
      </c>
      <c r="F21" s="215">
        <f>SUMIFS('Ruimtestaat'!$N:$N,'Ruimtestaat'!L:L,Vloeronderhoud!E21,'Ruimtestaat'!A:A,Vloeronderhoud!A21)</f>
        <v>53.9</v>
      </c>
      <c r="G21" s="197">
        <v>1</v>
      </c>
      <c r="H21" s="216">
        <f>VLOOKUP(OverzichtVloer20[[#This Row],[Code Taak]],InvulVloer19[],3,3)*F21*G21</f>
        <v>0</v>
      </c>
      <c r="I21" s="217">
        <f>OverzichtVloer20[[#This Row],[Kosten/jaar excl. BTW]]*1.21</f>
        <v>0</v>
      </c>
      <c r="M21" s="204"/>
    </row>
    <row r="22" spans="1:13" ht="14.25" customHeight="1">
      <c r="A22" s="211">
        <v>1</v>
      </c>
      <c r="B22" s="212" t="str">
        <f>VLOOKUP(OverzichtVloer20[[#This Row],[Code Locatie]],Locaties[],2,0)</f>
        <v xml:space="preserve">OBS Molenbeek </v>
      </c>
      <c r="C22" s="211">
        <v>9</v>
      </c>
      <c r="D22" s="203" t="str">
        <f>IF(Vloeronderhoud!$C22&gt;0,VLOOKUP(Vloeronderhoud!$C22,$A$8:$B$18,2,FALSE),"")</f>
        <v>Machinaal schrobben en droogzuigen</v>
      </c>
      <c r="E22" s="214" t="s">
        <v>101</v>
      </c>
      <c r="F22" s="215">
        <f>SUMIFS('Ruimtestaat'!$N:$N,'Ruimtestaat'!L:L,Vloeronderhoud!E22,'Ruimtestaat'!A:A,Vloeronderhoud!A22)</f>
        <v>27.400000000000002</v>
      </c>
      <c r="G22" s="197">
        <v>1</v>
      </c>
      <c r="H22" s="216">
        <f>VLOOKUP(OverzichtVloer20[[#This Row],[Code Taak]],InvulVloer19[],3,3)*F22*G22</f>
        <v>0</v>
      </c>
      <c r="I22" s="217">
        <f>OverzichtVloer20[[#This Row],[Kosten/jaar excl. BTW]]*1.21</f>
        <v>0</v>
      </c>
      <c r="M22" s="204"/>
    </row>
    <row r="23" spans="1:13" ht="14.25" customHeight="1">
      <c r="A23" s="211">
        <v>1</v>
      </c>
      <c r="B23" s="212" t="str">
        <f>VLOOKUP(OverzichtVloer20[[#This Row],[Code Locatie]],Locaties[],2,0)</f>
        <v xml:space="preserve">OBS Molenbeek </v>
      </c>
      <c r="C23" s="211">
        <v>9</v>
      </c>
      <c r="D23" s="203" t="str">
        <f>IF(Vloeronderhoud!$C23&gt;0,VLOOKUP(Vloeronderhoud!$C23,$A$8:$B$18,2,FALSE),"")</f>
        <v>Machinaal schrobben en droogzuigen</v>
      </c>
      <c r="E23" s="214" t="s">
        <v>102</v>
      </c>
      <c r="F23" s="215">
        <f>SUMIFS('Ruimtestaat'!$N:$N,'Ruimtestaat'!L:L,Vloeronderhoud!E23,'Ruimtestaat'!A:A,Vloeronderhoud!A23)</f>
        <v>877.39999999999986</v>
      </c>
      <c r="G23" s="197">
        <v>1</v>
      </c>
      <c r="H23" s="216">
        <f>VLOOKUP(OverzichtVloer20[[#This Row],[Code Taak]],InvulVloer19[],3,3)*F23*G23</f>
        <v>0</v>
      </c>
      <c r="I23" s="217">
        <f>OverzichtVloer20[[#This Row],[Kosten/jaar excl. BTW]]*1.21</f>
        <v>0</v>
      </c>
      <c r="M23" s="204"/>
    </row>
    <row r="24" spans="1:13" ht="14.25" customHeight="1">
      <c r="A24" s="211">
        <v>2</v>
      </c>
      <c r="B24" s="212" t="str">
        <f>VLOOKUP(OverzichtVloer20[[#This Row],[Code Locatie]],Locaties[],2,0)</f>
        <v>IST Primary Campus</v>
      </c>
      <c r="C24" s="211">
        <v>1</v>
      </c>
      <c r="D24" s="203" t="str">
        <f>IF(Vloeronderhoud!$C24&gt;0,VLOOKUP(Vloeronderhoud!$C24,$A$8:$B$18,2,FALSE),"")</f>
        <v>Sprayen/opblokken</v>
      </c>
      <c r="E24" s="214" t="s">
        <v>100</v>
      </c>
      <c r="F24" s="215">
        <f>SUMIFS('Ruimtestaat'!$N:$N,'Ruimtestaat'!L:L,Vloeronderhoud!E24,'Ruimtestaat'!A:A,Vloeronderhoud!A24)</f>
        <v>793.90000000000009</v>
      </c>
      <c r="G24" s="197">
        <v>1</v>
      </c>
      <c r="H24" s="216">
        <f>VLOOKUP(OverzichtVloer20[[#This Row],[Code Taak]],InvulVloer19[],3,3)*F24*G24</f>
        <v>0</v>
      </c>
      <c r="I24" s="217">
        <f>OverzichtVloer20[[#This Row],[Kosten/jaar excl. BTW]]*1.21</f>
        <v>0</v>
      </c>
      <c r="M24" s="204"/>
    </row>
    <row r="25" spans="1:13" ht="14.25" customHeight="1">
      <c r="A25" s="211">
        <v>2</v>
      </c>
      <c r="B25" s="212" t="str">
        <f>VLOOKUP(OverzichtVloer20[[#This Row],[Code Locatie]],Locaties[],2,0)</f>
        <v>IST Primary Campus</v>
      </c>
      <c r="C25" s="211">
        <v>2</v>
      </c>
      <c r="D25" s="203" t="str">
        <f>IF(Vloeronderhoud!$C25&gt;0,VLOOKUP(Vloeronderhoud!$C25,$A$8:$B$18,2,FALSE),"")</f>
        <v>Topstrippen en conserveren</v>
      </c>
      <c r="E25" s="214" t="s">
        <v>100</v>
      </c>
      <c r="F25" s="215">
        <f>SUMIFS('Ruimtestaat'!$N:$N,'Ruimtestaat'!L:L,Vloeronderhoud!E25,'Ruimtestaat'!A:A,Vloeronderhoud!A25)</f>
        <v>793.90000000000009</v>
      </c>
      <c r="G25" s="197">
        <v>1</v>
      </c>
      <c r="H25" s="216">
        <f>VLOOKUP(OverzichtVloer20[[#This Row],[Code Taak]],InvulVloer19[],3,3)*F25*G25</f>
        <v>0</v>
      </c>
      <c r="I25" s="217">
        <f>OverzichtVloer20[[#This Row],[Kosten/jaar excl. BTW]]*1.21</f>
        <v>0</v>
      </c>
      <c r="M25" s="204"/>
    </row>
    <row r="26" spans="1:13" ht="14.25" customHeight="1">
      <c r="A26" s="211">
        <v>2</v>
      </c>
      <c r="B26" s="212" t="str">
        <f>VLOOKUP(OverzichtVloer20[[#This Row],[Code Locatie]],Locaties[],2,0)</f>
        <v>IST Primary Campus</v>
      </c>
      <c r="C26" s="211">
        <v>3</v>
      </c>
      <c r="D26" s="203" t="str">
        <f>IF(Vloeronderhoud!$C26&gt;0,VLOOKUP(Vloeronderhoud!$C26,$A$8:$B$18,2,FALSE),"")</f>
        <v>Diepstrippen, sealen en conserveren</v>
      </c>
      <c r="E26" s="214" t="s">
        <v>100</v>
      </c>
      <c r="F26" s="215">
        <f>SUMIFS('Ruimtestaat'!$N:$N,'Ruimtestaat'!L:L,Vloeronderhoud!E26,'Ruimtestaat'!A:A,Vloeronderhoud!A26)</f>
        <v>793.90000000000009</v>
      </c>
      <c r="G26" s="197">
        <v>0.25</v>
      </c>
      <c r="H26" s="216">
        <f>VLOOKUP(OverzichtVloer20[[#This Row],[Code Taak]],InvulVloer19[],3,3)*F26*G26</f>
        <v>0</v>
      </c>
      <c r="I26" s="217">
        <f>OverzichtVloer20[[#This Row],[Kosten/jaar excl. BTW]]*1.21</f>
        <v>0</v>
      </c>
      <c r="M26" s="204"/>
    </row>
    <row r="27" spans="1:13" ht="14.25" customHeight="1">
      <c r="A27" s="211">
        <v>2</v>
      </c>
      <c r="B27" s="212" t="str">
        <f>VLOOKUP(OverzichtVloer20[[#This Row],[Code Locatie]],Locaties[],2,0)</f>
        <v>IST Primary Campus</v>
      </c>
      <c r="C27" s="211">
        <v>4</v>
      </c>
      <c r="D27" s="203" t="str">
        <f>IF(Vloeronderhoud!$C27&gt;0,VLOOKUP(Vloeronderhoud!$C27,$A$8:$B$18,2,FALSE),"")</f>
        <v>Tapijtreinigen, sproei-extractiemethode</v>
      </c>
      <c r="E27" s="214" t="s">
        <v>99</v>
      </c>
      <c r="F27" s="215">
        <f>SUMIFS('Ruimtestaat'!$N:$N,'Ruimtestaat'!L:L,Vloeronderhoud!E27,'Ruimtestaat'!A:A,Vloeronderhoud!A27)</f>
        <v>89.8</v>
      </c>
      <c r="G27" s="197">
        <v>1</v>
      </c>
      <c r="H27" s="216">
        <f>VLOOKUP(OverzichtVloer20[[#This Row],[Code Taak]],InvulVloer19[],3,3)*F27*G27</f>
        <v>0</v>
      </c>
      <c r="I27" s="217">
        <f>OverzichtVloer20[[#This Row],[Kosten/jaar excl. BTW]]*1.21</f>
        <v>0</v>
      </c>
      <c r="M27" s="204"/>
    </row>
    <row r="28" spans="1:13" ht="14.25" customHeight="1">
      <c r="A28" s="211">
        <v>2</v>
      </c>
      <c r="B28" s="212" t="str">
        <f>VLOOKUP(OverzichtVloer20[[#This Row],[Code Locatie]],Locaties[],2,0)</f>
        <v>IST Primary Campus</v>
      </c>
      <c r="C28" s="211">
        <v>9</v>
      </c>
      <c r="D28" s="203" t="str">
        <f>IF(Vloeronderhoud!$C28&gt;0,VLOOKUP(Vloeronderhoud!$C28,$A$8:$B$18,2,FALSE),"")</f>
        <v>Machinaal schrobben en droogzuigen</v>
      </c>
      <c r="E28" s="214" t="s">
        <v>101</v>
      </c>
      <c r="F28" s="215">
        <f>SUMIFS('Ruimtestaat'!$N:$N,'Ruimtestaat'!L:L,Vloeronderhoud!E28,'Ruimtestaat'!A:A,Vloeronderhoud!A28)</f>
        <v>43.900000000000006</v>
      </c>
      <c r="G28" s="197">
        <v>1</v>
      </c>
      <c r="H28" s="216">
        <f>VLOOKUP(OverzichtVloer20[[#This Row],[Code Taak]],InvulVloer19[],3,3)*F28*G28</f>
        <v>0</v>
      </c>
      <c r="I28" s="217">
        <f>OverzichtVloer20[[#This Row],[Kosten/jaar excl. BTW]]*1.21</f>
        <v>0</v>
      </c>
      <c r="M28" s="204"/>
    </row>
    <row r="29" spans="1:13" ht="14.25" customHeight="1">
      <c r="A29" s="211">
        <v>2</v>
      </c>
      <c r="B29" s="212" t="str">
        <f>VLOOKUP(OverzichtVloer20[[#This Row],[Code Locatie]],Locaties[],2,0)</f>
        <v>IST Primary Campus</v>
      </c>
      <c r="C29" s="211">
        <v>9</v>
      </c>
      <c r="D29" s="203" t="str">
        <f>IF(Vloeronderhoud!$C29&gt;0,VLOOKUP(Vloeronderhoud!$C29,$A$8:$B$18,2,FALSE),"")</f>
        <v>Machinaal schrobben en droogzuigen</v>
      </c>
      <c r="E29" s="214" t="s">
        <v>102</v>
      </c>
      <c r="F29" s="215">
        <f>SUMIFS('Ruimtestaat'!$N:$N,'Ruimtestaat'!L:L,Vloeronderhoud!E29,'Ruimtestaat'!A:A,Vloeronderhoud!A29)</f>
        <v>87.9</v>
      </c>
      <c r="G29" s="197">
        <v>1</v>
      </c>
      <c r="H29" s="216">
        <f>VLOOKUP(OverzichtVloer20[[#This Row],[Code Taak]],InvulVloer19[],3,3)*F29*G29</f>
        <v>0</v>
      </c>
      <c r="I29" s="217">
        <f>OverzichtVloer20[[#This Row],[Kosten/jaar excl. BTW]]*1.21</f>
        <v>0</v>
      </c>
      <c r="M29" s="204"/>
    </row>
    <row r="30" spans="1:13" ht="14.25" customHeight="1">
      <c r="A30" s="211">
        <v>3</v>
      </c>
      <c r="B30" s="212" t="str">
        <f>VLOOKUP(OverzichtVloer20[[#This Row],[Code Locatie]],Locaties[],2,0)</f>
        <v>OBS De Spinner</v>
      </c>
      <c r="C30" s="211">
        <v>4</v>
      </c>
      <c r="D30" s="203" t="str">
        <f>IF(Vloeronderhoud!$C30&gt;0,VLOOKUP(Vloeronderhoud!$C30,$A$8:$B$18,2,FALSE),"")</f>
        <v>Tapijtreinigen, sproei-extractiemethode</v>
      </c>
      <c r="E30" s="214" t="s">
        <v>99</v>
      </c>
      <c r="F30" s="215">
        <f>SUMIFS('Ruimtestaat'!$N:$N,'Ruimtestaat'!L:L,Vloeronderhoud!E30,'Ruimtestaat'!A:A,Vloeronderhoud!A30)</f>
        <v>77.099999999999994</v>
      </c>
      <c r="G30" s="197">
        <v>1</v>
      </c>
      <c r="H30" s="216">
        <f>VLOOKUP(OverzichtVloer20[[#This Row],[Code Taak]],InvulVloer19[],3,3)*F30*G30</f>
        <v>0</v>
      </c>
      <c r="I30" s="217">
        <f>OverzichtVloer20[[#This Row],[Kosten/jaar excl. BTW]]*1.21</f>
        <v>0</v>
      </c>
      <c r="M30" s="204"/>
    </row>
    <row r="31" spans="1:13" ht="14.25" customHeight="1">
      <c r="A31" s="211">
        <v>3</v>
      </c>
      <c r="B31" s="212" t="str">
        <f>VLOOKUP(OverzichtVloer20[[#This Row],[Code Locatie]],Locaties[],2,0)</f>
        <v>OBS De Spinner</v>
      </c>
      <c r="C31" s="211">
        <v>9</v>
      </c>
      <c r="D31" s="203" t="str">
        <f>IF(Vloeronderhoud!$C31&gt;0,VLOOKUP(Vloeronderhoud!$C31,$A$8:$B$18,2,FALSE),"")</f>
        <v>Machinaal schrobben en droogzuigen</v>
      </c>
      <c r="E31" s="214" t="s">
        <v>101</v>
      </c>
      <c r="F31" s="215">
        <f>SUMIFS('Ruimtestaat'!$N:$N,'Ruimtestaat'!L:L,Vloeronderhoud!E31,'Ruimtestaat'!A:A,Vloeronderhoud!A31)</f>
        <v>116</v>
      </c>
      <c r="G31" s="197">
        <v>1</v>
      </c>
      <c r="H31" s="216">
        <f>VLOOKUP(OverzichtVloer20[[#This Row],[Code Taak]],InvulVloer19[],3,3)*F31*G31</f>
        <v>0</v>
      </c>
      <c r="I31" s="217">
        <f>OverzichtVloer20[[#This Row],[Kosten/jaar excl. BTW]]*1.21</f>
        <v>0</v>
      </c>
      <c r="M31" s="204"/>
    </row>
    <row r="32" spans="1:13" ht="14.25" customHeight="1">
      <c r="A32" s="211">
        <v>4</v>
      </c>
      <c r="B32" s="212" t="str">
        <f>VLOOKUP(OverzichtVloer20[[#This Row],[Code Locatie]],Locaties[],2,0)</f>
        <v>OBS De Sterrenborgh</v>
      </c>
      <c r="C32" s="211">
        <v>1</v>
      </c>
      <c r="D32" s="203" t="str">
        <f>IF(Vloeronderhoud!$C32&gt;0,VLOOKUP(Vloeronderhoud!$C32,$A$8:$B$18,2,FALSE),"")</f>
        <v>Sprayen/opblokken</v>
      </c>
      <c r="E32" s="214" t="s">
        <v>100</v>
      </c>
      <c r="F32" s="215">
        <f>SUMIFS('Ruimtestaat'!$N:$N,'Ruimtestaat'!L:L,Vloeronderhoud!E32,'Ruimtestaat'!A:A,Vloeronderhoud!A32)</f>
        <v>717.9</v>
      </c>
      <c r="G32" s="197">
        <v>1</v>
      </c>
      <c r="H32" s="216">
        <f>VLOOKUP(OverzichtVloer20[[#This Row],[Code Taak]],InvulVloer19[],3,3)*F32*G32</f>
        <v>0</v>
      </c>
      <c r="I32" s="217">
        <f>OverzichtVloer20[[#This Row],[Kosten/jaar excl. BTW]]*1.21</f>
        <v>0</v>
      </c>
      <c r="M32" s="204"/>
    </row>
    <row r="33" spans="1:13" ht="14.25" customHeight="1">
      <c r="A33" s="211">
        <v>4</v>
      </c>
      <c r="B33" s="212" t="str">
        <f>VLOOKUP(OverzichtVloer20[[#This Row],[Code Locatie]],Locaties[],2,0)</f>
        <v>OBS De Sterrenborgh</v>
      </c>
      <c r="C33" s="211">
        <v>2</v>
      </c>
      <c r="D33" s="203" t="str">
        <f>IF(Vloeronderhoud!$C33&gt;0,VLOOKUP(Vloeronderhoud!$C33,$A$8:$B$18,2,FALSE),"")</f>
        <v>Topstrippen en conserveren</v>
      </c>
      <c r="E33" s="214" t="s">
        <v>100</v>
      </c>
      <c r="F33" s="215">
        <f>SUMIFS('Ruimtestaat'!$N:$N,'Ruimtestaat'!L:L,Vloeronderhoud!E33,'Ruimtestaat'!A:A,Vloeronderhoud!A33)</f>
        <v>717.9</v>
      </c>
      <c r="G33" s="197">
        <v>1</v>
      </c>
      <c r="H33" s="216">
        <f>VLOOKUP(OverzichtVloer20[[#This Row],[Code Taak]],InvulVloer19[],3,3)*F33*G33</f>
        <v>0</v>
      </c>
      <c r="I33" s="217">
        <f>OverzichtVloer20[[#This Row],[Kosten/jaar excl. BTW]]*1.21</f>
        <v>0</v>
      </c>
      <c r="M33" s="204"/>
    </row>
    <row r="34" spans="1:13" ht="14.25" customHeight="1">
      <c r="A34" s="211">
        <v>4</v>
      </c>
      <c r="B34" s="212" t="str">
        <f>VLOOKUP(OverzichtVloer20[[#This Row],[Code Locatie]],Locaties[],2,0)</f>
        <v>OBS De Sterrenborgh</v>
      </c>
      <c r="C34" s="211">
        <v>3</v>
      </c>
      <c r="D34" s="203" t="str">
        <f>IF(Vloeronderhoud!$C34&gt;0,VLOOKUP(Vloeronderhoud!$C34,$A$8:$B$18,2,FALSE),"")</f>
        <v>Diepstrippen, sealen en conserveren</v>
      </c>
      <c r="E34" s="214" t="s">
        <v>100</v>
      </c>
      <c r="F34" s="215">
        <f>SUMIFS('Ruimtestaat'!$N:$N,'Ruimtestaat'!L:L,Vloeronderhoud!E34,'Ruimtestaat'!A:A,Vloeronderhoud!A34)</f>
        <v>717.9</v>
      </c>
      <c r="G34" s="197">
        <v>0.25</v>
      </c>
      <c r="H34" s="216">
        <f>VLOOKUP(OverzichtVloer20[[#This Row],[Code Taak]],InvulVloer19[],3,3)*F34*G34</f>
        <v>0</v>
      </c>
      <c r="I34" s="217">
        <f>OverzichtVloer20[[#This Row],[Kosten/jaar excl. BTW]]*1.21</f>
        <v>0</v>
      </c>
      <c r="M34" s="204"/>
    </row>
    <row r="35" spans="1:13" ht="14.25" customHeight="1">
      <c r="A35" s="211">
        <v>4</v>
      </c>
      <c r="B35" s="212" t="str">
        <f>VLOOKUP(OverzichtVloer20[[#This Row],[Code Locatie]],Locaties[],2,0)</f>
        <v>OBS De Sterrenborgh</v>
      </c>
      <c r="C35" s="211">
        <v>4</v>
      </c>
      <c r="D35" s="203" t="str">
        <f>IF(Vloeronderhoud!$C35&gt;0,VLOOKUP(Vloeronderhoud!$C35,$A$8:$B$18,2,FALSE),"")</f>
        <v>Tapijtreinigen, sproei-extractiemethode</v>
      </c>
      <c r="E35" s="214" t="s">
        <v>99</v>
      </c>
      <c r="F35" s="215">
        <f>SUMIFS('Ruimtestaat'!$N:$N,'Ruimtestaat'!L:L,Vloeronderhoud!E35,'Ruimtestaat'!A:A,Vloeronderhoud!A35)</f>
        <v>50.9</v>
      </c>
      <c r="G35" s="197">
        <v>1</v>
      </c>
      <c r="H35" s="216">
        <f>VLOOKUP(OverzichtVloer20[[#This Row],[Code Taak]],InvulVloer19[],3,3)*F35*G35</f>
        <v>0</v>
      </c>
      <c r="I35" s="217">
        <f>OverzichtVloer20[[#This Row],[Kosten/jaar excl. BTW]]*1.21</f>
        <v>0</v>
      </c>
      <c r="M35" s="204"/>
    </row>
    <row r="36" spans="1:13" ht="14.25" customHeight="1">
      <c r="A36" s="211">
        <v>4</v>
      </c>
      <c r="B36" s="212" t="str">
        <f>VLOOKUP(OverzichtVloer20[[#This Row],[Code Locatie]],Locaties[],2,0)</f>
        <v>OBS De Sterrenborgh</v>
      </c>
      <c r="C36" s="211">
        <v>7</v>
      </c>
      <c r="D36" s="203" t="str">
        <f>IF(Vloeronderhoud!$C36&gt;0,VLOOKUP(Vloeronderhoud!$C36,$A$8:$B$18,2,FALSE),"")</f>
        <v>Olieen houten vloeren</v>
      </c>
      <c r="E36" s="214" t="s">
        <v>1309</v>
      </c>
      <c r="F36" s="215">
        <f>SUMIFS('Ruimtestaat'!$N:$N,'Ruimtestaat'!L:L,Vloeronderhoud!E36,'Ruimtestaat'!A:A,Vloeronderhoud!A36)</f>
        <v>2.7</v>
      </c>
      <c r="G36" s="197">
        <v>1</v>
      </c>
      <c r="H36" s="216">
        <f>VLOOKUP(OverzichtVloer20[[#This Row],[Code Taak]],InvulVloer19[],3,3)*F36*G36</f>
        <v>0</v>
      </c>
      <c r="I36" s="217">
        <f>OverzichtVloer20[[#This Row],[Kosten/jaar excl. BTW]]*1.21</f>
        <v>0</v>
      </c>
      <c r="M36" s="204"/>
    </row>
    <row r="37" spans="1:13" ht="14.25" customHeight="1">
      <c r="A37" s="211">
        <v>4</v>
      </c>
      <c r="B37" s="212" t="str">
        <f>VLOOKUP(OverzichtVloer20[[#This Row],[Code Locatie]],Locaties[],2,0)</f>
        <v>OBS De Sterrenborgh</v>
      </c>
      <c r="C37" s="211">
        <v>9</v>
      </c>
      <c r="D37" s="203" t="str">
        <f>IF(Vloeronderhoud!$C37&gt;0,VLOOKUP(Vloeronderhoud!$C37,$A$8:$B$18,2,FALSE),"")</f>
        <v>Machinaal schrobben en droogzuigen</v>
      </c>
      <c r="E37" s="214" t="s">
        <v>101</v>
      </c>
      <c r="F37" s="215">
        <f>SUMIFS('Ruimtestaat'!$N:$N,'Ruimtestaat'!L:L,Vloeronderhoud!E37,'Ruimtestaat'!A:A,Vloeronderhoud!A37)</f>
        <v>111.19999999999999</v>
      </c>
      <c r="G37" s="197">
        <v>1</v>
      </c>
      <c r="H37" s="216">
        <f>VLOOKUP(OverzichtVloer20[[#This Row],[Code Taak]],InvulVloer19[],3,3)*F37*G37</f>
        <v>0</v>
      </c>
      <c r="I37" s="217">
        <f>OverzichtVloer20[[#This Row],[Kosten/jaar excl. BTW]]*1.21</f>
        <v>0</v>
      </c>
      <c r="M37" s="204"/>
    </row>
    <row r="38" spans="1:13" ht="14.25" customHeight="1">
      <c r="A38" s="211">
        <v>4</v>
      </c>
      <c r="B38" s="212" t="str">
        <f>VLOOKUP(OverzichtVloer20[[#This Row],[Code Locatie]],Locaties[],2,0)</f>
        <v>OBS De Sterrenborgh</v>
      </c>
      <c r="C38" s="211">
        <v>9</v>
      </c>
      <c r="D38" s="203" t="str">
        <f>IF(Vloeronderhoud!$C38&gt;0,VLOOKUP(Vloeronderhoud!$C38,$A$8:$B$18,2,FALSE),"")</f>
        <v>Machinaal schrobben en droogzuigen</v>
      </c>
      <c r="E38" s="214" t="s">
        <v>102</v>
      </c>
      <c r="F38" s="215">
        <f>SUMIFS('Ruimtestaat'!$N:$N,'Ruimtestaat'!L:L,Vloeronderhoud!E38,'Ruimtestaat'!A:A,Vloeronderhoud!A38)</f>
        <v>171.00000000000003</v>
      </c>
      <c r="G38" s="197">
        <v>1</v>
      </c>
      <c r="H38" s="216">
        <f>VLOOKUP(OverzichtVloer20[[#This Row],[Code Taak]],InvulVloer19[],3,3)*F38*G38</f>
        <v>0</v>
      </c>
      <c r="I38" s="217">
        <f>OverzichtVloer20[[#This Row],[Kosten/jaar excl. BTW]]*1.21</f>
        <v>0</v>
      </c>
      <c r="M38" s="204"/>
    </row>
    <row r="39" spans="1:13" ht="14.25" customHeight="1">
      <c r="A39" s="211">
        <v>5</v>
      </c>
      <c r="B39" s="212" t="str">
        <f>VLOOKUP(OverzichtVloer20[[#This Row],[Code Locatie]],Locaties[],2,0)</f>
        <v>OBS Harry Bannink</v>
      </c>
      <c r="C39" s="211">
        <v>1</v>
      </c>
      <c r="D39" s="203" t="str">
        <f>IF(Vloeronderhoud!$C39&gt;0,VLOOKUP(Vloeronderhoud!$C39,$A$8:$B$18,2,FALSE),"")</f>
        <v>Sprayen/opblokken</v>
      </c>
      <c r="E39" s="214" t="s">
        <v>100</v>
      </c>
      <c r="F39" s="215">
        <f>SUMIFS('Ruimtestaat'!$N:$N,'Ruimtestaat'!L:L,Vloeronderhoud!E39,'Ruimtestaat'!A:A,Vloeronderhoud!A39)</f>
        <v>993.80000000000018</v>
      </c>
      <c r="G39" s="197">
        <v>1</v>
      </c>
      <c r="H39" s="216">
        <f>VLOOKUP(OverzichtVloer20[[#This Row],[Code Taak]],InvulVloer19[],3,3)*F39*G39</f>
        <v>0</v>
      </c>
      <c r="I39" s="217">
        <f>OverzichtVloer20[[#This Row],[Kosten/jaar excl. BTW]]*1.21</f>
        <v>0</v>
      </c>
      <c r="M39" s="204"/>
    </row>
    <row r="40" spans="1:13" ht="14.25" customHeight="1">
      <c r="A40" s="211">
        <v>5</v>
      </c>
      <c r="B40" s="212" t="str">
        <f>VLOOKUP(OverzichtVloer20[[#This Row],[Code Locatie]],Locaties[],2,0)</f>
        <v>OBS Harry Bannink</v>
      </c>
      <c r="C40" s="211">
        <v>2</v>
      </c>
      <c r="D40" s="203" t="str">
        <f>IF(Vloeronderhoud!$C40&gt;0,VLOOKUP(Vloeronderhoud!$C40,$A$8:$B$18,2,FALSE),"")</f>
        <v>Topstrippen en conserveren</v>
      </c>
      <c r="E40" s="214" t="s">
        <v>100</v>
      </c>
      <c r="F40" s="215">
        <f>SUMIFS('Ruimtestaat'!$N:$N,'Ruimtestaat'!L:L,Vloeronderhoud!E40,'Ruimtestaat'!A:A,Vloeronderhoud!A40)</f>
        <v>993.80000000000018</v>
      </c>
      <c r="G40" s="197">
        <v>1</v>
      </c>
      <c r="H40" s="216">
        <f>VLOOKUP(OverzichtVloer20[[#This Row],[Code Taak]],InvulVloer19[],3,3)*F40*G40</f>
        <v>0</v>
      </c>
      <c r="I40" s="217">
        <f>OverzichtVloer20[[#This Row],[Kosten/jaar excl. BTW]]*1.21</f>
        <v>0</v>
      </c>
      <c r="M40" s="204"/>
    </row>
    <row r="41" spans="1:13" ht="14.25" customHeight="1">
      <c r="A41" s="211">
        <v>5</v>
      </c>
      <c r="B41" s="212" t="str">
        <f>VLOOKUP(OverzichtVloer20[[#This Row],[Code Locatie]],Locaties[],2,0)</f>
        <v>OBS Harry Bannink</v>
      </c>
      <c r="C41" s="211">
        <v>3</v>
      </c>
      <c r="D41" s="203" t="str">
        <f>IF(Vloeronderhoud!$C41&gt;0,VLOOKUP(Vloeronderhoud!$C41,$A$8:$B$18,2,FALSE),"")</f>
        <v>Diepstrippen, sealen en conserveren</v>
      </c>
      <c r="E41" s="214" t="s">
        <v>100</v>
      </c>
      <c r="F41" s="215">
        <f>SUMIFS('Ruimtestaat'!$N:$N,'Ruimtestaat'!L:L,Vloeronderhoud!E41,'Ruimtestaat'!A:A,Vloeronderhoud!A41)</f>
        <v>993.80000000000018</v>
      </c>
      <c r="G41" s="197">
        <v>0.25</v>
      </c>
      <c r="H41" s="216">
        <f>VLOOKUP(OverzichtVloer20[[#This Row],[Code Taak]],InvulVloer19[],3,3)*F41*G41</f>
        <v>0</v>
      </c>
      <c r="I41" s="217">
        <f>OverzichtVloer20[[#This Row],[Kosten/jaar excl. BTW]]*1.21</f>
        <v>0</v>
      </c>
      <c r="M41" s="204"/>
    </row>
    <row r="42" spans="1:13" ht="14.25" customHeight="1">
      <c r="A42" s="211">
        <v>5</v>
      </c>
      <c r="B42" s="212" t="str">
        <f>VLOOKUP(OverzichtVloer20[[#This Row],[Code Locatie]],Locaties[],2,0)</f>
        <v>OBS Harry Bannink</v>
      </c>
      <c r="C42" s="211">
        <v>4</v>
      </c>
      <c r="D42" s="203" t="str">
        <f>IF(Vloeronderhoud!$C42&gt;0,VLOOKUP(Vloeronderhoud!$C42,$A$8:$B$18,2,FALSE),"")</f>
        <v>Tapijtreinigen, sproei-extractiemethode</v>
      </c>
      <c r="E42" s="214" t="s">
        <v>99</v>
      </c>
      <c r="F42" s="215">
        <f>SUMIFS('Ruimtestaat'!$N:$N,'Ruimtestaat'!L:L,Vloeronderhoud!E42,'Ruimtestaat'!A:A,Vloeronderhoud!A42)</f>
        <v>17.3</v>
      </c>
      <c r="G42" s="197">
        <v>1</v>
      </c>
      <c r="H42" s="216">
        <f>VLOOKUP(OverzichtVloer20[[#This Row],[Code Taak]],InvulVloer19[],3,3)*F42*G42</f>
        <v>0</v>
      </c>
      <c r="I42" s="217">
        <f>OverzichtVloer20[[#This Row],[Kosten/jaar excl. BTW]]*1.21</f>
        <v>0</v>
      </c>
      <c r="M42" s="204"/>
    </row>
    <row r="43" spans="1:13" ht="14.25" customHeight="1">
      <c r="A43" s="211">
        <v>5</v>
      </c>
      <c r="B43" s="212" t="str">
        <f>VLOOKUP(OverzichtVloer20[[#This Row],[Code Locatie]],Locaties[],2,0)</f>
        <v>OBS Harry Bannink</v>
      </c>
      <c r="C43" s="211">
        <v>9</v>
      </c>
      <c r="D43" s="203" t="str">
        <f>IF(Vloeronderhoud!$C43&gt;0,VLOOKUP(Vloeronderhoud!$C43,$A$8:$B$18,2,FALSE),"")</f>
        <v>Machinaal schrobben en droogzuigen</v>
      </c>
      <c r="E43" s="214" t="s">
        <v>102</v>
      </c>
      <c r="F43" s="215">
        <f>SUMIFS('Ruimtestaat'!$N:$N,'Ruimtestaat'!L:L,Vloeronderhoud!E43,'Ruimtestaat'!A:A,Vloeronderhoud!A43)</f>
        <v>78.299999999999969</v>
      </c>
      <c r="G43" s="197">
        <v>1</v>
      </c>
      <c r="H43" s="216">
        <f>VLOOKUP(OverzichtVloer20[[#This Row],[Code Taak]],InvulVloer19[],3,3)*F43*G43</f>
        <v>0</v>
      </c>
      <c r="I43" s="217">
        <f>OverzichtVloer20[[#This Row],[Kosten/jaar excl. BTW]]*1.21</f>
        <v>0</v>
      </c>
      <c r="M43" s="204"/>
    </row>
    <row r="44" spans="1:13" ht="14.25" customHeight="1">
      <c r="A44" s="211">
        <v>6</v>
      </c>
      <c r="B44" s="212" t="str">
        <f>VLOOKUP(OverzichtVloer20[[#This Row],[Code Locatie]],Locaties[],2,0)</f>
        <v>OBS La Res Noord</v>
      </c>
      <c r="C44" s="211">
        <v>1</v>
      </c>
      <c r="D44" s="203" t="str">
        <f>IF(Vloeronderhoud!$C44&gt;0,VLOOKUP(Vloeronderhoud!$C44,$A$8:$B$18,2,FALSE),"")</f>
        <v>Sprayen/opblokken</v>
      </c>
      <c r="E44" s="214" t="s">
        <v>100</v>
      </c>
      <c r="F44" s="215">
        <f>SUMIFS('Ruimtestaat'!$N:$N,'Ruimtestaat'!L:L,Vloeronderhoud!E44,'Ruimtestaat'!A:A,Vloeronderhoud!A44)</f>
        <v>877.69999999999993</v>
      </c>
      <c r="G44" s="197">
        <v>1</v>
      </c>
      <c r="H44" s="216">
        <f>VLOOKUP(OverzichtVloer20[[#This Row],[Code Taak]],InvulVloer19[],3,3)*F44*G44</f>
        <v>0</v>
      </c>
      <c r="I44" s="217">
        <f>OverzichtVloer20[[#This Row],[Kosten/jaar excl. BTW]]*1.21</f>
        <v>0</v>
      </c>
      <c r="M44" s="204"/>
    </row>
    <row r="45" spans="1:13" ht="14.25" customHeight="1">
      <c r="A45" s="211">
        <v>6</v>
      </c>
      <c r="B45" s="212" t="str">
        <f>VLOOKUP(OverzichtVloer20[[#This Row],[Code Locatie]],Locaties[],2,0)</f>
        <v>OBS La Res Noord</v>
      </c>
      <c r="C45" s="211">
        <v>2</v>
      </c>
      <c r="D45" s="203" t="str">
        <f>IF(Vloeronderhoud!$C45&gt;0,VLOOKUP(Vloeronderhoud!$C45,$A$8:$B$18,2,FALSE),"")</f>
        <v>Topstrippen en conserveren</v>
      </c>
      <c r="E45" s="214" t="s">
        <v>100</v>
      </c>
      <c r="F45" s="215">
        <f>SUMIFS('Ruimtestaat'!$N:$N,'Ruimtestaat'!L:L,Vloeronderhoud!E45,'Ruimtestaat'!A:A,Vloeronderhoud!A45)</f>
        <v>877.69999999999993</v>
      </c>
      <c r="G45" s="197">
        <v>1</v>
      </c>
      <c r="H45" s="216">
        <f>VLOOKUP(OverzichtVloer20[[#This Row],[Code Taak]],InvulVloer19[],3,3)*F45*G45</f>
        <v>0</v>
      </c>
      <c r="I45" s="217">
        <f>OverzichtVloer20[[#This Row],[Kosten/jaar excl. BTW]]*1.21</f>
        <v>0</v>
      </c>
      <c r="M45" s="204"/>
    </row>
    <row r="46" spans="1:13" ht="14.25" customHeight="1">
      <c r="A46" s="211">
        <v>6</v>
      </c>
      <c r="B46" s="212" t="str">
        <f>VLOOKUP(OverzichtVloer20[[#This Row],[Code Locatie]],Locaties[],2,0)</f>
        <v>OBS La Res Noord</v>
      </c>
      <c r="C46" s="211">
        <v>3</v>
      </c>
      <c r="D46" s="203" t="str">
        <f>IF(Vloeronderhoud!$C46&gt;0,VLOOKUP(Vloeronderhoud!$C46,$A$8:$B$18,2,FALSE),"")</f>
        <v>Diepstrippen, sealen en conserveren</v>
      </c>
      <c r="E46" s="214" t="s">
        <v>100</v>
      </c>
      <c r="F46" s="215">
        <f>SUMIFS('Ruimtestaat'!$N:$N,'Ruimtestaat'!L:L,Vloeronderhoud!E46,'Ruimtestaat'!A:A,Vloeronderhoud!A46)</f>
        <v>877.69999999999993</v>
      </c>
      <c r="G46" s="197">
        <v>0.25</v>
      </c>
      <c r="H46" s="216">
        <f>VLOOKUP(OverzichtVloer20[[#This Row],[Code Taak]],InvulVloer19[],3,3)*F46*G46</f>
        <v>0</v>
      </c>
      <c r="I46" s="217">
        <f>OverzichtVloer20[[#This Row],[Kosten/jaar excl. BTW]]*1.21</f>
        <v>0</v>
      </c>
      <c r="M46" s="204"/>
    </row>
    <row r="47" spans="1:13" ht="14.25" customHeight="1">
      <c r="A47" s="211">
        <v>6</v>
      </c>
      <c r="B47" s="212" t="str">
        <f>VLOOKUP(OverzichtVloer20[[#This Row],[Code Locatie]],Locaties[],2,0)</f>
        <v>OBS La Res Noord</v>
      </c>
      <c r="C47" s="211">
        <v>4</v>
      </c>
      <c r="D47" s="203" t="str">
        <f>IF(Vloeronderhoud!$C47&gt;0,VLOOKUP(Vloeronderhoud!$C47,$A$8:$B$18,2,FALSE),"")</f>
        <v>Tapijtreinigen, sproei-extractiemethode</v>
      </c>
      <c r="E47" s="214" t="s">
        <v>99</v>
      </c>
      <c r="F47" s="215">
        <f>SUMIFS('Ruimtestaat'!$N:$N,'Ruimtestaat'!L:L,Vloeronderhoud!E47,'Ruimtestaat'!A:A,Vloeronderhoud!A47)</f>
        <v>68.7</v>
      </c>
      <c r="G47" s="197">
        <v>1</v>
      </c>
      <c r="H47" s="216">
        <f>VLOOKUP(OverzichtVloer20[[#This Row],[Code Taak]],InvulVloer19[],3,3)*F47*G47</f>
        <v>0</v>
      </c>
      <c r="I47" s="217">
        <f>OverzichtVloer20[[#This Row],[Kosten/jaar excl. BTW]]*1.21</f>
        <v>0</v>
      </c>
      <c r="M47" s="204"/>
    </row>
    <row r="48" spans="1:13" ht="14.25" customHeight="1">
      <c r="A48" s="211">
        <v>6</v>
      </c>
      <c r="B48" s="212" t="str">
        <f>VLOOKUP(OverzichtVloer20[[#This Row],[Code Locatie]],Locaties[],2,0)</f>
        <v>OBS La Res Noord</v>
      </c>
      <c r="C48" s="211">
        <v>7</v>
      </c>
      <c r="D48" s="203" t="str">
        <f>IF(Vloeronderhoud!$C48&gt;0,VLOOKUP(Vloeronderhoud!$C48,$A$8:$B$18,2,FALSE),"")</f>
        <v>Olieen houten vloeren</v>
      </c>
      <c r="E48" s="214" t="s">
        <v>1309</v>
      </c>
      <c r="F48" s="215">
        <f>SUMIFS('Ruimtestaat'!$N:$N,'Ruimtestaat'!L:L,Vloeronderhoud!E48,'Ruimtestaat'!A:A,Vloeronderhoud!A48)</f>
        <v>0</v>
      </c>
      <c r="G48" s="197">
        <v>1</v>
      </c>
      <c r="H48" s="216">
        <f>VLOOKUP(OverzichtVloer20[[#This Row],[Code Taak]],InvulVloer19[],3,3)*F48*G48</f>
        <v>0</v>
      </c>
      <c r="I48" s="217">
        <f>OverzichtVloer20[[#This Row],[Kosten/jaar excl. BTW]]*1.21</f>
        <v>0</v>
      </c>
      <c r="M48" s="204"/>
    </row>
    <row r="49" spans="1:13" ht="14.25" customHeight="1">
      <c r="A49" s="211">
        <v>6</v>
      </c>
      <c r="B49" s="212" t="str">
        <f>VLOOKUP(OverzichtVloer20[[#This Row],[Code Locatie]],Locaties[],2,0)</f>
        <v>OBS La Res Noord</v>
      </c>
      <c r="C49" s="211">
        <v>9</v>
      </c>
      <c r="D49" s="203" t="str">
        <f>IF(Vloeronderhoud!$C49&gt;0,VLOOKUP(Vloeronderhoud!$C49,$A$8:$B$18,2,FALSE),"")</f>
        <v>Machinaal schrobben en droogzuigen</v>
      </c>
      <c r="E49" s="214" t="s">
        <v>101</v>
      </c>
      <c r="F49" s="215">
        <f>SUMIFS('Ruimtestaat'!$N:$N,'Ruimtestaat'!L:L,Vloeronderhoud!E49,'Ruimtestaat'!A:A,Vloeronderhoud!A49)</f>
        <v>69.8</v>
      </c>
      <c r="G49" s="197">
        <v>1</v>
      </c>
      <c r="H49" s="216">
        <f>VLOOKUP(OverzichtVloer20[[#This Row],[Code Taak]],InvulVloer19[],3,3)*F49*G49</f>
        <v>0</v>
      </c>
      <c r="I49" s="217">
        <f>OverzichtVloer20[[#This Row],[Kosten/jaar excl. BTW]]*1.21</f>
        <v>0</v>
      </c>
      <c r="M49" s="204"/>
    </row>
    <row r="50" spans="1:13" ht="14.25" customHeight="1">
      <c r="A50" s="211">
        <v>6</v>
      </c>
      <c r="B50" s="212" t="str">
        <f>VLOOKUP(OverzichtVloer20[[#This Row],[Code Locatie]],Locaties[],2,0)</f>
        <v>OBS La Res Noord</v>
      </c>
      <c r="C50" s="211">
        <v>9</v>
      </c>
      <c r="D50" s="203" t="str">
        <f>IF(Vloeronderhoud!$C50&gt;0,VLOOKUP(Vloeronderhoud!$C50,$A$8:$B$18,2,FALSE),"")</f>
        <v>Machinaal schrobben en droogzuigen</v>
      </c>
      <c r="E50" s="214" t="s">
        <v>102</v>
      </c>
      <c r="F50" s="215">
        <f>SUMIFS('Ruimtestaat'!$N:$N,'Ruimtestaat'!L:L,Vloeronderhoud!E50,'Ruimtestaat'!A:A,Vloeronderhoud!A50)</f>
        <v>0</v>
      </c>
      <c r="G50" s="197">
        <v>1</v>
      </c>
      <c r="H50" s="216">
        <f>VLOOKUP(OverzichtVloer20[[#This Row],[Code Taak]],InvulVloer19[],3,3)*F50*G50</f>
        <v>0</v>
      </c>
      <c r="I50" s="217">
        <f>OverzichtVloer20[[#This Row],[Kosten/jaar excl. BTW]]*1.21</f>
        <v>0</v>
      </c>
      <c r="M50" s="204"/>
    </row>
    <row r="51" spans="1:13" ht="14.25" customHeight="1">
      <c r="A51" s="211">
        <v>7</v>
      </c>
      <c r="B51" s="212" t="str">
        <f>VLOOKUP(OverzichtVloer20[[#This Row],[Code Locatie]],Locaties[],2,0)</f>
        <v xml:space="preserve">OBS Molenbeek </v>
      </c>
      <c r="C51" s="211">
        <v>1</v>
      </c>
      <c r="D51" s="203" t="str">
        <f>IF(Vloeronderhoud!$C51&gt;0,VLOOKUP(Vloeronderhoud!$C51,$A$8:$B$18,2,FALSE),"")</f>
        <v>Sprayen/opblokken</v>
      </c>
      <c r="E51" s="214" t="s">
        <v>100</v>
      </c>
      <c r="F51" s="215">
        <f>SUMIFS('Ruimtestaat'!$N:$N,'Ruimtestaat'!L:L,Vloeronderhoud!E51,'Ruimtestaat'!A:A,Vloeronderhoud!A51)</f>
        <v>326.39999999999998</v>
      </c>
      <c r="G51" s="197">
        <v>1</v>
      </c>
      <c r="H51" s="216">
        <f>VLOOKUP(OverzichtVloer20[[#This Row],[Code Taak]],InvulVloer19[],3,3)*F51*G51</f>
        <v>0</v>
      </c>
      <c r="I51" s="217">
        <f>OverzichtVloer20[[#This Row],[Kosten/jaar excl. BTW]]*1.21</f>
        <v>0</v>
      </c>
      <c r="M51" s="204"/>
    </row>
    <row r="52" spans="1:13" ht="14.25" customHeight="1">
      <c r="A52" s="211">
        <v>7</v>
      </c>
      <c r="B52" s="212" t="str">
        <f>VLOOKUP(OverzichtVloer20[[#This Row],[Code Locatie]],Locaties[],2,0)</f>
        <v xml:space="preserve">OBS Molenbeek </v>
      </c>
      <c r="C52" s="211">
        <v>2</v>
      </c>
      <c r="D52" s="203" t="str">
        <f>IF(Vloeronderhoud!$C52&gt;0,VLOOKUP(Vloeronderhoud!$C52,$A$8:$B$18,2,FALSE),"")</f>
        <v>Topstrippen en conserveren</v>
      </c>
      <c r="E52" s="214" t="s">
        <v>100</v>
      </c>
      <c r="F52" s="215">
        <f>SUMIFS('Ruimtestaat'!$N:$N,'Ruimtestaat'!L:L,Vloeronderhoud!E52,'Ruimtestaat'!A:A,Vloeronderhoud!A52)</f>
        <v>326.39999999999998</v>
      </c>
      <c r="G52" s="197">
        <v>1</v>
      </c>
      <c r="H52" s="216">
        <f>VLOOKUP(OverzichtVloer20[[#This Row],[Code Taak]],InvulVloer19[],3,3)*F52*G52</f>
        <v>0</v>
      </c>
      <c r="I52" s="217">
        <f>OverzichtVloer20[[#This Row],[Kosten/jaar excl. BTW]]*1.21</f>
        <v>0</v>
      </c>
      <c r="M52" s="204"/>
    </row>
    <row r="53" spans="1:13" ht="14.25" customHeight="1">
      <c r="A53" s="211">
        <v>7</v>
      </c>
      <c r="B53" s="212" t="str">
        <f>VLOOKUP(OverzichtVloer20[[#This Row],[Code Locatie]],Locaties[],2,0)</f>
        <v xml:space="preserve">OBS Molenbeek </v>
      </c>
      <c r="C53" s="211">
        <v>3</v>
      </c>
      <c r="D53" s="203" t="str">
        <f>IF(Vloeronderhoud!$C53&gt;0,VLOOKUP(Vloeronderhoud!$C53,$A$8:$B$18,2,FALSE),"")</f>
        <v>Diepstrippen, sealen en conserveren</v>
      </c>
      <c r="E53" s="214" t="s">
        <v>100</v>
      </c>
      <c r="F53" s="215">
        <f>SUMIFS('Ruimtestaat'!$N:$N,'Ruimtestaat'!L:L,Vloeronderhoud!E53,'Ruimtestaat'!A:A,Vloeronderhoud!A53)</f>
        <v>326.39999999999998</v>
      </c>
      <c r="G53" s="197">
        <v>0.25</v>
      </c>
      <c r="H53" s="216">
        <f>VLOOKUP(OverzichtVloer20[[#This Row],[Code Taak]],InvulVloer19[],3,3)*F53*G53</f>
        <v>0</v>
      </c>
      <c r="I53" s="217">
        <f>OverzichtVloer20[[#This Row],[Kosten/jaar excl. BTW]]*1.21</f>
        <v>0</v>
      </c>
      <c r="M53" s="204"/>
    </row>
    <row r="54" spans="1:13" ht="14.25" customHeight="1">
      <c r="A54" s="211">
        <v>7</v>
      </c>
      <c r="B54" s="212" t="str">
        <f>VLOOKUP(OverzichtVloer20[[#This Row],[Code Locatie]],Locaties[],2,0)</f>
        <v xml:space="preserve">OBS Molenbeek </v>
      </c>
      <c r="C54" s="211">
        <v>4</v>
      </c>
      <c r="D54" s="203" t="str">
        <f>IF(Vloeronderhoud!$C54&gt;0,VLOOKUP(Vloeronderhoud!$C54,$A$8:$B$18,2,FALSE),"")</f>
        <v>Tapijtreinigen, sproei-extractiemethode</v>
      </c>
      <c r="E54" s="214" t="s">
        <v>99</v>
      </c>
      <c r="F54" s="215">
        <f>SUMIFS('Ruimtestaat'!$N:$N,'Ruimtestaat'!L:L,Vloeronderhoud!E54,'Ruimtestaat'!A:A,Vloeronderhoud!A54)</f>
        <v>39.700000000000003</v>
      </c>
      <c r="G54" s="197">
        <v>1</v>
      </c>
      <c r="H54" s="216">
        <f>VLOOKUP(OverzichtVloer20[[#This Row],[Code Taak]],InvulVloer19[],3,3)*F54*G54</f>
        <v>0</v>
      </c>
      <c r="I54" s="217">
        <f>OverzichtVloer20[[#This Row],[Kosten/jaar excl. BTW]]*1.21</f>
        <v>0</v>
      </c>
      <c r="M54" s="204"/>
    </row>
    <row r="55" spans="1:13" ht="14.25" customHeight="1">
      <c r="A55" s="211">
        <v>7</v>
      </c>
      <c r="B55" s="212" t="str">
        <f>VLOOKUP(OverzichtVloer20[[#This Row],[Code Locatie]],Locaties[],2,0)</f>
        <v xml:space="preserve">OBS Molenbeek </v>
      </c>
      <c r="C55" s="211">
        <v>9</v>
      </c>
      <c r="D55" s="203" t="str">
        <f>IF(Vloeronderhoud!$C55&gt;0,VLOOKUP(Vloeronderhoud!$C55,$A$8:$B$18,2,FALSE),"")</f>
        <v>Machinaal schrobben en droogzuigen</v>
      </c>
      <c r="E55" s="214" t="s">
        <v>101</v>
      </c>
      <c r="F55" s="215">
        <f>SUMIFS('Ruimtestaat'!$N:$N,'Ruimtestaat'!L:L,Vloeronderhoud!E55,'Ruimtestaat'!A:A,Vloeronderhoud!A55)</f>
        <v>27.6</v>
      </c>
      <c r="G55" s="197">
        <v>1</v>
      </c>
      <c r="H55" s="216">
        <f>VLOOKUP(OverzichtVloer20[[#This Row],[Code Taak]],InvulVloer19[],3,3)*F55*G55</f>
        <v>0</v>
      </c>
      <c r="I55" s="217">
        <f>OverzichtVloer20[[#This Row],[Kosten/jaar excl. BTW]]*1.21</f>
        <v>0</v>
      </c>
      <c r="M55" s="204"/>
    </row>
    <row r="56" spans="1:13" ht="14.25" customHeight="1">
      <c r="A56" s="211">
        <v>7</v>
      </c>
      <c r="B56" s="212" t="str">
        <f>VLOOKUP(OverzichtVloer20[[#This Row],[Code Locatie]],Locaties[],2,0)</f>
        <v xml:space="preserve">OBS Molenbeek </v>
      </c>
      <c r="C56" s="211">
        <v>9</v>
      </c>
      <c r="D56" s="203" t="str">
        <f>IF(Vloeronderhoud!$C56&gt;0,VLOOKUP(Vloeronderhoud!$C56,$A$8:$B$18,2,FALSE),"")</f>
        <v>Machinaal schrobben en droogzuigen</v>
      </c>
      <c r="E56" s="214" t="s">
        <v>102</v>
      </c>
      <c r="F56" s="215">
        <f>SUMIFS('Ruimtestaat'!$N:$N,'Ruimtestaat'!L:L,Vloeronderhoud!E56,'Ruimtestaat'!A:A,Vloeronderhoud!A56)</f>
        <v>82.7</v>
      </c>
      <c r="G56" s="197">
        <v>1</v>
      </c>
      <c r="H56" s="216">
        <f>VLOOKUP(OverzichtVloer20[[#This Row],[Code Taak]],InvulVloer19[],3,3)*F56*G56</f>
        <v>0</v>
      </c>
      <c r="I56" s="217">
        <f>OverzichtVloer20[[#This Row],[Kosten/jaar excl. BTW]]*1.21</f>
        <v>0</v>
      </c>
      <c r="M56" s="204"/>
    </row>
    <row r="57" spans="1:13" ht="14.25" customHeight="1">
      <c r="A57" s="211">
        <v>8</v>
      </c>
      <c r="B57" s="212" t="str">
        <f>VLOOKUP(OverzichtVloer20[[#This Row],[Code Locatie]],Locaties[],2,0)</f>
        <v>OBS Roombeek</v>
      </c>
      <c r="C57" s="211">
        <v>1</v>
      </c>
      <c r="D57" s="203" t="str">
        <f>IF(Vloeronderhoud!$C57&gt;0,VLOOKUP(Vloeronderhoud!$C57,$A$8:$B$18,2,FALSE),"")</f>
        <v>Sprayen/opblokken</v>
      </c>
      <c r="E57" s="214" t="s">
        <v>100</v>
      </c>
      <c r="F57" s="215">
        <f>SUMIFS('Ruimtestaat'!$N:$N,'Ruimtestaat'!L:L,Vloeronderhoud!E57,'Ruimtestaat'!A:A,Vloeronderhoud!A57)</f>
        <v>897.90000000000009</v>
      </c>
      <c r="G57" s="197">
        <v>1</v>
      </c>
      <c r="H57" s="216">
        <f>VLOOKUP(OverzichtVloer20[[#This Row],[Code Taak]],InvulVloer19[],3,3)*F57*G57</f>
        <v>0</v>
      </c>
      <c r="I57" s="217">
        <f>OverzichtVloer20[[#This Row],[Kosten/jaar excl. BTW]]*1.21</f>
        <v>0</v>
      </c>
      <c r="M57" s="204"/>
    </row>
    <row r="58" spans="1:13" ht="14.25" customHeight="1">
      <c r="A58" s="211">
        <v>8</v>
      </c>
      <c r="B58" s="212" t="str">
        <f>VLOOKUP(OverzichtVloer20[[#This Row],[Code Locatie]],Locaties[],2,0)</f>
        <v>OBS Roombeek</v>
      </c>
      <c r="C58" s="211">
        <v>2</v>
      </c>
      <c r="D58" s="203" t="str">
        <f>IF(Vloeronderhoud!$C58&gt;0,VLOOKUP(Vloeronderhoud!$C58,$A$8:$B$18,2,FALSE),"")</f>
        <v>Topstrippen en conserveren</v>
      </c>
      <c r="E58" s="214" t="s">
        <v>100</v>
      </c>
      <c r="F58" s="215">
        <f>SUMIFS('Ruimtestaat'!$N:$N,'Ruimtestaat'!L:L,Vloeronderhoud!E58,'Ruimtestaat'!A:A,Vloeronderhoud!A58)</f>
        <v>897.90000000000009</v>
      </c>
      <c r="G58" s="197">
        <v>1</v>
      </c>
      <c r="H58" s="216">
        <f>VLOOKUP(OverzichtVloer20[[#This Row],[Code Taak]],InvulVloer19[],3,3)*F58*G58</f>
        <v>0</v>
      </c>
      <c r="I58" s="217">
        <f>OverzichtVloer20[[#This Row],[Kosten/jaar excl. BTW]]*1.21</f>
        <v>0</v>
      </c>
      <c r="M58" s="204"/>
    </row>
    <row r="59" spans="1:13" ht="14.25" customHeight="1">
      <c r="A59" s="211">
        <v>8</v>
      </c>
      <c r="B59" s="212" t="str">
        <f>VLOOKUP(OverzichtVloer20[[#This Row],[Code Locatie]],Locaties[],2,0)</f>
        <v>OBS Roombeek</v>
      </c>
      <c r="C59" s="211">
        <v>3</v>
      </c>
      <c r="D59" s="203" t="str">
        <f>IF(Vloeronderhoud!$C59&gt;0,VLOOKUP(Vloeronderhoud!$C59,$A$8:$B$18,2,FALSE),"")</f>
        <v>Diepstrippen, sealen en conserveren</v>
      </c>
      <c r="E59" s="214" t="s">
        <v>100</v>
      </c>
      <c r="F59" s="215">
        <f>SUMIFS('Ruimtestaat'!$N:$N,'Ruimtestaat'!L:L,Vloeronderhoud!E59,'Ruimtestaat'!A:A,Vloeronderhoud!A59)</f>
        <v>897.90000000000009</v>
      </c>
      <c r="G59" s="197">
        <v>0.25</v>
      </c>
      <c r="H59" s="216">
        <f>VLOOKUP(OverzichtVloer20[[#This Row],[Code Taak]],InvulVloer19[],3,3)*F59*G59</f>
        <v>0</v>
      </c>
      <c r="I59" s="217">
        <f>OverzichtVloer20[[#This Row],[Kosten/jaar excl. BTW]]*1.21</f>
        <v>0</v>
      </c>
      <c r="M59" s="204"/>
    </row>
    <row r="60" spans="1:13" ht="14.25" customHeight="1">
      <c r="A60" s="211">
        <v>8</v>
      </c>
      <c r="B60" s="212" t="str">
        <f>VLOOKUP(OverzichtVloer20[[#This Row],[Code Locatie]],Locaties[],2,0)</f>
        <v>OBS Roombeek</v>
      </c>
      <c r="C60" s="211">
        <v>4</v>
      </c>
      <c r="D60" s="203" t="str">
        <f>IF(Vloeronderhoud!$C60&gt;0,VLOOKUP(Vloeronderhoud!$C60,$A$8:$B$18,2,FALSE),"")</f>
        <v>Tapijtreinigen, sproei-extractiemethode</v>
      </c>
      <c r="E60" s="214" t="s">
        <v>99</v>
      </c>
      <c r="F60" s="215">
        <f>SUMIFS('Ruimtestaat'!$N:$N,'Ruimtestaat'!L:L,Vloeronderhoud!E60,'Ruimtestaat'!A:A,Vloeronderhoud!A60)</f>
        <v>20.2</v>
      </c>
      <c r="G60" s="197">
        <v>1</v>
      </c>
      <c r="H60" s="216">
        <f>VLOOKUP(OverzichtVloer20[[#This Row],[Code Taak]],InvulVloer19[],3,3)*F60*G60</f>
        <v>0</v>
      </c>
      <c r="I60" s="217">
        <f>OverzichtVloer20[[#This Row],[Kosten/jaar excl. BTW]]*1.21</f>
        <v>0</v>
      </c>
      <c r="M60" s="204"/>
    </row>
    <row r="61" spans="1:13" ht="14.25" customHeight="1">
      <c r="A61" s="211">
        <v>8</v>
      </c>
      <c r="B61" s="212" t="str">
        <f>VLOOKUP(OverzichtVloer20[[#This Row],[Code Locatie]],Locaties[],2,0)</f>
        <v>OBS Roombeek</v>
      </c>
      <c r="C61" s="211">
        <v>9</v>
      </c>
      <c r="D61" s="203" t="str">
        <f>IF(Vloeronderhoud!$C61&gt;0,VLOOKUP(Vloeronderhoud!$C61,$A$8:$B$18,2,FALSE),"")</f>
        <v>Machinaal schrobben en droogzuigen</v>
      </c>
      <c r="E61" s="214" t="s">
        <v>101</v>
      </c>
      <c r="F61" s="215">
        <f>SUMIFS('Ruimtestaat'!$N:$N,'Ruimtestaat'!L:L,Vloeronderhoud!E61,'Ruimtestaat'!A:A,Vloeronderhoud!A61)</f>
        <v>51.7</v>
      </c>
      <c r="G61" s="197">
        <v>1</v>
      </c>
      <c r="H61" s="216">
        <f>VLOOKUP(OverzichtVloer20[[#This Row],[Code Taak]],InvulVloer19[],3,3)*F61*G61</f>
        <v>0</v>
      </c>
      <c r="I61" s="217">
        <f>OverzichtVloer20[[#This Row],[Kosten/jaar excl. BTW]]*1.21</f>
        <v>0</v>
      </c>
      <c r="M61" s="204"/>
    </row>
    <row r="62" spans="1:13" ht="14.25" customHeight="1">
      <c r="A62" s="211">
        <v>9</v>
      </c>
      <c r="B62" s="212" t="str">
        <f>VLOOKUP(OverzichtVloer20[[#This Row],[Code Locatie]],Locaties[],2,0)</f>
        <v>ODBS Europa</v>
      </c>
      <c r="C62" s="211">
        <v>1</v>
      </c>
      <c r="D62" s="203" t="str">
        <f>IF(Vloeronderhoud!$C62&gt;0,VLOOKUP(Vloeronderhoud!$C62,$A$8:$B$18,2,FALSE),"")</f>
        <v>Sprayen/opblokken</v>
      </c>
      <c r="E62" s="214" t="s">
        <v>100</v>
      </c>
      <c r="F62" s="215">
        <f>SUMIFS('Ruimtestaat'!$N:$N,'Ruimtestaat'!L:L,Vloeronderhoud!E62,'Ruimtestaat'!A:A,Vloeronderhoud!A62)</f>
        <v>925.39999999999986</v>
      </c>
      <c r="G62" s="197">
        <v>1</v>
      </c>
      <c r="H62" s="216">
        <f>VLOOKUP(OverzichtVloer20[[#This Row],[Code Taak]],InvulVloer19[],3,3)*F62*G62</f>
        <v>0</v>
      </c>
      <c r="I62" s="217">
        <f>OverzichtVloer20[[#This Row],[Kosten/jaar excl. BTW]]*1.21</f>
        <v>0</v>
      </c>
      <c r="M62" s="204"/>
    </row>
    <row r="63" spans="1:13" ht="14.25" customHeight="1">
      <c r="A63" s="211">
        <v>9</v>
      </c>
      <c r="B63" s="212" t="str">
        <f>VLOOKUP(OverzichtVloer20[[#This Row],[Code Locatie]],Locaties[],2,0)</f>
        <v>ODBS Europa</v>
      </c>
      <c r="C63" s="211">
        <v>2</v>
      </c>
      <c r="D63" s="203" t="str">
        <f>IF(Vloeronderhoud!$C63&gt;0,VLOOKUP(Vloeronderhoud!$C63,$A$8:$B$18,2,FALSE),"")</f>
        <v>Topstrippen en conserveren</v>
      </c>
      <c r="E63" s="214" t="s">
        <v>100</v>
      </c>
      <c r="F63" s="215">
        <f>SUMIFS('Ruimtestaat'!$N:$N,'Ruimtestaat'!L:L,Vloeronderhoud!E63,'Ruimtestaat'!A:A,Vloeronderhoud!A63)</f>
        <v>925.39999999999986</v>
      </c>
      <c r="G63" s="197">
        <v>1</v>
      </c>
      <c r="H63" s="216">
        <f>VLOOKUP(OverzichtVloer20[[#This Row],[Code Taak]],InvulVloer19[],3,3)*F63*G63</f>
        <v>0</v>
      </c>
      <c r="I63" s="217">
        <f>OverzichtVloer20[[#This Row],[Kosten/jaar excl. BTW]]*1.21</f>
        <v>0</v>
      </c>
      <c r="M63" s="204"/>
    </row>
    <row r="64" spans="1:13" ht="14.25" customHeight="1">
      <c r="A64" s="211">
        <v>9</v>
      </c>
      <c r="B64" s="212" t="str">
        <f>VLOOKUP(OverzichtVloer20[[#This Row],[Code Locatie]],Locaties[],2,0)</f>
        <v>ODBS Europa</v>
      </c>
      <c r="C64" s="211">
        <v>3</v>
      </c>
      <c r="D64" s="203" t="str">
        <f>IF(Vloeronderhoud!$C64&gt;0,VLOOKUP(Vloeronderhoud!$C64,$A$8:$B$18,2,FALSE),"")</f>
        <v>Diepstrippen, sealen en conserveren</v>
      </c>
      <c r="E64" s="214" t="s">
        <v>100</v>
      </c>
      <c r="F64" s="215">
        <f>SUMIFS('Ruimtestaat'!$N:$N,'Ruimtestaat'!L:L,Vloeronderhoud!E64,'Ruimtestaat'!A:A,Vloeronderhoud!A64)</f>
        <v>925.39999999999986</v>
      </c>
      <c r="G64" s="197">
        <v>0.25</v>
      </c>
      <c r="H64" s="216">
        <f>VLOOKUP(OverzichtVloer20[[#This Row],[Code Taak]],InvulVloer19[],3,3)*F64*G64</f>
        <v>0</v>
      </c>
      <c r="I64" s="217">
        <f>OverzichtVloer20[[#This Row],[Kosten/jaar excl. BTW]]*1.21</f>
        <v>0</v>
      </c>
      <c r="M64" s="204"/>
    </row>
    <row r="65" spans="1:13" ht="14.25" customHeight="1">
      <c r="A65" s="211">
        <v>9</v>
      </c>
      <c r="B65" s="212" t="str">
        <f>VLOOKUP(OverzichtVloer20[[#This Row],[Code Locatie]],Locaties[],2,0)</f>
        <v>ODBS Europa</v>
      </c>
      <c r="C65" s="211">
        <v>4</v>
      </c>
      <c r="D65" s="203" t="str">
        <f>IF(Vloeronderhoud!$C65&gt;0,VLOOKUP(Vloeronderhoud!$C65,$A$8:$B$18,2,FALSE),"")</f>
        <v>Tapijtreinigen, sproei-extractiemethode</v>
      </c>
      <c r="E65" s="214" t="s">
        <v>99</v>
      </c>
      <c r="F65" s="215">
        <f>SUMIFS('Ruimtestaat'!$N:$N,'Ruimtestaat'!L:L,Vloeronderhoud!E65,'Ruimtestaat'!A:A,Vloeronderhoud!A65)</f>
        <v>48.099999999999994</v>
      </c>
      <c r="G65" s="197">
        <v>1</v>
      </c>
      <c r="H65" s="216">
        <f>VLOOKUP(OverzichtVloer20[[#This Row],[Code Taak]],InvulVloer19[],3,3)*F65*G65</f>
        <v>0</v>
      </c>
      <c r="I65" s="217">
        <f>OverzichtVloer20[[#This Row],[Kosten/jaar excl. BTW]]*1.21</f>
        <v>0</v>
      </c>
      <c r="M65" s="204"/>
    </row>
    <row r="66" spans="1:13" ht="14.25" customHeight="1">
      <c r="A66" s="211">
        <v>9</v>
      </c>
      <c r="B66" s="212" t="str">
        <f>VLOOKUP(OverzichtVloer20[[#This Row],[Code Locatie]],Locaties[],2,0)</f>
        <v>ODBS Europa</v>
      </c>
      <c r="C66" s="211">
        <v>9</v>
      </c>
      <c r="D66" s="203" t="str">
        <f>IF(Vloeronderhoud!$C66&gt;0,VLOOKUP(Vloeronderhoud!$C66,$A$8:$B$18,2,FALSE),"")</f>
        <v>Machinaal schrobben en droogzuigen</v>
      </c>
      <c r="E66" s="214" t="s">
        <v>101</v>
      </c>
      <c r="F66" s="215">
        <f>SUMIFS('Ruimtestaat'!$N:$N,'Ruimtestaat'!L:L,Vloeronderhoud!E66,'Ruimtestaat'!A:A,Vloeronderhoud!A66)</f>
        <v>45.099999999999994</v>
      </c>
      <c r="G66" s="197">
        <v>1</v>
      </c>
      <c r="H66" s="216">
        <f>VLOOKUP(OverzichtVloer20[[#This Row],[Code Taak]],InvulVloer19[],3,3)*F66*G66</f>
        <v>0</v>
      </c>
      <c r="I66" s="217">
        <f>OverzichtVloer20[[#This Row],[Kosten/jaar excl. BTW]]*1.21</f>
        <v>0</v>
      </c>
      <c r="M66" s="204"/>
    </row>
    <row r="67" spans="1:13" ht="14.25" customHeight="1">
      <c r="A67" s="211">
        <v>9</v>
      </c>
      <c r="B67" s="212" t="str">
        <f>VLOOKUP(OverzichtVloer20[[#This Row],[Code Locatie]],Locaties[],2,0)</f>
        <v>ODBS Europa</v>
      </c>
      <c r="C67" s="211">
        <v>9</v>
      </c>
      <c r="D67" s="203" t="str">
        <f>IF(Vloeronderhoud!$C67&gt;0,VLOOKUP(Vloeronderhoud!$C67,$A$8:$B$18,2,FALSE),"")</f>
        <v>Machinaal schrobben en droogzuigen</v>
      </c>
      <c r="E67" s="214" t="s">
        <v>102</v>
      </c>
      <c r="F67" s="215">
        <f>SUMIFS('Ruimtestaat'!$N:$N,'Ruimtestaat'!L:L,Vloeronderhoud!E67,'Ruimtestaat'!A:A,Vloeronderhoud!A67)</f>
        <v>91.6</v>
      </c>
      <c r="G67" s="197">
        <v>1</v>
      </c>
      <c r="H67" s="216">
        <f>VLOOKUP(OverzichtVloer20[[#This Row],[Code Taak]],InvulVloer19[],3,3)*F67*G67</f>
        <v>0</v>
      </c>
      <c r="I67" s="217">
        <f>OverzichtVloer20[[#This Row],[Kosten/jaar excl. BTW]]*1.21</f>
        <v>0</v>
      </c>
      <c r="M67" s="204"/>
    </row>
    <row r="68" spans="1:13" ht="14.25" customHeight="1">
      <c r="A68" s="211">
        <v>10</v>
      </c>
      <c r="B68" s="212" t="str">
        <f>VLOOKUP(OverzichtVloer20[[#This Row],[Code Locatie]],Locaties[],2,0)</f>
        <v>OJBS Het Palet</v>
      </c>
      <c r="C68" s="211">
        <v>4</v>
      </c>
      <c r="D68" s="203" t="str">
        <f>IF(Vloeronderhoud!$C68&gt;0,VLOOKUP(Vloeronderhoud!$C68,$A$8:$B$18,2,FALSE),"")</f>
        <v>Tapijtreinigen, sproei-extractiemethode</v>
      </c>
      <c r="E68" s="214" t="s">
        <v>99</v>
      </c>
      <c r="F68" s="215">
        <f>SUMIFS('Ruimtestaat'!$N:$N,'Ruimtestaat'!L:L,Vloeronderhoud!E68,'Ruimtestaat'!A:A,Vloeronderhoud!A68)</f>
        <v>30.9</v>
      </c>
      <c r="G68" s="197">
        <v>1</v>
      </c>
      <c r="H68" s="216">
        <f>VLOOKUP(OverzichtVloer20[[#This Row],[Code Taak]],InvulVloer19[],3,3)*F68*G68</f>
        <v>0</v>
      </c>
      <c r="I68" s="217">
        <f>OverzichtVloer20[[#This Row],[Kosten/jaar excl. BTW]]*1.21</f>
        <v>0</v>
      </c>
      <c r="M68" s="204"/>
    </row>
    <row r="69" spans="1:13" ht="14.25" customHeight="1">
      <c r="A69" s="211">
        <v>10</v>
      </c>
      <c r="B69" s="212" t="str">
        <f>VLOOKUP(OverzichtVloer20[[#This Row],[Code Locatie]],Locaties[],2,0)</f>
        <v>OJBS Het Palet</v>
      </c>
      <c r="C69" s="211">
        <v>9</v>
      </c>
      <c r="D69" s="203" t="str">
        <f>IF(Vloeronderhoud!$C69&gt;0,VLOOKUP(Vloeronderhoud!$C69,$A$8:$B$18,2,FALSE),"")</f>
        <v>Machinaal schrobben en droogzuigen</v>
      </c>
      <c r="E69" s="214" t="s">
        <v>101</v>
      </c>
      <c r="F69" s="215">
        <f>SUMIFS('Ruimtestaat'!$N:$N,'Ruimtestaat'!L:L,Vloeronderhoud!E69,'Ruimtestaat'!A:A,Vloeronderhoud!A69)</f>
        <v>345.2</v>
      </c>
      <c r="G69" s="197">
        <v>1</v>
      </c>
      <c r="H69" s="216">
        <f>VLOOKUP(OverzichtVloer20[[#This Row],[Code Taak]],InvulVloer19[],3,3)*F69*G69</f>
        <v>0</v>
      </c>
      <c r="I69" s="217">
        <f>OverzichtVloer20[[#This Row],[Kosten/jaar excl. BTW]]*1.21</f>
        <v>0</v>
      </c>
      <c r="M69" s="204"/>
    </row>
    <row r="70" spans="1:13" ht="14.25" customHeight="1">
      <c r="A70" s="211">
        <v>10</v>
      </c>
      <c r="B70" s="212" t="str">
        <f>VLOOKUP(OverzichtVloer20[[#This Row],[Code Locatie]],Locaties[],2,0)</f>
        <v>OJBS Het Palet</v>
      </c>
      <c r="C70" s="211">
        <v>9</v>
      </c>
      <c r="D70" s="203" t="str">
        <f>IF(Vloeronderhoud!$C70&gt;0,VLOOKUP(Vloeronderhoud!$C70,$A$8:$B$18,2,FALSE),"")</f>
        <v>Machinaal schrobben en droogzuigen</v>
      </c>
      <c r="E70" s="214" t="s">
        <v>102</v>
      </c>
      <c r="F70" s="215">
        <f>SUMIFS('Ruimtestaat'!$N:$N,'Ruimtestaat'!L:L,Vloeronderhoud!E70,'Ruimtestaat'!A:A,Vloeronderhoud!A70)</f>
        <v>1165.9000000000001</v>
      </c>
      <c r="G70" s="197">
        <v>1</v>
      </c>
      <c r="H70" s="216">
        <f>VLOOKUP(OverzichtVloer20[[#This Row],[Code Taak]],InvulVloer19[],3,3)*F70*G70</f>
        <v>0</v>
      </c>
      <c r="I70" s="217">
        <f>OverzichtVloer20[[#This Row],[Kosten/jaar excl. BTW]]*1.21</f>
        <v>0</v>
      </c>
      <c r="M70" s="204"/>
    </row>
    <row r="71" spans="1:13" ht="14.25" customHeight="1">
      <c r="A71" s="211">
        <v>11</v>
      </c>
      <c r="B71" s="212" t="str">
        <f>VLOOKUP(OverzichtVloer20[[#This Row],[Code Locatie]],Locaties[],2,0)</f>
        <v>OMBS De Wielerbaan</v>
      </c>
      <c r="C71" s="211">
        <v>1</v>
      </c>
      <c r="D71" s="203" t="str">
        <f>IF(Vloeronderhoud!$C71&gt;0,VLOOKUP(Vloeronderhoud!$C71,$A$8:$B$18,2,FALSE),"")</f>
        <v>Sprayen/opblokken</v>
      </c>
      <c r="E71" s="214" t="s">
        <v>100</v>
      </c>
      <c r="F71" s="215">
        <f>SUMIFS('Ruimtestaat'!$N:$N,'Ruimtestaat'!L:L,Vloeronderhoud!E71,'Ruimtestaat'!A:A,Vloeronderhoud!A71)</f>
        <v>1014.0000000000001</v>
      </c>
      <c r="G71" s="197">
        <v>1</v>
      </c>
      <c r="H71" s="216">
        <f>VLOOKUP(OverzichtVloer20[[#This Row],[Code Taak]],InvulVloer19[],3,3)*F71*G71</f>
        <v>0</v>
      </c>
      <c r="I71" s="217">
        <f>OverzichtVloer20[[#This Row],[Kosten/jaar excl. BTW]]*1.21</f>
        <v>0</v>
      </c>
      <c r="M71" s="204"/>
    </row>
    <row r="72" spans="1:13" ht="14.25" customHeight="1">
      <c r="A72" s="211">
        <v>11</v>
      </c>
      <c r="B72" s="212" t="str">
        <f>VLOOKUP(OverzichtVloer20[[#This Row],[Code Locatie]],Locaties[],2,0)</f>
        <v>OMBS De Wielerbaan</v>
      </c>
      <c r="C72" s="211">
        <v>2</v>
      </c>
      <c r="D72" s="203" t="str">
        <f>IF(Vloeronderhoud!$C72&gt;0,VLOOKUP(Vloeronderhoud!$C72,$A$8:$B$18,2,FALSE),"")</f>
        <v>Topstrippen en conserveren</v>
      </c>
      <c r="E72" s="214" t="s">
        <v>100</v>
      </c>
      <c r="F72" s="215">
        <f>SUMIFS('Ruimtestaat'!$N:$N,'Ruimtestaat'!L:L,Vloeronderhoud!E72,'Ruimtestaat'!A:A,Vloeronderhoud!A72)</f>
        <v>1014.0000000000001</v>
      </c>
      <c r="G72" s="197">
        <v>1</v>
      </c>
      <c r="H72" s="216">
        <f>VLOOKUP(OverzichtVloer20[[#This Row],[Code Taak]],InvulVloer19[],3,3)*F72*G72</f>
        <v>0</v>
      </c>
      <c r="I72" s="217">
        <f>OverzichtVloer20[[#This Row],[Kosten/jaar excl. BTW]]*1.21</f>
        <v>0</v>
      </c>
      <c r="M72" s="204"/>
    </row>
    <row r="73" spans="1:13" ht="14.25" customHeight="1">
      <c r="A73" s="211">
        <v>11</v>
      </c>
      <c r="B73" s="212" t="str">
        <f>VLOOKUP(OverzichtVloer20[[#This Row],[Code Locatie]],Locaties[],2,0)</f>
        <v>OMBS De Wielerbaan</v>
      </c>
      <c r="C73" s="211">
        <v>3</v>
      </c>
      <c r="D73" s="203" t="str">
        <f>IF(Vloeronderhoud!$C73&gt;0,VLOOKUP(Vloeronderhoud!$C73,$A$8:$B$18,2,FALSE),"")</f>
        <v>Diepstrippen, sealen en conserveren</v>
      </c>
      <c r="E73" s="214" t="s">
        <v>100</v>
      </c>
      <c r="F73" s="215">
        <f>SUMIFS('Ruimtestaat'!$N:$N,'Ruimtestaat'!L:L,Vloeronderhoud!E73,'Ruimtestaat'!A:A,Vloeronderhoud!A73)</f>
        <v>1014.0000000000001</v>
      </c>
      <c r="G73" s="197">
        <v>0.25</v>
      </c>
      <c r="H73" s="216">
        <f>VLOOKUP(OverzichtVloer20[[#This Row],[Code Taak]],InvulVloer19[],3,3)*F73*G73</f>
        <v>0</v>
      </c>
      <c r="I73" s="217">
        <f>OverzichtVloer20[[#This Row],[Kosten/jaar excl. BTW]]*1.21</f>
        <v>0</v>
      </c>
      <c r="M73" s="204"/>
    </row>
    <row r="74" spans="1:13" ht="14.25" customHeight="1">
      <c r="A74" s="211">
        <v>11</v>
      </c>
      <c r="B74" s="212" t="str">
        <f>VLOOKUP(OverzichtVloer20[[#This Row],[Code Locatie]],Locaties[],2,0)</f>
        <v>OMBS De Wielerbaan</v>
      </c>
      <c r="C74" s="211">
        <v>4</v>
      </c>
      <c r="D74" s="203" t="str">
        <f>IF(Vloeronderhoud!$C74&gt;0,VLOOKUP(Vloeronderhoud!$C74,$A$8:$B$18,2,FALSE),"")</f>
        <v>Tapijtreinigen, sproei-extractiemethode</v>
      </c>
      <c r="E74" s="214" t="s">
        <v>99</v>
      </c>
      <c r="F74" s="215">
        <f>SUMIFS('Ruimtestaat'!$N:$N,'Ruimtestaat'!L:L,Vloeronderhoud!E74,'Ruimtestaat'!A:A,Vloeronderhoud!A74)</f>
        <v>158.79999999999998</v>
      </c>
      <c r="G74" s="197">
        <v>1</v>
      </c>
      <c r="H74" s="216">
        <f>VLOOKUP(OverzichtVloer20[[#This Row],[Code Taak]],InvulVloer19[],3,3)*F74*G74</f>
        <v>0</v>
      </c>
      <c r="I74" s="217">
        <f>OverzichtVloer20[[#This Row],[Kosten/jaar excl. BTW]]*1.21</f>
        <v>0</v>
      </c>
      <c r="M74" s="204"/>
    </row>
    <row r="75" spans="1:13" ht="14.25" customHeight="1">
      <c r="A75" s="211">
        <v>11</v>
      </c>
      <c r="B75" s="212" t="str">
        <f>VLOOKUP(OverzichtVloer20[[#This Row],[Code Locatie]],Locaties[],2,0)</f>
        <v>OMBS De Wielerbaan</v>
      </c>
      <c r="C75" s="211">
        <v>9</v>
      </c>
      <c r="D75" s="203" t="str">
        <f>IF(Vloeronderhoud!$C75&gt;0,VLOOKUP(Vloeronderhoud!$C75,$A$8:$B$18,2,FALSE),"")</f>
        <v>Machinaal schrobben en droogzuigen</v>
      </c>
      <c r="E75" s="214" t="s">
        <v>101</v>
      </c>
      <c r="F75" s="215">
        <f>SUMIFS('Ruimtestaat'!$N:$N,'Ruimtestaat'!L:L,Vloeronderhoud!E75,'Ruimtestaat'!A:A,Vloeronderhoud!A75)</f>
        <v>78.300000000000011</v>
      </c>
      <c r="G75" s="197">
        <v>1</v>
      </c>
      <c r="H75" s="216">
        <f>VLOOKUP(OverzichtVloer20[[#This Row],[Code Taak]],InvulVloer19[],3,3)*F75*G75</f>
        <v>0</v>
      </c>
      <c r="I75" s="217">
        <f>OverzichtVloer20[[#This Row],[Kosten/jaar excl. BTW]]*1.21</f>
        <v>0</v>
      </c>
      <c r="M75" s="204"/>
    </row>
    <row r="76" spans="1:13" ht="14.25" customHeight="1">
      <c r="A76" s="211">
        <v>11</v>
      </c>
      <c r="B76" s="212" t="str">
        <f>VLOOKUP(OverzichtVloer20[[#This Row],[Code Locatie]],Locaties[],2,0)</f>
        <v>OMBS De Wielerbaan</v>
      </c>
      <c r="C76" s="211">
        <v>9</v>
      </c>
      <c r="D76" s="203" t="str">
        <f>IF(Vloeronderhoud!$C76&gt;0,VLOOKUP(Vloeronderhoud!$C76,$A$8:$B$18,2,FALSE),"")</f>
        <v>Machinaal schrobben en droogzuigen</v>
      </c>
      <c r="E76" s="214" t="s">
        <v>102</v>
      </c>
      <c r="F76" s="215">
        <f>SUMIFS('Ruimtestaat'!$N:$N,'Ruimtestaat'!L:L,Vloeronderhoud!E76,'Ruimtestaat'!A:A,Vloeronderhoud!A76)</f>
        <v>116.10000000000001</v>
      </c>
      <c r="G76" s="197">
        <v>1</v>
      </c>
      <c r="H76" s="216">
        <f>VLOOKUP(OverzichtVloer20[[#This Row],[Code Taak]],InvulVloer19[],3,3)*F76*G76</f>
        <v>0</v>
      </c>
      <c r="I76" s="217">
        <f>OverzichtVloer20[[#This Row],[Kosten/jaar excl. BTW]]*1.21</f>
        <v>0</v>
      </c>
      <c r="M76" s="204"/>
    </row>
    <row r="77" spans="1:13" ht="14.25" customHeight="1">
      <c r="A77" s="211">
        <v>12</v>
      </c>
      <c r="B77" s="212" t="str">
        <f>VLOOKUP(OverzichtVloer20[[#This Row],[Code Locatie]],Locaties[],2,0)</f>
        <v>OMBS Het Zeggelt (Dr. Benthem)</v>
      </c>
      <c r="C77" s="211">
        <v>1</v>
      </c>
      <c r="D77" s="203" t="str">
        <f>IF(Vloeronderhoud!$C77&gt;0,VLOOKUP(Vloeronderhoud!$C77,$A$8:$B$18,2,FALSE),"")</f>
        <v>Sprayen/opblokken</v>
      </c>
      <c r="E77" s="214" t="s">
        <v>100</v>
      </c>
      <c r="F77" s="215">
        <f>SUMIFS('Ruimtestaat'!$N:$N,'Ruimtestaat'!L:L,Vloeronderhoud!E77,'Ruimtestaat'!A:A,Vloeronderhoud!A77)</f>
        <v>766.30000000000007</v>
      </c>
      <c r="G77" s="197">
        <v>1</v>
      </c>
      <c r="H77" s="216">
        <f>VLOOKUP(OverzichtVloer20[[#This Row],[Code Taak]],InvulVloer19[],3,3)*F77*G77</f>
        <v>0</v>
      </c>
      <c r="I77" s="217">
        <f>OverzichtVloer20[[#This Row],[Kosten/jaar excl. BTW]]*1.21</f>
        <v>0</v>
      </c>
      <c r="M77" s="204"/>
    </row>
    <row r="78" spans="1:13" ht="14.25" customHeight="1">
      <c r="A78" s="211">
        <v>12</v>
      </c>
      <c r="B78" s="212" t="str">
        <f>VLOOKUP(OverzichtVloer20[[#This Row],[Code Locatie]],Locaties[],2,0)</f>
        <v>OMBS Het Zeggelt (Dr. Benthem)</v>
      </c>
      <c r="C78" s="211">
        <v>2</v>
      </c>
      <c r="D78" s="203" t="str">
        <f>IF(Vloeronderhoud!$C78&gt;0,VLOOKUP(Vloeronderhoud!$C78,$A$8:$B$18,2,FALSE),"")</f>
        <v>Topstrippen en conserveren</v>
      </c>
      <c r="E78" s="214" t="s">
        <v>100</v>
      </c>
      <c r="F78" s="215">
        <f>SUMIFS('Ruimtestaat'!$N:$N,'Ruimtestaat'!L:L,Vloeronderhoud!E78,'Ruimtestaat'!A:A,Vloeronderhoud!A78)</f>
        <v>766.30000000000007</v>
      </c>
      <c r="G78" s="197">
        <v>1</v>
      </c>
      <c r="H78" s="216">
        <f>VLOOKUP(OverzichtVloer20[[#This Row],[Code Taak]],InvulVloer19[],3,3)*F78*G78</f>
        <v>0</v>
      </c>
      <c r="I78" s="217">
        <f>OverzichtVloer20[[#This Row],[Kosten/jaar excl. BTW]]*1.21</f>
        <v>0</v>
      </c>
      <c r="M78" s="204"/>
    </row>
    <row r="79" spans="1:13" ht="14.25" customHeight="1">
      <c r="A79" s="211">
        <v>12</v>
      </c>
      <c r="B79" s="212" t="str">
        <f>VLOOKUP(OverzichtVloer20[[#This Row],[Code Locatie]],Locaties[],2,0)</f>
        <v>OMBS Het Zeggelt (Dr. Benthem)</v>
      </c>
      <c r="C79" s="211">
        <v>3</v>
      </c>
      <c r="D79" s="203" t="str">
        <f>IF(Vloeronderhoud!$C79&gt;0,VLOOKUP(Vloeronderhoud!$C79,$A$8:$B$18,2,FALSE),"")</f>
        <v>Diepstrippen, sealen en conserveren</v>
      </c>
      <c r="E79" s="214" t="s">
        <v>100</v>
      </c>
      <c r="F79" s="215">
        <f>SUMIFS('Ruimtestaat'!$N:$N,'Ruimtestaat'!L:L,Vloeronderhoud!E79,'Ruimtestaat'!A:A,Vloeronderhoud!A79)</f>
        <v>766.30000000000007</v>
      </c>
      <c r="G79" s="197">
        <v>0.25</v>
      </c>
      <c r="H79" s="216">
        <f>VLOOKUP(OverzichtVloer20[[#This Row],[Code Taak]],InvulVloer19[],3,3)*F79*G79</f>
        <v>0</v>
      </c>
      <c r="I79" s="217">
        <f>OverzichtVloer20[[#This Row],[Kosten/jaar excl. BTW]]*1.21</f>
        <v>0</v>
      </c>
      <c r="M79" s="204"/>
    </row>
    <row r="80" spans="1:13" ht="14.25" customHeight="1">
      <c r="A80" s="211">
        <v>12</v>
      </c>
      <c r="B80" s="212" t="str">
        <f>VLOOKUP(OverzichtVloer20[[#This Row],[Code Locatie]],Locaties[],2,0)</f>
        <v>OMBS Het Zeggelt (Dr. Benthem)</v>
      </c>
      <c r="C80" s="211">
        <v>4</v>
      </c>
      <c r="D80" s="203" t="str">
        <f>IF(Vloeronderhoud!$C80&gt;0,VLOOKUP(Vloeronderhoud!$C80,$A$8:$B$18,2,FALSE),"")</f>
        <v>Tapijtreinigen, sproei-extractiemethode</v>
      </c>
      <c r="E80" s="214" t="s">
        <v>99</v>
      </c>
      <c r="F80" s="215">
        <f>SUMIFS('Ruimtestaat'!$N:$N,'Ruimtestaat'!L:L,Vloeronderhoud!E80,'Ruimtestaat'!A:A,Vloeronderhoud!A80)</f>
        <v>117.6</v>
      </c>
      <c r="G80" s="197">
        <v>1</v>
      </c>
      <c r="H80" s="216">
        <f>VLOOKUP(OverzichtVloer20[[#This Row],[Code Taak]],InvulVloer19[],3,3)*F80*G80</f>
        <v>0</v>
      </c>
      <c r="I80" s="217">
        <f>OverzichtVloer20[[#This Row],[Kosten/jaar excl. BTW]]*1.21</f>
        <v>0</v>
      </c>
      <c r="M80" s="204"/>
    </row>
    <row r="81" spans="1:13" ht="14.25" customHeight="1">
      <c r="A81" s="211">
        <v>12</v>
      </c>
      <c r="B81" s="212" t="str">
        <f>VLOOKUP(OverzichtVloer20[[#This Row],[Code Locatie]],Locaties[],2,0)</f>
        <v>OMBS Het Zeggelt (Dr. Benthem)</v>
      </c>
      <c r="C81" s="211">
        <v>7</v>
      </c>
      <c r="D81" s="203" t="str">
        <f>IF(Vloeronderhoud!$C81&gt;0,VLOOKUP(Vloeronderhoud!$C81,$A$8:$B$18,2,FALSE),"")</f>
        <v>Olieen houten vloeren</v>
      </c>
      <c r="E81" s="214" t="s">
        <v>1309</v>
      </c>
      <c r="F81" s="215">
        <f>SUMIFS('Ruimtestaat'!$N:$N,'Ruimtestaat'!L:L,Vloeronderhoud!E81,'Ruimtestaat'!A:A,Vloeronderhoud!A81)</f>
        <v>0</v>
      </c>
      <c r="G81" s="197">
        <v>1</v>
      </c>
      <c r="H81" s="216">
        <f>VLOOKUP(OverzichtVloer20[[#This Row],[Code Taak]],InvulVloer19[],3,3)*F81*G81</f>
        <v>0</v>
      </c>
      <c r="I81" s="217">
        <f>OverzichtVloer20[[#This Row],[Kosten/jaar excl. BTW]]*1.21</f>
        <v>0</v>
      </c>
      <c r="M81" s="204"/>
    </row>
    <row r="82" spans="1:13" ht="14.25" customHeight="1">
      <c r="A82" s="211">
        <v>12</v>
      </c>
      <c r="B82" s="212" t="str">
        <f>VLOOKUP(OverzichtVloer20[[#This Row],[Code Locatie]],Locaties[],2,0)</f>
        <v>OMBS Het Zeggelt (Dr. Benthem)</v>
      </c>
      <c r="C82" s="211">
        <v>9</v>
      </c>
      <c r="D82" s="203" t="str">
        <f>IF(Vloeronderhoud!$C82&gt;0,VLOOKUP(Vloeronderhoud!$C82,$A$8:$B$18,2,FALSE),"")</f>
        <v>Machinaal schrobben en droogzuigen</v>
      </c>
      <c r="E82" s="214" t="s">
        <v>101</v>
      </c>
      <c r="F82" s="215">
        <f>SUMIFS('Ruimtestaat'!$N:$N,'Ruimtestaat'!L:L,Vloeronderhoud!E82,'Ruimtestaat'!A:A,Vloeronderhoud!A82)</f>
        <v>65.100000000000009</v>
      </c>
      <c r="G82" s="197">
        <v>1</v>
      </c>
      <c r="H82" s="216">
        <f>VLOOKUP(OverzichtVloer20[[#This Row],[Code Taak]],InvulVloer19[],3,3)*F82*G82</f>
        <v>0</v>
      </c>
      <c r="I82" s="217">
        <f>OverzichtVloer20[[#This Row],[Kosten/jaar excl. BTW]]*1.21</f>
        <v>0</v>
      </c>
      <c r="M82" s="204"/>
    </row>
    <row r="83" spans="1:13" ht="14.25" customHeight="1">
      <c r="A83" s="211">
        <v>12</v>
      </c>
      <c r="B83" s="212" t="str">
        <f>VLOOKUP(OverzichtVloer20[[#This Row],[Code Locatie]],Locaties[],2,0)</f>
        <v>OMBS Het Zeggelt (Dr. Benthem)</v>
      </c>
      <c r="C83" s="211">
        <v>9</v>
      </c>
      <c r="D83" s="203" t="str">
        <f>IF(Vloeronderhoud!$C83&gt;0,VLOOKUP(Vloeronderhoud!$C83,$A$8:$B$18,2,FALSE),"")</f>
        <v>Machinaal schrobben en droogzuigen</v>
      </c>
      <c r="E83" s="214" t="s">
        <v>102</v>
      </c>
      <c r="F83" s="215">
        <f>SUMIFS('Ruimtestaat'!$N:$N,'Ruimtestaat'!L:L,Vloeronderhoud!E83,'Ruimtestaat'!A:A,Vloeronderhoud!A83)</f>
        <v>300.60000000000002</v>
      </c>
      <c r="G83" s="197">
        <v>1</v>
      </c>
      <c r="H83" s="216">
        <f>VLOOKUP(OverzichtVloer20[[#This Row],[Code Taak]],InvulVloer19[],3,3)*F83*G83</f>
        <v>0</v>
      </c>
      <c r="I83" s="217">
        <f>OverzichtVloer20[[#This Row],[Kosten/jaar excl. BTW]]*1.21</f>
        <v>0</v>
      </c>
      <c r="M83" s="204"/>
    </row>
    <row r="84" spans="1:13" ht="14.25" customHeight="1">
      <c r="A84" s="211">
        <v>13</v>
      </c>
      <c r="B84" s="212" t="str">
        <f>VLOOKUP(OverzichtVloer20[[#This Row],[Code Locatie]],Locaties[],2,0)</f>
        <v>OMBS Het Zeggelt (Meeuwen)</v>
      </c>
      <c r="C84" s="211">
        <v>1</v>
      </c>
      <c r="D84" s="203" t="str">
        <f>IF(Vloeronderhoud!$C84&gt;0,VLOOKUP(Vloeronderhoud!$C84,$A$8:$B$18,2,FALSE),"")</f>
        <v>Sprayen/opblokken</v>
      </c>
      <c r="E84" s="214" t="s">
        <v>100</v>
      </c>
      <c r="F84" s="215">
        <f>SUMIFS('Ruimtestaat'!$N:$N,'Ruimtestaat'!L:L,Vloeronderhoud!E84,'Ruimtestaat'!A:A,Vloeronderhoud!A84)</f>
        <v>500.1</v>
      </c>
      <c r="G84" s="197">
        <v>1</v>
      </c>
      <c r="H84" s="216">
        <f>VLOOKUP(OverzichtVloer20[[#This Row],[Code Taak]],InvulVloer19[],3,3)*F84*G84</f>
        <v>0</v>
      </c>
      <c r="I84" s="217">
        <f>OverzichtVloer20[[#This Row],[Kosten/jaar excl. BTW]]*1.21</f>
        <v>0</v>
      </c>
      <c r="M84" s="204"/>
    </row>
    <row r="85" spans="1:13" ht="14.25" customHeight="1">
      <c r="A85" s="211">
        <v>13</v>
      </c>
      <c r="B85" s="212" t="str">
        <f>VLOOKUP(OverzichtVloer20[[#This Row],[Code Locatie]],Locaties[],2,0)</f>
        <v>OMBS Het Zeggelt (Meeuwen)</v>
      </c>
      <c r="C85" s="211">
        <v>2</v>
      </c>
      <c r="D85" s="203" t="str">
        <f>IF(Vloeronderhoud!$C85&gt;0,VLOOKUP(Vloeronderhoud!$C85,$A$8:$B$18,2,FALSE),"")</f>
        <v>Topstrippen en conserveren</v>
      </c>
      <c r="E85" s="214" t="s">
        <v>100</v>
      </c>
      <c r="F85" s="215">
        <f>SUMIFS('Ruimtestaat'!$N:$N,'Ruimtestaat'!L:L,Vloeronderhoud!E85,'Ruimtestaat'!A:A,Vloeronderhoud!A85)</f>
        <v>500.1</v>
      </c>
      <c r="G85" s="197">
        <v>1</v>
      </c>
      <c r="H85" s="216">
        <f>VLOOKUP(OverzichtVloer20[[#This Row],[Code Taak]],InvulVloer19[],3,3)*F85*G85</f>
        <v>0</v>
      </c>
      <c r="I85" s="217">
        <f>OverzichtVloer20[[#This Row],[Kosten/jaar excl. BTW]]*1.21</f>
        <v>0</v>
      </c>
      <c r="M85" s="204"/>
    </row>
    <row r="86" spans="1:13" ht="14.25" customHeight="1">
      <c r="A86" s="211">
        <v>13</v>
      </c>
      <c r="B86" s="212" t="str">
        <f>VLOOKUP(OverzichtVloer20[[#This Row],[Code Locatie]],Locaties[],2,0)</f>
        <v>OMBS Het Zeggelt (Meeuwen)</v>
      </c>
      <c r="C86" s="211">
        <v>3</v>
      </c>
      <c r="D86" s="203" t="str">
        <f>IF(Vloeronderhoud!$C86&gt;0,VLOOKUP(Vloeronderhoud!$C86,$A$8:$B$18,2,FALSE),"")</f>
        <v>Diepstrippen, sealen en conserveren</v>
      </c>
      <c r="E86" s="214" t="s">
        <v>100</v>
      </c>
      <c r="F86" s="215">
        <f>SUMIFS('Ruimtestaat'!$N:$N,'Ruimtestaat'!L:L,Vloeronderhoud!E86,'Ruimtestaat'!A:A,Vloeronderhoud!A86)</f>
        <v>500.1</v>
      </c>
      <c r="G86" s="197">
        <v>0.25</v>
      </c>
      <c r="H86" s="216">
        <f>VLOOKUP(OverzichtVloer20[[#This Row],[Code Taak]],InvulVloer19[],3,3)*F86*G86</f>
        <v>0</v>
      </c>
      <c r="I86" s="217">
        <f>OverzichtVloer20[[#This Row],[Kosten/jaar excl. BTW]]*1.21</f>
        <v>0</v>
      </c>
      <c r="M86" s="204"/>
    </row>
    <row r="87" spans="1:13" ht="14.25" customHeight="1">
      <c r="A87" s="211">
        <v>13</v>
      </c>
      <c r="B87" s="212" t="str">
        <f>VLOOKUP(OverzichtVloer20[[#This Row],[Code Locatie]],Locaties[],2,0)</f>
        <v>OMBS Het Zeggelt (Meeuwen)</v>
      </c>
      <c r="C87" s="211">
        <v>4</v>
      </c>
      <c r="D87" s="203" t="str">
        <f>IF(Vloeronderhoud!$C87&gt;0,VLOOKUP(Vloeronderhoud!$C87,$A$8:$B$18,2,FALSE),"")</f>
        <v>Tapijtreinigen, sproei-extractiemethode</v>
      </c>
      <c r="E87" s="214" t="s">
        <v>99</v>
      </c>
      <c r="F87" s="215">
        <f>SUMIFS('Ruimtestaat'!$N:$N,'Ruimtestaat'!L:L,Vloeronderhoud!E87,'Ruimtestaat'!A:A,Vloeronderhoud!A87)</f>
        <v>280.5</v>
      </c>
      <c r="G87" s="197">
        <v>1</v>
      </c>
      <c r="H87" s="216">
        <f>VLOOKUP(OverzichtVloer20[[#This Row],[Code Taak]],InvulVloer19[],3,3)*F87*G87</f>
        <v>0</v>
      </c>
      <c r="I87" s="217">
        <f>OverzichtVloer20[[#This Row],[Kosten/jaar excl. BTW]]*1.21</f>
        <v>0</v>
      </c>
      <c r="M87" s="204"/>
    </row>
    <row r="88" spans="1:13" ht="14.25" customHeight="1">
      <c r="A88" s="211">
        <v>13</v>
      </c>
      <c r="B88" s="212" t="str">
        <f>VLOOKUP(OverzichtVloer20[[#This Row],[Code Locatie]],Locaties[],2,0)</f>
        <v>OMBS Het Zeggelt (Meeuwen)</v>
      </c>
      <c r="C88" s="211">
        <v>9</v>
      </c>
      <c r="D88" s="203" t="str">
        <f>IF(Vloeronderhoud!$C88&gt;0,VLOOKUP(Vloeronderhoud!$C88,$A$8:$B$18,2,FALSE),"")</f>
        <v>Machinaal schrobben en droogzuigen</v>
      </c>
      <c r="E88" s="214" t="s">
        <v>101</v>
      </c>
      <c r="F88" s="215">
        <f>SUMIFS('Ruimtestaat'!$N:$N,'Ruimtestaat'!L:L,Vloeronderhoud!E88,'Ruimtestaat'!A:A,Vloeronderhoud!A88)</f>
        <v>283.59999999999997</v>
      </c>
      <c r="G88" s="197">
        <v>1</v>
      </c>
      <c r="H88" s="216">
        <f>VLOOKUP(OverzichtVloer20[[#This Row],[Code Taak]],InvulVloer19[],3,3)*F88*G88</f>
        <v>0</v>
      </c>
      <c r="I88" s="217">
        <f>OverzichtVloer20[[#This Row],[Kosten/jaar excl. BTW]]*1.21</f>
        <v>0</v>
      </c>
      <c r="M88" s="204"/>
    </row>
    <row r="89" spans="1:13" ht="14.25" customHeight="1">
      <c r="A89" s="211">
        <v>13</v>
      </c>
      <c r="B89" s="212" t="str">
        <f>VLOOKUP(OverzichtVloer20[[#This Row],[Code Locatie]],Locaties[],2,0)</f>
        <v>OMBS Het Zeggelt (Meeuwen)</v>
      </c>
      <c r="C89" s="211">
        <v>9</v>
      </c>
      <c r="D89" s="203" t="str">
        <f>IF(Vloeronderhoud!$C89&gt;0,VLOOKUP(Vloeronderhoud!$C89,$A$8:$B$18,2,FALSE),"")</f>
        <v>Machinaal schrobben en droogzuigen</v>
      </c>
      <c r="E89" s="214" t="s">
        <v>102</v>
      </c>
      <c r="F89" s="215">
        <f>SUMIFS('Ruimtestaat'!$N:$N,'Ruimtestaat'!L:L,Vloeronderhoud!E89,'Ruimtestaat'!A:A,Vloeronderhoud!A89)</f>
        <v>202.2</v>
      </c>
      <c r="G89" s="197">
        <v>1</v>
      </c>
      <c r="H89" s="216">
        <f>VLOOKUP(OverzichtVloer20[[#This Row],[Code Taak]],InvulVloer19[],3,3)*F89*G89</f>
        <v>0</v>
      </c>
      <c r="I89" s="217">
        <f>OverzichtVloer20[[#This Row],[Kosten/jaar excl. BTW]]*1.21</f>
        <v>0</v>
      </c>
      <c r="M89" s="204"/>
    </row>
    <row r="90" spans="1:13" ht="14.25" customHeight="1">
      <c r="A90" s="211">
        <v>14</v>
      </c>
      <c r="B90" s="212" t="str">
        <f>VLOOKUP(OverzichtVloer20[[#This Row],[Code Locatie]],Locaties[],2,0)</f>
        <v>Prinseschool Prinsestraat</v>
      </c>
      <c r="C90" s="211">
        <v>1</v>
      </c>
      <c r="D90" s="203" t="str">
        <f>IF(Vloeronderhoud!$C90&gt;0,VLOOKUP(Vloeronderhoud!$C90,$A$8:$B$18,2,FALSE),"")</f>
        <v>Sprayen/opblokken</v>
      </c>
      <c r="E90" s="214" t="s">
        <v>100</v>
      </c>
      <c r="F90" s="215">
        <f>SUMIFS('Ruimtestaat'!$N:$N,'Ruimtestaat'!L:L,Vloeronderhoud!E90,'Ruimtestaat'!A:A,Vloeronderhoud!A90)</f>
        <v>1371.6000000000001</v>
      </c>
      <c r="G90" s="197">
        <v>1</v>
      </c>
      <c r="H90" s="216">
        <f>VLOOKUP(OverzichtVloer20[[#This Row],[Code Taak]],InvulVloer19[],3,3)*F90*G90</f>
        <v>0</v>
      </c>
      <c r="I90" s="217">
        <f>OverzichtVloer20[[#This Row],[Kosten/jaar excl. BTW]]*1.21</f>
        <v>0</v>
      </c>
      <c r="M90" s="204"/>
    </row>
    <row r="91" spans="1:13" ht="14.25" customHeight="1">
      <c r="A91" s="211">
        <v>14</v>
      </c>
      <c r="B91" s="212" t="str">
        <f>VLOOKUP(OverzichtVloer20[[#This Row],[Code Locatie]],Locaties[],2,0)</f>
        <v>Prinseschool Prinsestraat</v>
      </c>
      <c r="C91" s="211">
        <v>2</v>
      </c>
      <c r="D91" s="203" t="str">
        <f>IF(Vloeronderhoud!$C91&gt;0,VLOOKUP(Vloeronderhoud!$C91,$A$8:$B$18,2,FALSE),"")</f>
        <v>Topstrippen en conserveren</v>
      </c>
      <c r="E91" s="214" t="s">
        <v>100</v>
      </c>
      <c r="F91" s="215">
        <f>SUMIFS('Ruimtestaat'!$N:$N,'Ruimtestaat'!L:L,Vloeronderhoud!E91,'Ruimtestaat'!A:A,Vloeronderhoud!A91)</f>
        <v>1371.6000000000001</v>
      </c>
      <c r="G91" s="197">
        <v>1</v>
      </c>
      <c r="H91" s="216">
        <f>VLOOKUP(OverzichtVloer20[[#This Row],[Code Taak]],InvulVloer19[],3,3)*F91*G91</f>
        <v>0</v>
      </c>
      <c r="I91" s="217">
        <f>OverzichtVloer20[[#This Row],[Kosten/jaar excl. BTW]]*1.21</f>
        <v>0</v>
      </c>
      <c r="M91" s="204"/>
    </row>
    <row r="92" spans="1:13" ht="14.25" customHeight="1">
      <c r="A92" s="211">
        <v>14</v>
      </c>
      <c r="B92" s="212" t="str">
        <f>VLOOKUP(OverzichtVloer20[[#This Row],[Code Locatie]],Locaties[],2,0)</f>
        <v>Prinseschool Prinsestraat</v>
      </c>
      <c r="C92" s="211">
        <v>3</v>
      </c>
      <c r="D92" s="203" t="str">
        <f>IF(Vloeronderhoud!$C92&gt;0,VLOOKUP(Vloeronderhoud!$C92,$A$8:$B$18,2,FALSE),"")</f>
        <v>Diepstrippen, sealen en conserveren</v>
      </c>
      <c r="E92" s="214" t="s">
        <v>100</v>
      </c>
      <c r="F92" s="215">
        <f>SUMIFS('Ruimtestaat'!$N:$N,'Ruimtestaat'!L:L,Vloeronderhoud!E92,'Ruimtestaat'!A:A,Vloeronderhoud!A92)</f>
        <v>1371.6000000000001</v>
      </c>
      <c r="G92" s="197">
        <v>0.25</v>
      </c>
      <c r="H92" s="216">
        <f>VLOOKUP(OverzichtVloer20[[#This Row],[Code Taak]],InvulVloer19[],3,3)*F92*G92</f>
        <v>0</v>
      </c>
      <c r="I92" s="217">
        <f>OverzichtVloer20[[#This Row],[Kosten/jaar excl. BTW]]*1.21</f>
        <v>0</v>
      </c>
      <c r="M92" s="204"/>
    </row>
    <row r="93" spans="1:13" ht="14.25" customHeight="1">
      <c r="A93" s="211">
        <v>14</v>
      </c>
      <c r="B93" s="212" t="str">
        <f>VLOOKUP(OverzichtVloer20[[#This Row],[Code Locatie]],Locaties[],2,0)</f>
        <v>Prinseschool Prinsestraat</v>
      </c>
      <c r="C93" s="211">
        <v>4</v>
      </c>
      <c r="D93" s="203" t="str">
        <f>IF(Vloeronderhoud!$C93&gt;0,VLOOKUP(Vloeronderhoud!$C93,$A$8:$B$18,2,FALSE),"")</f>
        <v>Tapijtreinigen, sproei-extractiemethode</v>
      </c>
      <c r="E93" s="214" t="s">
        <v>99</v>
      </c>
      <c r="F93" s="215">
        <f>SUMIFS('Ruimtestaat'!$N:$N,'Ruimtestaat'!L:L,Vloeronderhoud!E93,'Ruimtestaat'!A:A,Vloeronderhoud!A93)</f>
        <v>214</v>
      </c>
      <c r="G93" s="197">
        <v>1</v>
      </c>
      <c r="H93" s="216">
        <f>VLOOKUP(OverzichtVloer20[[#This Row],[Code Taak]],InvulVloer19[],3,3)*F93*G93</f>
        <v>0</v>
      </c>
      <c r="I93" s="217">
        <f>OverzichtVloer20[[#This Row],[Kosten/jaar excl. BTW]]*1.21</f>
        <v>0</v>
      </c>
      <c r="M93" s="204"/>
    </row>
    <row r="94" spans="1:13" ht="14.25" customHeight="1">
      <c r="A94" s="211">
        <v>14</v>
      </c>
      <c r="B94" s="212" t="str">
        <f>VLOOKUP(OverzichtVloer20[[#This Row],[Code Locatie]],Locaties[],2,0)</f>
        <v>Prinseschool Prinsestraat</v>
      </c>
      <c r="C94" s="211">
        <v>9</v>
      </c>
      <c r="D94" s="203" t="str">
        <f>IF(Vloeronderhoud!$C94&gt;0,VLOOKUP(Vloeronderhoud!$C94,$A$8:$B$18,2,FALSE),"")</f>
        <v>Machinaal schrobben en droogzuigen</v>
      </c>
      <c r="E94" s="214" t="s">
        <v>101</v>
      </c>
      <c r="F94" s="215">
        <f>SUMIFS('Ruimtestaat'!$N:$N,'Ruimtestaat'!L:L,Vloeronderhoud!E94,'Ruimtestaat'!A:A,Vloeronderhoud!A94)</f>
        <v>153.29999999999998</v>
      </c>
      <c r="G94" s="197">
        <v>1</v>
      </c>
      <c r="H94" s="216">
        <f>VLOOKUP(OverzichtVloer20[[#This Row],[Code Taak]],InvulVloer19[],3,3)*F94*G94</f>
        <v>0</v>
      </c>
      <c r="I94" s="217">
        <f>OverzichtVloer20[[#This Row],[Kosten/jaar excl. BTW]]*1.21</f>
        <v>0</v>
      </c>
      <c r="M94" s="204"/>
    </row>
    <row r="95" spans="1:13" ht="14.25" customHeight="1">
      <c r="A95" s="211">
        <v>15</v>
      </c>
      <c r="B95" s="212" t="str">
        <f>VLOOKUP(OverzichtVloer20[[#This Row],[Code Locatie]],Locaties[],2,0)</f>
        <v>Prinseschool Staringstraat</v>
      </c>
      <c r="C95" s="211">
        <v>1</v>
      </c>
      <c r="D95" s="203" t="str">
        <f>IF(Vloeronderhoud!$C95&gt;0,VLOOKUP(Vloeronderhoud!$C95,$A$8:$B$18,2,FALSE),"")</f>
        <v>Sprayen/opblokken</v>
      </c>
      <c r="E95" s="214" t="s">
        <v>100</v>
      </c>
      <c r="F95" s="215">
        <f>SUMIFS('Ruimtestaat'!$N:$N,'Ruimtestaat'!L:L,Vloeronderhoud!E95,'Ruimtestaat'!A:A,Vloeronderhoud!A95)</f>
        <v>820.00000000000011</v>
      </c>
      <c r="G95" s="197">
        <v>1</v>
      </c>
      <c r="H95" s="216">
        <f>VLOOKUP(OverzichtVloer20[[#This Row],[Code Taak]],InvulVloer19[],3,3)*F95*G95</f>
        <v>0</v>
      </c>
      <c r="I95" s="217">
        <f>OverzichtVloer20[[#This Row],[Kosten/jaar excl. BTW]]*1.21</f>
        <v>0</v>
      </c>
      <c r="M95" s="204"/>
    </row>
    <row r="96" spans="1:13" ht="14.25" customHeight="1">
      <c r="A96" s="211">
        <v>15</v>
      </c>
      <c r="B96" s="212" t="str">
        <f>VLOOKUP(OverzichtVloer20[[#This Row],[Code Locatie]],Locaties[],2,0)</f>
        <v>Prinseschool Staringstraat</v>
      </c>
      <c r="C96" s="211">
        <v>2</v>
      </c>
      <c r="D96" s="203" t="str">
        <f>IF(Vloeronderhoud!$C96&gt;0,VLOOKUP(Vloeronderhoud!$C96,$A$8:$B$18,2,FALSE),"")</f>
        <v>Topstrippen en conserveren</v>
      </c>
      <c r="E96" s="214" t="s">
        <v>100</v>
      </c>
      <c r="F96" s="215">
        <f>SUMIFS('Ruimtestaat'!$N:$N,'Ruimtestaat'!L:L,Vloeronderhoud!E96,'Ruimtestaat'!A:A,Vloeronderhoud!A96)</f>
        <v>820.00000000000011</v>
      </c>
      <c r="G96" s="197">
        <v>1</v>
      </c>
      <c r="H96" s="216">
        <f>VLOOKUP(OverzichtVloer20[[#This Row],[Code Taak]],InvulVloer19[],3,3)*F96*G96</f>
        <v>0</v>
      </c>
      <c r="I96" s="217">
        <f>OverzichtVloer20[[#This Row],[Kosten/jaar excl. BTW]]*1.21</f>
        <v>0</v>
      </c>
      <c r="M96" s="204"/>
    </row>
    <row r="97" spans="1:13" ht="14.25" customHeight="1">
      <c r="A97" s="211">
        <v>15</v>
      </c>
      <c r="B97" s="212" t="str">
        <f>VLOOKUP(OverzichtVloer20[[#This Row],[Code Locatie]],Locaties[],2,0)</f>
        <v>Prinseschool Staringstraat</v>
      </c>
      <c r="C97" s="211">
        <v>3</v>
      </c>
      <c r="D97" s="203" t="str">
        <f>IF(Vloeronderhoud!$C97&gt;0,VLOOKUP(Vloeronderhoud!$C97,$A$8:$B$18,2,FALSE),"")</f>
        <v>Diepstrippen, sealen en conserveren</v>
      </c>
      <c r="E97" s="214" t="s">
        <v>100</v>
      </c>
      <c r="F97" s="215">
        <f>SUMIFS('Ruimtestaat'!$N:$N,'Ruimtestaat'!L:L,Vloeronderhoud!E97,'Ruimtestaat'!A:A,Vloeronderhoud!A97)</f>
        <v>820.00000000000011</v>
      </c>
      <c r="G97" s="197">
        <v>0.25</v>
      </c>
      <c r="H97" s="216">
        <f>VLOOKUP(OverzichtVloer20[[#This Row],[Code Taak]],InvulVloer19[],3,3)*F97*G97</f>
        <v>0</v>
      </c>
      <c r="I97" s="217">
        <f>OverzichtVloer20[[#This Row],[Kosten/jaar excl. BTW]]*1.21</f>
        <v>0</v>
      </c>
      <c r="M97" s="204"/>
    </row>
    <row r="98" spans="1:13" ht="14.25" customHeight="1">
      <c r="A98" s="211">
        <v>15</v>
      </c>
      <c r="B98" s="212" t="str">
        <f>VLOOKUP(OverzichtVloer20[[#This Row],[Code Locatie]],Locaties[],2,0)</f>
        <v>Prinseschool Staringstraat</v>
      </c>
      <c r="C98" s="211">
        <v>4</v>
      </c>
      <c r="D98" s="203" t="str">
        <f>IF(Vloeronderhoud!$C98&gt;0,VLOOKUP(Vloeronderhoud!$C98,$A$8:$B$18,2,FALSE),"")</f>
        <v>Tapijtreinigen, sproei-extractiemethode</v>
      </c>
      <c r="E98" s="214" t="s">
        <v>99</v>
      </c>
      <c r="F98" s="215">
        <f>SUMIFS('Ruimtestaat'!$N:$N,'Ruimtestaat'!L:L,Vloeronderhoud!E98,'Ruimtestaat'!A:A,Vloeronderhoud!A98)</f>
        <v>17.5</v>
      </c>
      <c r="G98" s="197">
        <v>1</v>
      </c>
      <c r="H98" s="216">
        <f>VLOOKUP(OverzichtVloer20[[#This Row],[Code Taak]],InvulVloer19[],3,3)*F98*G98</f>
        <v>0</v>
      </c>
      <c r="I98" s="217">
        <f>OverzichtVloer20[[#This Row],[Kosten/jaar excl. BTW]]*1.21</f>
        <v>0</v>
      </c>
      <c r="M98" s="204"/>
    </row>
    <row r="99" spans="1:13" ht="14.25" customHeight="1">
      <c r="A99" s="211">
        <v>15</v>
      </c>
      <c r="B99" s="212" t="str">
        <f>VLOOKUP(OverzichtVloer20[[#This Row],[Code Locatie]],Locaties[],2,0)</f>
        <v>Prinseschool Staringstraat</v>
      </c>
      <c r="C99" s="211">
        <v>7</v>
      </c>
      <c r="D99" s="203" t="str">
        <f>IF(Vloeronderhoud!$C99&gt;0,VLOOKUP(Vloeronderhoud!$C99,$A$8:$B$18,2,FALSE),"")</f>
        <v>Olieen houten vloeren</v>
      </c>
      <c r="E99" s="214" t="s">
        <v>1309</v>
      </c>
      <c r="F99" s="215">
        <f>SUMIFS('Ruimtestaat'!$N:$N,'Ruimtestaat'!L:L,Vloeronderhoud!E99,'Ruimtestaat'!A:A,Vloeronderhoud!A99)</f>
        <v>21.7</v>
      </c>
      <c r="G99" s="197">
        <v>1</v>
      </c>
      <c r="H99" s="216">
        <f>VLOOKUP(OverzichtVloer20[[#This Row],[Code Taak]],InvulVloer19[],3,3)*F99*G99</f>
        <v>0</v>
      </c>
      <c r="I99" s="217">
        <f>OverzichtVloer20[[#This Row],[Kosten/jaar excl. BTW]]*1.21</f>
        <v>0</v>
      </c>
      <c r="M99" s="204"/>
    </row>
    <row r="100" spans="1:13" ht="14.25" customHeight="1">
      <c r="A100" s="211">
        <v>15</v>
      </c>
      <c r="B100" s="212" t="str">
        <f>VLOOKUP(OverzichtVloer20[[#This Row],[Code Locatie]],Locaties[],2,0)</f>
        <v>Prinseschool Staringstraat</v>
      </c>
      <c r="C100" s="211">
        <v>9</v>
      </c>
      <c r="D100" s="203" t="str">
        <f>IF(Vloeronderhoud!$C100&gt;0,VLOOKUP(Vloeronderhoud!$C100,$A$8:$B$18,2,FALSE),"")</f>
        <v>Machinaal schrobben en droogzuigen</v>
      </c>
      <c r="E100" s="214" t="s">
        <v>101</v>
      </c>
      <c r="F100" s="215">
        <f>SUMIFS('Ruimtestaat'!$N:$N,'Ruimtestaat'!L:L,Vloeronderhoud!E100,'Ruimtestaat'!A:A,Vloeronderhoud!A100)</f>
        <v>109.19999999999997</v>
      </c>
      <c r="G100" s="197">
        <v>1</v>
      </c>
      <c r="H100" s="216">
        <f>VLOOKUP(OverzichtVloer20[[#This Row],[Code Taak]],InvulVloer19[],3,3)*F100*G100</f>
        <v>0</v>
      </c>
      <c r="I100" s="217">
        <f>OverzichtVloer20[[#This Row],[Kosten/jaar excl. BTW]]*1.21</f>
        <v>0</v>
      </c>
      <c r="M100" s="204"/>
    </row>
    <row r="101" spans="1:13" ht="14.25" customHeight="1">
      <c r="A101" s="211">
        <v>16</v>
      </c>
      <c r="B101" s="212" t="str">
        <f>VLOOKUP(OverzichtVloer20[[#This Row],[Code Locatie]],Locaties[],2,0)</f>
        <v>SBO Het Pontem (College)</v>
      </c>
      <c r="C101" s="211">
        <v>1</v>
      </c>
      <c r="D101" s="203" t="str">
        <f>IF(Vloeronderhoud!$C101&gt;0,VLOOKUP(Vloeronderhoud!$C101,$A$8:$B$18,2,FALSE),"")</f>
        <v>Sprayen/opblokken</v>
      </c>
      <c r="E101" s="214" t="s">
        <v>100</v>
      </c>
      <c r="F101" s="215">
        <f>SUMIFS('Ruimtestaat'!$N:$N,'Ruimtestaat'!L:L,Vloeronderhoud!E101,'Ruimtestaat'!A:A,Vloeronderhoud!A101)</f>
        <v>948.30000000000007</v>
      </c>
      <c r="G101" s="197">
        <v>1</v>
      </c>
      <c r="H101" s="216">
        <f>VLOOKUP(OverzichtVloer20[[#This Row],[Code Taak]],InvulVloer19[],3,3)*F101*G101</f>
        <v>0</v>
      </c>
      <c r="I101" s="217">
        <f>OverzichtVloer20[[#This Row],[Kosten/jaar excl. BTW]]*1.21</f>
        <v>0</v>
      </c>
      <c r="M101" s="204"/>
    </row>
    <row r="102" spans="1:13" ht="14.25" customHeight="1">
      <c r="A102" s="211">
        <v>16</v>
      </c>
      <c r="B102" s="212" t="str">
        <f>VLOOKUP(OverzichtVloer20[[#This Row],[Code Locatie]],Locaties[],2,0)</f>
        <v>SBO Het Pontem (College)</v>
      </c>
      <c r="C102" s="211">
        <v>2</v>
      </c>
      <c r="D102" s="203" t="str">
        <f>IF(Vloeronderhoud!$C102&gt;0,VLOOKUP(Vloeronderhoud!$C102,$A$8:$B$18,2,FALSE),"")</f>
        <v>Topstrippen en conserveren</v>
      </c>
      <c r="E102" s="214" t="s">
        <v>100</v>
      </c>
      <c r="F102" s="215">
        <f>SUMIFS('Ruimtestaat'!$N:$N,'Ruimtestaat'!L:L,Vloeronderhoud!E102,'Ruimtestaat'!A:A,Vloeronderhoud!A102)</f>
        <v>948.30000000000007</v>
      </c>
      <c r="G102" s="197">
        <v>1</v>
      </c>
      <c r="H102" s="216">
        <f>VLOOKUP(OverzichtVloer20[[#This Row],[Code Taak]],InvulVloer19[],3,3)*F102*G102</f>
        <v>0</v>
      </c>
      <c r="I102" s="217">
        <f>OverzichtVloer20[[#This Row],[Kosten/jaar excl. BTW]]*1.21</f>
        <v>0</v>
      </c>
      <c r="M102" s="204"/>
    </row>
    <row r="103" spans="1:13" ht="14.25" customHeight="1">
      <c r="A103" s="211">
        <v>16</v>
      </c>
      <c r="B103" s="212" t="str">
        <f>VLOOKUP(OverzichtVloer20[[#This Row],[Code Locatie]],Locaties[],2,0)</f>
        <v>SBO Het Pontem (College)</v>
      </c>
      <c r="C103" s="211">
        <v>3</v>
      </c>
      <c r="D103" s="203" t="str">
        <f>IF(Vloeronderhoud!$C103&gt;0,VLOOKUP(Vloeronderhoud!$C103,$A$8:$B$18,2,FALSE),"")</f>
        <v>Diepstrippen, sealen en conserveren</v>
      </c>
      <c r="E103" s="214" t="s">
        <v>100</v>
      </c>
      <c r="F103" s="215">
        <f>SUMIFS('Ruimtestaat'!$N:$N,'Ruimtestaat'!L:L,Vloeronderhoud!E103,'Ruimtestaat'!A:A,Vloeronderhoud!A103)</f>
        <v>948.30000000000007</v>
      </c>
      <c r="G103" s="197">
        <v>0.25</v>
      </c>
      <c r="H103" s="216">
        <f>VLOOKUP(OverzichtVloer20[[#This Row],[Code Taak]],InvulVloer19[],3,3)*F103*G103</f>
        <v>0</v>
      </c>
      <c r="I103" s="217">
        <f>OverzichtVloer20[[#This Row],[Kosten/jaar excl. BTW]]*1.21</f>
        <v>0</v>
      </c>
      <c r="M103" s="204"/>
    </row>
    <row r="104" spans="1:13" ht="14.25" customHeight="1">
      <c r="A104" s="211">
        <v>16</v>
      </c>
      <c r="B104" s="212" t="str">
        <f>VLOOKUP(OverzichtVloer20[[#This Row],[Code Locatie]],Locaties[],2,0)</f>
        <v>SBO Het Pontem (College)</v>
      </c>
      <c r="C104" s="211">
        <v>4</v>
      </c>
      <c r="D104" s="203" t="str">
        <f>IF(Vloeronderhoud!$C104&gt;0,VLOOKUP(Vloeronderhoud!$C104,$A$8:$B$18,2,FALSE),"")</f>
        <v>Tapijtreinigen, sproei-extractiemethode</v>
      </c>
      <c r="E104" s="214" t="s">
        <v>99</v>
      </c>
      <c r="F104" s="215">
        <f>SUMIFS('Ruimtestaat'!$N:$N,'Ruimtestaat'!L:L,Vloeronderhoud!E104,'Ruimtestaat'!A:A,Vloeronderhoud!A104)</f>
        <v>158.70000000000002</v>
      </c>
      <c r="G104" s="197">
        <v>1</v>
      </c>
      <c r="H104" s="216">
        <f>VLOOKUP(OverzichtVloer20[[#This Row],[Code Taak]],InvulVloer19[],3,3)*F104*G104</f>
        <v>0</v>
      </c>
      <c r="I104" s="217">
        <f>OverzichtVloer20[[#This Row],[Kosten/jaar excl. BTW]]*1.21</f>
        <v>0</v>
      </c>
      <c r="M104" s="204"/>
    </row>
    <row r="105" spans="1:13" ht="14.25" customHeight="1">
      <c r="A105" s="211">
        <v>16</v>
      </c>
      <c r="B105" s="212" t="str">
        <f>VLOOKUP(OverzichtVloer20[[#This Row],[Code Locatie]],Locaties[],2,0)</f>
        <v>SBO Het Pontem (College)</v>
      </c>
      <c r="C105" s="211">
        <v>9</v>
      </c>
      <c r="D105" s="203" t="str">
        <f>IF(Vloeronderhoud!$C105&gt;0,VLOOKUP(Vloeronderhoud!$C105,$A$8:$B$18,2,FALSE),"")</f>
        <v>Machinaal schrobben en droogzuigen</v>
      </c>
      <c r="E105" s="214" t="s">
        <v>101</v>
      </c>
      <c r="F105" s="215">
        <f>SUMIFS('Ruimtestaat'!$N:$N,'Ruimtestaat'!L:L,Vloeronderhoud!E105,'Ruimtestaat'!A:A,Vloeronderhoud!A105)</f>
        <v>121.2</v>
      </c>
      <c r="G105" s="197">
        <v>1</v>
      </c>
      <c r="H105" s="216">
        <f>VLOOKUP(OverzichtVloer20[[#This Row],[Code Taak]],InvulVloer19[],3,3)*F105*G105</f>
        <v>0</v>
      </c>
      <c r="I105" s="217">
        <f>OverzichtVloer20[[#This Row],[Kosten/jaar excl. BTW]]*1.21</f>
        <v>0</v>
      </c>
      <c r="M105" s="204"/>
    </row>
    <row r="106" spans="1:13" ht="14.25" customHeight="1">
      <c r="A106" s="211">
        <v>16</v>
      </c>
      <c r="B106" s="212" t="str">
        <f>VLOOKUP(OverzichtVloer20[[#This Row],[Code Locatie]],Locaties[],2,0)</f>
        <v>SBO Het Pontem (College)</v>
      </c>
      <c r="C106" s="211">
        <v>9</v>
      </c>
      <c r="D106" s="203" t="str">
        <f>IF(Vloeronderhoud!$C106&gt;0,VLOOKUP(Vloeronderhoud!$C106,$A$8:$B$18,2,FALSE),"")</f>
        <v>Machinaal schrobben en droogzuigen</v>
      </c>
      <c r="E106" s="214" t="s">
        <v>102</v>
      </c>
      <c r="F106" s="215">
        <f>SUMIFS('Ruimtestaat'!$N:$N,'Ruimtestaat'!L:L,Vloeronderhoud!E106,'Ruimtestaat'!A:A,Vloeronderhoud!A106)</f>
        <v>113.3</v>
      </c>
      <c r="G106" s="197">
        <v>1</v>
      </c>
      <c r="H106" s="216">
        <f>VLOOKUP(OverzichtVloer20[[#This Row],[Code Taak]],InvulVloer19[],3,3)*F106*G106</f>
        <v>0</v>
      </c>
      <c r="I106" s="217">
        <f>OverzichtVloer20[[#This Row],[Kosten/jaar excl. BTW]]*1.21</f>
        <v>0</v>
      </c>
      <c r="M106" s="204"/>
    </row>
    <row r="107" spans="1:13" ht="14.25" customHeight="1">
      <c r="A107" s="211">
        <v>17</v>
      </c>
      <c r="B107" s="212" t="str">
        <f>VLOOKUP(OverzichtVloer20[[#This Row],[Code Locatie]],Locaties[],2,0)</f>
        <v>ODBS Lonneker</v>
      </c>
      <c r="C107" s="211">
        <v>1</v>
      </c>
      <c r="D107" s="203" t="str">
        <f>IF(Vloeronderhoud!$C107&gt;0,VLOOKUP(Vloeronderhoud!$C107,$A$8:$B$18,2,FALSE),"")</f>
        <v>Sprayen/opblokken</v>
      </c>
      <c r="E107" s="214" t="s">
        <v>100</v>
      </c>
      <c r="F107" s="215">
        <f>SUMIFS('Ruimtestaat'!$N:$N,'Ruimtestaat'!L:L,Vloeronderhoud!E107,'Ruimtestaat'!A:A,Vloeronderhoud!A107)</f>
        <v>688</v>
      </c>
      <c r="G107" s="197">
        <v>1</v>
      </c>
      <c r="H107" s="216">
        <f>VLOOKUP(OverzichtVloer20[[#This Row],[Code Taak]],InvulVloer19[],3,3)*F107*G107</f>
        <v>0</v>
      </c>
      <c r="I107" s="217">
        <f>OverzichtVloer20[[#This Row],[Kosten/jaar excl. BTW]]*1.21</f>
        <v>0</v>
      </c>
      <c r="M107" s="204"/>
    </row>
    <row r="108" spans="1:13" ht="14.25" customHeight="1">
      <c r="A108" s="211">
        <v>17</v>
      </c>
      <c r="B108" s="212" t="str">
        <f>VLOOKUP(OverzichtVloer20[[#This Row],[Code Locatie]],Locaties[],2,0)</f>
        <v>ODBS Lonneker</v>
      </c>
      <c r="C108" s="211">
        <v>2</v>
      </c>
      <c r="D108" s="203" t="str">
        <f>IF(Vloeronderhoud!$C108&gt;0,VLOOKUP(Vloeronderhoud!$C108,$A$8:$B$18,2,FALSE),"")</f>
        <v>Topstrippen en conserveren</v>
      </c>
      <c r="E108" s="214" t="s">
        <v>100</v>
      </c>
      <c r="F108" s="215">
        <f>SUMIFS('Ruimtestaat'!$N:$N,'Ruimtestaat'!L:L,Vloeronderhoud!E108,'Ruimtestaat'!A:A,Vloeronderhoud!A108)</f>
        <v>688</v>
      </c>
      <c r="G108" s="197">
        <v>1</v>
      </c>
      <c r="H108" s="216">
        <f>VLOOKUP(OverzichtVloer20[[#This Row],[Code Taak]],InvulVloer19[],3,3)*F108*G108</f>
        <v>0</v>
      </c>
      <c r="I108" s="217">
        <f>OverzichtVloer20[[#This Row],[Kosten/jaar excl. BTW]]*1.21</f>
        <v>0</v>
      </c>
      <c r="M108" s="204"/>
    </row>
    <row r="109" spans="1:13" ht="14.25" customHeight="1">
      <c r="A109" s="211">
        <v>17</v>
      </c>
      <c r="B109" s="212" t="str">
        <f>VLOOKUP(OverzichtVloer20[[#This Row],[Code Locatie]],Locaties[],2,0)</f>
        <v>ODBS Lonneker</v>
      </c>
      <c r="C109" s="211">
        <v>3</v>
      </c>
      <c r="D109" s="203" t="str">
        <f>IF(Vloeronderhoud!$C109&gt;0,VLOOKUP(Vloeronderhoud!$C109,$A$8:$B$18,2,FALSE),"")</f>
        <v>Diepstrippen, sealen en conserveren</v>
      </c>
      <c r="E109" s="214" t="s">
        <v>100</v>
      </c>
      <c r="F109" s="215">
        <f>SUMIFS('Ruimtestaat'!$N:$N,'Ruimtestaat'!L:L,Vloeronderhoud!E109,'Ruimtestaat'!A:A,Vloeronderhoud!A109)</f>
        <v>688</v>
      </c>
      <c r="G109" s="197">
        <v>0.25</v>
      </c>
      <c r="H109" s="216">
        <f>VLOOKUP(OverzichtVloer20[[#This Row],[Code Taak]],InvulVloer19[],3,3)*F109*G109</f>
        <v>0</v>
      </c>
      <c r="I109" s="217">
        <f>OverzichtVloer20[[#This Row],[Kosten/jaar excl. BTW]]*1.21</f>
        <v>0</v>
      </c>
      <c r="M109" s="204"/>
    </row>
    <row r="110" spans="1:13" ht="14.25" customHeight="1">
      <c r="A110" s="211">
        <v>17</v>
      </c>
      <c r="B110" s="212" t="str">
        <f>VLOOKUP(OverzichtVloer20[[#This Row],[Code Locatie]],Locaties[],2,0)</f>
        <v>ODBS Lonneker</v>
      </c>
      <c r="C110" s="211">
        <v>4</v>
      </c>
      <c r="D110" s="203" t="str">
        <f>IF(Vloeronderhoud!$C110&gt;0,VLOOKUP(Vloeronderhoud!$C110,$A$8:$B$18,2,FALSE),"")</f>
        <v>Tapijtreinigen, sproei-extractiemethode</v>
      </c>
      <c r="E110" s="214" t="s">
        <v>99</v>
      </c>
      <c r="F110" s="215">
        <f>SUMIFS('Ruimtestaat'!$N:$N,'Ruimtestaat'!L:L,Vloeronderhoud!E110,'Ruimtestaat'!A:A,Vloeronderhoud!A110)</f>
        <v>85.399999999999991</v>
      </c>
      <c r="G110" s="197">
        <v>1</v>
      </c>
      <c r="H110" s="216">
        <f>VLOOKUP(OverzichtVloer20[[#This Row],[Code Taak]],InvulVloer19[],3,3)*F110*G110</f>
        <v>0</v>
      </c>
      <c r="I110" s="217">
        <f>OverzichtVloer20[[#This Row],[Kosten/jaar excl. BTW]]*1.21</f>
        <v>0</v>
      </c>
      <c r="M110" s="204"/>
    </row>
    <row r="111" spans="1:13" ht="14.25" customHeight="1">
      <c r="A111" s="211">
        <v>17</v>
      </c>
      <c r="B111" s="212" t="str">
        <f>VLOOKUP(OverzichtVloer20[[#This Row],[Code Locatie]],Locaties[],2,0)</f>
        <v>ODBS Lonneker</v>
      </c>
      <c r="C111" s="211">
        <v>7</v>
      </c>
      <c r="D111" s="203" t="str">
        <f>IF(Vloeronderhoud!$C111&gt;0,VLOOKUP(Vloeronderhoud!$C111,$A$8:$B$18,2,FALSE),"")</f>
        <v>Olieen houten vloeren</v>
      </c>
      <c r="E111" s="214" t="s">
        <v>1309</v>
      </c>
      <c r="F111" s="215">
        <f>SUMIFS('Ruimtestaat'!$N:$N,'Ruimtestaat'!L:L,Vloeronderhoud!E111,'Ruimtestaat'!A:A,Vloeronderhoud!A111)</f>
        <v>3.6</v>
      </c>
      <c r="G111" s="197">
        <v>1</v>
      </c>
      <c r="H111" s="216">
        <f>VLOOKUP(OverzichtVloer20[[#This Row],[Code Taak]],InvulVloer19[],3,3)*F111*G111</f>
        <v>0</v>
      </c>
      <c r="I111" s="217">
        <f>OverzichtVloer20[[#This Row],[Kosten/jaar excl. BTW]]*1.21</f>
        <v>0</v>
      </c>
      <c r="M111" s="204"/>
    </row>
    <row r="112" spans="1:13" ht="14.25" customHeight="1">
      <c r="A112" s="211">
        <v>17</v>
      </c>
      <c r="B112" s="212" t="str">
        <f>VLOOKUP(OverzichtVloer20[[#This Row],[Code Locatie]],Locaties[],2,0)</f>
        <v>ODBS Lonneker</v>
      </c>
      <c r="C112" s="211">
        <v>9</v>
      </c>
      <c r="D112" s="203" t="str">
        <f>IF(Vloeronderhoud!$C112&gt;0,VLOOKUP(Vloeronderhoud!$C112,$A$8:$B$18,2,FALSE),"")</f>
        <v>Machinaal schrobben en droogzuigen</v>
      </c>
      <c r="E112" s="214" t="s">
        <v>101</v>
      </c>
      <c r="F112" s="215">
        <f>SUMIFS('Ruimtestaat'!$N:$N,'Ruimtestaat'!L:L,Vloeronderhoud!E112,'Ruimtestaat'!A:A,Vloeronderhoud!A112)</f>
        <v>28.2</v>
      </c>
      <c r="G112" s="197">
        <v>1</v>
      </c>
      <c r="H112" s="216">
        <f>VLOOKUP(OverzichtVloer20[[#This Row],[Code Taak]],InvulVloer19[],3,3)*F112*G112</f>
        <v>0</v>
      </c>
      <c r="I112" s="217">
        <f>OverzichtVloer20[[#This Row],[Kosten/jaar excl. BTW]]*1.21</f>
        <v>0</v>
      </c>
      <c r="M112" s="204"/>
    </row>
    <row r="113" spans="1:13" ht="14.25" customHeight="1">
      <c r="A113" s="211">
        <v>18</v>
      </c>
      <c r="B113" s="212" t="str">
        <f>VLOOKUP(OverzichtVloer20[[#This Row],[Code Locatie]],Locaties[],2,0)</f>
        <v>OBS De Linde (Thij)</v>
      </c>
      <c r="C113" s="211">
        <v>1</v>
      </c>
      <c r="D113" s="203" t="str">
        <f>IF(Vloeronderhoud!$C113&gt;0,VLOOKUP(Vloeronderhoud!$C113,$A$8:$B$18,2,FALSE),"")</f>
        <v>Sprayen/opblokken</v>
      </c>
      <c r="E113" s="214" t="s">
        <v>100</v>
      </c>
      <c r="F113" s="215">
        <f>SUMIFS('Ruimtestaat'!$N:$N,'Ruimtestaat'!L:L,Vloeronderhoud!E113,'Ruimtestaat'!A:A,Vloeronderhoud!A113)</f>
        <v>673.94</v>
      </c>
      <c r="G113" s="197">
        <v>1</v>
      </c>
      <c r="H113" s="216">
        <f>VLOOKUP(OverzichtVloer20[[#This Row],[Code Taak]],InvulVloer19[],3,3)*F113*G113</f>
        <v>0</v>
      </c>
      <c r="I113" s="217">
        <f>OverzichtVloer20[[#This Row],[Kosten/jaar excl. BTW]]*1.21</f>
        <v>0</v>
      </c>
      <c r="M113" s="204"/>
    </row>
    <row r="114" spans="1:13" ht="14.25" customHeight="1">
      <c r="A114" s="211">
        <v>18</v>
      </c>
      <c r="B114" s="212" t="str">
        <f>VLOOKUP(OverzichtVloer20[[#This Row],[Code Locatie]],Locaties[],2,0)</f>
        <v>OBS De Linde (Thij)</v>
      </c>
      <c r="C114" s="211">
        <v>2</v>
      </c>
      <c r="D114" s="203" t="str">
        <f>IF(Vloeronderhoud!$C114&gt;0,VLOOKUP(Vloeronderhoud!$C114,$A$8:$B$18,2,FALSE),"")</f>
        <v>Topstrippen en conserveren</v>
      </c>
      <c r="E114" s="214" t="s">
        <v>100</v>
      </c>
      <c r="F114" s="215">
        <f>SUMIFS('Ruimtestaat'!$N:$N,'Ruimtestaat'!L:L,Vloeronderhoud!E114,'Ruimtestaat'!A:A,Vloeronderhoud!A114)</f>
        <v>673.94</v>
      </c>
      <c r="G114" s="197">
        <v>1</v>
      </c>
      <c r="H114" s="216">
        <f>VLOOKUP(OverzichtVloer20[[#This Row],[Code Taak]],InvulVloer19[],3,3)*F114*G114</f>
        <v>0</v>
      </c>
      <c r="I114" s="217">
        <f>OverzichtVloer20[[#This Row],[Kosten/jaar excl. BTW]]*1.21</f>
        <v>0</v>
      </c>
      <c r="M114" s="204"/>
    </row>
    <row r="115" spans="1:13" ht="14.25" customHeight="1">
      <c r="A115" s="211">
        <v>18</v>
      </c>
      <c r="B115" s="212" t="str">
        <f>VLOOKUP(OverzichtVloer20[[#This Row],[Code Locatie]],Locaties[],2,0)</f>
        <v>OBS De Linde (Thij)</v>
      </c>
      <c r="C115" s="211">
        <v>3</v>
      </c>
      <c r="D115" s="203" t="str">
        <f>IF(Vloeronderhoud!$C115&gt;0,VLOOKUP(Vloeronderhoud!$C115,$A$8:$B$18,2,FALSE),"")</f>
        <v>Diepstrippen, sealen en conserveren</v>
      </c>
      <c r="E115" s="214" t="s">
        <v>100</v>
      </c>
      <c r="F115" s="215">
        <f>SUMIFS('Ruimtestaat'!$N:$N,'Ruimtestaat'!L:L,Vloeronderhoud!E115,'Ruimtestaat'!A:A,Vloeronderhoud!A115)</f>
        <v>673.94</v>
      </c>
      <c r="G115" s="197">
        <v>0.25</v>
      </c>
      <c r="H115" s="216">
        <f>VLOOKUP(OverzichtVloer20[[#This Row],[Code Taak]],InvulVloer19[],3,3)*F115*G115</f>
        <v>0</v>
      </c>
      <c r="I115" s="217">
        <f>OverzichtVloer20[[#This Row],[Kosten/jaar excl. BTW]]*1.21</f>
        <v>0</v>
      </c>
      <c r="M115" s="204"/>
    </row>
    <row r="116" spans="1:13" ht="14.25" customHeight="1">
      <c r="A116" s="211">
        <v>18</v>
      </c>
      <c r="B116" s="212" t="str">
        <f>VLOOKUP(OverzichtVloer20[[#This Row],[Code Locatie]],Locaties[],2,0)</f>
        <v>OBS De Linde (Thij)</v>
      </c>
      <c r="C116" s="211">
        <v>4</v>
      </c>
      <c r="D116" s="203" t="str">
        <f>IF(Vloeronderhoud!$C116&gt;0,VLOOKUP(Vloeronderhoud!$C116,$A$8:$B$18,2,FALSE),"")</f>
        <v>Tapijtreinigen, sproei-extractiemethode</v>
      </c>
      <c r="E116" s="214" t="s">
        <v>99</v>
      </c>
      <c r="F116" s="215">
        <f>SUMIFS('Ruimtestaat'!$N:$N,'Ruimtestaat'!L:L,Vloeronderhoud!E116,'Ruimtestaat'!A:A,Vloeronderhoud!A116)</f>
        <v>33.200000000000003</v>
      </c>
      <c r="G116" s="197">
        <v>1</v>
      </c>
      <c r="H116" s="216">
        <f>VLOOKUP(OverzichtVloer20[[#This Row],[Code Taak]],InvulVloer19[],3,3)*F116*G116</f>
        <v>0</v>
      </c>
      <c r="I116" s="217">
        <f>OverzichtVloer20[[#This Row],[Kosten/jaar excl. BTW]]*1.21</f>
        <v>0</v>
      </c>
      <c r="M116" s="204"/>
    </row>
    <row r="117" spans="1:13" ht="14.25" customHeight="1">
      <c r="A117" s="211">
        <v>18</v>
      </c>
      <c r="B117" s="212" t="str">
        <f>VLOOKUP(OverzichtVloer20[[#This Row],[Code Locatie]],Locaties[],2,0)</f>
        <v>OBS De Linde (Thij)</v>
      </c>
      <c r="C117" s="211">
        <v>9</v>
      </c>
      <c r="D117" s="203" t="str">
        <f>IF(Vloeronderhoud!$C117&gt;0,VLOOKUP(Vloeronderhoud!$C117,$A$8:$B$18,2,FALSE),"")</f>
        <v>Machinaal schrobben en droogzuigen</v>
      </c>
      <c r="E117" s="214" t="s">
        <v>101</v>
      </c>
      <c r="F117" s="215">
        <f>SUMIFS('Ruimtestaat'!$N:$N,'Ruimtestaat'!L:L,Vloeronderhoud!E117,'Ruimtestaat'!A:A,Vloeronderhoud!A117)</f>
        <v>360.65999999999997</v>
      </c>
      <c r="G117" s="197">
        <v>1</v>
      </c>
      <c r="H117" s="216">
        <f>VLOOKUP(OverzichtVloer20[[#This Row],[Code Taak]],InvulVloer19[],3,3)*F117*G117</f>
        <v>0</v>
      </c>
      <c r="I117" s="217">
        <f>OverzichtVloer20[[#This Row],[Kosten/jaar excl. BTW]]*1.21</f>
        <v>0</v>
      </c>
      <c r="M117" s="204"/>
    </row>
    <row r="118" spans="1:13" ht="15" customHeight="1">
      <c r="A118" s="218"/>
      <c r="B118" s="219" t="s">
        <v>32</v>
      </c>
      <c r="C118" s="218"/>
      <c r="D118" s="220"/>
      <c r="E118" s="218"/>
      <c r="F118" s="221"/>
      <c r="G118" s="218"/>
      <c r="H118" s="222">
        <f>SUBTOTAL(109,OverzichtVloer20[Kosten/jaar excl. BTW])</f>
        <v>0</v>
      </c>
      <c r="I118" s="222">
        <f>SUBTOTAL(109,OverzichtVloer20[Kosten/jaar incl BTW])</f>
        <v>0</v>
      </c>
    </row>
    <row r="119" spans="1:13" ht="15" customHeight="1">
      <c r="A119" s="223"/>
      <c r="C119" s="197"/>
      <c r="D119" s="197"/>
      <c r="E119" s="197"/>
      <c r="F119" s="210"/>
      <c r="G119" s="224"/>
      <c r="H119" s="199"/>
    </row>
  </sheetData>
  <sheetProtection algorithmName="SHA-512" hashValue="pAkwX093WGC1yc40Gr6Ybu6ItvsXBicR4ArRgAnCrupElR99qDfuWJqNtQM013IjJ4wmpsUShXcUxww3p3Xlxw==" saltValue="CQPFBuQKtj7hfG5ywAmGPg==" spinCount="100000" sheet="1" objects="1" scenarios="1" selectLockedCells="1"/>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46"/>
  <sheetViews>
    <sheetView showGridLines="0" view="pageBreakPreview" zoomScale="70" zoomScaleNormal="100" zoomScaleSheetLayoutView="70" workbookViewId="0">
      <selection activeCell="C75" sqref="C75"/>
    </sheetView>
  </sheetViews>
  <sheetFormatPr defaultColWidth="9.140625" defaultRowHeight="15" customHeight="1"/>
  <cols>
    <col min="1" max="1" width="11.5703125" style="99" customWidth="1"/>
    <col min="2" max="2" width="47.42578125" style="78" bestFit="1" customWidth="1"/>
    <col min="3" max="3" width="12.5703125" style="78" customWidth="1"/>
    <col min="4" max="4" width="52.140625" style="99" bestFit="1" customWidth="1"/>
    <col min="5" max="5" width="19" style="78" customWidth="1"/>
    <col min="6" max="6" width="17.7109375" style="78" bestFit="1" customWidth="1"/>
    <col min="7" max="7" width="18.85546875" style="78" customWidth="1"/>
    <col min="8" max="8" width="17.5703125" style="78" customWidth="1"/>
    <col min="9" max="9" width="17.7109375" style="78" bestFit="1" customWidth="1"/>
    <col min="10" max="16384" width="9.140625" style="78"/>
  </cols>
  <sheetData>
    <row r="1" spans="1:9" s="55" customFormat="1" ht="26.25" customHeight="1">
      <c r="A1" s="379" t="s">
        <v>39</v>
      </c>
      <c r="B1" s="379"/>
      <c r="C1" s="379"/>
      <c r="D1" s="379"/>
      <c r="E1" s="379"/>
      <c r="F1" s="379"/>
      <c r="G1" s="379"/>
      <c r="H1" s="379"/>
    </row>
    <row r="2" spans="1:9" s="55" customFormat="1" ht="15" customHeight="1">
      <c r="A2" s="419" t="s">
        <v>200</v>
      </c>
      <c r="B2" s="427"/>
      <c r="C2" s="427"/>
      <c r="D2" s="427"/>
      <c r="E2" s="427"/>
      <c r="F2" s="427"/>
      <c r="G2" s="427"/>
      <c r="H2" s="428"/>
    </row>
    <row r="3" spans="1:9" ht="15" customHeight="1">
      <c r="B3" s="99"/>
      <c r="D3" s="194"/>
      <c r="E3" s="195"/>
    </row>
    <row r="4" spans="1:9" ht="15" customHeight="1">
      <c r="A4" s="78" t="s">
        <v>168</v>
      </c>
      <c r="B4" s="99"/>
      <c r="D4" s="194"/>
      <c r="E4" s="194"/>
    </row>
    <row r="5" spans="1:9" ht="15" customHeight="1">
      <c r="A5" s="78" t="s">
        <v>221</v>
      </c>
      <c r="B5" s="99"/>
      <c r="D5" s="78"/>
    </row>
    <row r="6" spans="1:9" ht="15" customHeight="1">
      <c r="A6" s="78" t="s">
        <v>185</v>
      </c>
      <c r="B6" s="200"/>
      <c r="C6" s="200"/>
      <c r="D6" s="203"/>
      <c r="E6" s="203"/>
      <c r="F6" s="201"/>
      <c r="G6" s="201"/>
    </row>
    <row r="7" spans="1:9" ht="15" customHeight="1">
      <c r="A7" s="78"/>
      <c r="B7" s="200"/>
      <c r="C7" s="200"/>
      <c r="D7" s="203"/>
      <c r="E7" s="396" t="s">
        <v>243</v>
      </c>
      <c r="F7" s="396"/>
      <c r="G7" s="396"/>
      <c r="H7" s="396"/>
      <c r="I7" s="396"/>
    </row>
    <row r="8" spans="1:9" s="79" customFormat="1" ht="26.25" customHeight="1">
      <c r="A8" s="283" t="s">
        <v>199</v>
      </c>
      <c r="B8" s="283" t="s">
        <v>136</v>
      </c>
      <c r="C8" s="283" t="s">
        <v>167</v>
      </c>
      <c r="D8" s="283" t="s">
        <v>141</v>
      </c>
      <c r="E8" s="304" t="s">
        <v>1242</v>
      </c>
      <c r="F8" s="304" t="s">
        <v>1300</v>
      </c>
      <c r="G8" s="304" t="s">
        <v>1577</v>
      </c>
      <c r="H8" s="304" t="s">
        <v>1626</v>
      </c>
      <c r="I8" s="304" t="s">
        <v>1849</v>
      </c>
    </row>
    <row r="9" spans="1:9" ht="15" customHeight="1">
      <c r="A9" s="211">
        <v>1</v>
      </c>
      <c r="B9" s="225" t="s">
        <v>213</v>
      </c>
      <c r="C9" s="426">
        <v>0</v>
      </c>
      <c r="D9" s="212" t="s">
        <v>139</v>
      </c>
      <c r="E9" s="206" t="e">
        <f>(InvulGlas[[#This Row],[Prijs excl. BTW]]*Tariefsopbouw!$I$37)+InvulGlas[[#This Row],[Prijs excl. BTW]]</f>
        <v>#DIV/0!</v>
      </c>
      <c r="F9" s="206" t="e">
        <f>E9*Tariefsopbouw!$K$37+Glasbewassing!E9</f>
        <v>#DIV/0!</v>
      </c>
      <c r="G9" s="206" t="e">
        <f>F9*Tariefsopbouw!$M$37+Glasbewassing!F9</f>
        <v>#DIV/0!</v>
      </c>
      <c r="H9" s="206" t="e">
        <f>G9*Tariefsopbouw!$O$37+Glasbewassing!G9</f>
        <v>#DIV/0!</v>
      </c>
      <c r="I9" s="206" t="e">
        <f>H9*Tariefsopbouw!$Q$37+Glasbewassing!H9</f>
        <v>#DIV/0!</v>
      </c>
    </row>
    <row r="10" spans="1:9" ht="15" customHeight="1">
      <c r="A10" s="211">
        <v>2</v>
      </c>
      <c r="B10" s="225" t="s">
        <v>138</v>
      </c>
      <c r="C10" s="426">
        <v>0</v>
      </c>
      <c r="D10" s="212" t="s">
        <v>139</v>
      </c>
      <c r="E10" s="206" t="e">
        <f>(InvulGlas[[#This Row],[Prijs excl. BTW]]*Tariefsopbouw!$I$37)+InvulGlas[[#This Row],[Prijs excl. BTW]]</f>
        <v>#DIV/0!</v>
      </c>
      <c r="F10" s="206" t="e">
        <f>E10*Tariefsopbouw!$K$37+Glasbewassing!E10</f>
        <v>#DIV/0!</v>
      </c>
      <c r="G10" s="206" t="e">
        <f>F10*Tariefsopbouw!$M$37+Glasbewassing!F10</f>
        <v>#DIV/0!</v>
      </c>
      <c r="H10" s="206" t="e">
        <f>G10*Tariefsopbouw!$O$37+Glasbewassing!G10</f>
        <v>#DIV/0!</v>
      </c>
      <c r="I10" s="206" t="e">
        <f>H10*Tariefsopbouw!$Q$37+Glasbewassing!H10</f>
        <v>#DIV/0!</v>
      </c>
    </row>
    <row r="11" spans="1:9" ht="15" customHeight="1">
      <c r="A11" s="211">
        <v>3</v>
      </c>
      <c r="B11" s="225" t="s">
        <v>140</v>
      </c>
      <c r="C11" s="426">
        <v>0</v>
      </c>
      <c r="D11" s="212" t="s">
        <v>139</v>
      </c>
      <c r="E11" s="206" t="e">
        <f>(InvulGlas[[#This Row],[Prijs excl. BTW]]*Tariefsopbouw!$I$37)+InvulGlas[[#This Row],[Prijs excl. BTW]]</f>
        <v>#DIV/0!</v>
      </c>
      <c r="F11" s="206" t="e">
        <f>E11*Tariefsopbouw!$K$37+Glasbewassing!E11</f>
        <v>#DIV/0!</v>
      </c>
      <c r="G11" s="206" t="e">
        <f>F11*Tariefsopbouw!$M$37+Glasbewassing!F11</f>
        <v>#DIV/0!</v>
      </c>
      <c r="H11" s="206" t="e">
        <f>G11*Tariefsopbouw!$O$37+Glasbewassing!G11</f>
        <v>#DIV/0!</v>
      </c>
      <c r="I11" s="206" t="e">
        <f>H11*Tariefsopbouw!$Q$37+Glasbewassing!H11</f>
        <v>#DIV/0!</v>
      </c>
    </row>
    <row r="12" spans="1:9" ht="15" customHeight="1">
      <c r="A12" s="211">
        <v>4</v>
      </c>
      <c r="B12" s="225" t="s">
        <v>1264</v>
      </c>
      <c r="C12" s="426">
        <v>0</v>
      </c>
      <c r="D12" s="212" t="s">
        <v>139</v>
      </c>
      <c r="E12" s="206" t="e">
        <f>(InvulGlas[[#This Row],[Prijs excl. BTW]]*Tariefsopbouw!$I$37)+InvulGlas[[#This Row],[Prijs excl. BTW]]</f>
        <v>#DIV/0!</v>
      </c>
      <c r="F12" s="206" t="e">
        <f>E12*Tariefsopbouw!$K$37+Glasbewassing!E12</f>
        <v>#DIV/0!</v>
      </c>
      <c r="G12" s="206" t="e">
        <f>F12*Tariefsopbouw!$M$37+Glasbewassing!F12</f>
        <v>#DIV/0!</v>
      </c>
      <c r="H12" s="206" t="e">
        <f>G12*Tariefsopbouw!$O$37+Glasbewassing!G12</f>
        <v>#DIV/0!</v>
      </c>
      <c r="I12" s="206" t="e">
        <f>H12*Tariefsopbouw!$Q$37+Glasbewassing!H12</f>
        <v>#DIV/0!</v>
      </c>
    </row>
    <row r="13" spans="1:9" ht="15" customHeight="1">
      <c r="A13" s="211">
        <v>5</v>
      </c>
      <c r="B13" s="225" t="s">
        <v>212</v>
      </c>
      <c r="C13" s="426">
        <v>0</v>
      </c>
      <c r="D13" s="212" t="s">
        <v>139</v>
      </c>
      <c r="E13" s="206" t="e">
        <f>(InvulGlas[[#This Row],[Prijs excl. BTW]]*Tariefsopbouw!$I$37)+InvulGlas[[#This Row],[Prijs excl. BTW]]</f>
        <v>#DIV/0!</v>
      </c>
      <c r="F13" s="206" t="e">
        <f>E13*Tariefsopbouw!$K$37+Glasbewassing!E13</f>
        <v>#DIV/0!</v>
      </c>
      <c r="G13" s="206" t="e">
        <f>F13*Tariefsopbouw!$M$37+Glasbewassing!F13</f>
        <v>#DIV/0!</v>
      </c>
      <c r="H13" s="206" t="e">
        <f>G13*Tariefsopbouw!$O$37+Glasbewassing!G13</f>
        <v>#DIV/0!</v>
      </c>
      <c r="I13" s="206" t="e">
        <f>H13*Tariefsopbouw!$Q$37+Glasbewassing!H13</f>
        <v>#DIV/0!</v>
      </c>
    </row>
    <row r="14" spans="1:9" ht="15" customHeight="1">
      <c r="A14" s="211">
        <v>6</v>
      </c>
      <c r="B14" s="225" t="s">
        <v>1263</v>
      </c>
      <c r="C14" s="426">
        <v>0</v>
      </c>
      <c r="D14" s="212" t="s">
        <v>139</v>
      </c>
      <c r="E14" s="206" t="e">
        <f>(InvulGlas[[#This Row],[Prijs excl. BTW]]*Tariefsopbouw!$I$37)+InvulGlas[[#This Row],[Prijs excl. BTW]]</f>
        <v>#DIV/0!</v>
      </c>
      <c r="F14" s="206" t="e">
        <f>E14*Tariefsopbouw!$K$37+Glasbewassing!E14</f>
        <v>#DIV/0!</v>
      </c>
      <c r="G14" s="206" t="e">
        <f>F14*Tariefsopbouw!$M$37+Glasbewassing!F14</f>
        <v>#DIV/0!</v>
      </c>
      <c r="H14" s="206" t="e">
        <f>G14*Tariefsopbouw!$O$37+Glasbewassing!G14</f>
        <v>#DIV/0!</v>
      </c>
      <c r="I14" s="206" t="e">
        <f>H14*Tariefsopbouw!$Q$37+Glasbewassing!H14</f>
        <v>#DIV/0!</v>
      </c>
    </row>
    <row r="15" spans="1:9" ht="15" customHeight="1">
      <c r="A15" s="211">
        <v>7</v>
      </c>
      <c r="B15" s="225" t="s">
        <v>1265</v>
      </c>
      <c r="C15" s="426">
        <v>0</v>
      </c>
      <c r="D15" s="212" t="s">
        <v>139</v>
      </c>
      <c r="E15" s="206" t="e">
        <f>(InvulGlas[[#This Row],[Prijs excl. BTW]]*Tariefsopbouw!$I$37)+InvulGlas[[#This Row],[Prijs excl. BTW]]</f>
        <v>#DIV/0!</v>
      </c>
      <c r="F15" s="206" t="e">
        <f>E15*Tariefsopbouw!$K$37+Glasbewassing!E15</f>
        <v>#DIV/0!</v>
      </c>
      <c r="G15" s="206" t="e">
        <f>F15*Tariefsopbouw!$M$37+Glasbewassing!F15</f>
        <v>#DIV/0!</v>
      </c>
      <c r="H15" s="206" t="e">
        <f>G15*Tariefsopbouw!$O$37+Glasbewassing!G15</f>
        <v>#DIV/0!</v>
      </c>
      <c r="I15" s="206" t="e">
        <f>H15*Tariefsopbouw!$Q$37+Glasbewassing!H15</f>
        <v>#DIV/0!</v>
      </c>
    </row>
    <row r="16" spans="1:9" ht="15" customHeight="1">
      <c r="A16" s="211" t="s">
        <v>147</v>
      </c>
      <c r="B16" s="225" t="s">
        <v>143</v>
      </c>
      <c r="C16" s="426">
        <v>0</v>
      </c>
      <c r="D16" s="212" t="s">
        <v>1583</v>
      </c>
      <c r="E16" s="206" t="e">
        <f>(InvulGlas[[#This Row],[Prijs excl. BTW]]*Tariefsopbouw!$I$37)+InvulGlas[[#This Row],[Prijs excl. BTW]]</f>
        <v>#DIV/0!</v>
      </c>
      <c r="F16" s="206" t="e">
        <f>E16*Tariefsopbouw!$K$37+Glasbewassing!E16</f>
        <v>#DIV/0!</v>
      </c>
      <c r="G16" s="206" t="e">
        <f>F16*Tariefsopbouw!$M$37+Glasbewassing!F16</f>
        <v>#DIV/0!</v>
      </c>
      <c r="H16" s="206" t="e">
        <f>G16*Tariefsopbouw!$O$37+Glasbewassing!G16</f>
        <v>#DIV/0!</v>
      </c>
      <c r="I16" s="206" t="e">
        <f>H16*Tariefsopbouw!$Q$37+Glasbewassing!H16</f>
        <v>#DIV/0!</v>
      </c>
    </row>
    <row r="17" spans="1:9" ht="15" customHeight="1">
      <c r="A17" s="211" t="s">
        <v>148</v>
      </c>
      <c r="B17" s="225" t="s">
        <v>144</v>
      </c>
      <c r="C17" s="426">
        <v>0</v>
      </c>
      <c r="D17" s="212" t="s">
        <v>1583</v>
      </c>
      <c r="E17" s="206" t="e">
        <f>(InvulGlas[[#This Row],[Prijs excl. BTW]]*Tariefsopbouw!$I$37)+InvulGlas[[#This Row],[Prijs excl. BTW]]</f>
        <v>#DIV/0!</v>
      </c>
      <c r="F17" s="206" t="e">
        <f>E17*Tariefsopbouw!$K$37+Glasbewassing!E17</f>
        <v>#DIV/0!</v>
      </c>
      <c r="G17" s="206" t="e">
        <f>F17*Tariefsopbouw!$M$37+Glasbewassing!F17</f>
        <v>#DIV/0!</v>
      </c>
      <c r="H17" s="206" t="e">
        <f>G17*Tariefsopbouw!$O$37+Glasbewassing!G17</f>
        <v>#DIV/0!</v>
      </c>
      <c r="I17" s="206" t="e">
        <f>H17*Tariefsopbouw!$Q$37+Glasbewassing!H17</f>
        <v>#DIV/0!</v>
      </c>
    </row>
    <row r="18" spans="1:9" ht="15" customHeight="1">
      <c r="A18" s="211" t="s">
        <v>149</v>
      </c>
      <c r="B18" s="225" t="s">
        <v>145</v>
      </c>
      <c r="C18" s="426">
        <v>0</v>
      </c>
      <c r="D18" s="212" t="s">
        <v>1583</v>
      </c>
      <c r="E18" s="206" t="e">
        <f>(InvulGlas[[#This Row],[Prijs excl. BTW]]*Tariefsopbouw!$I$37)+InvulGlas[[#This Row],[Prijs excl. BTW]]</f>
        <v>#DIV/0!</v>
      </c>
      <c r="F18" s="206" t="e">
        <f>E18*Tariefsopbouw!$K$37+Glasbewassing!E18</f>
        <v>#DIV/0!</v>
      </c>
      <c r="G18" s="206" t="e">
        <f>F18*Tariefsopbouw!$M$37+Glasbewassing!F18</f>
        <v>#DIV/0!</v>
      </c>
      <c r="H18" s="206" t="e">
        <f>G18*Tariefsopbouw!$O$37+Glasbewassing!G18</f>
        <v>#DIV/0!</v>
      </c>
      <c r="I18" s="206" t="e">
        <f>H18*Tariefsopbouw!$Q$37+Glasbewassing!H18</f>
        <v>#DIV/0!</v>
      </c>
    </row>
    <row r="19" spans="1:9" ht="15" customHeight="1">
      <c r="A19" s="211" t="s">
        <v>227</v>
      </c>
      <c r="B19" s="225" t="s">
        <v>228</v>
      </c>
      <c r="C19" s="426">
        <v>0</v>
      </c>
      <c r="D19" s="212" t="s">
        <v>1583</v>
      </c>
      <c r="E19" s="206" t="e">
        <f>(InvulGlas[[#This Row],[Prijs excl. BTW]]*Tariefsopbouw!$I$37)+InvulGlas[[#This Row],[Prijs excl. BTW]]</f>
        <v>#DIV/0!</v>
      </c>
      <c r="F19" s="206" t="e">
        <f>E19*Tariefsopbouw!$K$37+Glasbewassing!E19</f>
        <v>#DIV/0!</v>
      </c>
      <c r="G19" s="206" t="e">
        <f>F19*Tariefsopbouw!$M$37+Glasbewassing!F19</f>
        <v>#DIV/0!</v>
      </c>
      <c r="H19" s="206" t="e">
        <f>G19*Tariefsopbouw!$O$37+Glasbewassing!G19</f>
        <v>#DIV/0!</v>
      </c>
      <c r="I19" s="206" t="e">
        <f>H19*Tariefsopbouw!$Q$37+Glasbewassing!H19</f>
        <v>#DIV/0!</v>
      </c>
    </row>
    <row r="20" spans="1:9" ht="15" customHeight="1">
      <c r="C20" s="197"/>
      <c r="D20" s="197"/>
    </row>
    <row r="21" spans="1:9" s="226" customFormat="1" ht="26.25" customHeight="1">
      <c r="A21" s="283" t="s">
        <v>197</v>
      </c>
      <c r="B21" s="283" t="s">
        <v>135</v>
      </c>
      <c r="C21" s="283" t="s">
        <v>199</v>
      </c>
      <c r="D21" s="283" t="s">
        <v>136</v>
      </c>
      <c r="E21" s="283" t="s">
        <v>146</v>
      </c>
      <c r="F21" s="283" t="s">
        <v>117</v>
      </c>
      <c r="G21" s="283" t="s">
        <v>137</v>
      </c>
      <c r="H21" s="283" t="s">
        <v>1257</v>
      </c>
      <c r="I21" s="283" t="s">
        <v>1578</v>
      </c>
    </row>
    <row r="22" spans="1:9" ht="15" customHeight="1">
      <c r="A22" s="211">
        <v>1</v>
      </c>
      <c r="B22" s="183" t="str">
        <f>VLOOKUP(OverzichtGlas[[#This Row],[Code Locatie]],Totalisatie!$A$7:$B$24,2,FALSE)</f>
        <v xml:space="preserve">OBS Molenbeek </v>
      </c>
      <c r="C22" s="211">
        <v>1</v>
      </c>
      <c r="D22" s="213" t="str">
        <f>IF(Glasbewassing!$C22&gt;0,VLOOKUP(Glasbewassing!$C22,$A$8:$B$19,2,FALSE),"Hier vult u de inzet van eventuele hoogwerkers in")</f>
        <v>Gevelglas binnenzijde</v>
      </c>
      <c r="E22" s="99">
        <v>161.69999999999999</v>
      </c>
      <c r="F22" s="214">
        <v>2</v>
      </c>
      <c r="G22" s="216">
        <f>IF(C22&gt;0,VLOOKUP(OverzichtGlas[[#This Row],[Code taak]],InvulGlas[],3,0)*E22*F22,0)</f>
        <v>0</v>
      </c>
      <c r="H22" s="216">
        <f>OverzichtGlas[[#This Row],[Kosten/jaar excl. BTW]]*1.21</f>
        <v>0</v>
      </c>
      <c r="I22" s="211"/>
    </row>
    <row r="23" spans="1:9" ht="15" customHeight="1">
      <c r="A23" s="211">
        <v>1</v>
      </c>
      <c r="B23" s="183" t="str">
        <f>VLOOKUP(OverzichtGlas[[#This Row],[Code Locatie]],Totalisatie!$A$7:$B$24,2,FALSE)</f>
        <v xml:space="preserve">OBS Molenbeek </v>
      </c>
      <c r="C23" s="211">
        <v>2</v>
      </c>
      <c r="D23" s="213" t="str">
        <f>IF(Glasbewassing!$C23&gt;0,VLOOKUP(Glasbewassing!$C23,$A$8:$B$19,2,FALSE),"Hier vult u de inzet van eventuele hoogwerkers in")</f>
        <v>Gevelglas buitenzijde</v>
      </c>
      <c r="E23" s="99">
        <v>161.69999999999999</v>
      </c>
      <c r="F23" s="214">
        <v>2</v>
      </c>
      <c r="G23" s="216">
        <f>IF(C23&gt;0,VLOOKUP(OverzichtGlas[[#This Row],[Code taak]],InvulGlas[],3,0)*E23*F23,0)</f>
        <v>0</v>
      </c>
      <c r="H23" s="216">
        <f>OverzichtGlas[[#This Row],[Kosten/jaar excl. BTW]]*1.21</f>
        <v>0</v>
      </c>
      <c r="I23" s="211"/>
    </row>
    <row r="24" spans="1:9" ht="15" customHeight="1">
      <c r="A24" s="211">
        <v>1</v>
      </c>
      <c r="B24" s="183" t="str">
        <f>VLOOKUP(OverzichtGlas[[#This Row],[Code Locatie]],Totalisatie!$A$7:$B$24,2,FALSE)</f>
        <v xml:space="preserve">OBS Molenbeek </v>
      </c>
      <c r="C24" s="211">
        <v>3</v>
      </c>
      <c r="D24" s="213" t="str">
        <f>IF(Glasbewassing!$C24&gt;0,VLOOKUP(Glasbewassing!$C24,$A$8:$B$19,2,FALSE),"Hier vult u de inzet van eventuele hoogwerkers in")</f>
        <v>Separatieglas (enkel gemeten, dubbel te wassen)</v>
      </c>
      <c r="E24" s="99">
        <v>96.2</v>
      </c>
      <c r="F24" s="214">
        <v>2</v>
      </c>
      <c r="G24" s="216">
        <f>IF(C24&gt;0,VLOOKUP(OverzichtGlas[[#This Row],[Code taak]],InvulGlas[],3,0)*E24*F24,0)</f>
        <v>0</v>
      </c>
      <c r="H24" s="216">
        <f>OverzichtGlas[[#This Row],[Kosten/jaar excl. BTW]]*1.21</f>
        <v>0</v>
      </c>
      <c r="I24" s="211"/>
    </row>
    <row r="25" spans="1:9" ht="15" customHeight="1">
      <c r="A25" s="211">
        <v>1</v>
      </c>
      <c r="B25" s="183" t="str">
        <f>VLOOKUP(OverzichtGlas[[#This Row],[Code Locatie]],Totalisatie!$A$7:$B$24,2,FALSE)</f>
        <v xml:space="preserve">OBS Molenbeek </v>
      </c>
      <c r="C25" s="429"/>
      <c r="D25" s="203" t="str">
        <f>IF(Glasbewassing!$C25&gt;0,VLOOKUP(Glasbewassing!$C25,$A$8:$B$19,2,FALSE),"Hier vult u de inzet van eventuele hoogwerkers in")</f>
        <v>Hier vult u de inzet van eventuele hoogwerkers in</v>
      </c>
      <c r="E25" s="430"/>
      <c r="F25" s="214">
        <v>2</v>
      </c>
      <c r="G25" s="216">
        <f>IF(C25&gt;0,VLOOKUP(OverzichtGlas[[#This Row],[Code taak]],InvulGlas[],3,0)*E25*F25,0)</f>
        <v>0</v>
      </c>
      <c r="H25" s="216">
        <f>OverzichtGlas[[#This Row],[Kosten/jaar excl. BTW]]*1.21</f>
        <v>0</v>
      </c>
      <c r="I25" s="211"/>
    </row>
    <row r="26" spans="1:9" ht="15" customHeight="1">
      <c r="A26" s="211">
        <v>1</v>
      </c>
      <c r="B26" s="183" t="str">
        <f>VLOOKUP(OverzichtGlas[[#This Row],[Code Locatie]],Totalisatie!$A$7:$B$24,2,FALSE)</f>
        <v xml:space="preserve">OBS Molenbeek </v>
      </c>
      <c r="C26" s="429"/>
      <c r="D26" s="203" t="str">
        <f>IF(Glasbewassing!$C26&gt;0,VLOOKUP(Glasbewassing!$C26,$A$8:$B$19,2,FALSE),"Hier vult u de inzet van eventuele hoogwerkers in")</f>
        <v>Hier vult u de inzet van eventuele hoogwerkers in</v>
      </c>
      <c r="E26" s="430"/>
      <c r="F26" s="214">
        <v>2</v>
      </c>
      <c r="G26" s="216">
        <f>IF(C26&gt;0,VLOOKUP(OverzichtGlas[[#This Row],[Code taak]],InvulGlas[],3,0)*E26*F26,0)</f>
        <v>0</v>
      </c>
      <c r="H26" s="216">
        <f>OverzichtGlas[[#This Row],[Kosten/jaar excl. BTW]]*1.21</f>
        <v>0</v>
      </c>
      <c r="I26" s="211"/>
    </row>
    <row r="27" spans="1:9" ht="15" customHeight="1">
      <c r="A27" s="211">
        <v>2</v>
      </c>
      <c r="B27" s="183" t="str">
        <f>VLOOKUP(OverzichtGlas[[#This Row],[Code Locatie]],Totalisatie!$A$7:$B$24,2,FALSE)</f>
        <v>IST Primary Campus</v>
      </c>
      <c r="C27" s="211">
        <v>1</v>
      </c>
      <c r="D27" s="203" t="str">
        <f>IF(Glasbewassing!$C27&gt;0,VLOOKUP(Glasbewassing!$C27,$A$8:$B$19,2,FALSE),"Hier vult u de inzet van eventuele hoogwerkers in")</f>
        <v>Gevelglas binnenzijde</v>
      </c>
      <c r="E27" s="99">
        <v>229.6</v>
      </c>
      <c r="F27" s="214">
        <v>2</v>
      </c>
      <c r="G27" s="216">
        <f>IF(C27&gt;0,VLOOKUP(OverzichtGlas[[#This Row],[Code taak]],InvulGlas[],3,0)*E27*F27,0)</f>
        <v>0</v>
      </c>
      <c r="H27" s="216">
        <f>OverzichtGlas[[#This Row],[Kosten/jaar excl. BTW]]*1.21</f>
        <v>0</v>
      </c>
      <c r="I27" s="211"/>
    </row>
    <row r="28" spans="1:9" ht="15" customHeight="1">
      <c r="A28" s="211">
        <v>2</v>
      </c>
      <c r="B28" s="183" t="str">
        <f>VLOOKUP(OverzichtGlas[[#This Row],[Code Locatie]],Totalisatie!$A$7:$B$24,2,FALSE)</f>
        <v>IST Primary Campus</v>
      </c>
      <c r="C28" s="211">
        <v>2</v>
      </c>
      <c r="D28" s="203" t="str">
        <f>IF(Glasbewassing!$C28&gt;0,VLOOKUP(Glasbewassing!$C28,$A$8:$B$19,2,FALSE),"Hier vult u de inzet van eventuele hoogwerkers in")</f>
        <v>Gevelglas buitenzijde</v>
      </c>
      <c r="E28" s="99">
        <v>229.6</v>
      </c>
      <c r="F28" s="214">
        <v>2</v>
      </c>
      <c r="G28" s="216">
        <f>IF(C28&gt;0,VLOOKUP(OverzichtGlas[[#This Row],[Code taak]],InvulGlas[],3,0)*E28*F28,0)</f>
        <v>0</v>
      </c>
      <c r="H28" s="216">
        <f>OverzichtGlas[[#This Row],[Kosten/jaar excl. BTW]]*1.21</f>
        <v>0</v>
      </c>
      <c r="I28" s="211"/>
    </row>
    <row r="29" spans="1:9" ht="15" customHeight="1">
      <c r="A29" s="211">
        <v>2</v>
      </c>
      <c r="B29" s="183" t="str">
        <f>VLOOKUP(OverzichtGlas[[#This Row],[Code Locatie]],Totalisatie!$A$7:$B$24,2,FALSE)</f>
        <v>IST Primary Campus</v>
      </c>
      <c r="C29" s="211">
        <v>3</v>
      </c>
      <c r="D29" s="203" t="str">
        <f>IF(Glasbewassing!$C29&gt;0,VLOOKUP(Glasbewassing!$C29,$A$8:$B$19,2,FALSE),"Hier vult u de inzet van eventuele hoogwerkers in")</f>
        <v>Separatieglas (enkel gemeten, dubbel te wassen)</v>
      </c>
      <c r="E29" s="99">
        <v>84.2</v>
      </c>
      <c r="F29" s="214">
        <v>2</v>
      </c>
      <c r="G29" s="216">
        <f>IF(C29&gt;0,VLOOKUP(OverzichtGlas[[#This Row],[Code taak]],InvulGlas[],3,0)*E29*F29,0)</f>
        <v>0</v>
      </c>
      <c r="H29" s="216">
        <f>OverzichtGlas[[#This Row],[Kosten/jaar excl. BTW]]*1.21</f>
        <v>0</v>
      </c>
      <c r="I29" s="211"/>
    </row>
    <row r="30" spans="1:9" ht="15" customHeight="1">
      <c r="A30" s="211">
        <v>2</v>
      </c>
      <c r="B30" s="183" t="str">
        <f>VLOOKUP(OverzichtGlas[[#This Row],[Code Locatie]],Totalisatie!$A$7:$B$24,2,FALSE)</f>
        <v>IST Primary Campus</v>
      </c>
      <c r="C30" s="429"/>
      <c r="D30" s="203" t="str">
        <f>IF(Glasbewassing!$C30&gt;0,VLOOKUP(Glasbewassing!$C30,$A$8:$B$19,2,FALSE),"Hier vult u de inzet van eventuele hoogwerkers in")</f>
        <v>Hier vult u de inzet van eventuele hoogwerkers in</v>
      </c>
      <c r="E30" s="430"/>
      <c r="F30" s="214">
        <v>2</v>
      </c>
      <c r="G30" s="216">
        <f>IF(C30&gt;0,VLOOKUP(OverzichtGlas[[#This Row],[Code taak]],InvulGlas[],3,0)*E30*F30,0)</f>
        <v>0</v>
      </c>
      <c r="H30" s="216">
        <f>OverzichtGlas[[#This Row],[Kosten/jaar excl. BTW]]*1.21</f>
        <v>0</v>
      </c>
      <c r="I30" s="211"/>
    </row>
    <row r="31" spans="1:9" ht="15" customHeight="1">
      <c r="A31" s="211">
        <v>2</v>
      </c>
      <c r="B31" s="183" t="str">
        <f>VLOOKUP(OverzichtGlas[[#This Row],[Code Locatie]],Totalisatie!$A$7:$B$24,2,FALSE)</f>
        <v>IST Primary Campus</v>
      </c>
      <c r="C31" s="429"/>
      <c r="D31" s="203" t="str">
        <f>IF(Glasbewassing!$C31&gt;0,VLOOKUP(Glasbewassing!$C31,$A$8:$B$19,2,FALSE),"Hier vult u de inzet van eventuele hoogwerkers in")</f>
        <v>Hier vult u de inzet van eventuele hoogwerkers in</v>
      </c>
      <c r="E31" s="430"/>
      <c r="F31" s="214">
        <v>2</v>
      </c>
      <c r="G31" s="216">
        <f>IF(C31&gt;0,VLOOKUP(OverzichtGlas[[#This Row],[Code taak]],InvulGlas[],3,0)*E31*F31,0)</f>
        <v>0</v>
      </c>
      <c r="H31" s="216">
        <f>OverzichtGlas[[#This Row],[Kosten/jaar excl. BTW]]*1.21</f>
        <v>0</v>
      </c>
      <c r="I31" s="211"/>
    </row>
    <row r="32" spans="1:9" ht="15" customHeight="1">
      <c r="A32" s="211">
        <v>3</v>
      </c>
      <c r="B32" s="183" t="str">
        <f>VLOOKUP(OverzichtGlas[[#This Row],[Code Locatie]],Totalisatie!$A$7:$B$24,2,FALSE)</f>
        <v>OBS De Spinner</v>
      </c>
      <c r="C32" s="211">
        <v>1</v>
      </c>
      <c r="D32" s="203" t="str">
        <f>IF(Glasbewassing!$C32&gt;0,VLOOKUP(Glasbewassing!$C32,$A$8:$B$19,2,FALSE),"Hier vult u de inzet van eventuele hoogwerkers in")</f>
        <v>Gevelglas binnenzijde</v>
      </c>
      <c r="E32" s="99">
        <v>100.3</v>
      </c>
      <c r="F32" s="214">
        <v>2</v>
      </c>
      <c r="G32" s="216">
        <f>IF(C32&gt;0,VLOOKUP(OverzichtGlas[[#This Row],[Code taak]],InvulGlas[],3,0)*E32*F32,0)</f>
        <v>0</v>
      </c>
      <c r="H32" s="216">
        <f>OverzichtGlas[[#This Row],[Kosten/jaar excl. BTW]]*1.21</f>
        <v>0</v>
      </c>
      <c r="I32" s="211"/>
    </row>
    <row r="33" spans="1:9" ht="15" customHeight="1">
      <c r="A33" s="211">
        <v>3</v>
      </c>
      <c r="B33" s="183" t="str">
        <f>VLOOKUP(OverzichtGlas[[#This Row],[Code Locatie]],Totalisatie!$A$7:$B$24,2,FALSE)</f>
        <v>OBS De Spinner</v>
      </c>
      <c r="C33" s="211">
        <v>2</v>
      </c>
      <c r="D33" s="203" t="str">
        <f>IF(Glasbewassing!$C33&gt;0,VLOOKUP(Glasbewassing!$C33,$A$8:$B$19,2,FALSE),"Hier vult u de inzet van eventuele hoogwerkers in")</f>
        <v>Gevelglas buitenzijde</v>
      </c>
      <c r="E33" s="99">
        <v>100.3</v>
      </c>
      <c r="F33" s="214">
        <v>2</v>
      </c>
      <c r="G33" s="216">
        <f>IF(C33&gt;0,VLOOKUP(OverzichtGlas[[#This Row],[Code taak]],InvulGlas[],3,0)*E33*F33,0)</f>
        <v>0</v>
      </c>
      <c r="H33" s="216">
        <f>OverzichtGlas[[#This Row],[Kosten/jaar excl. BTW]]*1.21</f>
        <v>0</v>
      </c>
      <c r="I33" s="211"/>
    </row>
    <row r="34" spans="1:9" ht="15" customHeight="1">
      <c r="A34" s="211">
        <v>3</v>
      </c>
      <c r="B34" s="183" t="str">
        <f>VLOOKUP(OverzichtGlas[[#This Row],[Code Locatie]],Totalisatie!$A$7:$B$24,2,FALSE)</f>
        <v>OBS De Spinner</v>
      </c>
      <c r="C34" s="211">
        <v>3</v>
      </c>
      <c r="D34" s="203" t="str">
        <f>IF(Glasbewassing!$C34&gt;0,VLOOKUP(Glasbewassing!$C34,$A$8:$B$19,2,FALSE),"Hier vult u de inzet van eventuele hoogwerkers in")</f>
        <v>Separatieglas (enkel gemeten, dubbel te wassen)</v>
      </c>
      <c r="E34" s="99">
        <v>90.8</v>
      </c>
      <c r="F34" s="214">
        <v>2</v>
      </c>
      <c r="G34" s="216">
        <f>IF(C34&gt;0,VLOOKUP(OverzichtGlas[[#This Row],[Code taak]],InvulGlas[],3,0)*E34*F34,0)</f>
        <v>0</v>
      </c>
      <c r="H34" s="216">
        <f>OverzichtGlas[[#This Row],[Kosten/jaar excl. BTW]]*1.21</f>
        <v>0</v>
      </c>
      <c r="I34" s="211"/>
    </row>
    <row r="35" spans="1:9" ht="15" customHeight="1">
      <c r="A35" s="211">
        <v>3</v>
      </c>
      <c r="B35" s="183" t="str">
        <f>VLOOKUP(OverzichtGlas[[#This Row],[Code Locatie]],Totalisatie!$A$7:$B$24,2,FALSE)</f>
        <v>OBS De Spinner</v>
      </c>
      <c r="C35" s="429"/>
      <c r="D35" s="203" t="str">
        <f>IF(Glasbewassing!$C35&gt;0,VLOOKUP(Glasbewassing!$C35,$A$8:$B$19,2,FALSE),"Hier vult u de inzet van eventuele hoogwerkers in")</f>
        <v>Hier vult u de inzet van eventuele hoogwerkers in</v>
      </c>
      <c r="E35" s="430"/>
      <c r="F35" s="214">
        <v>2</v>
      </c>
      <c r="G35" s="216">
        <f>IF(C35&gt;0,VLOOKUP(OverzichtGlas[[#This Row],[Code taak]],InvulGlas[],3,0)*E35*F35,0)</f>
        <v>0</v>
      </c>
      <c r="H35" s="216">
        <f>OverzichtGlas[[#This Row],[Kosten/jaar excl. BTW]]*1.21</f>
        <v>0</v>
      </c>
      <c r="I35" s="211"/>
    </row>
    <row r="36" spans="1:9" ht="15" customHeight="1">
      <c r="A36" s="211">
        <v>3</v>
      </c>
      <c r="B36" s="183" t="str">
        <f>VLOOKUP(OverzichtGlas[[#This Row],[Code Locatie]],Totalisatie!$A$7:$B$24,2,FALSE)</f>
        <v>OBS De Spinner</v>
      </c>
      <c r="C36" s="429"/>
      <c r="D36" s="203" t="str">
        <f>IF(Glasbewassing!$C36&gt;0,VLOOKUP(Glasbewassing!$C36,$A$8:$B$19,2,FALSE),"Hier vult u de inzet van eventuele hoogwerkers in")</f>
        <v>Hier vult u de inzet van eventuele hoogwerkers in</v>
      </c>
      <c r="E36" s="430"/>
      <c r="F36" s="214">
        <v>2</v>
      </c>
      <c r="G36" s="216">
        <f>IF(C36&gt;0,VLOOKUP(OverzichtGlas[[#This Row],[Code taak]],InvulGlas[],3,0)*E36*F36,0)</f>
        <v>0</v>
      </c>
      <c r="H36" s="216">
        <f>OverzichtGlas[[#This Row],[Kosten/jaar excl. BTW]]*1.21</f>
        <v>0</v>
      </c>
      <c r="I36" s="211"/>
    </row>
    <row r="37" spans="1:9" ht="15" customHeight="1">
      <c r="A37" s="211">
        <v>4</v>
      </c>
      <c r="B37" s="183" t="str">
        <f>VLOOKUP(OverzichtGlas[[#This Row],[Code Locatie]],Totalisatie!$A$7:$B$24,2,FALSE)</f>
        <v>OBS De Sterrenborgh</v>
      </c>
      <c r="C37" s="211">
        <v>1</v>
      </c>
      <c r="D37" s="203" t="str">
        <f>IF(Glasbewassing!$C37&gt;0,VLOOKUP(Glasbewassing!$C37,$A$8:$B$19,2,FALSE),"Hier vult u de inzet van eventuele hoogwerkers in")</f>
        <v>Gevelglas binnenzijde</v>
      </c>
      <c r="E37" s="99">
        <v>273.39999999999998</v>
      </c>
      <c r="F37" s="214">
        <v>2</v>
      </c>
      <c r="G37" s="216">
        <f>IF(C37&gt;0,VLOOKUP(OverzichtGlas[[#This Row],[Code taak]],InvulGlas[],3,0)*E37*F37,0)</f>
        <v>0</v>
      </c>
      <c r="H37" s="216">
        <f>OverzichtGlas[[#This Row],[Kosten/jaar excl. BTW]]*1.21</f>
        <v>0</v>
      </c>
      <c r="I37" s="211"/>
    </row>
    <row r="38" spans="1:9" ht="15" customHeight="1">
      <c r="A38" s="211">
        <v>4</v>
      </c>
      <c r="B38" s="183" t="str">
        <f>VLOOKUP(OverzichtGlas[[#This Row],[Code Locatie]],Totalisatie!$A$7:$B$24,2,FALSE)</f>
        <v>OBS De Sterrenborgh</v>
      </c>
      <c r="C38" s="211">
        <v>2</v>
      </c>
      <c r="D38" s="203" t="str">
        <f>IF(Glasbewassing!$C38&gt;0,VLOOKUP(Glasbewassing!$C38,$A$8:$B$19,2,FALSE),"Hier vult u de inzet van eventuele hoogwerkers in")</f>
        <v>Gevelglas buitenzijde</v>
      </c>
      <c r="E38" s="99">
        <v>237.4</v>
      </c>
      <c r="F38" s="214">
        <v>2</v>
      </c>
      <c r="G38" s="216">
        <f>IF(C38&gt;0,VLOOKUP(OverzichtGlas[[#This Row],[Code taak]],InvulGlas[],3,0)*E38*F38,0)</f>
        <v>0</v>
      </c>
      <c r="H38" s="216">
        <f>OverzichtGlas[[#This Row],[Kosten/jaar excl. BTW]]*1.21</f>
        <v>0</v>
      </c>
      <c r="I38" s="211"/>
    </row>
    <row r="39" spans="1:9" ht="15" customHeight="1">
      <c r="A39" s="211">
        <v>4</v>
      </c>
      <c r="B39" s="183" t="str">
        <f>VLOOKUP(OverzichtGlas[[#This Row],[Code Locatie]],Totalisatie!$A$7:$B$24,2,FALSE)</f>
        <v>OBS De Sterrenborgh</v>
      </c>
      <c r="C39" s="211">
        <v>3</v>
      </c>
      <c r="D39" s="203" t="str">
        <f>IF(Glasbewassing!$C39&gt;0,VLOOKUP(Glasbewassing!$C39,$A$8:$B$19,2,FALSE),"Hier vult u de inzet van eventuele hoogwerkers in")</f>
        <v>Separatieglas (enkel gemeten, dubbel te wassen)</v>
      </c>
      <c r="E39" s="99">
        <v>71.400000000000006</v>
      </c>
      <c r="F39" s="214">
        <v>2</v>
      </c>
      <c r="G39" s="216">
        <f>IF(C39&gt;0,VLOOKUP(OverzichtGlas[[#This Row],[Code taak]],InvulGlas[],3,0)*E39*F39,0)</f>
        <v>0</v>
      </c>
      <c r="H39" s="216">
        <f>OverzichtGlas[[#This Row],[Kosten/jaar excl. BTW]]*1.21</f>
        <v>0</v>
      </c>
      <c r="I39" s="211"/>
    </row>
    <row r="40" spans="1:9" ht="15" customHeight="1">
      <c r="A40" s="211">
        <v>4</v>
      </c>
      <c r="B40" s="183" t="str">
        <f>VLOOKUP(OverzichtGlas[[#This Row],[Code Locatie]],Totalisatie!$A$7:$B$24,2,FALSE)</f>
        <v>OBS De Sterrenborgh</v>
      </c>
      <c r="C40" s="429"/>
      <c r="D40" s="203" t="str">
        <f>IF(Glasbewassing!$C40&gt;0,VLOOKUP(Glasbewassing!$C40,$A$8:$B$19,2,FALSE),"Hier vult u de inzet van eventuele hoogwerkers in")</f>
        <v>Hier vult u de inzet van eventuele hoogwerkers in</v>
      </c>
      <c r="E40" s="430"/>
      <c r="F40" s="214">
        <v>2</v>
      </c>
      <c r="G40" s="216">
        <f>IF(C40&gt;0,VLOOKUP(OverzichtGlas[[#This Row],[Code taak]],InvulGlas[],3,0)*E40*F40,0)</f>
        <v>0</v>
      </c>
      <c r="H40" s="216">
        <f>OverzichtGlas[[#This Row],[Kosten/jaar excl. BTW]]*1.21</f>
        <v>0</v>
      </c>
      <c r="I40" s="211"/>
    </row>
    <row r="41" spans="1:9" ht="15" customHeight="1">
      <c r="A41" s="211">
        <v>4</v>
      </c>
      <c r="B41" s="183" t="str">
        <f>VLOOKUP(OverzichtGlas[[#This Row],[Code Locatie]],Totalisatie!$A$7:$B$24,2,FALSE)</f>
        <v>OBS De Sterrenborgh</v>
      </c>
      <c r="C41" s="429"/>
      <c r="D41" s="203" t="str">
        <f>IF(Glasbewassing!$C41&gt;0,VLOOKUP(Glasbewassing!$C41,$A$8:$B$19,2,FALSE),"Hier vult u de inzet van eventuele hoogwerkers in")</f>
        <v>Hier vult u de inzet van eventuele hoogwerkers in</v>
      </c>
      <c r="E41" s="430"/>
      <c r="F41" s="214">
        <v>2</v>
      </c>
      <c r="G41" s="216">
        <f>IF(C41&gt;0,VLOOKUP(OverzichtGlas[[#This Row],[Code taak]],InvulGlas[],3,0)*E41*F41,0)</f>
        <v>0</v>
      </c>
      <c r="H41" s="216">
        <f>OverzichtGlas[[#This Row],[Kosten/jaar excl. BTW]]*1.21</f>
        <v>0</v>
      </c>
      <c r="I41" s="211"/>
    </row>
    <row r="42" spans="1:9" ht="15" customHeight="1">
      <c r="A42" s="211">
        <v>5</v>
      </c>
      <c r="B42" s="183" t="str">
        <f>VLOOKUP(OverzichtGlas[[#This Row],[Code Locatie]],Totalisatie!$A$7:$B$24,2,FALSE)</f>
        <v>OBS Harry Bannink</v>
      </c>
      <c r="C42" s="211">
        <v>1</v>
      </c>
      <c r="D42" s="203" t="str">
        <f>IF(Glasbewassing!$C42&gt;0,VLOOKUP(Glasbewassing!$C42,$A$8:$B$19,2,FALSE),"Hier vult u de inzet van eventuele hoogwerkers in")</f>
        <v>Gevelglas binnenzijde</v>
      </c>
      <c r="E42" s="99">
        <v>104.4</v>
      </c>
      <c r="F42" s="214">
        <v>2</v>
      </c>
      <c r="G42" s="216">
        <f>IF(C42&gt;0,VLOOKUP(OverzichtGlas[[#This Row],[Code taak]],InvulGlas[],3,0)*E42*F42,0)</f>
        <v>0</v>
      </c>
      <c r="H42" s="216">
        <f>OverzichtGlas[[#This Row],[Kosten/jaar excl. BTW]]*1.21</f>
        <v>0</v>
      </c>
      <c r="I42" s="211"/>
    </row>
    <row r="43" spans="1:9" ht="15" customHeight="1">
      <c r="A43" s="211">
        <v>5</v>
      </c>
      <c r="B43" s="183" t="str">
        <f>VLOOKUP(OverzichtGlas[[#This Row],[Code Locatie]],Totalisatie!$A$7:$B$24,2,FALSE)</f>
        <v>OBS Harry Bannink</v>
      </c>
      <c r="C43" s="211">
        <v>2</v>
      </c>
      <c r="D43" s="203" t="str">
        <f>IF(Glasbewassing!$C43&gt;0,VLOOKUP(Glasbewassing!$C43,$A$8:$B$19,2,FALSE),"Hier vult u de inzet van eventuele hoogwerkers in")</f>
        <v>Gevelglas buitenzijde</v>
      </c>
      <c r="E43" s="99">
        <v>104.4</v>
      </c>
      <c r="F43" s="214">
        <v>2</v>
      </c>
      <c r="G43" s="216">
        <f>IF(C43&gt;0,VLOOKUP(OverzichtGlas[[#This Row],[Code taak]],InvulGlas[],3,0)*E43*F43,0)</f>
        <v>0</v>
      </c>
      <c r="H43" s="216">
        <f>OverzichtGlas[[#This Row],[Kosten/jaar excl. BTW]]*1.21</f>
        <v>0</v>
      </c>
      <c r="I43" s="211"/>
    </row>
    <row r="44" spans="1:9" ht="15" customHeight="1">
      <c r="A44" s="211">
        <v>5</v>
      </c>
      <c r="B44" s="183" t="str">
        <f>VLOOKUP(OverzichtGlas[[#This Row],[Code Locatie]],Totalisatie!$A$7:$B$24,2,FALSE)</f>
        <v>OBS Harry Bannink</v>
      </c>
      <c r="C44" s="211">
        <v>3</v>
      </c>
      <c r="D44" s="203" t="str">
        <f>IF(Glasbewassing!$C44&gt;0,VLOOKUP(Glasbewassing!$C44,$A$8:$B$19,2,FALSE),"Hier vult u de inzet van eventuele hoogwerkers in")</f>
        <v>Separatieglas (enkel gemeten, dubbel te wassen)</v>
      </c>
      <c r="E44" s="99">
        <v>134.6</v>
      </c>
      <c r="F44" s="214">
        <v>2</v>
      </c>
      <c r="G44" s="216">
        <f>IF(C44&gt;0,VLOOKUP(OverzichtGlas[[#This Row],[Code taak]],InvulGlas[],3,0)*E44*F44,0)</f>
        <v>0</v>
      </c>
      <c r="H44" s="216">
        <f>OverzichtGlas[[#This Row],[Kosten/jaar excl. BTW]]*1.21</f>
        <v>0</v>
      </c>
      <c r="I44" s="211"/>
    </row>
    <row r="45" spans="1:9" ht="15" customHeight="1">
      <c r="A45" s="211">
        <v>5</v>
      </c>
      <c r="B45" s="183" t="str">
        <f>VLOOKUP(OverzichtGlas[[#This Row],[Code Locatie]],Totalisatie!$A$7:$B$24,2,FALSE)</f>
        <v>OBS Harry Bannink</v>
      </c>
      <c r="C45" s="429"/>
      <c r="D45" s="203" t="str">
        <f>IF(Glasbewassing!$C45&gt;0,VLOOKUP(Glasbewassing!$C45,$A$8:$B$19,2,FALSE),"Hier vult u de inzet van eventuele hoogwerkers in")</f>
        <v>Hier vult u de inzet van eventuele hoogwerkers in</v>
      </c>
      <c r="E45" s="430"/>
      <c r="F45" s="214">
        <v>2</v>
      </c>
      <c r="G45" s="216">
        <f>IF(C45&gt;0,VLOOKUP(OverzichtGlas[[#This Row],[Code taak]],InvulGlas[],3,0)*E45*F45,0)</f>
        <v>0</v>
      </c>
      <c r="H45" s="216">
        <f>OverzichtGlas[[#This Row],[Kosten/jaar excl. BTW]]*1.21</f>
        <v>0</v>
      </c>
      <c r="I45" s="211"/>
    </row>
    <row r="46" spans="1:9" ht="15" customHeight="1">
      <c r="A46" s="211">
        <v>5</v>
      </c>
      <c r="B46" s="183" t="str">
        <f>VLOOKUP(OverzichtGlas[[#This Row],[Code Locatie]],Totalisatie!$A$7:$B$24,2,FALSE)</f>
        <v>OBS Harry Bannink</v>
      </c>
      <c r="C46" s="429"/>
      <c r="D46" s="203" t="str">
        <f>IF(Glasbewassing!$C46&gt;0,VLOOKUP(Glasbewassing!$C46,$A$8:$B$19,2,FALSE),"Hier vult u de inzet van eventuele hoogwerkers in")</f>
        <v>Hier vult u de inzet van eventuele hoogwerkers in</v>
      </c>
      <c r="E46" s="430"/>
      <c r="F46" s="214">
        <v>2</v>
      </c>
      <c r="G46" s="216">
        <f>IF(C46&gt;0,VLOOKUP(OverzichtGlas[[#This Row],[Code taak]],InvulGlas[],3,0)*E46*F46,0)</f>
        <v>0</v>
      </c>
      <c r="H46" s="216">
        <f>OverzichtGlas[[#This Row],[Kosten/jaar excl. BTW]]*1.21</f>
        <v>0</v>
      </c>
      <c r="I46" s="211"/>
    </row>
    <row r="47" spans="1:9" ht="15" customHeight="1">
      <c r="A47" s="211">
        <v>6</v>
      </c>
      <c r="B47" s="183" t="str">
        <f>VLOOKUP(OverzichtGlas[[#This Row],[Code Locatie]],Totalisatie!$A$7:$B$24,2,FALSE)</f>
        <v>OBS La Res Noord</v>
      </c>
      <c r="C47" s="211">
        <v>1</v>
      </c>
      <c r="D47" s="203" t="str">
        <f>IF(Glasbewassing!$C47&gt;0,VLOOKUP(Glasbewassing!$C47,$A$8:$B$19,2,FALSE),"Hier vult u de inzet van eventuele hoogwerkers in")</f>
        <v>Gevelglas binnenzijde</v>
      </c>
      <c r="E47" s="99">
        <v>246.4</v>
      </c>
      <c r="F47" s="214">
        <v>2</v>
      </c>
      <c r="G47" s="216">
        <f>IF(C47&gt;0,VLOOKUP(OverzichtGlas[[#This Row],[Code taak]],InvulGlas[],3,0)*E47*F47,0)</f>
        <v>0</v>
      </c>
      <c r="H47" s="216">
        <f>OverzichtGlas[[#This Row],[Kosten/jaar excl. BTW]]*1.21</f>
        <v>0</v>
      </c>
      <c r="I47" s="211"/>
    </row>
    <row r="48" spans="1:9" ht="15" customHeight="1">
      <c r="A48" s="211">
        <v>6</v>
      </c>
      <c r="B48" s="183" t="str">
        <f>VLOOKUP(OverzichtGlas[[#This Row],[Code Locatie]],Totalisatie!$A$7:$B$24,2,FALSE)</f>
        <v>OBS La Res Noord</v>
      </c>
      <c r="C48" s="211">
        <v>2</v>
      </c>
      <c r="D48" s="203" t="str">
        <f>IF(Glasbewassing!$C48&gt;0,VLOOKUP(Glasbewassing!$C48,$A$8:$B$19,2,FALSE),"Hier vult u de inzet van eventuele hoogwerkers in")</f>
        <v>Gevelglas buitenzijde</v>
      </c>
      <c r="E48" s="99">
        <v>246.4</v>
      </c>
      <c r="F48" s="214">
        <v>2</v>
      </c>
      <c r="G48" s="216">
        <f>IF(C48&gt;0,VLOOKUP(OverzichtGlas[[#This Row],[Code taak]],InvulGlas[],3,0)*E48*F48,0)</f>
        <v>0</v>
      </c>
      <c r="H48" s="216">
        <f>OverzichtGlas[[#This Row],[Kosten/jaar excl. BTW]]*1.21</f>
        <v>0</v>
      </c>
      <c r="I48" s="211"/>
    </row>
    <row r="49" spans="1:9" ht="15" customHeight="1">
      <c r="A49" s="211">
        <v>6</v>
      </c>
      <c r="B49" s="183" t="str">
        <f>VLOOKUP(OverzichtGlas[[#This Row],[Code Locatie]],Totalisatie!$A$7:$B$24,2,FALSE)</f>
        <v>OBS La Res Noord</v>
      </c>
      <c r="C49" s="211">
        <v>3</v>
      </c>
      <c r="D49" s="203" t="str">
        <f>IF(Glasbewassing!$C49&gt;0,VLOOKUP(Glasbewassing!$C49,$A$8:$B$19,2,FALSE),"Hier vult u de inzet van eventuele hoogwerkers in")</f>
        <v>Separatieglas (enkel gemeten, dubbel te wassen)</v>
      </c>
      <c r="E49" s="99">
        <v>96.6</v>
      </c>
      <c r="F49" s="214">
        <v>2</v>
      </c>
      <c r="G49" s="216">
        <f>IF(C49&gt;0,VLOOKUP(OverzichtGlas[[#This Row],[Code taak]],InvulGlas[],3,0)*E49*F49,0)</f>
        <v>0</v>
      </c>
      <c r="H49" s="216">
        <f>OverzichtGlas[[#This Row],[Kosten/jaar excl. BTW]]*1.21</f>
        <v>0</v>
      </c>
      <c r="I49" s="211"/>
    </row>
    <row r="50" spans="1:9" ht="15" customHeight="1">
      <c r="A50" s="211">
        <v>6</v>
      </c>
      <c r="B50" s="183" t="str">
        <f>VLOOKUP(OverzichtGlas[[#This Row],[Code Locatie]],Totalisatie!$A$7:$B$24,2,FALSE)</f>
        <v>OBS La Res Noord</v>
      </c>
      <c r="C50" s="429"/>
      <c r="D50" s="203" t="str">
        <f>IF(Glasbewassing!$C50&gt;0,VLOOKUP(Glasbewassing!$C50,$A$8:$B$19,2,FALSE),"Hier vult u de inzet van eventuele hoogwerkers in")</f>
        <v>Hier vult u de inzet van eventuele hoogwerkers in</v>
      </c>
      <c r="E50" s="430"/>
      <c r="F50" s="214">
        <v>2</v>
      </c>
      <c r="G50" s="216">
        <f>IF(C50&gt;0,VLOOKUP(OverzichtGlas[[#This Row],[Code taak]],InvulGlas[],3,0)*E50*F50,0)</f>
        <v>0</v>
      </c>
      <c r="H50" s="216">
        <f>OverzichtGlas[[#This Row],[Kosten/jaar excl. BTW]]*1.21</f>
        <v>0</v>
      </c>
      <c r="I50" s="211"/>
    </row>
    <row r="51" spans="1:9" ht="15" customHeight="1">
      <c r="A51" s="211">
        <v>6</v>
      </c>
      <c r="B51" s="183" t="str">
        <f>VLOOKUP(OverzichtGlas[[#This Row],[Code Locatie]],Totalisatie!$A$7:$B$24,2,FALSE)</f>
        <v>OBS La Res Noord</v>
      </c>
      <c r="C51" s="429"/>
      <c r="D51" s="203" t="str">
        <f>IF(Glasbewassing!$C51&gt;0,VLOOKUP(Glasbewassing!$C51,$A$8:$B$19,2,FALSE),"Hier vult u de inzet van eventuele hoogwerkers in")</f>
        <v>Hier vult u de inzet van eventuele hoogwerkers in</v>
      </c>
      <c r="E51" s="430"/>
      <c r="F51" s="214">
        <v>2</v>
      </c>
      <c r="G51" s="216">
        <f>IF(C51&gt;0,VLOOKUP(OverzichtGlas[[#This Row],[Code taak]],InvulGlas[],3,0)*E51*F51,0)</f>
        <v>0</v>
      </c>
      <c r="H51" s="216">
        <f>OverzichtGlas[[#This Row],[Kosten/jaar excl. BTW]]*1.21</f>
        <v>0</v>
      </c>
      <c r="I51" s="211"/>
    </row>
    <row r="52" spans="1:9" ht="15" customHeight="1">
      <c r="A52" s="211">
        <v>7</v>
      </c>
      <c r="B52" s="183" t="str">
        <f>VLOOKUP(OverzichtGlas[[#This Row],[Code Locatie]],Totalisatie!$A$7:$B$24,2,FALSE)</f>
        <v xml:space="preserve">OBS Molenbeek </v>
      </c>
      <c r="C52" s="211">
        <v>1</v>
      </c>
      <c r="D52" s="203" t="str">
        <f>IF(Glasbewassing!$C52&gt;0,VLOOKUP(Glasbewassing!$C52,$A$8:$B$19,2,FALSE),"Hier vult u de inzet van eventuele hoogwerkers in")</f>
        <v>Gevelglas binnenzijde</v>
      </c>
      <c r="E52" s="99">
        <v>79.3</v>
      </c>
      <c r="F52" s="214">
        <v>2</v>
      </c>
      <c r="G52" s="216">
        <f>IF(C52&gt;0,VLOOKUP(OverzichtGlas[[#This Row],[Code taak]],InvulGlas[],3,0)*E52*F52,0)</f>
        <v>0</v>
      </c>
      <c r="H52" s="216">
        <f>OverzichtGlas[[#This Row],[Kosten/jaar excl. BTW]]*1.21</f>
        <v>0</v>
      </c>
      <c r="I52" s="211"/>
    </row>
    <row r="53" spans="1:9" ht="15" customHeight="1">
      <c r="A53" s="211">
        <v>7</v>
      </c>
      <c r="B53" s="183" t="str">
        <f>VLOOKUP(OverzichtGlas[[#This Row],[Code Locatie]],Totalisatie!$A$7:$B$24,2,FALSE)</f>
        <v xml:space="preserve">OBS Molenbeek </v>
      </c>
      <c r="C53" s="211">
        <v>2</v>
      </c>
      <c r="D53" s="203" t="str">
        <f>IF(Glasbewassing!$C53&gt;0,VLOOKUP(Glasbewassing!$C53,$A$8:$B$19,2,FALSE),"Hier vult u de inzet van eventuele hoogwerkers in")</f>
        <v>Gevelglas buitenzijde</v>
      </c>
      <c r="E53" s="99">
        <v>79.3</v>
      </c>
      <c r="F53" s="214">
        <v>2</v>
      </c>
      <c r="G53" s="216">
        <f>IF(C53&gt;0,VLOOKUP(OverzichtGlas[[#This Row],[Code taak]],InvulGlas[],3,0)*E53*F53,0)</f>
        <v>0</v>
      </c>
      <c r="H53" s="216">
        <f>OverzichtGlas[[#This Row],[Kosten/jaar excl. BTW]]*1.21</f>
        <v>0</v>
      </c>
      <c r="I53" s="211"/>
    </row>
    <row r="54" spans="1:9" ht="15" customHeight="1">
      <c r="A54" s="211">
        <v>7</v>
      </c>
      <c r="B54" s="183" t="str">
        <f>VLOOKUP(OverzichtGlas[[#This Row],[Code Locatie]],Totalisatie!$A$7:$B$24,2,FALSE)</f>
        <v xml:space="preserve">OBS Molenbeek </v>
      </c>
      <c r="C54" s="211">
        <v>3</v>
      </c>
      <c r="D54" s="203" t="str">
        <f>IF(Glasbewassing!$C54&gt;0,VLOOKUP(Glasbewassing!$C54,$A$8:$B$19,2,FALSE),"Hier vult u de inzet van eventuele hoogwerkers in")</f>
        <v>Separatieglas (enkel gemeten, dubbel te wassen)</v>
      </c>
      <c r="E54" s="99">
        <v>62.6</v>
      </c>
      <c r="F54" s="214">
        <v>2</v>
      </c>
      <c r="G54" s="216">
        <f>IF(C54&gt;0,VLOOKUP(OverzichtGlas[[#This Row],[Code taak]],InvulGlas[],3,0)*E54*F54,0)</f>
        <v>0</v>
      </c>
      <c r="H54" s="216">
        <f>OverzichtGlas[[#This Row],[Kosten/jaar excl. BTW]]*1.21</f>
        <v>0</v>
      </c>
      <c r="I54" s="211"/>
    </row>
    <row r="55" spans="1:9" ht="15" customHeight="1">
      <c r="A55" s="211">
        <v>7</v>
      </c>
      <c r="B55" s="183" t="str">
        <f>VLOOKUP(OverzichtGlas[[#This Row],[Code Locatie]],Totalisatie!$A$7:$B$24,2,FALSE)</f>
        <v xml:space="preserve">OBS Molenbeek </v>
      </c>
      <c r="C55" s="429"/>
      <c r="D55" s="203" t="str">
        <f>IF(Glasbewassing!$C55&gt;0,VLOOKUP(Glasbewassing!$C55,$A$8:$B$19,2,FALSE),"Hier vult u de inzet van eventuele hoogwerkers in")</f>
        <v>Hier vult u de inzet van eventuele hoogwerkers in</v>
      </c>
      <c r="E55" s="430"/>
      <c r="F55" s="214">
        <v>2</v>
      </c>
      <c r="G55" s="216">
        <f>IF(C55&gt;0,VLOOKUP(OverzichtGlas[[#This Row],[Code taak]],InvulGlas[],3,0)*E55*F55,0)</f>
        <v>0</v>
      </c>
      <c r="H55" s="216">
        <f>OverzichtGlas[[#This Row],[Kosten/jaar excl. BTW]]*1.21</f>
        <v>0</v>
      </c>
      <c r="I55" s="211"/>
    </row>
    <row r="56" spans="1:9" ht="15" customHeight="1">
      <c r="A56" s="211">
        <v>7</v>
      </c>
      <c r="B56" s="183" t="str">
        <f>VLOOKUP(OverzichtGlas[[#This Row],[Code Locatie]],Totalisatie!$A$7:$B$24,2,FALSE)</f>
        <v xml:space="preserve">OBS Molenbeek </v>
      </c>
      <c r="C56" s="429"/>
      <c r="D56" s="203" t="str">
        <f>IF(Glasbewassing!$C56&gt;0,VLOOKUP(Glasbewassing!$C56,$A$8:$B$19,2,FALSE),"Hier vult u de inzet van eventuele hoogwerkers in")</f>
        <v>Hier vult u de inzet van eventuele hoogwerkers in</v>
      </c>
      <c r="E56" s="430"/>
      <c r="F56" s="214">
        <v>2</v>
      </c>
      <c r="G56" s="216">
        <f>IF(C56&gt;0,VLOOKUP(OverzichtGlas[[#This Row],[Code taak]],InvulGlas[],3,0)*E56*F56,0)</f>
        <v>0</v>
      </c>
      <c r="H56" s="216">
        <f>OverzichtGlas[[#This Row],[Kosten/jaar excl. BTW]]*1.21</f>
        <v>0</v>
      </c>
      <c r="I56" s="211"/>
    </row>
    <row r="57" spans="1:9" ht="15" customHeight="1">
      <c r="A57" s="211">
        <v>8</v>
      </c>
      <c r="B57" s="183" t="str">
        <f>VLOOKUP(OverzichtGlas[[#This Row],[Code Locatie]],Totalisatie!$A$7:$B$24,2,FALSE)</f>
        <v>OBS Roombeek</v>
      </c>
      <c r="C57" s="211">
        <v>1</v>
      </c>
      <c r="D57" s="203" t="str">
        <f>IF(Glasbewassing!$C57&gt;0,VLOOKUP(Glasbewassing!$C57,$A$8:$B$19,2,FALSE),"Hier vult u de inzet van eventuele hoogwerkers in")</f>
        <v>Gevelglas binnenzijde</v>
      </c>
      <c r="E57" s="99">
        <v>164.6</v>
      </c>
      <c r="F57" s="214">
        <v>2</v>
      </c>
      <c r="G57" s="216">
        <f>IF(C57&gt;0,VLOOKUP(OverzichtGlas[[#This Row],[Code taak]],InvulGlas[],3,0)*E57*F57,0)</f>
        <v>0</v>
      </c>
      <c r="H57" s="216">
        <f>OverzichtGlas[[#This Row],[Kosten/jaar excl. BTW]]*1.21</f>
        <v>0</v>
      </c>
      <c r="I57" s="211"/>
    </row>
    <row r="58" spans="1:9" ht="15" customHeight="1">
      <c r="A58" s="211">
        <v>8</v>
      </c>
      <c r="B58" s="183" t="str">
        <f>VLOOKUP(OverzichtGlas[[#This Row],[Code Locatie]],Totalisatie!$A$7:$B$24,2,FALSE)</f>
        <v>OBS Roombeek</v>
      </c>
      <c r="C58" s="211">
        <v>2</v>
      </c>
      <c r="D58" s="203" t="str">
        <f>IF(Glasbewassing!$C58&gt;0,VLOOKUP(Glasbewassing!$C58,$A$8:$B$19,2,FALSE),"Hier vult u de inzet van eventuele hoogwerkers in")</f>
        <v>Gevelglas buitenzijde</v>
      </c>
      <c r="E58" s="99">
        <v>164.6</v>
      </c>
      <c r="F58" s="214">
        <v>2</v>
      </c>
      <c r="G58" s="216">
        <f>IF(C58&gt;0,VLOOKUP(OverzichtGlas[[#This Row],[Code taak]],InvulGlas[],3,0)*E58*F58,0)</f>
        <v>0</v>
      </c>
      <c r="H58" s="216">
        <f>OverzichtGlas[[#This Row],[Kosten/jaar excl. BTW]]*1.21</f>
        <v>0</v>
      </c>
      <c r="I58" s="211"/>
    </row>
    <row r="59" spans="1:9" ht="15" customHeight="1">
      <c r="A59" s="211">
        <v>8</v>
      </c>
      <c r="B59" s="183" t="str">
        <f>VLOOKUP(OverzichtGlas[[#This Row],[Code Locatie]],Totalisatie!$A$7:$B$24,2,FALSE)</f>
        <v>OBS Roombeek</v>
      </c>
      <c r="C59" s="211">
        <v>3</v>
      </c>
      <c r="D59" s="203" t="str">
        <f>IF(Glasbewassing!$C59&gt;0,VLOOKUP(Glasbewassing!$C59,$A$8:$B$19,2,FALSE),"Hier vult u de inzet van eventuele hoogwerkers in")</f>
        <v>Separatieglas (enkel gemeten, dubbel te wassen)</v>
      </c>
      <c r="E59" s="99">
        <v>166</v>
      </c>
      <c r="F59" s="214">
        <v>2</v>
      </c>
      <c r="G59" s="216">
        <f>IF(C59&gt;0,VLOOKUP(OverzichtGlas[[#This Row],[Code taak]],InvulGlas[],3,0)*E59*F59,0)</f>
        <v>0</v>
      </c>
      <c r="H59" s="216">
        <f>OverzichtGlas[[#This Row],[Kosten/jaar excl. BTW]]*1.21</f>
        <v>0</v>
      </c>
      <c r="I59" s="211"/>
    </row>
    <row r="60" spans="1:9" ht="15" customHeight="1">
      <c r="A60" s="211">
        <v>8</v>
      </c>
      <c r="B60" s="183" t="str">
        <f>VLOOKUP(OverzichtGlas[[#This Row],[Code Locatie]],Totalisatie!$A$7:$B$24,2,FALSE)</f>
        <v>OBS Roombeek</v>
      </c>
      <c r="C60" s="429"/>
      <c r="D60" s="203" t="str">
        <f>IF(Glasbewassing!$C60&gt;0,VLOOKUP(Glasbewassing!$C60,$A$8:$B$19,2,FALSE),"Hier vult u de inzet van eventuele hoogwerkers in")</f>
        <v>Hier vult u de inzet van eventuele hoogwerkers in</v>
      </c>
      <c r="E60" s="430"/>
      <c r="F60" s="214">
        <v>2</v>
      </c>
      <c r="G60" s="216">
        <f>IF(C60&gt;0,VLOOKUP(OverzichtGlas[[#This Row],[Code taak]],InvulGlas[],3,0)*E60*F60,0)</f>
        <v>0</v>
      </c>
      <c r="H60" s="216">
        <f>OverzichtGlas[[#This Row],[Kosten/jaar excl. BTW]]*1.21</f>
        <v>0</v>
      </c>
      <c r="I60" s="211"/>
    </row>
    <row r="61" spans="1:9" ht="15" customHeight="1">
      <c r="A61" s="211">
        <v>8</v>
      </c>
      <c r="B61" s="183" t="str">
        <f>VLOOKUP(OverzichtGlas[[#This Row],[Code Locatie]],Totalisatie!$A$7:$B$24,2,FALSE)</f>
        <v>OBS Roombeek</v>
      </c>
      <c r="C61" s="429"/>
      <c r="D61" s="203" t="str">
        <f>IF(Glasbewassing!$C61&gt;0,VLOOKUP(Glasbewassing!$C61,$A$8:$B$19,2,FALSE),"Hier vult u de inzet van eventuele hoogwerkers in")</f>
        <v>Hier vult u de inzet van eventuele hoogwerkers in</v>
      </c>
      <c r="E61" s="430"/>
      <c r="F61" s="214">
        <v>2</v>
      </c>
      <c r="G61" s="216">
        <f>IF(C61&gt;0,VLOOKUP(OverzichtGlas[[#This Row],[Code taak]],InvulGlas[],3,0)*E61*F61,0)</f>
        <v>0</v>
      </c>
      <c r="H61" s="216">
        <f>OverzichtGlas[[#This Row],[Kosten/jaar excl. BTW]]*1.21</f>
        <v>0</v>
      </c>
      <c r="I61" s="211"/>
    </row>
    <row r="62" spans="1:9" ht="15" customHeight="1">
      <c r="A62" s="211">
        <v>9</v>
      </c>
      <c r="B62" s="183" t="str">
        <f>VLOOKUP(OverzichtGlas[[#This Row],[Code Locatie]],Totalisatie!$A$7:$B$24,2,FALSE)</f>
        <v>ODBS Europa</v>
      </c>
      <c r="C62" s="211">
        <v>1</v>
      </c>
      <c r="D62" s="203" t="str">
        <f>IF(Glasbewassing!$C62&gt;0,VLOOKUP(Glasbewassing!$C62,$A$8:$B$19,2,FALSE),"Hier vult u de inzet van eventuele hoogwerkers in")</f>
        <v>Gevelglas binnenzijde</v>
      </c>
      <c r="E62" s="99">
        <v>117.5</v>
      </c>
      <c r="F62" s="214">
        <v>2</v>
      </c>
      <c r="G62" s="216">
        <f>IF(C62&gt;0,VLOOKUP(OverzichtGlas[[#This Row],[Code taak]],InvulGlas[],3,0)*E62*F62,0)</f>
        <v>0</v>
      </c>
      <c r="H62" s="216">
        <f>OverzichtGlas[[#This Row],[Kosten/jaar excl. BTW]]*1.21</f>
        <v>0</v>
      </c>
      <c r="I62" s="211"/>
    </row>
    <row r="63" spans="1:9" ht="15" customHeight="1">
      <c r="A63" s="211">
        <v>9</v>
      </c>
      <c r="B63" s="183" t="str">
        <f>VLOOKUP(OverzichtGlas[[#This Row],[Code Locatie]],Totalisatie!$A$7:$B$24,2,FALSE)</f>
        <v>ODBS Europa</v>
      </c>
      <c r="C63" s="211">
        <v>2</v>
      </c>
      <c r="D63" s="203" t="str">
        <f>IF(Glasbewassing!$C63&gt;0,VLOOKUP(Glasbewassing!$C63,$A$8:$B$19,2,FALSE),"Hier vult u de inzet van eventuele hoogwerkers in")</f>
        <v>Gevelglas buitenzijde</v>
      </c>
      <c r="E63" s="99">
        <v>117.5</v>
      </c>
      <c r="F63" s="214">
        <v>2</v>
      </c>
      <c r="G63" s="216">
        <f>IF(C63&gt;0,VLOOKUP(OverzichtGlas[[#This Row],[Code taak]],InvulGlas[],3,0)*E63*F63,0)</f>
        <v>0</v>
      </c>
      <c r="H63" s="216">
        <f>OverzichtGlas[[#This Row],[Kosten/jaar excl. BTW]]*1.21</f>
        <v>0</v>
      </c>
      <c r="I63" s="211"/>
    </row>
    <row r="64" spans="1:9" ht="15" customHeight="1">
      <c r="A64" s="211">
        <v>9</v>
      </c>
      <c r="B64" s="183" t="str">
        <f>VLOOKUP(OverzichtGlas[[#This Row],[Code Locatie]],Totalisatie!$A$7:$B$24,2,FALSE)</f>
        <v>ODBS Europa</v>
      </c>
      <c r="C64" s="211">
        <v>3</v>
      </c>
      <c r="D64" s="203" t="str">
        <f>IF(Glasbewassing!$C64&gt;0,VLOOKUP(Glasbewassing!$C64,$A$8:$B$19,2,FALSE),"Hier vult u de inzet van eventuele hoogwerkers in")</f>
        <v>Separatieglas (enkel gemeten, dubbel te wassen)</v>
      </c>
      <c r="E64" s="99">
        <v>97.6</v>
      </c>
      <c r="F64" s="214">
        <v>2</v>
      </c>
      <c r="G64" s="216">
        <f>IF(C64&gt;0,VLOOKUP(OverzichtGlas[[#This Row],[Code taak]],InvulGlas[],3,0)*E64*F64,0)</f>
        <v>0</v>
      </c>
      <c r="H64" s="216">
        <f>OverzichtGlas[[#This Row],[Kosten/jaar excl. BTW]]*1.21</f>
        <v>0</v>
      </c>
      <c r="I64" s="211"/>
    </row>
    <row r="65" spans="1:9" ht="15" customHeight="1">
      <c r="A65" s="211">
        <v>9</v>
      </c>
      <c r="B65" s="183" t="str">
        <f>VLOOKUP(OverzichtGlas[[#This Row],[Code Locatie]],Totalisatie!$A$7:$B$24,2,FALSE)</f>
        <v>ODBS Europa</v>
      </c>
      <c r="C65" s="429"/>
      <c r="D65" s="203" t="str">
        <f>IF(Glasbewassing!$C65&gt;0,VLOOKUP(Glasbewassing!$C65,$A$8:$B$19,2,FALSE),"Hier vult u de inzet van eventuele hoogwerkers in")</f>
        <v>Hier vult u de inzet van eventuele hoogwerkers in</v>
      </c>
      <c r="E65" s="430"/>
      <c r="F65" s="214">
        <v>2</v>
      </c>
      <c r="G65" s="216">
        <f>IF(C65&gt;0,VLOOKUP(OverzichtGlas[[#This Row],[Code taak]],InvulGlas[],3,0)*E65*F65,0)</f>
        <v>0</v>
      </c>
      <c r="H65" s="216">
        <f>OverzichtGlas[[#This Row],[Kosten/jaar excl. BTW]]*1.21</f>
        <v>0</v>
      </c>
      <c r="I65" s="211"/>
    </row>
    <row r="66" spans="1:9" ht="15" customHeight="1">
      <c r="A66" s="211">
        <v>9</v>
      </c>
      <c r="B66" s="183" t="str">
        <f>VLOOKUP(OverzichtGlas[[#This Row],[Code Locatie]],Totalisatie!$A$7:$B$24,2,FALSE)</f>
        <v>ODBS Europa</v>
      </c>
      <c r="C66" s="429"/>
      <c r="D66" s="203" t="str">
        <f>IF(Glasbewassing!$C66&gt;0,VLOOKUP(Glasbewassing!$C66,$A$8:$B$19,2,FALSE),"Hier vult u de inzet van eventuele hoogwerkers in")</f>
        <v>Hier vult u de inzet van eventuele hoogwerkers in</v>
      </c>
      <c r="E66" s="430"/>
      <c r="F66" s="214">
        <v>2</v>
      </c>
      <c r="G66" s="216">
        <f>IF(C66&gt;0,VLOOKUP(OverzichtGlas[[#This Row],[Code taak]],InvulGlas[],3,0)*E66*F66,0)</f>
        <v>0</v>
      </c>
      <c r="H66" s="216">
        <f>OverzichtGlas[[#This Row],[Kosten/jaar excl. BTW]]*1.21</f>
        <v>0</v>
      </c>
      <c r="I66" s="211"/>
    </row>
    <row r="67" spans="1:9" ht="15" customHeight="1">
      <c r="A67" s="211">
        <v>10</v>
      </c>
      <c r="B67" s="183" t="str">
        <f>VLOOKUP(OverzichtGlas[[#This Row],[Code Locatie]],Totalisatie!$A$7:$B$24,2,FALSE)</f>
        <v>OJBS Het Palet</v>
      </c>
      <c r="C67" s="211">
        <v>1</v>
      </c>
      <c r="D67" s="203" t="str">
        <f>IF(Glasbewassing!$C67&gt;0,VLOOKUP(Glasbewassing!$C67,$A$8:$B$19,2,FALSE),"Hier vult u de inzet van eventuele hoogwerkers in")</f>
        <v>Gevelglas binnenzijde</v>
      </c>
      <c r="E67" s="99">
        <v>141.80000000000001</v>
      </c>
      <c r="F67" s="214">
        <v>2</v>
      </c>
      <c r="G67" s="216">
        <f>IF(C67&gt;0,VLOOKUP(OverzichtGlas[[#This Row],[Code taak]],InvulGlas[],3,0)*E67*F67,0)</f>
        <v>0</v>
      </c>
      <c r="H67" s="216">
        <f>OverzichtGlas[[#This Row],[Kosten/jaar excl. BTW]]*1.21</f>
        <v>0</v>
      </c>
      <c r="I67" s="211"/>
    </row>
    <row r="68" spans="1:9" ht="15" customHeight="1">
      <c r="A68" s="211">
        <v>10</v>
      </c>
      <c r="B68" s="183" t="str">
        <f>VLOOKUP(OverzichtGlas[[#This Row],[Code Locatie]],Totalisatie!$A$7:$B$24,2,FALSE)</f>
        <v>OJBS Het Palet</v>
      </c>
      <c r="C68" s="211">
        <v>2</v>
      </c>
      <c r="D68" s="203" t="str">
        <f>IF(Glasbewassing!$C68&gt;0,VLOOKUP(Glasbewassing!$C68,$A$8:$B$19,2,FALSE),"Hier vult u de inzet van eventuele hoogwerkers in")</f>
        <v>Gevelglas buitenzijde</v>
      </c>
      <c r="E68" s="99">
        <v>141.80000000000001</v>
      </c>
      <c r="F68" s="214">
        <v>2</v>
      </c>
      <c r="G68" s="216">
        <f>IF(C68&gt;0,VLOOKUP(OverzichtGlas[[#This Row],[Code taak]],InvulGlas[],3,0)*E68*F68,0)</f>
        <v>0</v>
      </c>
      <c r="H68" s="216">
        <f>OverzichtGlas[[#This Row],[Kosten/jaar excl. BTW]]*1.21</f>
        <v>0</v>
      </c>
      <c r="I68" s="211"/>
    </row>
    <row r="69" spans="1:9" ht="15" customHeight="1">
      <c r="A69" s="211">
        <v>10</v>
      </c>
      <c r="B69" s="183" t="str">
        <f>VLOOKUP(OverzichtGlas[[#This Row],[Code Locatie]],Totalisatie!$A$7:$B$24,2,FALSE)</f>
        <v>OJBS Het Palet</v>
      </c>
      <c r="C69" s="211">
        <v>3</v>
      </c>
      <c r="D69" s="203" t="str">
        <f>IF(Glasbewassing!$C69&gt;0,VLOOKUP(Glasbewassing!$C69,$A$8:$B$19,2,FALSE),"Hier vult u de inzet van eventuele hoogwerkers in")</f>
        <v>Separatieglas (enkel gemeten, dubbel te wassen)</v>
      </c>
      <c r="E69" s="99">
        <v>280.8</v>
      </c>
      <c r="F69" s="214">
        <v>2</v>
      </c>
      <c r="G69" s="216">
        <f>IF(C69&gt;0,VLOOKUP(OverzichtGlas[[#This Row],[Code taak]],InvulGlas[],3,0)*E69*F69,0)</f>
        <v>0</v>
      </c>
      <c r="H69" s="216">
        <f>OverzichtGlas[[#This Row],[Kosten/jaar excl. BTW]]*1.21</f>
        <v>0</v>
      </c>
      <c r="I69" s="211"/>
    </row>
    <row r="70" spans="1:9" ht="15" customHeight="1">
      <c r="A70" s="211">
        <v>10</v>
      </c>
      <c r="B70" s="183" t="str">
        <f>VLOOKUP(OverzichtGlas[[#This Row],[Code Locatie]],Totalisatie!$A$7:$B$24,2,FALSE)</f>
        <v>OJBS Het Palet</v>
      </c>
      <c r="C70" s="429"/>
      <c r="D70" s="203" t="str">
        <f>IF(Glasbewassing!$C70&gt;0,VLOOKUP(Glasbewassing!$C70,$A$8:$B$19,2,FALSE),"Hier vult u de inzet van eventuele hoogwerkers in")</f>
        <v>Hier vult u de inzet van eventuele hoogwerkers in</v>
      </c>
      <c r="E70" s="430"/>
      <c r="F70" s="214">
        <v>2</v>
      </c>
      <c r="G70" s="216">
        <f>IF(C70&gt;0,VLOOKUP(OverzichtGlas[[#This Row],[Code taak]],InvulGlas[],3,0)*E70*F70,0)</f>
        <v>0</v>
      </c>
      <c r="H70" s="216">
        <f>OverzichtGlas[[#This Row],[Kosten/jaar excl. BTW]]*1.21</f>
        <v>0</v>
      </c>
      <c r="I70" s="211"/>
    </row>
    <row r="71" spans="1:9" ht="15" customHeight="1">
      <c r="A71" s="211">
        <v>10</v>
      </c>
      <c r="B71" s="183" t="str">
        <f>VLOOKUP(OverzichtGlas[[#This Row],[Code Locatie]],Totalisatie!$A$7:$B$24,2,FALSE)</f>
        <v>OJBS Het Palet</v>
      </c>
      <c r="C71" s="429"/>
      <c r="D71" s="203" t="str">
        <f>IF(Glasbewassing!$C71&gt;0,VLOOKUP(Glasbewassing!$C71,$A$8:$B$19,2,FALSE),"Hier vult u de inzet van eventuele hoogwerkers in")</f>
        <v>Hier vult u de inzet van eventuele hoogwerkers in</v>
      </c>
      <c r="E71" s="430"/>
      <c r="F71" s="214">
        <v>2</v>
      </c>
      <c r="G71" s="216">
        <f>IF(C71&gt;0,VLOOKUP(OverzichtGlas[[#This Row],[Code taak]],InvulGlas[],3,0)*E71*F71,0)</f>
        <v>0</v>
      </c>
      <c r="H71" s="216">
        <f>OverzichtGlas[[#This Row],[Kosten/jaar excl. BTW]]*1.21</f>
        <v>0</v>
      </c>
      <c r="I71" s="211"/>
    </row>
    <row r="72" spans="1:9" ht="15" customHeight="1">
      <c r="A72" s="211">
        <v>11</v>
      </c>
      <c r="B72" s="183" t="str">
        <f>VLOOKUP(OverzichtGlas[[#This Row],[Code Locatie]],Totalisatie!$A$7:$B$24,2,FALSE)</f>
        <v>OMBS De Wielerbaan</v>
      </c>
      <c r="C72" s="211">
        <v>1</v>
      </c>
      <c r="D72" s="203" t="str">
        <f>IF(Glasbewassing!$C72&gt;0,VLOOKUP(Glasbewassing!$C72,$A$8:$B$19,2,FALSE),"Hier vult u de inzet van eventuele hoogwerkers in")</f>
        <v>Gevelglas binnenzijde</v>
      </c>
      <c r="E72" s="99">
        <v>227.8</v>
      </c>
      <c r="F72" s="214">
        <v>2</v>
      </c>
      <c r="G72" s="216">
        <f>IF(C72&gt;0,VLOOKUP(OverzichtGlas[[#This Row],[Code taak]],InvulGlas[],3,0)*E72*F72,0)</f>
        <v>0</v>
      </c>
      <c r="H72" s="216">
        <f>OverzichtGlas[[#This Row],[Kosten/jaar excl. BTW]]*1.21</f>
        <v>0</v>
      </c>
      <c r="I72" s="211"/>
    </row>
    <row r="73" spans="1:9" ht="15" customHeight="1">
      <c r="A73" s="211">
        <v>11</v>
      </c>
      <c r="B73" s="183" t="str">
        <f>VLOOKUP(OverzichtGlas[[#This Row],[Code Locatie]],Totalisatie!$A$7:$B$24,2,FALSE)</f>
        <v>OMBS De Wielerbaan</v>
      </c>
      <c r="C73" s="211">
        <v>2</v>
      </c>
      <c r="D73" s="203" t="str">
        <f>IF(Glasbewassing!$C73&gt;0,VLOOKUP(Glasbewassing!$C73,$A$8:$B$19,2,FALSE),"Hier vult u de inzet van eventuele hoogwerkers in")</f>
        <v>Gevelglas buitenzijde</v>
      </c>
      <c r="E73" s="99">
        <v>227.8</v>
      </c>
      <c r="F73" s="214">
        <v>2</v>
      </c>
      <c r="G73" s="216">
        <f>IF(C73&gt;0,VLOOKUP(OverzichtGlas[[#This Row],[Code taak]],InvulGlas[],3,0)*E73*F73,0)</f>
        <v>0</v>
      </c>
      <c r="H73" s="216">
        <f>OverzichtGlas[[#This Row],[Kosten/jaar excl. BTW]]*1.21</f>
        <v>0</v>
      </c>
      <c r="I73" s="211"/>
    </row>
    <row r="74" spans="1:9" ht="15" customHeight="1">
      <c r="A74" s="211">
        <v>11</v>
      </c>
      <c r="B74" s="183" t="str">
        <f>VLOOKUP(OverzichtGlas[[#This Row],[Code Locatie]],Totalisatie!$A$7:$B$24,2,FALSE)</f>
        <v>OMBS De Wielerbaan</v>
      </c>
      <c r="C74" s="211">
        <v>3</v>
      </c>
      <c r="D74" s="203" t="str">
        <f>IF(Glasbewassing!$C74&gt;0,VLOOKUP(Glasbewassing!$C74,$A$8:$B$19,2,FALSE),"Hier vult u de inzet van eventuele hoogwerkers in")</f>
        <v>Separatieglas (enkel gemeten, dubbel te wassen)</v>
      </c>
      <c r="E74" s="99">
        <v>186.4</v>
      </c>
      <c r="F74" s="214">
        <v>2</v>
      </c>
      <c r="G74" s="216">
        <f>IF(C74&gt;0,VLOOKUP(OverzichtGlas[[#This Row],[Code taak]],InvulGlas[],3,0)*E74*F74,0)</f>
        <v>0</v>
      </c>
      <c r="H74" s="216">
        <f>OverzichtGlas[[#This Row],[Kosten/jaar excl. BTW]]*1.21</f>
        <v>0</v>
      </c>
      <c r="I74" s="211"/>
    </row>
    <row r="75" spans="1:9" ht="15" customHeight="1">
      <c r="A75" s="211">
        <v>11</v>
      </c>
      <c r="B75" s="183" t="str">
        <f>VLOOKUP(OverzichtGlas[[#This Row],[Code Locatie]],Totalisatie!$A$7:$B$24,2,FALSE)</f>
        <v>OMBS De Wielerbaan</v>
      </c>
      <c r="C75" s="429"/>
      <c r="D75" s="203" t="str">
        <f>IF(Glasbewassing!$C75&gt;0,VLOOKUP(Glasbewassing!$C75,$A$8:$B$19,2,FALSE),"Hier vult u de inzet van eventuele hoogwerkers in")</f>
        <v>Hier vult u de inzet van eventuele hoogwerkers in</v>
      </c>
      <c r="E75" s="430"/>
      <c r="F75" s="214">
        <v>2</v>
      </c>
      <c r="G75" s="216">
        <f>IF(C75&gt;0,VLOOKUP(OverzichtGlas[[#This Row],[Code taak]],InvulGlas[],3,0)*E75*F75,0)</f>
        <v>0</v>
      </c>
      <c r="H75" s="216">
        <f>OverzichtGlas[[#This Row],[Kosten/jaar excl. BTW]]*1.21</f>
        <v>0</v>
      </c>
      <c r="I75" s="211"/>
    </row>
    <row r="76" spans="1:9" ht="15" customHeight="1">
      <c r="A76" s="211">
        <v>11</v>
      </c>
      <c r="B76" s="183" t="str">
        <f>VLOOKUP(OverzichtGlas[[#This Row],[Code Locatie]],Totalisatie!$A$7:$B$24,2,FALSE)</f>
        <v>OMBS De Wielerbaan</v>
      </c>
      <c r="C76" s="429"/>
      <c r="D76" s="203" t="str">
        <f>IF(Glasbewassing!$C76&gt;0,VLOOKUP(Glasbewassing!$C76,$A$8:$B$19,2,FALSE),"Hier vult u de inzet van eventuele hoogwerkers in")</f>
        <v>Hier vult u de inzet van eventuele hoogwerkers in</v>
      </c>
      <c r="E76" s="430"/>
      <c r="F76" s="214">
        <v>2</v>
      </c>
      <c r="G76" s="216">
        <f>IF(C76&gt;0,VLOOKUP(OverzichtGlas[[#This Row],[Code taak]],InvulGlas[],3,0)*E76*F76,0)</f>
        <v>0</v>
      </c>
      <c r="H76" s="216">
        <f>OverzichtGlas[[#This Row],[Kosten/jaar excl. BTW]]*1.21</f>
        <v>0</v>
      </c>
      <c r="I76" s="211"/>
    </row>
    <row r="77" spans="1:9" ht="15" customHeight="1">
      <c r="A77" s="211">
        <v>12</v>
      </c>
      <c r="B77" s="183" t="str">
        <f>VLOOKUP(OverzichtGlas[[#This Row],[Code Locatie]],Totalisatie!$A$7:$B$24,2,FALSE)</f>
        <v>OMBS Het Zeggelt (Dr. Benthem)</v>
      </c>
      <c r="C77" s="211">
        <v>1</v>
      </c>
      <c r="D77" s="203" t="str">
        <f>IF(Glasbewassing!$C77&gt;0,VLOOKUP(Glasbewassing!$C77,$A$8:$B$19,2,FALSE),"Hier vult u de inzet van eventuele hoogwerkers in")</f>
        <v>Gevelglas binnenzijde</v>
      </c>
      <c r="E77" s="99">
        <v>223</v>
      </c>
      <c r="F77" s="214">
        <v>2</v>
      </c>
      <c r="G77" s="216">
        <f>IF(C77&gt;0,VLOOKUP(OverzichtGlas[[#This Row],[Code taak]],InvulGlas[],3,0)*E77*F77,0)</f>
        <v>0</v>
      </c>
      <c r="H77" s="216">
        <f>OverzichtGlas[[#This Row],[Kosten/jaar excl. BTW]]*1.21</f>
        <v>0</v>
      </c>
      <c r="I77" s="211"/>
    </row>
    <row r="78" spans="1:9" ht="15" customHeight="1">
      <c r="A78" s="211">
        <v>12</v>
      </c>
      <c r="B78" s="183" t="str">
        <f>VLOOKUP(OverzichtGlas[[#This Row],[Code Locatie]],Totalisatie!$A$7:$B$24,2,FALSE)</f>
        <v>OMBS Het Zeggelt (Dr. Benthem)</v>
      </c>
      <c r="C78" s="211">
        <v>2</v>
      </c>
      <c r="D78" s="203" t="str">
        <f>IF(Glasbewassing!$C78&gt;0,VLOOKUP(Glasbewassing!$C78,$A$8:$B$19,2,FALSE),"Hier vult u de inzet van eventuele hoogwerkers in")</f>
        <v>Gevelglas buitenzijde</v>
      </c>
      <c r="E78" s="99">
        <v>223</v>
      </c>
      <c r="F78" s="214">
        <v>2</v>
      </c>
      <c r="G78" s="216">
        <f>IF(C78&gt;0,VLOOKUP(OverzichtGlas[[#This Row],[Code taak]],InvulGlas[],3,0)*E78*F78,0)</f>
        <v>0</v>
      </c>
      <c r="H78" s="216">
        <f>OverzichtGlas[[#This Row],[Kosten/jaar excl. BTW]]*1.21</f>
        <v>0</v>
      </c>
      <c r="I78" s="211"/>
    </row>
    <row r="79" spans="1:9" ht="15" customHeight="1">
      <c r="A79" s="211">
        <v>12</v>
      </c>
      <c r="B79" s="183" t="str">
        <f>VLOOKUP(OverzichtGlas[[#This Row],[Code Locatie]],Totalisatie!$A$7:$B$24,2,FALSE)</f>
        <v>OMBS Het Zeggelt (Dr. Benthem)</v>
      </c>
      <c r="C79" s="211">
        <v>3</v>
      </c>
      <c r="D79" s="203" t="str">
        <f>IF(Glasbewassing!$C79&gt;0,VLOOKUP(Glasbewassing!$C79,$A$8:$B$19,2,FALSE),"Hier vult u de inzet van eventuele hoogwerkers in")</f>
        <v>Separatieglas (enkel gemeten, dubbel te wassen)</v>
      </c>
      <c r="E79" s="99">
        <v>47</v>
      </c>
      <c r="F79" s="214">
        <v>2</v>
      </c>
      <c r="G79" s="216">
        <f>IF(C79&gt;0,VLOOKUP(OverzichtGlas[[#This Row],[Code taak]],InvulGlas[],3,0)*E79*F79,0)</f>
        <v>0</v>
      </c>
      <c r="H79" s="216">
        <f>OverzichtGlas[[#This Row],[Kosten/jaar excl. BTW]]*1.21</f>
        <v>0</v>
      </c>
      <c r="I79" s="211"/>
    </row>
    <row r="80" spans="1:9" ht="15" customHeight="1">
      <c r="A80" s="211">
        <v>12</v>
      </c>
      <c r="B80" s="183" t="str">
        <f>VLOOKUP(OverzichtGlas[[#This Row],[Code Locatie]],Totalisatie!$A$7:$B$24,2,FALSE)</f>
        <v>OMBS Het Zeggelt (Dr. Benthem)</v>
      </c>
      <c r="C80" s="429"/>
      <c r="D80" s="203" t="str">
        <f>IF(Glasbewassing!$C80&gt;0,VLOOKUP(Glasbewassing!$C80,$A$8:$B$19,2,FALSE),"Hier vult u de inzet van eventuele hoogwerkers in")</f>
        <v>Hier vult u de inzet van eventuele hoogwerkers in</v>
      </c>
      <c r="E80" s="430"/>
      <c r="F80" s="214">
        <v>2</v>
      </c>
      <c r="G80" s="216">
        <f>IF(C80&gt;0,VLOOKUP(OverzichtGlas[[#This Row],[Code taak]],InvulGlas[],3,0)*E80*F80,0)</f>
        <v>0</v>
      </c>
      <c r="H80" s="216">
        <f>OverzichtGlas[[#This Row],[Kosten/jaar excl. BTW]]*1.21</f>
        <v>0</v>
      </c>
      <c r="I80" s="211"/>
    </row>
    <row r="81" spans="1:9" ht="15" customHeight="1">
      <c r="A81" s="211">
        <v>12</v>
      </c>
      <c r="B81" s="183" t="str">
        <f>VLOOKUP(OverzichtGlas[[#This Row],[Code Locatie]],Totalisatie!$A$7:$B$24,2,FALSE)</f>
        <v>OMBS Het Zeggelt (Dr. Benthem)</v>
      </c>
      <c r="C81" s="429"/>
      <c r="D81" s="203" t="str">
        <f>IF(Glasbewassing!$C81&gt;0,VLOOKUP(Glasbewassing!$C81,$A$8:$B$19,2,FALSE),"Hier vult u de inzet van eventuele hoogwerkers in")</f>
        <v>Hier vult u de inzet van eventuele hoogwerkers in</v>
      </c>
      <c r="E81" s="430"/>
      <c r="F81" s="214">
        <v>2</v>
      </c>
      <c r="G81" s="216">
        <f>IF(C81&gt;0,VLOOKUP(OverzichtGlas[[#This Row],[Code taak]],InvulGlas[],3,0)*E81*F81,0)</f>
        <v>0</v>
      </c>
      <c r="H81" s="216">
        <f>OverzichtGlas[[#This Row],[Kosten/jaar excl. BTW]]*1.21</f>
        <v>0</v>
      </c>
      <c r="I81" s="211"/>
    </row>
    <row r="82" spans="1:9" ht="15" customHeight="1">
      <c r="A82" s="211">
        <v>13</v>
      </c>
      <c r="B82" s="183" t="str">
        <f>VLOOKUP(OverzichtGlas[[#This Row],[Code Locatie]],Totalisatie!$A$7:$B$24,2,FALSE)</f>
        <v>OMBS Het Zeggelt (Meeuwen)</v>
      </c>
      <c r="C82" s="211">
        <v>1</v>
      </c>
      <c r="D82" s="203" t="str">
        <f>IF(Glasbewassing!$C82&gt;0,VLOOKUP(Glasbewassing!$C82,$A$8:$B$19,2,FALSE),"Hier vult u de inzet van eventuele hoogwerkers in")</f>
        <v>Gevelglas binnenzijde</v>
      </c>
      <c r="E82" s="99">
        <v>246</v>
      </c>
      <c r="F82" s="214">
        <v>2</v>
      </c>
      <c r="G82" s="216">
        <f>IF(C82&gt;0,VLOOKUP(OverzichtGlas[[#This Row],[Code taak]],InvulGlas[],3,0)*E82*F82,0)</f>
        <v>0</v>
      </c>
      <c r="H82" s="216">
        <f>OverzichtGlas[[#This Row],[Kosten/jaar excl. BTW]]*1.21</f>
        <v>0</v>
      </c>
      <c r="I82" s="211"/>
    </row>
    <row r="83" spans="1:9" ht="15" customHeight="1">
      <c r="A83" s="211">
        <v>13</v>
      </c>
      <c r="B83" s="183" t="str">
        <f>VLOOKUP(OverzichtGlas[[#This Row],[Code Locatie]],Totalisatie!$A$7:$B$24,2,FALSE)</f>
        <v>OMBS Het Zeggelt (Meeuwen)</v>
      </c>
      <c r="C83" s="211">
        <v>2</v>
      </c>
      <c r="D83" s="203" t="str">
        <f>IF(Glasbewassing!$C83&gt;0,VLOOKUP(Glasbewassing!$C83,$A$8:$B$19,2,FALSE),"Hier vult u de inzet van eventuele hoogwerkers in")</f>
        <v>Gevelglas buitenzijde</v>
      </c>
      <c r="E83" s="99">
        <v>246</v>
      </c>
      <c r="F83" s="214">
        <v>2</v>
      </c>
      <c r="G83" s="216">
        <f>IF(C83&gt;0,VLOOKUP(OverzichtGlas[[#This Row],[Code taak]],InvulGlas[],3,0)*E83*F83,0)</f>
        <v>0</v>
      </c>
      <c r="H83" s="216">
        <f>OverzichtGlas[[#This Row],[Kosten/jaar excl. BTW]]*1.21</f>
        <v>0</v>
      </c>
      <c r="I83" s="211"/>
    </row>
    <row r="84" spans="1:9" ht="15" customHeight="1">
      <c r="A84" s="211">
        <v>13</v>
      </c>
      <c r="B84" s="183" t="str">
        <f>VLOOKUP(OverzichtGlas[[#This Row],[Code Locatie]],Totalisatie!$A$7:$B$24,2,FALSE)</f>
        <v>OMBS Het Zeggelt (Meeuwen)</v>
      </c>
      <c r="C84" s="211">
        <v>3</v>
      </c>
      <c r="D84" s="203" t="str">
        <f>IF(Glasbewassing!$C84&gt;0,VLOOKUP(Glasbewassing!$C84,$A$8:$B$19,2,FALSE),"Hier vult u de inzet van eventuele hoogwerkers in")</f>
        <v>Separatieglas (enkel gemeten, dubbel te wassen)</v>
      </c>
      <c r="E84" s="99">
        <v>109.2</v>
      </c>
      <c r="F84" s="214">
        <v>2</v>
      </c>
      <c r="G84" s="216">
        <f>IF(C84&gt;0,VLOOKUP(OverzichtGlas[[#This Row],[Code taak]],InvulGlas[],3,0)*E84*F84,0)</f>
        <v>0</v>
      </c>
      <c r="H84" s="216">
        <f>OverzichtGlas[[#This Row],[Kosten/jaar excl. BTW]]*1.21</f>
        <v>0</v>
      </c>
      <c r="I84" s="211"/>
    </row>
    <row r="85" spans="1:9" ht="15" customHeight="1">
      <c r="A85" s="211">
        <v>13</v>
      </c>
      <c r="B85" s="183" t="str">
        <f>VLOOKUP(OverzichtGlas[[#This Row],[Code Locatie]],Totalisatie!$A$7:$B$24,2,FALSE)</f>
        <v>OMBS Het Zeggelt (Meeuwen)</v>
      </c>
      <c r="C85" s="429"/>
      <c r="D85" s="203" t="str">
        <f>IF(Glasbewassing!$C85&gt;0,VLOOKUP(Glasbewassing!$C85,$A$8:$B$19,2,FALSE),"Hier vult u de inzet van eventuele hoogwerkers in")</f>
        <v>Hier vult u de inzet van eventuele hoogwerkers in</v>
      </c>
      <c r="E85" s="430"/>
      <c r="F85" s="214">
        <v>2</v>
      </c>
      <c r="G85" s="216">
        <f>IF(C85&gt;0,VLOOKUP(OverzichtGlas[[#This Row],[Code taak]],InvulGlas[],3,0)*E85*F85,0)</f>
        <v>0</v>
      </c>
      <c r="H85" s="216">
        <f>OverzichtGlas[[#This Row],[Kosten/jaar excl. BTW]]*1.21</f>
        <v>0</v>
      </c>
      <c r="I85" s="211"/>
    </row>
    <row r="86" spans="1:9" ht="15" customHeight="1">
      <c r="A86" s="211">
        <v>13</v>
      </c>
      <c r="B86" s="183" t="str">
        <f>VLOOKUP(OverzichtGlas[[#This Row],[Code Locatie]],Totalisatie!$A$7:$B$24,2,FALSE)</f>
        <v>OMBS Het Zeggelt (Meeuwen)</v>
      </c>
      <c r="C86" s="429"/>
      <c r="D86" s="203" t="str">
        <f>IF(Glasbewassing!$C86&gt;0,VLOOKUP(Glasbewassing!$C86,$A$8:$B$19,2,FALSE),"Hier vult u de inzet van eventuele hoogwerkers in")</f>
        <v>Hier vult u de inzet van eventuele hoogwerkers in</v>
      </c>
      <c r="E86" s="430"/>
      <c r="F86" s="214">
        <v>2</v>
      </c>
      <c r="G86" s="216">
        <f>IF(C86&gt;0,VLOOKUP(OverzichtGlas[[#This Row],[Code taak]],InvulGlas[],3,0)*E86*F86,0)</f>
        <v>0</v>
      </c>
      <c r="H86" s="216">
        <f>OverzichtGlas[[#This Row],[Kosten/jaar excl. BTW]]*1.21</f>
        <v>0</v>
      </c>
      <c r="I86" s="211"/>
    </row>
    <row r="87" spans="1:9" ht="15" customHeight="1">
      <c r="A87" s="211">
        <v>14</v>
      </c>
      <c r="B87" s="183" t="str">
        <f>VLOOKUP(OverzichtGlas[[#This Row],[Code Locatie]],Totalisatie!$A$7:$B$24,2,FALSE)</f>
        <v>Prinseschool Prinsestraat</v>
      </c>
      <c r="C87" s="211">
        <v>1</v>
      </c>
      <c r="D87" s="203" t="str">
        <f>IF(Glasbewassing!$C87&gt;0,VLOOKUP(Glasbewassing!$C87,$A$8:$B$19,2,FALSE),"Hier vult u de inzet van eventuele hoogwerkers in")</f>
        <v>Gevelglas binnenzijde</v>
      </c>
      <c r="E87" s="99">
        <v>325.89999999999998</v>
      </c>
      <c r="F87" s="214">
        <v>2</v>
      </c>
      <c r="G87" s="216">
        <f>IF(C87&gt;0,VLOOKUP(OverzichtGlas[[#This Row],[Code taak]],InvulGlas[],3,0)*E87*F87,0)</f>
        <v>0</v>
      </c>
      <c r="H87" s="216">
        <f>OverzichtGlas[[#This Row],[Kosten/jaar excl. BTW]]*1.21</f>
        <v>0</v>
      </c>
      <c r="I87" s="211"/>
    </row>
    <row r="88" spans="1:9" ht="15" customHeight="1">
      <c r="A88" s="211">
        <v>14</v>
      </c>
      <c r="B88" s="183" t="str">
        <f>VLOOKUP(OverzichtGlas[[#This Row],[Code Locatie]],Totalisatie!$A$7:$B$24,2,FALSE)</f>
        <v>Prinseschool Prinsestraat</v>
      </c>
      <c r="C88" s="211">
        <v>2</v>
      </c>
      <c r="D88" s="203" t="str">
        <f>IF(Glasbewassing!$C88&gt;0,VLOOKUP(Glasbewassing!$C88,$A$8:$B$19,2,FALSE),"Hier vult u de inzet van eventuele hoogwerkers in")</f>
        <v>Gevelglas buitenzijde</v>
      </c>
      <c r="E88" s="99">
        <v>325.89999999999998</v>
      </c>
      <c r="F88" s="214">
        <v>2</v>
      </c>
      <c r="G88" s="216">
        <f>IF(C88&gt;0,VLOOKUP(OverzichtGlas[[#This Row],[Code taak]],InvulGlas[],3,0)*E88*F88,0)</f>
        <v>0</v>
      </c>
      <c r="H88" s="216">
        <f>OverzichtGlas[[#This Row],[Kosten/jaar excl. BTW]]*1.21</f>
        <v>0</v>
      </c>
      <c r="I88" s="211"/>
    </row>
    <row r="89" spans="1:9" ht="15" customHeight="1">
      <c r="A89" s="211">
        <v>14</v>
      </c>
      <c r="B89" s="183" t="str">
        <f>VLOOKUP(OverzichtGlas[[#This Row],[Code Locatie]],Totalisatie!$A$7:$B$24,2,FALSE)</f>
        <v>Prinseschool Prinsestraat</v>
      </c>
      <c r="C89" s="211">
        <v>3</v>
      </c>
      <c r="D89" s="203" t="str">
        <f>IF(Glasbewassing!$C89&gt;0,VLOOKUP(Glasbewassing!$C89,$A$8:$B$19,2,FALSE),"Hier vult u de inzet van eventuele hoogwerkers in")</f>
        <v>Separatieglas (enkel gemeten, dubbel te wassen)</v>
      </c>
      <c r="E89" s="99">
        <v>168.4</v>
      </c>
      <c r="F89" s="214">
        <v>2</v>
      </c>
      <c r="G89" s="216">
        <f>IF(C89&gt;0,VLOOKUP(OverzichtGlas[[#This Row],[Code taak]],InvulGlas[],3,0)*E89*F89,0)</f>
        <v>0</v>
      </c>
      <c r="H89" s="216">
        <f>OverzichtGlas[[#This Row],[Kosten/jaar excl. BTW]]*1.21</f>
        <v>0</v>
      </c>
      <c r="I89" s="211"/>
    </row>
    <row r="90" spans="1:9" ht="15" customHeight="1">
      <c r="A90" s="211">
        <v>14</v>
      </c>
      <c r="B90" s="183" t="str">
        <f>VLOOKUP(OverzichtGlas[[#This Row],[Code Locatie]],Totalisatie!$A$7:$B$24,2,FALSE)</f>
        <v>Prinseschool Prinsestraat</v>
      </c>
      <c r="C90" s="429"/>
      <c r="D90" s="203" t="str">
        <f>IF(Glasbewassing!$C90&gt;0,VLOOKUP(Glasbewassing!$C90,$A$8:$B$19,2,FALSE),"Hier vult u de inzet van eventuele hoogwerkers in")</f>
        <v>Hier vult u de inzet van eventuele hoogwerkers in</v>
      </c>
      <c r="E90" s="430"/>
      <c r="F90" s="214">
        <v>2</v>
      </c>
      <c r="G90" s="216">
        <f>IF(C90&gt;0,VLOOKUP(OverzichtGlas[[#This Row],[Code taak]],InvulGlas[],3,0)*E90*F90,0)</f>
        <v>0</v>
      </c>
      <c r="H90" s="216">
        <f>OverzichtGlas[[#This Row],[Kosten/jaar excl. BTW]]*1.21</f>
        <v>0</v>
      </c>
      <c r="I90" s="211"/>
    </row>
    <row r="91" spans="1:9" ht="15" customHeight="1">
      <c r="A91" s="211">
        <v>14</v>
      </c>
      <c r="B91" s="183" t="str">
        <f>VLOOKUP(OverzichtGlas[[#This Row],[Code Locatie]],Totalisatie!$A$7:$B$24,2,FALSE)</f>
        <v>Prinseschool Prinsestraat</v>
      </c>
      <c r="C91" s="429"/>
      <c r="D91" s="203" t="str">
        <f>IF(Glasbewassing!$C91&gt;0,VLOOKUP(Glasbewassing!$C91,$A$8:$B$19,2,FALSE),"Hier vult u de inzet van eventuele hoogwerkers in")</f>
        <v>Hier vult u de inzet van eventuele hoogwerkers in</v>
      </c>
      <c r="E91" s="430"/>
      <c r="F91" s="214">
        <v>2</v>
      </c>
      <c r="G91" s="216">
        <f>IF(C91&gt;0,VLOOKUP(OverzichtGlas[[#This Row],[Code taak]],InvulGlas[],3,0)*E91*F91,0)</f>
        <v>0</v>
      </c>
      <c r="H91" s="216">
        <f>OverzichtGlas[[#This Row],[Kosten/jaar excl. BTW]]*1.21</f>
        <v>0</v>
      </c>
      <c r="I91" s="211"/>
    </row>
    <row r="92" spans="1:9" ht="15" customHeight="1">
      <c r="A92" s="211">
        <v>15</v>
      </c>
      <c r="B92" s="183" t="str">
        <f>VLOOKUP(OverzichtGlas[[#This Row],[Code Locatie]],Totalisatie!$A$7:$B$24,2,FALSE)</f>
        <v>Prinseschool Staringstraat</v>
      </c>
      <c r="C92" s="211">
        <v>1</v>
      </c>
      <c r="D92" s="203" t="str">
        <f>IF(Glasbewassing!$C92&gt;0,VLOOKUP(Glasbewassing!$C92,$A$8:$B$19,2,FALSE),"Hier vult u de inzet van eventuele hoogwerkers in")</f>
        <v>Gevelglas binnenzijde</v>
      </c>
      <c r="E92" s="99">
        <v>195.33</v>
      </c>
      <c r="F92" s="214">
        <v>2</v>
      </c>
      <c r="G92" s="216">
        <f>IF(C92&gt;0,VLOOKUP(OverzichtGlas[[#This Row],[Code taak]],InvulGlas[],3,0)*E92*F92,0)</f>
        <v>0</v>
      </c>
      <c r="H92" s="216">
        <f>OverzichtGlas[[#This Row],[Kosten/jaar excl. BTW]]*1.21</f>
        <v>0</v>
      </c>
      <c r="I92" s="211"/>
    </row>
    <row r="93" spans="1:9" ht="15" customHeight="1">
      <c r="A93" s="211">
        <v>15</v>
      </c>
      <c r="B93" s="183" t="str">
        <f>VLOOKUP(OverzichtGlas[[#This Row],[Code Locatie]],Totalisatie!$A$7:$B$24,2,FALSE)</f>
        <v>Prinseschool Staringstraat</v>
      </c>
      <c r="C93" s="211">
        <v>2</v>
      </c>
      <c r="D93" s="203" t="str">
        <f>IF(Glasbewassing!$C93&gt;0,VLOOKUP(Glasbewassing!$C93,$A$8:$B$19,2,FALSE),"Hier vult u de inzet van eventuele hoogwerkers in")</f>
        <v>Gevelglas buitenzijde</v>
      </c>
      <c r="E93" s="99">
        <v>195.3</v>
      </c>
      <c r="F93" s="214">
        <v>2</v>
      </c>
      <c r="G93" s="216">
        <f>IF(C93&gt;0,VLOOKUP(OverzichtGlas[[#This Row],[Code taak]],InvulGlas[],3,0)*E93*F93,0)</f>
        <v>0</v>
      </c>
      <c r="H93" s="216">
        <f>OverzichtGlas[[#This Row],[Kosten/jaar excl. BTW]]*1.21</f>
        <v>0</v>
      </c>
      <c r="I93" s="211"/>
    </row>
    <row r="94" spans="1:9" ht="15" customHeight="1">
      <c r="A94" s="211">
        <v>15</v>
      </c>
      <c r="B94" s="183" t="str">
        <f>VLOOKUP(OverzichtGlas[[#This Row],[Code Locatie]],Totalisatie!$A$7:$B$24,2,FALSE)</f>
        <v>Prinseschool Staringstraat</v>
      </c>
      <c r="C94" s="211">
        <v>3</v>
      </c>
      <c r="D94" s="203" t="str">
        <f>IF(Glasbewassing!$C94&gt;0,VLOOKUP(Glasbewassing!$C94,$A$8:$B$19,2,FALSE),"Hier vult u de inzet van eventuele hoogwerkers in")</f>
        <v>Separatieglas (enkel gemeten, dubbel te wassen)</v>
      </c>
      <c r="E94" s="99">
        <v>95.6</v>
      </c>
      <c r="F94" s="214">
        <v>2</v>
      </c>
      <c r="G94" s="216">
        <f>IF(C94&gt;0,VLOOKUP(OverzichtGlas[[#This Row],[Code taak]],InvulGlas[],3,0)*E94*F94,0)</f>
        <v>0</v>
      </c>
      <c r="H94" s="216">
        <f>OverzichtGlas[[#This Row],[Kosten/jaar excl. BTW]]*1.21</f>
        <v>0</v>
      </c>
      <c r="I94" s="211"/>
    </row>
    <row r="95" spans="1:9" ht="15" customHeight="1">
      <c r="A95" s="211">
        <v>15</v>
      </c>
      <c r="B95" s="183" t="str">
        <f>VLOOKUP(OverzichtGlas[[#This Row],[Code Locatie]],Totalisatie!$A$7:$B$24,2,FALSE)</f>
        <v>Prinseschool Staringstraat</v>
      </c>
      <c r="C95" s="429"/>
      <c r="D95" s="203" t="str">
        <f>IF(Glasbewassing!$C95&gt;0,VLOOKUP(Glasbewassing!$C95,$A$8:$B$19,2,FALSE),"Hier vult u de inzet van eventuele hoogwerkers in")</f>
        <v>Hier vult u de inzet van eventuele hoogwerkers in</v>
      </c>
      <c r="E95" s="430"/>
      <c r="F95" s="214">
        <v>2</v>
      </c>
      <c r="G95" s="216">
        <f>IF(C95&gt;0,VLOOKUP(OverzichtGlas[[#This Row],[Code taak]],InvulGlas[],3,0)*E95*F95,0)</f>
        <v>0</v>
      </c>
      <c r="H95" s="216">
        <f>OverzichtGlas[[#This Row],[Kosten/jaar excl. BTW]]*1.21</f>
        <v>0</v>
      </c>
      <c r="I95" s="211"/>
    </row>
    <row r="96" spans="1:9" ht="15" customHeight="1">
      <c r="A96" s="211">
        <v>15</v>
      </c>
      <c r="B96" s="212" t="str">
        <f>VLOOKUP(OverzichtGlas[[#This Row],[Code Locatie]],Totalisatie!$A$7:$B$24,2,FALSE)</f>
        <v>Prinseschool Staringstraat</v>
      </c>
      <c r="C96" s="429"/>
      <c r="D96" s="213" t="str">
        <f>IF(Glasbewassing!$C96&gt;0,VLOOKUP(Glasbewassing!$C96,$A$8:$B$19,2,FALSE),"Hier vult u de inzet van eventuele hoogwerkers in")</f>
        <v>Hier vult u de inzet van eventuele hoogwerkers in</v>
      </c>
      <c r="E96" s="430"/>
      <c r="F96" s="214">
        <v>2</v>
      </c>
      <c r="G96" s="216">
        <f>IF(C96&gt;0,VLOOKUP(OverzichtGlas[[#This Row],[Code taak]],InvulGlas[],3,0)*E96*F96,0)</f>
        <v>0</v>
      </c>
      <c r="H96" s="216">
        <f>OverzichtGlas[[#This Row],[Kosten/jaar excl. BTW]]*1.21</f>
        <v>0</v>
      </c>
      <c r="I96" s="211"/>
    </row>
    <row r="97" spans="1:9" ht="15" customHeight="1">
      <c r="A97" s="211">
        <v>16</v>
      </c>
      <c r="B97" s="212" t="str">
        <f>VLOOKUP(OverzichtGlas[[#This Row],[Code Locatie]],Totalisatie!$A$7:$B$24,2,FALSE)</f>
        <v>SBO Het Pontem (College)</v>
      </c>
      <c r="C97" s="211">
        <v>1</v>
      </c>
      <c r="D97" s="213" t="str">
        <f>IF(Glasbewassing!$C97&gt;0,VLOOKUP(Glasbewassing!$C97,$A$8:$B$19,2,FALSE),"Hier vult u de inzet van eventuele hoogwerkers in")</f>
        <v>Gevelglas binnenzijde</v>
      </c>
      <c r="E97" s="99">
        <v>177.5</v>
      </c>
      <c r="F97" s="214">
        <v>2</v>
      </c>
      <c r="G97" s="216">
        <f>IF(C97&gt;0,VLOOKUP(OverzichtGlas[[#This Row],[Code taak]],InvulGlas[],3,0)*E97*F97,0)</f>
        <v>0</v>
      </c>
      <c r="H97" s="216">
        <f>OverzichtGlas[[#This Row],[Kosten/jaar excl. BTW]]*1.21</f>
        <v>0</v>
      </c>
      <c r="I97" s="211"/>
    </row>
    <row r="98" spans="1:9" ht="15" customHeight="1">
      <c r="A98" s="211">
        <v>16</v>
      </c>
      <c r="B98" s="212" t="str">
        <f>VLOOKUP(OverzichtGlas[[#This Row],[Code Locatie]],Totalisatie!$A$7:$B$24,2,FALSE)</f>
        <v>SBO Het Pontem (College)</v>
      </c>
      <c r="C98" s="211">
        <v>2</v>
      </c>
      <c r="D98" s="213" t="str">
        <f>IF(Glasbewassing!$C98&gt;0,VLOOKUP(Glasbewassing!$C98,$A$8:$B$19,2,FALSE),"Hier vult u de inzet van eventuele hoogwerkers in")</f>
        <v>Gevelglas buitenzijde</v>
      </c>
      <c r="E98" s="99">
        <v>177.5</v>
      </c>
      <c r="F98" s="214">
        <v>2</v>
      </c>
      <c r="G98" s="216">
        <f>IF(C98&gt;0,VLOOKUP(OverzichtGlas[[#This Row],[Code taak]],InvulGlas[],3,0)*E98*F98,0)</f>
        <v>0</v>
      </c>
      <c r="H98" s="216">
        <f>OverzichtGlas[[#This Row],[Kosten/jaar excl. BTW]]*1.21</f>
        <v>0</v>
      </c>
      <c r="I98" s="211"/>
    </row>
    <row r="99" spans="1:9" ht="15" customHeight="1">
      <c r="A99" s="211">
        <v>16</v>
      </c>
      <c r="B99" s="212" t="str">
        <f>VLOOKUP(OverzichtGlas[[#This Row],[Code Locatie]],Totalisatie!$A$7:$B$24,2,FALSE)</f>
        <v>SBO Het Pontem (College)</v>
      </c>
      <c r="C99" s="211">
        <v>3</v>
      </c>
      <c r="D99" s="213" t="str">
        <f>IF(Glasbewassing!$C99&gt;0,VLOOKUP(Glasbewassing!$C99,$A$8:$B$19,2,FALSE),"Hier vult u de inzet van eventuele hoogwerkers in")</f>
        <v>Separatieglas (enkel gemeten, dubbel te wassen)</v>
      </c>
      <c r="E99" s="99">
        <v>152</v>
      </c>
      <c r="F99" s="214">
        <v>2</v>
      </c>
      <c r="G99" s="216">
        <f>IF(C99&gt;0,VLOOKUP(OverzichtGlas[[#This Row],[Code taak]],InvulGlas[],3,0)*E99*F99,0)</f>
        <v>0</v>
      </c>
      <c r="H99" s="216">
        <f>OverzichtGlas[[#This Row],[Kosten/jaar excl. BTW]]*1.21</f>
        <v>0</v>
      </c>
      <c r="I99" s="211"/>
    </row>
    <row r="100" spans="1:9" ht="15" customHeight="1">
      <c r="A100" s="211">
        <v>16</v>
      </c>
      <c r="B100" s="212" t="str">
        <f>VLOOKUP(OverzichtGlas[[#This Row],[Code Locatie]],Totalisatie!$A$7:$B$24,2,FALSE)</f>
        <v>SBO Het Pontem (College)</v>
      </c>
      <c r="C100" s="429"/>
      <c r="D100" s="213" t="str">
        <f>IF(Glasbewassing!$C100&gt;0,VLOOKUP(Glasbewassing!$C100,$A$8:$B$19,2,FALSE),"Hier vult u de inzet van eventuele hoogwerkers in")</f>
        <v>Hier vult u de inzet van eventuele hoogwerkers in</v>
      </c>
      <c r="E100" s="430"/>
      <c r="F100" s="214">
        <v>2</v>
      </c>
      <c r="G100" s="216">
        <f>IF(C100&gt;0,VLOOKUP(OverzichtGlas[[#This Row],[Code taak]],InvulGlas[],3,0)*E100*F100,0)</f>
        <v>0</v>
      </c>
      <c r="H100" s="216">
        <f>OverzichtGlas[[#This Row],[Kosten/jaar excl. BTW]]*1.21</f>
        <v>0</v>
      </c>
      <c r="I100" s="211"/>
    </row>
    <row r="101" spans="1:9" ht="15" customHeight="1">
      <c r="A101" s="211">
        <v>16</v>
      </c>
      <c r="B101" s="212" t="str">
        <f>VLOOKUP(OverzichtGlas[[#This Row],[Code Locatie]],Totalisatie!$A$7:$B$24,2,FALSE)</f>
        <v>SBO Het Pontem (College)</v>
      </c>
      <c r="C101" s="429"/>
      <c r="D101" s="213" t="str">
        <f>IF(Glasbewassing!$C101&gt;0,VLOOKUP(Glasbewassing!$C101,$A$8:$B$19,2,FALSE),"Hier vult u de inzet van eventuele hoogwerkers in")</f>
        <v>Hier vult u de inzet van eventuele hoogwerkers in</v>
      </c>
      <c r="E101" s="430"/>
      <c r="F101" s="214">
        <v>2</v>
      </c>
      <c r="G101" s="216">
        <f>IF(C101&gt;0,VLOOKUP(OverzichtGlas[[#This Row],[Code taak]],InvulGlas[],3,0)*E101*F101,0)</f>
        <v>0</v>
      </c>
      <c r="H101" s="216">
        <f>OverzichtGlas[[#This Row],[Kosten/jaar excl. BTW]]*1.21</f>
        <v>0</v>
      </c>
      <c r="I101" s="211"/>
    </row>
    <row r="102" spans="1:9" ht="15" customHeight="1">
      <c r="A102" s="211">
        <v>17</v>
      </c>
      <c r="B102" s="212" t="str">
        <f>VLOOKUP(OverzichtGlas[[#This Row],[Code Locatie]],Totalisatie!$A$7:$B$24,2,FALSE)</f>
        <v>ODBS Lonneker</v>
      </c>
      <c r="C102" s="211">
        <v>1</v>
      </c>
      <c r="D102" s="213" t="str">
        <f>IF(Glasbewassing!$C102&gt;0,VLOOKUP(Glasbewassing!$C102,$A$8:$B$19,2,FALSE),"Hier vult u de inzet van eventuele hoogwerkers in")</f>
        <v>Gevelglas binnenzijde</v>
      </c>
      <c r="E102" s="99">
        <v>138.4</v>
      </c>
      <c r="F102" s="214">
        <v>2</v>
      </c>
      <c r="G102" s="216">
        <f>IF(C102&gt;0,VLOOKUP(OverzichtGlas[[#This Row],[Code taak]],InvulGlas[],3,0)*E102*F102,0)</f>
        <v>0</v>
      </c>
      <c r="H102" s="216">
        <f>OverzichtGlas[[#This Row],[Kosten/jaar excl. BTW]]*1.21</f>
        <v>0</v>
      </c>
      <c r="I102" s="211"/>
    </row>
    <row r="103" spans="1:9" ht="15" customHeight="1">
      <c r="A103" s="211">
        <v>17</v>
      </c>
      <c r="B103" s="212" t="str">
        <f>VLOOKUP(OverzichtGlas[[#This Row],[Code Locatie]],Totalisatie!$A$7:$B$24,2,FALSE)</f>
        <v>ODBS Lonneker</v>
      </c>
      <c r="C103" s="211">
        <v>2</v>
      </c>
      <c r="D103" s="213" t="str">
        <f>IF(Glasbewassing!$C103&gt;0,VLOOKUP(Glasbewassing!$C103,$A$8:$B$19,2,FALSE),"Hier vult u de inzet van eventuele hoogwerkers in")</f>
        <v>Gevelglas buitenzijde</v>
      </c>
      <c r="E103" s="99">
        <v>138.4</v>
      </c>
      <c r="F103" s="214">
        <v>2</v>
      </c>
      <c r="G103" s="216">
        <f>IF(C103&gt;0,VLOOKUP(OverzichtGlas[[#This Row],[Code taak]],InvulGlas[],3,0)*E103*F103,0)</f>
        <v>0</v>
      </c>
      <c r="H103" s="216">
        <f>OverzichtGlas[[#This Row],[Kosten/jaar excl. BTW]]*1.21</f>
        <v>0</v>
      </c>
      <c r="I103" s="211"/>
    </row>
    <row r="104" spans="1:9" ht="15" customHeight="1">
      <c r="A104" s="211">
        <v>17</v>
      </c>
      <c r="B104" s="212" t="str">
        <f>VLOOKUP(OverzichtGlas[[#This Row],[Code Locatie]],Totalisatie!$A$7:$B$24,2,FALSE)</f>
        <v>ODBS Lonneker</v>
      </c>
      <c r="C104" s="211">
        <v>3</v>
      </c>
      <c r="D104" s="213" t="str">
        <f>IF(Glasbewassing!$C104&gt;0,VLOOKUP(Glasbewassing!$C104,$A$8:$B$19,2,FALSE),"Hier vult u de inzet van eventuele hoogwerkers in")</f>
        <v>Separatieglas (enkel gemeten, dubbel te wassen)</v>
      </c>
      <c r="E104" s="99">
        <v>69.2</v>
      </c>
      <c r="F104" s="214">
        <v>2</v>
      </c>
      <c r="G104" s="216">
        <f>IF(C104&gt;0,VLOOKUP(OverzichtGlas[[#This Row],[Code taak]],InvulGlas[],3,0)*E104*F104,0)</f>
        <v>0</v>
      </c>
      <c r="H104" s="216">
        <f>OverzichtGlas[[#This Row],[Kosten/jaar excl. BTW]]*1.21</f>
        <v>0</v>
      </c>
      <c r="I104" s="211"/>
    </row>
    <row r="105" spans="1:9" ht="15" customHeight="1">
      <c r="A105" s="211">
        <v>17</v>
      </c>
      <c r="B105" s="212" t="str">
        <f>VLOOKUP(OverzichtGlas[[#This Row],[Code Locatie]],Totalisatie!$A$7:$B$24,2,FALSE)</f>
        <v>ODBS Lonneker</v>
      </c>
      <c r="C105" s="429"/>
      <c r="D105" s="213" t="str">
        <f>IF(Glasbewassing!$C105&gt;0,VLOOKUP(Glasbewassing!$C105,$A$8:$B$19,2,FALSE),"Hier vult u de inzet van eventuele hoogwerkers in")</f>
        <v>Hier vult u de inzet van eventuele hoogwerkers in</v>
      </c>
      <c r="E105" s="430"/>
      <c r="F105" s="214">
        <v>2</v>
      </c>
      <c r="G105" s="216">
        <f>IF(C105&gt;0,VLOOKUP(OverzichtGlas[[#This Row],[Code taak]],InvulGlas[],3,0)*E105*F105,0)</f>
        <v>0</v>
      </c>
      <c r="H105" s="216">
        <f>OverzichtGlas[[#This Row],[Kosten/jaar excl. BTW]]*1.21</f>
        <v>0</v>
      </c>
      <c r="I105" s="211"/>
    </row>
    <row r="106" spans="1:9" ht="15" customHeight="1">
      <c r="A106" s="211">
        <v>17</v>
      </c>
      <c r="B106" s="212" t="str">
        <f>VLOOKUP(OverzichtGlas[[#This Row],[Code Locatie]],Totalisatie!$A$7:$B$24,2,FALSE)</f>
        <v>ODBS Lonneker</v>
      </c>
      <c r="C106" s="429"/>
      <c r="D106" s="213" t="str">
        <f>IF(Glasbewassing!$C106&gt;0,VLOOKUP(Glasbewassing!$C106,$A$8:$B$19,2,FALSE),"Hier vult u de inzet van eventuele hoogwerkers in")</f>
        <v>Hier vult u de inzet van eventuele hoogwerkers in</v>
      </c>
      <c r="E106" s="430"/>
      <c r="F106" s="214">
        <v>2</v>
      </c>
      <c r="G106" s="216">
        <f>IF(C106&gt;0,VLOOKUP(OverzichtGlas[[#This Row],[Code taak]],InvulGlas[],3,0)*E106*F106,0)</f>
        <v>0</v>
      </c>
      <c r="H106" s="216">
        <f>OverzichtGlas[[#This Row],[Kosten/jaar excl. BTW]]*1.21</f>
        <v>0</v>
      </c>
      <c r="I106" s="211"/>
    </row>
    <row r="107" spans="1:9" ht="15" customHeight="1">
      <c r="A107" s="211">
        <v>18</v>
      </c>
      <c r="B107" s="212" t="str">
        <f>VLOOKUP(OverzichtGlas[[#This Row],[Code Locatie]],Totalisatie!$A$7:$B$24,2,FALSE)</f>
        <v>OBS De Linde (Thij)</v>
      </c>
      <c r="C107" s="211">
        <v>1</v>
      </c>
      <c r="D107" s="213" t="str">
        <f>IF(Glasbewassing!$C107&gt;0,VLOOKUP(Glasbewassing!$C107,$A$8:$B$19,2,FALSE),"Hier vult u de inzet van eventuele hoogwerkers in")</f>
        <v>Gevelglas binnenzijde</v>
      </c>
      <c r="E107" s="99">
        <v>158.6</v>
      </c>
      <c r="F107" s="214">
        <v>2</v>
      </c>
      <c r="G107" s="216">
        <f>IF(C107&gt;0,VLOOKUP(OverzichtGlas[[#This Row],[Code taak]],InvulGlas[],3,0)*E107*F107,0)</f>
        <v>0</v>
      </c>
      <c r="H107" s="216">
        <f>OverzichtGlas[[#This Row],[Kosten/jaar excl. BTW]]*1.21</f>
        <v>0</v>
      </c>
      <c r="I107" s="211"/>
    </row>
    <row r="108" spans="1:9" ht="15" customHeight="1">
      <c r="A108" s="211">
        <v>18</v>
      </c>
      <c r="B108" s="212" t="str">
        <f>VLOOKUP(OverzichtGlas[[#This Row],[Code Locatie]],Totalisatie!$A$7:$B$24,2,FALSE)</f>
        <v>OBS De Linde (Thij)</v>
      </c>
      <c r="C108" s="211">
        <v>2</v>
      </c>
      <c r="D108" s="213" t="str">
        <f>IF(Glasbewassing!$C108&gt;0,VLOOKUP(Glasbewassing!$C108,$A$8:$B$19,2,FALSE),"Hier vult u de inzet van eventuele hoogwerkers in")</f>
        <v>Gevelglas buitenzijde</v>
      </c>
      <c r="E108" s="99">
        <v>158.6</v>
      </c>
      <c r="F108" s="214">
        <v>2</v>
      </c>
      <c r="G108" s="216">
        <f>IF(C108&gt;0,VLOOKUP(OverzichtGlas[[#This Row],[Code taak]],InvulGlas[],3,0)*E108*F108,0)</f>
        <v>0</v>
      </c>
      <c r="H108" s="216">
        <f>OverzichtGlas[[#This Row],[Kosten/jaar excl. BTW]]*1.21</f>
        <v>0</v>
      </c>
      <c r="I108" s="211"/>
    </row>
    <row r="109" spans="1:9" ht="15" customHeight="1">
      <c r="A109" s="211">
        <v>18</v>
      </c>
      <c r="B109" s="212" t="str">
        <f>VLOOKUP(OverzichtGlas[[#This Row],[Code Locatie]],Totalisatie!$A$7:$B$24,2,FALSE)</f>
        <v>OBS De Linde (Thij)</v>
      </c>
      <c r="C109" s="211">
        <v>3</v>
      </c>
      <c r="D109" s="213" t="str">
        <f>IF(Glasbewassing!$C109&gt;0,VLOOKUP(Glasbewassing!$C109,$A$8:$B$19,2,FALSE),"Hier vult u de inzet van eventuele hoogwerkers in")</f>
        <v>Separatieglas (enkel gemeten, dubbel te wassen)</v>
      </c>
      <c r="E109" s="99">
        <v>89.8</v>
      </c>
      <c r="F109" s="214">
        <v>2</v>
      </c>
      <c r="G109" s="216">
        <f>IF(C109&gt;0,VLOOKUP(OverzichtGlas[[#This Row],[Code taak]],InvulGlas[],3,0)*E109*F109,0)</f>
        <v>0</v>
      </c>
      <c r="H109" s="216">
        <f>OverzichtGlas[[#This Row],[Kosten/jaar excl. BTW]]*1.21</f>
        <v>0</v>
      </c>
      <c r="I109" s="211"/>
    </row>
    <row r="110" spans="1:9" ht="15" customHeight="1">
      <c r="A110" s="211">
        <v>18</v>
      </c>
      <c r="B110" s="212" t="str">
        <f>VLOOKUP(OverzichtGlas[[#This Row],[Code Locatie]],Totalisatie!$A$7:$B$24,2,FALSE)</f>
        <v>OBS De Linde (Thij)</v>
      </c>
      <c r="C110" s="429"/>
      <c r="D110" s="213" t="str">
        <f>IF(Glasbewassing!$C110&gt;0,VLOOKUP(Glasbewassing!$C110,$A$8:$B$19,2,FALSE),"Hier vult u de inzet van eventuele hoogwerkers in")</f>
        <v>Hier vult u de inzet van eventuele hoogwerkers in</v>
      </c>
      <c r="E110" s="430"/>
      <c r="F110" s="214">
        <v>2</v>
      </c>
      <c r="G110" s="216">
        <f>IF(C110&gt;0,VLOOKUP(OverzichtGlas[[#This Row],[Code taak]],InvulGlas[],3,0)*E110*F110,0)</f>
        <v>0</v>
      </c>
      <c r="H110" s="216">
        <f>OverzichtGlas[[#This Row],[Kosten/jaar excl. BTW]]*1.21</f>
        <v>0</v>
      </c>
      <c r="I110" s="211"/>
    </row>
    <row r="111" spans="1:9" ht="15" customHeight="1">
      <c r="A111" s="211">
        <v>18</v>
      </c>
      <c r="B111" s="212" t="str">
        <f>VLOOKUP(OverzichtGlas[[#This Row],[Code Locatie]],Totalisatie!$A$7:$B$24,2,FALSE)</f>
        <v>OBS De Linde (Thij)</v>
      </c>
      <c r="C111" s="429"/>
      <c r="D111" s="213" t="str">
        <f>IF(Glasbewassing!$C111&gt;0,VLOOKUP(Glasbewassing!$C111,$A$8:$B$19,2,FALSE),"Hier vult u de inzet van eventuele hoogwerkers in")</f>
        <v>Hier vult u de inzet van eventuele hoogwerkers in</v>
      </c>
      <c r="E111" s="430"/>
      <c r="F111" s="214">
        <v>2</v>
      </c>
      <c r="G111" s="216">
        <f>IF(C111&gt;0,VLOOKUP(OverzichtGlas[[#This Row],[Code taak]],InvulGlas[],3,0)*E111*F111,0)</f>
        <v>0</v>
      </c>
      <c r="H111" s="216">
        <f>OverzichtGlas[[#This Row],[Kosten/jaar excl. BTW]]*1.21</f>
        <v>0</v>
      </c>
      <c r="I111" s="211"/>
    </row>
    <row r="112" spans="1:9" ht="15" customHeight="1">
      <c r="A112" s="227" t="s">
        <v>32</v>
      </c>
      <c r="B112" s="228"/>
      <c r="C112" s="227"/>
      <c r="D112" s="229"/>
      <c r="E112" s="227"/>
      <c r="F112" s="227"/>
      <c r="G112" s="230">
        <f>SUBTOTAL(109,OverzichtGlas[Kosten/jaar excl. BTW])</f>
        <v>0</v>
      </c>
      <c r="H112" s="230">
        <f>SUBTOTAL(109,OverzichtGlas[Kosten/jaar incl. BTW])</f>
        <v>0</v>
      </c>
      <c r="I112" s="227"/>
    </row>
    <row r="113" spans="3:4" ht="15" customHeight="1">
      <c r="C113" s="99"/>
      <c r="D113" s="78"/>
    </row>
    <row r="114" spans="3:4" ht="15" customHeight="1">
      <c r="C114" s="99"/>
      <c r="D114" s="78"/>
    </row>
    <row r="115" spans="3:4" ht="15" customHeight="1">
      <c r="C115" s="99"/>
      <c r="D115" s="78"/>
    </row>
    <row r="116" spans="3:4" ht="15" customHeight="1">
      <c r="C116" s="99"/>
      <c r="D116" s="78"/>
    </row>
    <row r="117" spans="3:4" ht="15" customHeight="1">
      <c r="C117" s="99"/>
      <c r="D117" s="78"/>
    </row>
    <row r="118" spans="3:4" ht="15" customHeight="1">
      <c r="C118" s="99"/>
      <c r="D118" s="78"/>
    </row>
    <row r="119" spans="3:4" ht="15" customHeight="1">
      <c r="C119" s="99"/>
      <c r="D119" s="78"/>
    </row>
    <row r="120" spans="3:4" ht="15" customHeight="1">
      <c r="C120" s="99"/>
      <c r="D120" s="78"/>
    </row>
    <row r="121" spans="3:4" ht="15" customHeight="1">
      <c r="C121" s="99"/>
      <c r="D121" s="78"/>
    </row>
    <row r="122" spans="3:4" ht="15" customHeight="1">
      <c r="C122" s="99"/>
      <c r="D122" s="78"/>
    </row>
    <row r="123" spans="3:4" ht="15" customHeight="1">
      <c r="C123" s="99"/>
      <c r="D123" s="78"/>
    </row>
    <row r="124" spans="3:4" ht="15" customHeight="1">
      <c r="C124" s="99"/>
      <c r="D124" s="78"/>
    </row>
    <row r="125" spans="3:4" ht="15" customHeight="1">
      <c r="C125" s="99"/>
      <c r="D125" s="78"/>
    </row>
    <row r="126" spans="3:4" ht="15" customHeight="1">
      <c r="C126" s="99"/>
      <c r="D126" s="78"/>
    </row>
    <row r="127" spans="3:4" ht="15" customHeight="1">
      <c r="C127" s="99"/>
      <c r="D127" s="78"/>
    </row>
    <row r="128" spans="3:4" ht="15" customHeight="1">
      <c r="C128" s="99"/>
      <c r="D128" s="78"/>
    </row>
    <row r="129" spans="3:4" ht="15" customHeight="1">
      <c r="C129" s="99"/>
      <c r="D129" s="78"/>
    </row>
    <row r="130" spans="3:4" ht="15" customHeight="1">
      <c r="C130" s="99"/>
      <c r="D130" s="78"/>
    </row>
    <row r="131" spans="3:4" ht="15" customHeight="1">
      <c r="C131" s="99"/>
      <c r="D131" s="78"/>
    </row>
    <row r="132" spans="3:4" ht="15" customHeight="1">
      <c r="C132" s="99"/>
      <c r="D132" s="78"/>
    </row>
    <row r="133" spans="3:4" ht="15" customHeight="1">
      <c r="C133" s="99"/>
      <c r="D133" s="78"/>
    </row>
    <row r="134" spans="3:4" ht="15" customHeight="1">
      <c r="C134" s="99"/>
      <c r="D134" s="78"/>
    </row>
    <row r="135" spans="3:4" ht="15" customHeight="1">
      <c r="C135" s="99"/>
      <c r="D135" s="78"/>
    </row>
    <row r="136" spans="3:4" ht="15" customHeight="1">
      <c r="C136" s="99"/>
      <c r="D136" s="78"/>
    </row>
    <row r="137" spans="3:4" ht="15" customHeight="1">
      <c r="C137" s="99"/>
      <c r="D137" s="78"/>
    </row>
    <row r="138" spans="3:4" ht="15" customHeight="1">
      <c r="C138" s="99"/>
      <c r="D138" s="78"/>
    </row>
    <row r="139" spans="3:4" ht="15" customHeight="1">
      <c r="C139" s="99"/>
      <c r="D139" s="78"/>
    </row>
    <row r="140" spans="3:4" ht="15" customHeight="1">
      <c r="C140" s="99"/>
      <c r="D140" s="78"/>
    </row>
    <row r="141" spans="3:4" ht="15" customHeight="1">
      <c r="C141" s="99"/>
      <c r="D141" s="78"/>
    </row>
    <row r="142" spans="3:4" ht="15" customHeight="1">
      <c r="C142" s="99"/>
      <c r="D142" s="78"/>
    </row>
    <row r="143" spans="3:4" ht="15" customHeight="1">
      <c r="C143" s="99"/>
      <c r="D143" s="78"/>
    </row>
    <row r="144" spans="3:4" ht="15" customHeight="1">
      <c r="C144" s="99"/>
      <c r="D144" s="78"/>
    </row>
    <row r="145" spans="3:4" ht="15" customHeight="1">
      <c r="C145" s="99"/>
      <c r="D145" s="78"/>
    </row>
    <row r="146" spans="3:4" ht="15" customHeight="1">
      <c r="C146" s="99"/>
      <c r="D146" s="78"/>
    </row>
  </sheetData>
  <sheetProtection algorithmName="SHA-512" hashValue="kvaFBhh9F5Bwc+JkwPspmVxbzbNkADgtqjPEqkw6tfDeDrPqP1PU0NL/OGM6d69YH+a+r6MN3jxh/oM/rHsfmA==" saltValue="qCf0etSbC0WYnxktzCFuUw==" spinCount="100000" sheet="1" objects="1" scenarios="1" selectLockedCells="1"/>
  <mergeCells count="3">
    <mergeCell ref="E7:I7"/>
    <mergeCell ref="A2:H2"/>
    <mergeCell ref="A1:H1"/>
  </mergeCells>
  <phoneticPr fontId="22" type="noConversion"/>
  <pageMargins left="0.70866141732283472" right="0.70866141732283472" top="0.35433070866141736" bottom="0.47244094488188981" header="0.31496062992125984" footer="0.31496062992125984"/>
  <pageSetup paperSize="9" scale="41"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114c60293a0dcdcdf14e358d1002c96b">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8b4f3eefbf72db6bbb9b760dfbfc13b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710A03-E1CC-4516-AD80-04654868D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1D780-3B97-493C-9478-2802C9533A1F}">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e7fee12f-7364-4350-a58e-b9a3dabb10bc"/>
    <ds:schemaRef ds:uri="4f7a1ba3-2415-40f8-897f-cbc9e8918319"/>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9952470-B124-415D-8014-2581EF5533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28</vt:i4>
      </vt:variant>
    </vt:vector>
  </HeadingPairs>
  <TitlesOfParts>
    <vt:vector size="40"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Extra werkzaamheden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Handelingen'!_Toc534973933</vt:lpstr>
      <vt:lpstr>'Legenda Handelingen'!_Toc534973934</vt:lpstr>
      <vt:lpstr>'Extra werkzaamheden'!Afdrukbereik</vt:lpstr>
      <vt:lpstr>Glasbewassing!Afdrukbereik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Elke Kienhuis | Inkada Inkoop &amp; Advies</cp:lastModifiedBy>
  <cp:lastPrinted>2021-12-20T08:38:13Z</cp:lastPrinted>
  <dcterms:created xsi:type="dcterms:W3CDTF">1999-03-23T11:24:21Z</dcterms:created>
  <dcterms:modified xsi:type="dcterms:W3CDTF">2025-06-05T14:57:46Z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